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omments2.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3.xml" ContentType="application/vnd.openxmlformats-officedocument.spreadsheetml.comments+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4.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heme/themeOverride3.xml" ContentType="application/vnd.openxmlformats-officedocument.themeOverride+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5.xml" ContentType="application/vnd.openxmlformats-officedocument.themeOverride+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ml.chartshapes+xml"/>
  <Override PartName="/xl/charts/chart15.xml" ContentType="application/vnd.openxmlformats-officedocument.drawingml.chart+xml"/>
  <Override PartName="/xl/drawings/drawing5.xml" ContentType="application/vnd.openxmlformats-officedocument.drawing+xml"/>
  <Override PartName="/xl/ctrlProps/ctrlProp16.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drawings/drawing8.xml" ContentType="application/vnd.openxmlformats-officedocument.drawing+xml"/>
  <Override PartName="/xl/activeX/activeX2.xml" ContentType="application/vnd.ms-office.activeX+xml"/>
  <Override PartName="/xl/activeX/activeX2.bin" ContentType="application/vnd.ms-office.activeX"/>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drawings/drawing10.xml" ContentType="application/vnd.openxmlformats-officedocument.drawingml.chartshape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17.xml" ContentType="application/vnd.openxmlformats-officedocument.drawingml.chart+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showInkAnnotation="0" codeName="DieseArbeitsmappe"/>
  <mc:AlternateContent xmlns:mc="http://schemas.openxmlformats.org/markup-compatibility/2006">
    <mc:Choice Requires="x15">
      <x15ac:absPath xmlns:x15ac="http://schemas.microsoft.com/office/spreadsheetml/2010/11/ac" url="\\192.168.90.30\Allmende_Energie\06_Projects\Agora-Tools\2013_05_EEG-Rechner\53_Daten(private)\Versionen\4-3-6\"/>
    </mc:Choice>
  </mc:AlternateContent>
  <xr:revisionPtr revIDLastSave="0" documentId="8_{C9F32EF8-DE1C-46DB-B1B9-E2A24DA6E492}" xr6:coauthVersionLast="47" xr6:coauthVersionMax="47" xr10:uidLastSave="{00000000-0000-0000-0000-000000000000}"/>
  <bookViews>
    <workbookView xWindow="28680" yWindow="-120" windowWidth="33150" windowHeight="18150" firstSheet="3" activeTab="5" xr2:uid="{83D3E9ED-8869-419A-BC33-2F07636F6B46}"/>
  </bookViews>
  <sheets>
    <sheet name="Start-Experte" sheetId="74" state="hidden" r:id="rId1"/>
    <sheet name="ControlPanel" sheetId="19" state="hidden" r:id="rId2"/>
    <sheet name="Parameter-Entscheider" sheetId="76" state="hidden" r:id="rId3"/>
    <sheet name="Start" sheetId="75" r:id="rId4"/>
    <sheet name="Ergebnisse" sheetId="116" r:id="rId5"/>
    <sheet name="Manual" sheetId="78" r:id="rId6"/>
    <sheet name="Impressum" sheetId="79" r:id="rId7"/>
    <sheet name="Interface EEG-CO2-Preis-Rechner" sheetId="128" state="hidden" r:id="rId8"/>
    <sheet name="Index" sheetId="18" state="hidden" r:id="rId9"/>
    <sheet name="IndexComplete" sheetId="81" state="hidden" r:id="rId10"/>
    <sheet name="MOD-Berechnungen" sheetId="39" state="hidden" r:id="rId11"/>
    <sheet name="MOD-Jahresgang" sheetId="51" state="hidden" r:id="rId12"/>
    <sheet name="GrD-Grafikdaten" sheetId="80" state="hidden" r:id="rId13"/>
    <sheet name="GrD-Grafikdaten (2)" sheetId="103" state="hidden" r:id="rId14"/>
    <sheet name="MOD_Absenkung_Wind_offshore" sheetId="114" state="hidden" r:id="rId15"/>
    <sheet name="D-Vergütungssatz Neuanlagen" sheetId="58" state="hidden" r:id="rId16"/>
    <sheet name="D-Bruttozubau" sheetId="41" state="hidden" r:id="rId17"/>
    <sheet name="D-Standardauslastung" sheetId="42" state="hidden" r:id="rId18"/>
    <sheet name="D-Dargebotsfaktor" sheetId="40" state="hidden" r:id="rId19"/>
    <sheet name="D-Spot-Skalierungsfaktor" sheetId="28" state="hidden" r:id="rId20"/>
    <sheet name="D-Profilfaktoren" sheetId="68" state="hidden" r:id="rId21"/>
    <sheet name="D-Dauer Goldenes Ende" sheetId="122" state="hidden" r:id="rId22"/>
    <sheet name="D-Future Strompreis" sheetId="22" state="hidden" r:id="rId23"/>
    <sheet name="D-Liquiditätspuffer" sheetId="29" state="hidden" r:id="rId24"/>
    <sheet name="D-Nettostromverbrauch" sheetId="31" state="hidden" r:id="rId25"/>
    <sheet name="D-Privilegierter Letztverbrauch" sheetId="32" state="hidden" r:id="rId26"/>
    <sheet name="D-Umlage priv. Letztverbrauch" sheetId="36" state="hidden" r:id="rId27"/>
    <sheet name="D-Faktor Zusatzprivilegierung" sheetId="95" state="hidden" r:id="rId28"/>
    <sheet name="D-Umlage EV Bestand" sheetId="98" state="hidden" r:id="rId29"/>
    <sheet name="D-Eigenverbrauch KWK Neue" sheetId="87" state="hidden" r:id="rId30"/>
    <sheet name="D-Umlage Eigenverbrauch PV+KWK" sheetId="91" state="hidden" r:id="rId31"/>
    <sheet name="D-vermiedene Netzentgelte" sheetId="49" state="hidden" r:id="rId32"/>
    <sheet name="D-Sonstige Kosten" sheetId="52" state="hidden" r:id="rId33"/>
    <sheet name="D-Inflationsrate" sheetId="108" state="hidden" r:id="rId34"/>
    <sheet name="D-Prognosefehler Kontostand" sheetId="85" state="hidden" r:id="rId35"/>
    <sheet name="D-Kontostand aktuelles Jahr" sheetId="84" state="hidden" r:id="rId36"/>
    <sheet name="D-Anteil Eigenverbrauch EE neu" sheetId="48" state="hidden" r:id="rId37"/>
    <sheet name="D-Zuschuss" sheetId="126" state="hidden" r:id="rId38"/>
    <sheet name="D-Strommenge ges." sheetId="47" state="hidden" r:id="rId39"/>
    <sheet name="D-Strommenge FV+DM" sheetId="93" state="hidden" r:id="rId40"/>
    <sheet name="D-Mittlerer Vergütungssatz" sheetId="45" state="hidden" r:id="rId41"/>
    <sheet name="D-Kontostand Vorjahr" sheetId="30" state="hidden" r:id="rId42"/>
    <sheet name="D-Bestand Kapazität" sheetId="99" state="hidden" r:id="rId43"/>
    <sheet name="D-Bestand Strommenge" sheetId="100" state="hidden" r:id="rId44"/>
    <sheet name="D-Bestand Zahlungen" sheetId="86" state="hidden" r:id="rId45"/>
    <sheet name="Nebenrechnung_Bestand Zahlungen" sheetId="127" state="hidden" r:id="rId46"/>
    <sheet name="D-Grünstromprivileg" sheetId="35" state="hidden" r:id="rId47"/>
    <sheet name="D-Eigenverbrauch fossil Bestand" sheetId="33" state="hidden" r:id="rId48"/>
    <sheet name="D-Eigenverbrauch fossile Neue" sheetId="90" state="hidden" r:id="rId49"/>
    <sheet name="D-Eigenverbrauch EE-Bestand" sheetId="89" state="hidden" r:id="rId50"/>
    <sheet name="D-Umlagereduktion Grünstrom" sheetId="38" state="hidden" r:id="rId51"/>
    <sheet name="D-Umlage Eigenverb fossile Neue" sheetId="92" state="hidden" r:id="rId52"/>
    <sheet name="D-Vergütung Eigenverbrauch" sheetId="53" state="hidden" r:id="rId53"/>
    <sheet name="D-Managementprämie_Bestand" sheetId="97" state="hidden" r:id="rId54"/>
    <sheet name="D-Netzverl. u. KW-Eigenverbr." sheetId="117" state="hidden" r:id="rId55"/>
    <sheet name="D-Kapazitäten 2009" sheetId="118" state="hidden" r:id="rId56"/>
    <sheet name="D-Rückbau vor 2015" sheetId="120" state="hidden" r:id="rId57"/>
    <sheet name="D-EE-Kapazitäten nicht EEG" sheetId="124" state="hidden" r:id="rId58"/>
    <sheet name="D-EE-Strommengen nicht EEG" sheetId="121" state="hidden" r:id="rId59"/>
    <sheet name="D-Profilfaktoren_Marktprämie" sheetId="125" state="hidden" r:id="rId60"/>
  </sheets>
  <externalReferences>
    <externalReference r:id="rId61"/>
    <externalReference r:id="rId62"/>
    <externalReference r:id="rId63"/>
    <externalReference r:id="rId64"/>
  </externalReferences>
  <definedNames>
    <definedName name="__123Graph_E" hidden="1">'[1]Bil nat'!#REF!</definedName>
    <definedName name="__123Graph_F" hidden="1">'[1]Bil nat'!#REF!</definedName>
    <definedName name="__123Graph_X" hidden="1">'[1]Bil nat'!#REF!</definedName>
    <definedName name="__q33" hidden="1">{"'Verkehr-Personen'!$A$5:$J$26"}</definedName>
    <definedName name="__r" hidden="1">{"'Verkehr-Personen'!$A$5:$J$26"}</definedName>
    <definedName name="__r6r6" hidden="1">{"'Verkehr-Personen'!$A$5:$J$26"}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q33" hidden="1">{"'Verkehr-Personen'!$A$5:$J$26"}</definedName>
    <definedName name="_q34" hidden="1">{"'Verkehr-Personen'!$A$5:$J$26"}</definedName>
    <definedName name="_r" hidden="1">{"'Verkehr-Personen'!$A$5:$J$26"}</definedName>
    <definedName name="_r6r6" hidden="1">{"'Verkehr-Personen'!$A$5:$J$26"}</definedName>
    <definedName name="a" hidden="1">{"'Verkehr-Personen'!$A$5:$J$26"}</definedName>
    <definedName name="aaaa" hidden="1">{"'Verkehr-Personen'!$A$5:$J$26"}</definedName>
    <definedName name="ääääääää" hidden="1">{"'Verkehr-Personen'!$A$5:$J$26"}</definedName>
    <definedName name="aaaaaabb" hidden="1">{"'Verkehr-Personen'!$A$5:$J$26"}</definedName>
    <definedName name="aaws" hidden="1">{"'Verkehr-Personen'!$A$5:$J$26"}</definedName>
    <definedName name="abc" hidden="1">{"'Verkehr-Personen'!$A$5:$J$26"}</definedName>
    <definedName name="abssoll" hidden="1">{"'Verkehr-Personen'!$A$5:$J$26"}</definedName>
    <definedName name="achtele" hidden="1">{"'Verkehr-Personen'!$A$5:$J$26"}</definedName>
    <definedName name="aeffle" hidden="1">{"'Verkehr-Personen'!$A$5:$J$26"}</definedName>
    <definedName name="aejrpfyk" hidden="1">{"'Verkehr-Personen'!$A$5:$J$26"}</definedName>
    <definedName name="akaiserkoenig" hidden="1">{"'Verkehr-Personen'!$A$5:$J$26"}</definedName>
    <definedName name="alexander" hidden="1">{"'Verkehr-Personen'!$A$5:$J$26"}</definedName>
    <definedName name="allesgestreift" hidden="1">{"'Verkehr-Personen'!$A$5:$J$26"}</definedName>
    <definedName name="alpen" hidden="1">{"'Verkehr-Personen'!$A$5:$J$26"}</definedName>
    <definedName name="alpenle" hidden="1">{"'Verkehr-Personen'!$A$5:$J$26"}</definedName>
    <definedName name="alple" hidden="1">{"'Verkehr-Personen'!$A$5:$J$26"}</definedName>
    <definedName name="amadeus" hidden="1">{"'Verkehr-Personen'!$A$5:$J$26"}</definedName>
    <definedName name="amdicksten" hidden="1">{"'Verkehr-Personen'!$A$5:$J$26"}</definedName>
    <definedName name="Anne" hidden="1">{"'Verkehr-Personen'!$A$5:$J$26"}</definedName>
    <definedName name="annemarie" hidden="1">{"'Verkehr-Personen'!$A$5:$J$26"}</definedName>
    <definedName name="Anti" hidden="1">{"'Verkehr-Personen'!$A$5:$J$26"}</definedName>
    <definedName name="Anton" hidden="1">{"'Verkehr-Personen'!$A$5:$J$26"}</definedName>
    <definedName name="anzug" hidden="1">{"'Verkehr-Personen'!$A$5:$J$26"}</definedName>
    <definedName name="ardnerle" hidden="1">{"'Verkehr-Personen'!$A$5:$J$26"}</definedName>
    <definedName name="arsch" hidden="1">{"'Verkehr-Personen'!$A$5:$J$26"}</definedName>
    <definedName name="asang" hidden="1">{"'Verkehr-Personen'!$A$5:$J$26"}</definedName>
    <definedName name="asdwae" hidden="1">{"'Verkehr-Personen'!$A$5:$J$26"}</definedName>
    <definedName name="assd" hidden="1">{"'Verkehr-Personen'!$A$5:$J$26"}</definedName>
    <definedName name="aubtob" hidden="1">{"'Verkehr-Personen'!$A$5:$J$26"}</definedName>
    <definedName name="aues" hidden="1">{"'Verkehr-Personen'!$A$5:$J$26"}</definedName>
    <definedName name="Auto" hidden="1">{"'Verkehr-Personen'!$A$5:$J$26"}</definedName>
    <definedName name="autob" hidden="1">{"'Verkehr-Personen'!$A$5:$J$26"}</definedName>
    <definedName name="awer" hidden="1">{"'Verkehr-Personen'!$A$5:$J$26"}</definedName>
    <definedName name="awesdf" hidden="1">{"'Verkehr-Personen'!$A$5:$J$26"}</definedName>
    <definedName name="aylk" hidden="1">{"'Verkehr-Personen'!$A$5:$J$26"}</definedName>
    <definedName name="aysdxcb" hidden="1">{"'Verkehr-Personen'!$A$5:$J$26"}</definedName>
    <definedName name="b" hidden="1">{#N/A,#N/A,FALSE,"Mecklenburg-Vorpommern"}</definedName>
    <definedName name="babi" hidden="1">{"'Verkehr-Personen'!$A$5:$J$26"}</definedName>
    <definedName name="babiliele" hidden="1">{"'Verkehr-Personen'!$A$5:$J$26"}</definedName>
    <definedName name="bachle" hidden="1">{"'Verkehr-Personen'!$A$5:$J$26"}</definedName>
    <definedName name="bahnkard" hidden="1">{"'Verkehr-Personen'!$A$5:$J$26"}</definedName>
    <definedName name="bahnkrateeeen" hidden="1">{"'Verkehr-Personen'!$A$5:$J$26"}</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arbeiten" hidden="1">{"'Verkehr-Personen'!$A$5:$J$26"}</definedName>
    <definedName name="behalten" hidden="1">{"'Verkehr-Personen'!$A$5:$J$26"}</definedName>
    <definedName name="beierle" hidden="1">{"'Verkehr-Personen'!$A$5:$J$26"}</definedName>
    <definedName name="bekommendndnd" hidden="1">{"'Verkehr-Personen'!$A$5:$J$26"}</definedName>
    <definedName name="beleibt" hidden="1">{"'Verkehr-Personen'!$A$5:$J$26"}</definedName>
    <definedName name="belibt" hidden="1">{"'Verkehr-Personen'!$A$5:$J$26"}</definedName>
    <definedName name="benz" hidden="1">{"'Verkehr-Personen'!$A$5:$J$26"}</definedName>
    <definedName name="Benzin_CO2_in_EUR_je_Liter">#REF!</definedName>
    <definedName name="Bernd" hidden="1">{"'Verkehr-Personen'!$A$5:$J$26"}</definedName>
    <definedName name="Beschriftung">OFFSET([2]Daten!$B$10,0,0,COUNTA([2]Daten!$B$10:$B$24),-1)</definedName>
    <definedName name="Beschriftung2">OFFSET(#REF!,0,0,COUNTA(#REF!),-1)</definedName>
    <definedName name="Beschriftung3">OFFSET(#REF!,0,0,COUNTA(#REF!),-1)</definedName>
    <definedName name="bettle" hidden="1">{"'Verkehr-Personen'!$A$5:$J$26"}</definedName>
    <definedName name="bettt" hidden="1">{"'Verkehr-Personen'!$A$5:$J$26"}</definedName>
    <definedName name="birbitkommt" hidden="1">{"'Verkehr-Personen'!$A$5:$J$26"}</definedName>
    <definedName name="birger" hidden="1">{"'Verkehr-Personen'!$A$5:$J$26"}</definedName>
    <definedName name="birgerle" hidden="1">{"'Verkehr-Personen'!$A$5:$J$26"}</definedName>
    <definedName name="birgitkommt" hidden="1">{"'Verkehr-Personen'!$A$5:$J$26"}</definedName>
    <definedName name="bismarck" hidden="1">{"'Verkehr-Personen'!$A$5:$J$26"}</definedName>
    <definedName name="blaeee" hidden="1">{"'Verkehr-Personen'!$A$5:$J$26"}</definedName>
    <definedName name="blaettle" hidden="1">{"'Verkehr-Personen'!$A$5:$J$26"}</definedName>
    <definedName name="blaettlelein" hidden="1">{"'Verkehr-Personen'!$A$5:$J$26"}</definedName>
    <definedName name="blattt" hidden="1">{"'Verkehr-Personen'!$A$5:$J$26"}</definedName>
    <definedName name="blattttttttt" hidden="1">{"'Verkehr-Personen'!$A$5:$J$26"}</definedName>
    <definedName name="blauaeugig" hidden="1">{"'Verkehr-Personen'!$A$5:$J$26"}</definedName>
    <definedName name="blaueaugen" hidden="1">{"'Verkehr-Personen'!$A$5:$J$26"}</definedName>
    <definedName name="blaueswunder" hidden="1">{"'Verkehr-Personen'!$A$5:$J$26"}</definedName>
    <definedName name="blederfilm" hidden="1">{"'Verkehr-Personen'!$A$5:$J$26"}</definedName>
    <definedName name="bloed" hidden="1">{"'Verkehr-Personen'!$A$5:$J$26"}</definedName>
    <definedName name="bloedeleut" hidden="1">{"'Verkehr-Personen'!$A$5:$J$26"}</definedName>
    <definedName name="blondehaare" hidden="1">{"'Verkehr-Personen'!$A$5:$J$26"}</definedName>
    <definedName name="blueht" hidden="1">{"'Verkehr-Personen'!$A$5:$J$26"}</definedName>
    <definedName name="bluesele" hidden="1">{"'Verkehr-Personen'!$A$5:$J$26"}</definedName>
    <definedName name="blume" hidden="1">{"'Verkehr-Personen'!$A$5:$J$26"}</definedName>
    <definedName name="blumenkohl" hidden="1">{"'Verkehr-Personen'!$A$5:$J$26"}</definedName>
    <definedName name="bluse" hidden="1">{"'Verkehr-Personen'!$A$5:$J$26"}</definedName>
    <definedName name="blutwurst" hidden="1">{"'Verkehr-Personen'!$A$5:$J$26"}</definedName>
    <definedName name="blutwurstleinilein" hidden="1">{"'Verkehr-Personen'!$A$5:$J$26"}</definedName>
    <definedName name="blutwurtst" hidden="1">{"'Verkehr-Personen'!$A$5:$J$26"}</definedName>
    <definedName name="boenisch" hidden="1">{"'Verkehr-Personen'!$A$5:$J$26"}</definedName>
    <definedName name="braun" hidden="1">{"'Verkehr-Personen'!$A$5:$J$26"}</definedName>
    <definedName name="braunäugig" hidden="1">{"'Verkehr-Personen'!$A$5:$J$26"}</definedName>
    <definedName name="braunschwarz" hidden="1">{"'Verkehr-Personen'!$A$5:$J$26"}</definedName>
    <definedName name="brot" hidden="1">{"'Verkehr-Personen'!$A$5:$J$26"}</definedName>
    <definedName name="Bruno" hidden="1">{"'Verkehr-Personen'!$A$5:$J$26"}</definedName>
    <definedName name="brunokommt" hidden="1">{"'Verkehr-Personen'!$A$5:$J$26"}</definedName>
    <definedName name="brunokommtbald" hidden="1">{"'Verkehr-Personen'!$A$5:$J$26"}</definedName>
    <definedName name="brunoossososoososos" hidden="1">{"'Verkehr-Personen'!$A$5:$J$26"}</definedName>
    <definedName name="brustkrebs" hidden="1">{"'Verkehr-Personen'!$A$5:$J$26"}</definedName>
    <definedName name="bsmarckle" hidden="1">{"'Verkehr-Personen'!$A$5:$J$26"}</definedName>
    <definedName name="bycicle" hidden="1">{"'Verkehr-Personen'!$A$5:$J$26"}</definedName>
    <definedName name="callas" hidden="1">{"'Verkehr-Personen'!$A$5:$J$26"}</definedName>
    <definedName name="callasle" hidden="1">{"'Verkehr-Personen'!$A$5:$J$26"}</definedName>
    <definedName name="ccc" hidden="1">{"'Verkehr-Personen'!$A$5:$J$26"}</definedName>
    <definedName name="ccccccccccccc" hidden="1">{"'Verkehr-Personen'!$A$5:$J$26"}</definedName>
    <definedName name="cccccccccccccc" hidden="1">{"'Verkehr-Personen'!$A$5:$J$26"}</definedName>
    <definedName name="chen" hidden="1">{"'Verkehr-Personen'!$A$5:$J$26"}</definedName>
    <definedName name="Chris" hidden="1">{"'Verkehr-Personen'!$A$5:$J$26"}</definedName>
    <definedName name="citroen" hidden="1">{"'Verkehr-Personen'!$A$5:$J$26"}</definedName>
    <definedName name="cola" hidden="1">{"'Verkehr-Personen'!$A$5:$J$26"}</definedName>
    <definedName name="coladdd" hidden="1">{"'Verkehr-Personen'!$A$5:$J$26"}</definedName>
    <definedName name="collalslslsls" hidden="1">{"'Verkehr-Personen'!$A$5:$J$26"}</definedName>
    <definedName name="Conny" hidden="1">{"'Verkehr-Personen'!$A$5:$J$26"}</definedName>
    <definedName name="d" hidden="1">{"nach Förderung",#N/A,FALSE,"Länder Gesamt"}</definedName>
    <definedName name="dani" hidden="1">{"'Verkehr-Personen'!$A$5:$J$26"}</definedName>
    <definedName name="daniel" hidden="1">{"'Verkehr-Personen'!$A$5:$J$26"}</definedName>
    <definedName name="darmkrebs" hidden="1">{"'Verkehr-Personen'!$A$5:$J$26"}</definedName>
    <definedName name="dasistzumauswachsen" hidden="1">{"'Verkehr-Personen'!$A$5:$J$26"}</definedName>
    <definedName name="dasitpuppe" hidden="1">{"'Verkehr-Personen'!$A$5:$J$26"}</definedName>
    <definedName name="Daten01">OFFSET([2]Daten!$C$10,0,0,COUNTA([2]Daten!$C$10:$C$24),-1)</definedName>
    <definedName name="Daten02">OFFSET([2]Daten!$D$10,0,0,COUNTA([2]Daten!$D$10:$D$24),-1)</definedName>
    <definedName name="Daten03">OFFSET([2]Daten!$E$10,0,0,COUNTA([2]Daten!$E$10:$E$24),-1)</definedName>
    <definedName name="Daten04">OFFSET([2]Daten!$F$10,0,0,COUNTA([2]Daten!$F$10:$F$24),-1)</definedName>
    <definedName name="Daten05">OFFSET([2]Daten!$G$10,0,0,COUNTA([2]Daten!$G$10:$G$24),-1)</definedName>
    <definedName name="Daten06">OFFSET([2]Daten!$H$10,0,0,COUNTA([2]Daten!$H$10:$H$24),-1)</definedName>
    <definedName name="Daten07">OFFSET([2]Daten!$I$10,0,0,COUNTA([2]Daten!$I$10:$I$24),-1)</definedName>
    <definedName name="Daten08">OFFSET([2]Daten!$J$10,0,0,COUNTA([2]Daten!$J$10:$J$24),-1)</definedName>
    <definedName name="Daten09">OFFSET([2]Daten!$K$10,0,0,COUNTA([2]Daten!$K$10:$K$24),-1)</definedName>
    <definedName name="Daten10">OFFSET([2]Daten!$L$10,0,0,COUNTA([2]Daten!$L$10:$L$24),-1)</definedName>
    <definedName name="dddd" hidden="1">{"'Verkehr-Personen'!$A$5:$J$26"}</definedName>
    <definedName name="dddddddddddddddoof" hidden="1">{"'Verkehr-Personen'!$A$5:$J$26"}</definedName>
    <definedName name="dddddddddddddpeope" hidden="1">{"'Verkehr-Personen'!$A$5:$J$26"}</definedName>
    <definedName name="ddddrrr" hidden="1">{"'Verkehr-Personen'!$A$5:$J$26"}</definedName>
    <definedName name="dddoooooooooood" hidden="1">{"'Verkehr-Personen'!$A$5:$J$26"}</definedName>
    <definedName name="decke" hidden="1">{"'Verkehr-Personen'!$A$5:$J$26"}</definedName>
    <definedName name="deinle" hidden="1">{"'Verkehr-Personen'!$A$5:$J$26"}</definedName>
    <definedName name="deristdoffff" hidden="1">{"'Verkehr-Personen'!$A$5:$J$26"}</definedName>
    <definedName name="dfgd" hidden="1">{"'Verkehr-Personen'!$A$5:$J$26"}</definedName>
    <definedName name="dfsd" hidden="1">{"'Verkehr-Personen'!$A$5:$J$26"}</definedName>
    <definedName name="Diagramm5">[3]EB97_Zahlen_für_Grafiken!$A$11:$S$24</definedName>
    <definedName name="dick" hidden="1">{"'Verkehr-Personen'!$A$5:$J$26"}</definedName>
    <definedName name="dicklich" hidden="1">{"'Verkehr-Personen'!$A$5:$J$26"}</definedName>
    <definedName name="didididide" hidden="1">{"'Verkehr-Personen'!$A$5:$J$26"}</definedName>
    <definedName name="Diesel_CO2_in_EUR_je_Liter">#REF!</definedName>
    <definedName name="Dieter" hidden="1">{"'Verkehr-Personen'!$A$5:$J$26"}</definedName>
    <definedName name="diewohnen" hidden="1">{"'Verkehr-Personen'!$A$5:$J$26"}</definedName>
    <definedName name="Diff" hidden="1">{"'Verkehr-Personen'!$A$5:$J$26"}</definedName>
    <definedName name="Diff_Kosten">#REF!</definedName>
    <definedName name="doch" hidden="1">{"'Verkehr-Personen'!$A$5:$J$26"}</definedName>
    <definedName name="doddddddddddddddddddddd" hidden="1">{"'Verkehr-Personen'!$A$5:$J$26"}</definedName>
    <definedName name="dof" hidden="1">{"'Verkehr-Personen'!$A$5:$J$26"}</definedName>
    <definedName name="dofile" hidden="1">{"'Verkehr-Personen'!$A$5:$J$26"}</definedName>
    <definedName name="dofundbleod" hidden="1">{"'Verkehr-Personen'!$A$5:$J$26"}</definedName>
    <definedName name="dofunddaemlich" hidden="1">{"'Verkehr-Personen'!$A$5:$J$26"}</definedName>
    <definedName name="Dooof" hidden="1">{"'Verkehr-Personen'!$A$5:$J$26"}</definedName>
    <definedName name="dorenhecke" hidden="1">{"'Verkehr-Personen'!$A$5:$J$26"}</definedName>
    <definedName name="dpppppppppppp" hidden="1">{"'Verkehr-Personen'!$A$5:$J$26"}</definedName>
    <definedName name="drehen" hidden="1">{"'Verkehr-Personen'!$A$5:$J$26"}</definedName>
    <definedName name="drrdrtirt" hidden="1">{"'Verkehr-Personen'!$A$5:$J$26"}</definedName>
    <definedName name="drtzfgjh" hidden="1">{"'Verkehr-Personen'!$A$5:$J$26"}</definedName>
    <definedName name="_xlnm.Print_Area" localSheetId="36">'D-Anteil Eigenverbrauch EE neu'!$B$1:$N$168</definedName>
    <definedName name="_xlnm.Print_Area" localSheetId="42">'D-Bestand Kapazität'!$B$1:$N$12</definedName>
    <definedName name="_xlnm.Print_Area" localSheetId="43">'D-Bestand Strommenge'!$B$1:$N$12</definedName>
    <definedName name="_xlnm.Print_Area" localSheetId="44">'D-Bestand Zahlungen'!$B$1:$N$12</definedName>
    <definedName name="_xlnm.Print_Area" localSheetId="16">'D-Bruttozubau'!$B$1:$N$202</definedName>
    <definedName name="_xlnm.Print_Area" localSheetId="18">'D-Dargebotsfaktor'!$B$1:$N$193</definedName>
    <definedName name="_xlnm.Print_Area" localSheetId="21">'D-Dauer Goldenes Ende'!$B$1:$N$193</definedName>
    <definedName name="_xlnm.Print_Area" localSheetId="57">'D-EE-Kapazitäten nicht EEG'!$B$1:$N$193</definedName>
    <definedName name="_xlnm.Print_Area" localSheetId="58">'D-EE-Strommengen nicht EEG'!$B$1:$N$193</definedName>
    <definedName name="_xlnm.Print_Area" localSheetId="49">'D-Eigenverbrauch EE-Bestand'!$B$1:$N$12</definedName>
    <definedName name="_xlnm.Print_Area" localSheetId="47">'D-Eigenverbrauch fossil Bestand'!$B$1:$M$25</definedName>
    <definedName name="_xlnm.Print_Area" localSheetId="48">'D-Eigenverbrauch fossile Neue'!$B$1:$M$25</definedName>
    <definedName name="_xlnm.Print_Area" localSheetId="29">'D-Eigenverbrauch KWK Neue'!$B$1:$M$25</definedName>
    <definedName name="_xlnm.Print_Area" localSheetId="27">'D-Faktor Zusatzprivilegierung'!$B$1:$M$25</definedName>
    <definedName name="_xlnm.Print_Area" localSheetId="22">'D-Future Strompreis'!$B$1:$M$25</definedName>
    <definedName name="_xlnm.Print_Area" localSheetId="46">'D-Grünstromprivileg'!$B$1:$M$25</definedName>
    <definedName name="_xlnm.Print_Area" localSheetId="33">'D-Inflationsrate'!$B$1:$M$25</definedName>
    <definedName name="_xlnm.Print_Area" localSheetId="55">'D-Kapazitäten 2009'!$B$1:$G$12</definedName>
    <definedName name="_xlnm.Print_Area" localSheetId="35">'D-Kontostand aktuelles Jahr'!$B$1:$F$25</definedName>
    <definedName name="_xlnm.Print_Area" localSheetId="41">'D-Kontostand Vorjahr'!$B$1:$M$6</definedName>
    <definedName name="_xlnm.Print_Area" localSheetId="23">'D-Liquiditätspuffer'!$B$1:$M$25</definedName>
    <definedName name="_xlnm.Print_Area" localSheetId="53">'D-Managementprämie_Bestand'!$B$1:$N$193</definedName>
    <definedName name="_xlnm.Print_Area" localSheetId="40">'D-Mittlerer Vergütungssatz'!$B$1:$N$12</definedName>
    <definedName name="_xlnm.Print_Area" localSheetId="24">'D-Nettostromverbrauch'!$B$1:$M$25</definedName>
    <definedName name="_xlnm.Print_Area" localSheetId="54">'D-Netzverl. u. KW-Eigenverbr.'!$B$1:$M$25</definedName>
    <definedName name="_xlnm.Print_Area" localSheetId="25">'D-Privilegierter Letztverbrauch'!$B$1:$M$25</definedName>
    <definedName name="_xlnm.Print_Area" localSheetId="20">'D-Profilfaktoren'!$B$1:$N$193</definedName>
    <definedName name="_xlnm.Print_Area" localSheetId="59">'D-Profilfaktoren_Marktprämie'!$B$1:$N$193</definedName>
    <definedName name="_xlnm.Print_Area" localSheetId="34">'D-Prognosefehler Kontostand'!$B$1:$F$25</definedName>
    <definedName name="_xlnm.Print_Area" localSheetId="56">'D-Rückbau vor 2015'!$B$1:$N$193</definedName>
    <definedName name="_xlnm.Print_Area" localSheetId="32">'D-Sonstige Kosten'!$B$1:$M$25</definedName>
    <definedName name="_xlnm.Print_Area" localSheetId="19">'D-Spot-Skalierungsfaktor'!$B$1:$M$25</definedName>
    <definedName name="_xlnm.Print_Area" localSheetId="17">'D-Standardauslastung'!$B$1:$N$193</definedName>
    <definedName name="_xlnm.Print_Area" localSheetId="39">'D-Strommenge FV+DM'!$B$1:$N$12</definedName>
    <definedName name="_xlnm.Print_Area" localSheetId="38">'D-Strommenge ges.'!$B$1:$N$12</definedName>
    <definedName name="_xlnm.Print_Area" localSheetId="51">'D-Umlage Eigenverb fossile Neue'!$B$1:$M$25</definedName>
    <definedName name="_xlnm.Print_Area" localSheetId="30">'D-Umlage Eigenverbrauch PV+KWK'!$B$1:$M$25</definedName>
    <definedName name="_xlnm.Print_Area" localSheetId="28">'D-Umlage EV Bestand'!$B$1:$M$25</definedName>
    <definedName name="_xlnm.Print_Area" localSheetId="26">'D-Umlage priv. Letztverbrauch'!$B$1:$M$25</definedName>
    <definedName name="_xlnm.Print_Area" localSheetId="50">'D-Umlagereduktion Grünstrom'!$B$1:$M$25</definedName>
    <definedName name="_xlnm.Print_Area" localSheetId="52">'D-Vergütung Eigenverbrauch'!$B$1:$N$193</definedName>
    <definedName name="_xlnm.Print_Area" localSheetId="15">'D-Vergütungssatz Neuanlagen'!$B$3:$N$193</definedName>
    <definedName name="_xlnm.Print_Area" localSheetId="31">'D-vermiedene Netzentgelte'!$B$3:$M$25</definedName>
    <definedName name="_xlnm.Print_Area" localSheetId="37">'D-Zuschuss'!$B$1:$M$25</definedName>
    <definedName name="_xlnm.Print_Area" localSheetId="5">Manual!$C$1:$D$30</definedName>
    <definedName name="_xlnm.Print_Area" localSheetId="10">'MOD-Berechnungen'!$A$1:$AF$394</definedName>
    <definedName name="_xlnm.Print_Area" localSheetId="11">'MOD-Jahresgang'!$A$1:$Q$111</definedName>
    <definedName name="_xlnm.Print_Area" localSheetId="0">'Start-Experte'!$B$2:$AA$59</definedName>
    <definedName name="dummundbloed" hidden="1">{"'Verkehr-Personen'!$A$5:$J$26"}</definedName>
    <definedName name="dunkelrot" hidden="1">{"'Verkehr-Personen'!$A$5:$J$26"}</definedName>
    <definedName name="dunkelrotbraun" hidden="1">{"'Verkehr-Personen'!$A$5:$J$26"}</definedName>
    <definedName name="dunkelrotglelb" hidden="1">{"'Verkehr-Personen'!$A$5:$J$26"}</definedName>
    <definedName name="dyx" hidden="1">{"'Verkehr-Personen'!$A$5:$J$26"}</definedName>
    <definedName name="e" hidden="1">{"nach Ländern",#N/A,FALSE,"Länder Gesamt"}</definedName>
    <definedName name="Edith" hidden="1">{"'Verkehr-Personen'!$A$5:$J$26"}</definedName>
    <definedName name="eeeeeeeeeee" hidden="1">{"'Verkehr-Personen'!$A$5:$J$26"}</definedName>
    <definedName name="EEG_Umlage">#REF!</definedName>
    <definedName name="efrzfrz" hidden="1">{"'Verkehr-Personen'!$A$5:$J$26"}</definedName>
    <definedName name="egdf" hidden="1">{"'Verkehr-Personen'!$A$5:$J$26"}</definedName>
    <definedName name="egfd" hidden="1">{"'Verkehr-Personen'!$A$5:$J$26"}</definedName>
    <definedName name="einkauf" hidden="1">{"'Verkehr-Personen'!$A$5:$J$26"}</definedName>
    <definedName name="einkaufen" hidden="1">{"'Verkehr-Personen'!$A$5:$J$26"}</definedName>
    <definedName name="elsasser" hidden="1">{"'Verkehr-Personen'!$A$5:$J$26"}</definedName>
    <definedName name="embolie" hidden="1">{"'Verkehr-Personen'!$A$5:$J$26"}</definedName>
    <definedName name="enelbert" hidden="1">{"'Verkehr-Personen'!$A$5:$J$26"}</definedName>
    <definedName name="erdfb" hidden="1">{"'Verkehr-Personen'!$A$5:$J$26"}</definedName>
    <definedName name="erdfbxc" hidden="1">{"'Verkehr-Personen'!$A$5:$J$26"}</definedName>
    <definedName name="Erdgas_CO2_in_EUR_je_kWh">#REF!</definedName>
    <definedName name="erdxc" hidden="1">{"'Verkehr-Personen'!$A$5:$J$26"}</definedName>
    <definedName name="ERG" hidden="1">{"'Verkehr-Personen'!$A$5:$J$26"}</definedName>
    <definedName name="ernte" hidden="1">{"'Verkehr-Personen'!$A$5:$J$26"}</definedName>
    <definedName name="esdf" hidden="1">{"'Verkehr-Personen'!$A$5:$J$26"}</definedName>
    <definedName name="esele" hidden="1">{"'Verkehr-Personen'!$A$5:$J$26"}</definedName>
    <definedName name="esreicht" hidden="1">{"'Verkehr-Personen'!$A$5:$J$26"}</definedName>
    <definedName name="esreichtle" hidden="1">{"'Verkehr-Personen'!$A$5:$J$26"}</definedName>
    <definedName name="esreichtwirklich" hidden="1">{"'Verkehr-Personen'!$A$5:$J$26"}</definedName>
    <definedName name="esreichtwirklichun" hidden="1">{"'Verkehr-Personen'!$A$5:$J$26"}</definedName>
    <definedName name="esreichtwirklllll" hidden="1">{"'Verkehr-Personen'!$A$5:$J$26"}</definedName>
    <definedName name="esreichwirkli" hidden="1">{"'Verkehr-Personen'!$A$5:$J$26"}</definedName>
    <definedName name="etfg" hidden="1">{"'Verkehr-Personen'!$A$5:$J$26"}</definedName>
    <definedName name="ewsd" hidden="1">{"'Verkehr-Personen'!$A$5:$J$26"}</definedName>
    <definedName name="ewsdxc" hidden="1">{"'Verkehr-Personen'!$A$5:$J$26"}</definedName>
    <definedName name="ewsgdxvc" hidden="1">{"'Verkehr-Personen'!$A$5:$J$26"}</definedName>
    <definedName name="farttten" hidden="1">{"'Verkehr-Personen'!$A$5:$J$26"}</definedName>
    <definedName name="fcg" hidden="1">{"'Verkehr-Personen'!$A$5:$J$26"}</definedName>
    <definedName name="fehlerhaft" hidden="1">{"'Verkehr-Personen'!$A$5:$J$26"}</definedName>
    <definedName name="fenster" hidden="1">{"'Verkehr-Personen'!$A$5:$J$26"}</definedName>
    <definedName name="fensterle" hidden="1">{"'Verkehr-Personen'!$A$5:$J$26"}</definedName>
    <definedName name="fernsehen" hidden="1">{"'Verkehr-Personen'!$A$5:$J$26"}</definedName>
    <definedName name="ferro" hidden="1">{"'Verkehr-Personen'!$A$5:$J$26"}</definedName>
    <definedName name="fesr" hidden="1">{"'Verkehr-Personen'!$A$5:$J$26"}</definedName>
    <definedName name="fettte" hidden="1">{"'Verkehr-Personen'!$A$5:$J$26"}</definedName>
    <definedName name="fffdf" hidden="1">{"'Verkehr-Personen'!$A$5:$J$26"}</definedName>
    <definedName name="ffffle" hidden="1">{"'Verkehr-Personen'!$A$5:$J$26"}</definedName>
    <definedName name="fliegerle" hidden="1">{"'Verkehr-Personen'!$A$5:$J$26"}</definedName>
    <definedName name="flugzeug" hidden="1">{"'Verkehr-Personen'!$A$5:$J$26"}</definedName>
    <definedName name="forst" hidden="1">{"'Verkehr-Personen'!$A$5:$J$26"}</definedName>
    <definedName name="foto" hidden="1">{"'Verkehr-Personen'!$A$5:$J$26"}</definedName>
    <definedName name="franken" hidden="1">{"'Verkehr-Personen'!$A$5:$J$26"}</definedName>
    <definedName name="Franz" hidden="1">{"'Verkehr-Personen'!$A$5:$J$26"}</definedName>
    <definedName name="franzle" hidden="1">{"'Verkehr-Personen'!$A$5:$J$26"}</definedName>
    <definedName name="fraugraefin" hidden="1">{"'Verkehr-Personen'!$A$5:$J$26"}</definedName>
    <definedName name="friederich" hidden="1">{"'Verkehr-Personen'!$A$5:$J$26"}</definedName>
    <definedName name="Fritz" hidden="1">{"'Verkehr-Personen'!$A$5:$J$26"}</definedName>
    <definedName name="fruehling" hidden="1">{"'Verkehr-Personen'!$A$5:$J$26"}</definedName>
    <definedName name="fruheherbst" hidden="1">{"'Verkehr-Personen'!$A$5:$J$26"}</definedName>
    <definedName name="fuehlen" hidden="1">{"'Verkehr-Personen'!$A$5:$J$26"}</definedName>
    <definedName name="fuesse" hidden="1">{"'Verkehr-Personen'!$A$5:$J$26"}</definedName>
    <definedName name="gabriele" hidden="1">{"'Verkehr-Personen'!$A$5:$J$26"}</definedName>
    <definedName name="gabrieleferro" hidden="1">{"'Verkehr-Personen'!$A$5:$J$26"}</definedName>
    <definedName name="garbrudldldld" hidden="1">{"'Verkehr-Personen'!$A$5:$J$26"}</definedName>
    <definedName name="garbruek" hidden="1">{"'Verkehr-Personen'!$A$5:$J$26"}</definedName>
    <definedName name="gegeloiej" hidden="1">{"'Verkehr-Personen'!$A$5:$J$26"}</definedName>
    <definedName name="gelb" hidden="1">{"'Verkehr-Personen'!$A$5:$J$26"}</definedName>
    <definedName name="gelbswusurstt" hidden="1">{"'Verkehr-Personen'!$A$5:$J$26"}</definedName>
    <definedName name="gelbwurtst" hidden="1">{"'Verkehr-Personen'!$A$5:$J$26"}</definedName>
    <definedName name="gemuetttttllelele" hidden="1">{"'Verkehr-Personen'!$A$5:$J$26"}</definedName>
    <definedName name="gemutleie" hidden="1">{"'Verkehr-Personen'!$A$5:$J$26"}</definedName>
    <definedName name="gemutlicheeeeeee" hidden="1">{"'Verkehr-Personen'!$A$5:$J$26"}</definedName>
    <definedName name="germane" hidden="1">{"'Verkehr-Personen'!$A$5:$J$26"}</definedName>
    <definedName name="germanen" hidden="1">{"'Verkehr-Personen'!$A$5:$J$26"}</definedName>
    <definedName name="gescheidle" hidden="1">{"'Verkehr-Personen'!$A$5:$J$26"}</definedName>
    <definedName name="geschichtle" hidden="1">{"'Verkehr-Personen'!$A$5:$J$26"}</definedName>
    <definedName name="gestreift" hidden="1">{"'Verkehr-Personen'!$A$5:$J$26"}</definedName>
    <definedName name="Geweiter" hidden="1">{"'Verkehr-Personen'!$A$5:$J$26"}</definedName>
    <definedName name="gewitter" hidden="1">{"'Verkehr-Personen'!$A$5:$J$26"}</definedName>
    <definedName name="gges" hidden="1">{"'Verkehr-Personen'!$A$5:$J$26"}</definedName>
    <definedName name="glems" hidden="1">{"'Verkehr-Personen'!$A$5:$J$26"}</definedName>
    <definedName name="glemsle" hidden="1">{"'Verkehr-Personen'!$A$5:$J$26"}</definedName>
    <definedName name="glockenblume" hidden="1">{"'Verkehr-Personen'!$A$5:$J$26"}</definedName>
    <definedName name="glotzen" hidden="1">{"'Verkehr-Personen'!$A$5:$J$26"}</definedName>
    <definedName name="goethe" hidden="1">{"'Verkehr-Personen'!$A$5:$J$26"}</definedName>
    <definedName name="goethele" hidden="1">{"'Verkehr-Personen'!$A$5:$J$26"}</definedName>
    <definedName name="gotthardle" hidden="1">{"'Verkehr-Personen'!$A$5:$J$26"}</definedName>
    <definedName name="graf" hidden="1">{"'Verkehr-Personen'!$A$5:$J$26"}</definedName>
    <definedName name="grafle" hidden="1">{"'Verkehr-Personen'!$A$5:$J$26"}</definedName>
    <definedName name="grauaugigig" hidden="1">{"'Verkehr-Personen'!$A$5:$J$26"}</definedName>
    <definedName name="griechen" hidden="1">{"'Verkehr-Personen'!$A$5:$J$26"}</definedName>
    <definedName name="griecheneee" hidden="1">{"'Verkehr-Personen'!$A$5:$J$26"}</definedName>
    <definedName name="griechenland" hidden="1">{"'Verkehr-Personen'!$A$5:$J$26"}</definedName>
    <definedName name="griechenlandddddddd" hidden="1">{"'Verkehr-Personen'!$A$5:$J$26"}</definedName>
    <definedName name="griechenlllsop" hidden="1">{"'Verkehr-Personen'!$A$5:$J$26"}</definedName>
    <definedName name="griechenrr" hidden="1">{"'Verkehr-Personen'!$A$5:$J$26"}</definedName>
    <definedName name="grieckk" hidden="1">{"'Verkehr-Personen'!$A$5:$J$26"}</definedName>
    <definedName name="griessss" hidden="1">{"'Verkehr-Personen'!$A$5:$J$26"}</definedName>
    <definedName name="grocjemöamd" hidden="1">{"'Verkehr-Personen'!$A$5:$J$26"}</definedName>
    <definedName name="grotagnda" hidden="1">{"'Verkehr-Personen'!$A$5:$J$26"}</definedName>
    <definedName name="gruen" hidden="1">{"'Verkehr-Personen'!$A$5:$J$26"}</definedName>
    <definedName name="gruenaegui" hidden="1">{"'Verkehr-Personen'!$A$5:$J$26"}</definedName>
    <definedName name="grunblau" hidden="1">{"'Verkehr-Personen'!$A$5:$J$26"}</definedName>
    <definedName name="gruneweiss" hidden="1">{"'Verkehr-Personen'!$A$5:$J$26"}</definedName>
    <definedName name="grungelb" hidden="1">{"'Verkehr-Personen'!$A$5:$J$26"}</definedName>
    <definedName name="gtvbjk" hidden="1">{"'Verkehr-Personen'!$A$5:$J$26"}</definedName>
    <definedName name="guetle" hidden="1">{"'Verkehr-Personen'!$A$5:$J$26"}</definedName>
    <definedName name="gut" hidden="1">{"'Verkehr-Personen'!$A$5:$J$26"}</definedName>
    <definedName name="gutle" hidden="1">{"'Verkehr-Personen'!$A$5:$J$26"}</definedName>
    <definedName name="habs" hidden="1">{"'Verkehr-Personen'!$A$5:$J$26"}</definedName>
    <definedName name="habsburg" hidden="1">{"'Verkehr-Personen'!$A$5:$J$26"}</definedName>
    <definedName name="haeberle" hidden="1">{"'Verkehr-Personen'!$A$5:$J$26"}</definedName>
    <definedName name="hanna" hidden="1">{"'Verkehr-Personen'!$A$5:$J$26"}</definedName>
    <definedName name="hannele" hidden="1">{"'Verkehr-Personen'!$A$5:$J$26"}</definedName>
    <definedName name="haufle" hidden="1">{"'Verkehr-Personen'!$A$5:$J$26"}</definedName>
    <definedName name="hausle" hidden="1">{"'Verkehr-Personen'!$A$5:$J$26"}</definedName>
    <definedName name="hausleleinielein" hidden="1">{"'Verkehr-Personen'!$A$5:$J$26"}</definedName>
    <definedName name="hautkrebs" hidden="1">{"'Verkehr-Personen'!$A$5:$J$26"}</definedName>
    <definedName name="heckenle" hidden="1">{"'Verkehr-Personen'!$A$5:$J$26"}</definedName>
    <definedName name="heia" hidden="1">{"'Verkehr-Personen'!$A$5:$J$26"}</definedName>
    <definedName name="heinrich" hidden="1">{"'Verkehr-Personen'!$A$5:$J$26"}</definedName>
    <definedName name="Heizöl_CO2_in_EUR_je_Liter">#REF!</definedName>
    <definedName name="heldelfingen" hidden="1">{"'Verkehr-Personen'!$A$5:$J$26"}</definedName>
    <definedName name="hemmingway" hidden="1">{"'Verkehr-Personen'!$A$5:$J$26"}</definedName>
    <definedName name="herbst" hidden="1">{"'Verkehr-Personen'!$A$5:$J$26"}</definedName>
    <definedName name="herzkrebs" hidden="1">{"'Verkehr-Personen'!$A$5:$J$26"}</definedName>
    <definedName name="herzlogle" hidden="1">{"'Verkehr-Personen'!$A$5:$J$26"}</definedName>
    <definedName name="herzog" hidden="1">{"'Verkehr-Personen'!$A$5:$J$26"}</definedName>
    <definedName name="heumaden" hidden="1">{"'Verkehr-Personen'!$A$5:$J$26"}</definedName>
    <definedName name="heunenenen" hidden="1">{"'Verkehr-Personen'!$A$5:$J$26"}</definedName>
    <definedName name="hg" hidden="1">{"'Verkehr-Personen'!$A$5:$J$26"}</definedName>
    <definedName name="hhhhhhhhhhh" hidden="1">{"'Verkehr-Personen'!$A$5:$J$26"}</definedName>
    <definedName name="himmel" hidden="1">{"'Verkehr-Personen'!$A$5:$J$26"}</definedName>
    <definedName name="hintern" hidden="1">{"'Verkehr-Personen'!$A$5:$J$26"}</definedName>
    <definedName name="hirsche" hidden="1">{"'Verkehr-Personen'!$A$5:$J$26"}</definedName>
    <definedName name="hl" hidden="1">{"'Verkehr-Personen'!$A$5:$J$26"}</definedName>
    <definedName name="hocker" hidden="1">{"'Verkehr-Personen'!$A$5:$J$26"}</definedName>
    <definedName name="hoclkerll" hidden="1">{"'Verkehr-Personen'!$A$5:$J$26"}</definedName>
    <definedName name="hoeren" hidden="1">{"'Verkehr-Personen'!$A$5:$J$26"}</definedName>
    <definedName name="hohen" hidden="1">{"'Verkehr-Personen'!$A$5:$J$26"}</definedName>
    <definedName name="hohenzoll" hidden="1">{"'Verkehr-Personen'!$A$5:$J$26"}</definedName>
    <definedName name="hohenzollern" hidden="1">{"'Verkehr-Personen'!$A$5:$J$26"}</definedName>
    <definedName name="ht" hidden="1">{"'Verkehr-Personen'!$A$5:$J$26"}</definedName>
    <definedName name="HTML_CodePage" hidden="1">1252</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hidden="1">{"'Verkehr-Personen'!$A$5:$J$26"}</definedName>
    <definedName name="huehnle" hidden="1">{"'Verkehr-Personen'!$A$5:$J$26"}</definedName>
    <definedName name="huendle" hidden="1">{"'Verkehr-Personen'!$A$5:$J$26"}</definedName>
    <definedName name="humbolde" hidden="1">{"'Verkehr-Personen'!$A$5:$J$26"}</definedName>
    <definedName name="hund" hidden="1">{"'Verkehr-Personen'!$A$5:$J$26"}</definedName>
    <definedName name="hundle" hidden="1">{"'Verkehr-Personen'!$A$5:$J$26"}</definedName>
    <definedName name="hunnen" hidden="1">{"'Verkehr-Personen'!$A$5:$J$26"}</definedName>
    <definedName name="i" hidden="1">{"'Verkehr-Personen'!$A$5:$J$26"}</definedName>
    <definedName name="icheerdverrueckt" hidden="1">{"'Verkehr-Personen'!$A$5:$J$26"}</definedName>
    <definedName name="ichhabedieschnauzevoll" hidden="1">{"'Verkehr-Personen'!$A$5:$J$26"}</definedName>
    <definedName name="ichwillnichtmehr" hidden="1">{"'Verkehr-Personen'!$A$5:$J$26"}</definedName>
    <definedName name="igitt" hidden="1">{"'Verkehr-Personen'!$A$5:$J$26"}</definedName>
    <definedName name="ihrle" hidden="1">{"'Verkehr-Personen'!$A$5:$J$26"}</definedName>
    <definedName name="iii" hidden="1">{"'Verkehr-Personen'!$A$5:$J$26"}</definedName>
    <definedName name="iiihgz" hidden="1">{"'Verkehr-Personen'!$A$5:$J$26"}</definedName>
    <definedName name="iiiii" hidden="1">{"'Verkehr-Personen'!$A$5:$J$26"}</definedName>
    <definedName name="iiiiiiiiiiiiiiiiiiii" hidden="1">{"'Verkehr-Personen'!$A$5:$J$26"}</definedName>
    <definedName name="iiiiiiiiiiiiiiiiiiiiiiiiiii" hidden="1">{"'Verkehr-Personen'!$A$5:$J$26"}</definedName>
    <definedName name="ilkm" hidden="1">{"'Verkehr-Personen'!$A$5:$J$26"}</definedName>
    <definedName name="Ilse" hidden="1">{"'Verkehr-Personen'!$A$5:$J$26"}</definedName>
    <definedName name="ioutt" hidden="1">{"'Verkehr-Personen'!$A$5:$J$26"}</definedName>
    <definedName name="irhle" hidden="1">{"'Verkehr-Personen'!$A$5:$J$26"}</definedName>
    <definedName name="irm" hidden="1">{"'Verkehr-Personen'!$A$5:$J$26"}</definedName>
    <definedName name="italien" hidden="1">{"'Verkehr-Personen'!$A$5:$J$26"}</definedName>
    <definedName name="itititi" hidden="1">{"'Verkehr-Personen'!$A$5:$J$26"}</definedName>
    <definedName name="itititititi" hidden="1">{"'Verkehr-Personen'!$A$5:$J$26"}</definedName>
    <definedName name="iuzt" hidden="1">{"'Verkehr-Personen'!$A$5:$J$26"}</definedName>
    <definedName name="iuztrmnbvc" hidden="1">{"'Verkehr-Personen'!$A$5:$J$26"}</definedName>
    <definedName name="izrew" hidden="1">{"'Verkehr-Personen'!$A$5:$J$26"}</definedName>
    <definedName name="jakobus" hidden="1">{"'Verkehr-Personen'!$A$5:$J$26"}</definedName>
    <definedName name="Jantzer" hidden="1">{"'Verkehr-Personen'!$A$5:$J$26"}</definedName>
    <definedName name="jaohann" hidden="1">{"'Verkehr-Personen'!$A$5:$J$26"}</definedName>
    <definedName name="jesusle" hidden="1">{"'Verkehr-Personen'!$A$5:$J$26"}</definedName>
    <definedName name="jeztnicht" hidden="1">{"'Verkehr-Personen'!$A$5:$J$26"}</definedName>
    <definedName name="jghgkri" hidden="1">{"'Verkehr-Personen'!$A$5:$J$26"}</definedName>
    <definedName name="jghz" hidden="1">{"'Verkehr-Personen'!$A$5:$J$26"}</definedName>
    <definedName name="jjsaöjas" hidden="1">{"'Verkehr-Personen'!$A$5:$J$26"}</definedName>
    <definedName name="joachim" hidden="1">{"'Verkehr-Personen'!$A$5:$J$26"}</definedName>
    <definedName name="Joha" hidden="1">{"'Verkehr-Personen'!$A$5:$J$26"}</definedName>
    <definedName name="johanna" hidden="1">{"'Verkehr-Personen'!$A$5:$J$26"}</definedName>
    <definedName name="johannabett" hidden="1">{"'Verkehr-Personen'!$A$5:$J$26"}</definedName>
    <definedName name="johannd" hidden="1">{"'Verkehr-Personen'!$A$5:$J$26"}</definedName>
    <definedName name="johannnnnna" hidden="1">{"'Verkehr-Personen'!$A$5:$J$26"}</definedName>
    <definedName name="johnannawie" hidden="1">{"'Verkehr-Personen'!$A$5:$J$26"}</definedName>
    <definedName name="Josef" hidden="1">{"'Verkehr-Personen'!$A$5:$J$26"}</definedName>
    <definedName name="josefle" hidden="1">{"'Verkehr-Personen'!$A$5:$J$26"}</definedName>
    <definedName name="jqes" hidden="1">{"'Verkehr-Personen'!$A$5:$J$26"}</definedName>
    <definedName name="jublen" hidden="1">{"'Verkehr-Personen'!$A$5:$J$26"}</definedName>
    <definedName name="judas" hidden="1">{"'Verkehr-Personen'!$A$5:$J$26"}</definedName>
    <definedName name="Juergen" hidden="1">{"'Verkehr-Personen'!$A$5:$J$26"}</definedName>
    <definedName name="JUpp" hidden="1">{"'Verkehr-Personen'!$A$5:$J$26"}</definedName>
    <definedName name="kaetzle" hidden="1">{"'Verkehr-Personen'!$A$5:$J$26"}</definedName>
    <definedName name="kaiser" hidden="1">{"'Verkehr-Personen'!$A$5:$J$26"}</definedName>
    <definedName name="kaiserlel" hidden="1">{"'Verkehr-Personen'!$A$5:$J$26"}</definedName>
    <definedName name="kaopfab" hidden="1">{"'Verkehr-Personen'!$A$5:$J$26"}</definedName>
    <definedName name="kariert" hidden="1">{"'Verkehr-Personen'!$A$5:$J$26"}</definedName>
    <definedName name="karl" hidden="1">{"'Verkehr-Personen'!$A$5:$J$26"}</definedName>
    <definedName name="kartoeffel" hidden="1">{"'Verkehr-Personen'!$A$5:$J$26"}</definedName>
    <definedName name="kartoffel" hidden="1">{"'Verkehr-Personen'!$A$5:$J$26"}</definedName>
    <definedName name="kddkkdk" hidden="1">{"'Verkehr-Personen'!$A$5:$J$26"}</definedName>
    <definedName name="kdues" hidden="1">{"'Verkehr-Personen'!$A$5:$J$26"}</definedName>
    <definedName name="kegeln" hidden="1">{"'Verkehr-Personen'!$A$5:$J$26"}</definedName>
    <definedName name="keindle" hidden="1">{"'Verkehr-Personen'!$A$5:$J$26"}</definedName>
    <definedName name="kelten" hidden="1">{"'Verkehr-Personen'!$A$5:$J$26"}</definedName>
    <definedName name="Kerl" hidden="1">{"'Verkehr-Personen'!$A$5:$J$26"}</definedName>
    <definedName name="kersch" hidden="1">{"'Verkehr-Personen'!$A$5:$J$26"}</definedName>
    <definedName name="khgkhkh" hidden="1">{"'Verkehr-Personen'!$A$5:$J$26"}</definedName>
    <definedName name="kind" hidden="1">{"'Verkehr-Personen'!$A$5:$J$26"}</definedName>
    <definedName name="kindeinchen" hidden="1">{"'Verkehr-Personen'!$A$5:$J$26"}</definedName>
    <definedName name="kindle" hidden="1">{"'Verkehr-Personen'!$A$5:$J$26"}</definedName>
    <definedName name="kindleinchen" hidden="1">{"'Verkehr-Personen'!$A$5:$J$26"}</definedName>
    <definedName name="kirstin" hidden="1">{"'Verkehr-Personen'!$A$5:$J$26"}</definedName>
    <definedName name="kirte" hidden="1">{"'Verkehr-Personen'!$A$5:$J$26"}</definedName>
    <definedName name="kjkjkj" hidden="1">{"'Verkehr-Personen'!$A$5:$J$26"}</definedName>
    <definedName name="kjkjkjkgg" hidden="1">{"'Verkehr-Personen'!$A$5:$J$26"}</definedName>
    <definedName name="kjkjkjkjkjjj" hidden="1">{"'Verkehr-Personen'!$A$5:$J$26"}</definedName>
    <definedName name="kjkjuiz" hidden="1">{"'Verkehr-Personen'!$A$5:$J$26"}</definedName>
    <definedName name="kjkzoew" hidden="1">{"'Verkehr-Personen'!$A$5:$J$26"}</definedName>
    <definedName name="kk" hidden="1">{"'Verkehr-Personen'!$A$5:$J$26"}</definedName>
    <definedName name="kkk" hidden="1">{"'Verkehr-Personen'!$A$5:$J$26"}</definedName>
    <definedName name="kkkkk" hidden="1">{"'Verkehr-Personen'!$A$5:$J$26"}</definedName>
    <definedName name="kköüöü" hidden="1">{"'Verkehr-Personen'!$A$5:$J$26"}</definedName>
    <definedName name="klau" hidden="1">{"'Verkehr-Personen'!$A$5:$J$26"}</definedName>
    <definedName name="Klaus" hidden="1">{"'Verkehr-Personen'!$A$5:$J$26"}</definedName>
    <definedName name="Klauspeter" hidden="1">{"'Verkehr-Personen'!$A$5:$J$26"}</definedName>
    <definedName name="kleid" hidden="1">{"'Verkehr-Personen'!$A$5:$J$26"}</definedName>
    <definedName name="kleinundblond" hidden="1">{"'Verkehr-Personen'!$A$5:$J$26"}</definedName>
    <definedName name="klkj" hidden="1">{"'Verkehr-Personen'!$A$5:$J$26"}</definedName>
    <definedName name="koenig" hidden="1">{"'Verkehr-Personen'!$A$5:$J$26"}</definedName>
    <definedName name="koersch" hidden="1">{"'Verkehr-Personen'!$A$5:$J$26"}</definedName>
    <definedName name="komputerle" hidden="1">{"'Verkehr-Personen'!$A$5:$J$26"}</definedName>
    <definedName name="kopf" hidden="1">{"'Verkehr-Personen'!$A$5:$J$26"}</definedName>
    <definedName name="kopfab" hidden="1">{"'Verkehr-Personen'!$A$5:$J$26"}</definedName>
    <definedName name="kopff" hidden="1">{"'Verkehr-Personen'!$A$5:$J$26"}</definedName>
    <definedName name="kopfffab" hidden="1">{"'Verkehr-Personen'!$A$5:$J$26"}</definedName>
    <definedName name="krach" hidden="1">{"'Verkehr-Personen'!$A$5:$J$26"}</definedName>
    <definedName name="kraut" hidden="1">{"'Verkehr-Personen'!$A$5:$J$26"}</definedName>
    <definedName name="krebse" hidden="1">{"'Verkehr-Personen'!$A$5:$J$26"}</definedName>
    <definedName name="krippenle" hidden="1">{"'Verkehr-Personen'!$A$5:$J$26"}</definedName>
    <definedName name="ksajfö" hidden="1">{"'Verkehr-Personen'!$A$5:$J$26"}</definedName>
    <definedName name="Kudret" hidden="1">{"'Verkehr-Personen'!$A$5:$J$26"}</definedName>
    <definedName name="kuhftap" hidden="1">{"'Verkehr-Personen'!$A$5:$J$26"}</definedName>
    <definedName name="kuhfu" hidden="1">{"'Verkehr-Personen'!$A$5:$J$26"}</definedName>
    <definedName name="kumpf" hidden="1">{"'Verkehr-Personen'!$A$5:$J$26"}</definedName>
    <definedName name="kunsterle" hidden="1">{"'Verkehr-Personen'!$A$5:$J$26"}</definedName>
    <definedName name="kusnnsopz" hidden="1">{"'Verkehr-Personen'!$A$5:$J$26"}</definedName>
    <definedName name="laendle" hidden="1">{"'Verkehr-Personen'!$A$5:$J$26"}</definedName>
    <definedName name="laödl" hidden="1">{"'Verkehr-Personen'!$A$5:$J$26"}</definedName>
    <definedName name="laufen" hidden="1">{"'Verkehr-Personen'!$A$5:$J$26"}</definedName>
    <definedName name="leon" hidden="1">{"'Verkehr-Personen'!$A$5:$J$26"}</definedName>
    <definedName name="leonie" hidden="1">{"'Verkehr-Personen'!$A$5:$J$26"}</definedName>
    <definedName name="lesen" hidden="1">{"'Verkehr-Personen'!$A$5:$J$26"}</definedName>
    <definedName name="leten" hidden="1">{"'Verkehr-Personen'!$A$5:$J$26"}</definedName>
    <definedName name="liebeleute" hidden="1">{"'Verkehr-Personen'!$A$5:$J$26"}</definedName>
    <definedName name="liederlich" hidden="1">{"'Verkehr-Personen'!$A$5:$J$26"}</definedName>
    <definedName name="liste" hidden="1">{"'Verkehr-Personen'!$A$5:$J$26"}</definedName>
    <definedName name="listennn" hidden="1">{"'Verkehr-Personen'!$A$5:$J$26"}</definedName>
    <definedName name="llflfl" hidden="1">{"'Verkehr-Personen'!$A$5:$J$26"}</definedName>
    <definedName name="llllll" hidden="1">{"'Verkehr-Personen'!$A$5:$J$26"}</definedName>
    <definedName name="llllllllll" hidden="1">{"'Verkehr-Personen'!$A$5:$J$26"}</definedName>
    <definedName name="lllllllllllllll" hidden="1">{"'Verkehr-Personen'!$A$5:$J$26"}</definedName>
    <definedName name="loeten" hidden="1">{"'Verkehr-Personen'!$A$5:$J$26"}</definedName>
    <definedName name="louise" hidden="1">{"'Verkehr-Personen'!$A$5:$J$26"}</definedName>
    <definedName name="luftroehrenkrebs" hidden="1">{"'Verkehr-Personen'!$A$5:$J$26"}</definedName>
    <definedName name="lungen" hidden="1">{"'Verkehr-Personen'!$A$5:$J$26"}</definedName>
    <definedName name="lungenkrebs" hidden="1">{"'Verkehr-Personen'!$A$5:$J$26"}</definedName>
    <definedName name="lungentzuendung" hidden="1">{"'Verkehr-Personen'!$A$5:$J$26"}</definedName>
    <definedName name="ma" hidden="1">{"'Verkehr-Personen'!$A$5:$J$26"}</definedName>
    <definedName name="macle" hidden="1">{"'Verkehr-Personen'!$A$5:$J$26"}</definedName>
    <definedName name="magenkrebs" hidden="1">{"'Verkehr-Personen'!$A$5:$J$26"}</definedName>
    <definedName name="margot" hidden="1">{"'Verkehr-Personen'!$A$5:$J$26"}</definedName>
    <definedName name="maria" hidden="1">{"'Verkehr-Personen'!$A$5:$J$26"}</definedName>
    <definedName name="mariacallas" hidden="1">{"'Verkehr-Personen'!$A$5:$J$26"}</definedName>
    <definedName name="mariale" hidden="1">{"'Verkehr-Personen'!$A$5:$J$26"}</definedName>
    <definedName name="Marie" hidden="1">{"'Verkehr-Personen'!$A$5:$J$26"}</definedName>
    <definedName name="mariechen" hidden="1">{"'Verkehr-Personen'!$A$5:$J$26"}</definedName>
    <definedName name="marion" hidden="1">{"'Verkehr-Personen'!$A$5:$J$26"}</definedName>
    <definedName name="mark" hidden="1">{"'Verkehr-Personen'!$A$5:$J$26"}</definedName>
    <definedName name="markreber" hidden="1">{"'Verkehr-Personen'!$A$5:$J$26"}</definedName>
    <definedName name="mary" hidden="1">{"'Verkehr-Personen'!$A$5:$J$26"}</definedName>
    <definedName name="maryreberle" hidden="1">{"'Verkehr-Personen'!$A$5:$J$26"}</definedName>
    <definedName name="maximilian" hidden="1">{"'Verkehr-Personen'!$A$5:$J$26"}</definedName>
    <definedName name="maximiliane" hidden="1">{"'Verkehr-Personen'!$A$5:$J$26"}</definedName>
    <definedName name="mayreber" hidden="1">{"'Verkehr-Personen'!$A$5:$J$26"}</definedName>
    <definedName name="mefisto" hidden="1">{"'Verkehr-Personen'!$A$5:$J$26"}</definedName>
    <definedName name="mehreengele" hidden="1">{"'Verkehr-Personen'!$A$5:$J$26"}</definedName>
    <definedName name="mehringen" hidden="1">{"'Verkehr-Personen'!$A$5:$J$26"}</definedName>
    <definedName name="meier" hidden="1">{"'Verkehr-Personen'!$A$5:$J$26"}</definedName>
    <definedName name="meierle" hidden="1">{"'Verkehr-Personen'!$A$5:$J$26"}</definedName>
    <definedName name="meinle" hidden="1">{"'Verkehr-Personen'!$A$5:$J$26"}</definedName>
    <definedName name="mensch" hidden="1">{"'Verkehr-Personen'!$A$5:$J$26"}</definedName>
    <definedName name="ment" hidden="1">{"'Verkehr-Personen'!$A$5:$J$26"}</definedName>
    <definedName name="mercedes" hidden="1">{"'Verkehr-Personen'!$A$5:$J$26"}</definedName>
    <definedName name="mesterle" hidden="1">{"'Verkehr-Personen'!$A$5:$J$26"}</definedName>
    <definedName name="metzgerle" hidden="1">{"'Verkehr-Personen'!$A$5:$J$26"}</definedName>
    <definedName name="michael" hidden="1">{"'Verkehr-Personen'!$A$5:$J$26"}</definedName>
    <definedName name="michelengenll" hidden="1">{"'Verkehr-Personen'!$A$5:$J$26"}</definedName>
    <definedName name="Micht" hidden="1">{"'Verkehr-Personen'!$A$5:$J$26"}</definedName>
    <definedName name="Mikel" hidden="1">{"'Verkehr-Personen'!$A$5:$J$26"}</definedName>
    <definedName name="mistle" hidden="1">{"'Verkehr-Personen'!$A$5:$J$26"}</definedName>
    <definedName name="mmyl" hidden="1">{"'Verkehr-Personen'!$A$5:$J$26"}</definedName>
    <definedName name="mo" hidden="1">{"'Verkehr-Personen'!$A$5:$J$26"}</definedName>
    <definedName name="monika" hidden="1">{"'Verkehr-Personen'!$A$5:$J$26"}</definedName>
    <definedName name="Moses" hidden="1">{"'Verkehr-Personen'!$A$5:$J$26"}</definedName>
    <definedName name="motorraf" hidden="1">{"'Verkehr-Personen'!$A$5:$J$26"}</definedName>
    <definedName name="Muell" hidden="1">{"'Verkehr-Personen'!$A$5:$J$26"}</definedName>
    <definedName name="Mueller" hidden="1">{"'Verkehr-Personen'!$A$5:$J$26"}</definedName>
    <definedName name="muellerle" hidden="1">{"'Verkehr-Personen'!$A$5:$J$26"}</definedName>
    <definedName name="mzhmhmh" hidden="1">{"'Verkehr-Personen'!$A$5:$J$26"}</definedName>
    <definedName name="natur" hidden="1">{"'Verkehr-Personen'!$A$5:$J$26"}</definedName>
    <definedName name="nbmdrtzfgvb" hidden="1">{"'Verkehr-Personen'!$A$5:$J$26"}</definedName>
    <definedName name="neapel" hidden="1">{"'Verkehr-Personen'!$A$5:$J$26"}</definedName>
    <definedName name="nelke" hidden="1">{"'Verkehr-Personen'!$A$5:$J$26"}</definedName>
    <definedName name="nicht" hidden="1">{"'Verkehr-Personen'!$A$5:$J$26"}</definedName>
    <definedName name="niederzoll" hidden="1">{"'Verkehr-Personen'!$A$5:$J$26"}</definedName>
    <definedName name="nierenkrebs" hidden="1">{"'Verkehr-Personen'!$A$5:$J$26"}</definedName>
    <definedName name="njet" hidden="1">{"'Verkehr-Personen'!$A$5:$J$26"}</definedName>
    <definedName name="njetnein" hidden="1">{"'Verkehr-Personen'!$A$5:$J$26"}</definedName>
    <definedName name="njetnonyes" hidden="1">{"'Verkehr-Personen'!$A$5:$J$26"}</definedName>
    <definedName name="njnieptr" hidden="1">{"'Verkehr-Personen'!$A$5:$J$26"}</definedName>
    <definedName name="nnnnnnn" hidden="1">{"'Verkehr-Personen'!$A$5:$J$26"}</definedName>
    <definedName name="nnnnnnnnnnniii" hidden="1">{"'Verkehr-Personen'!$A$5:$J$26"}</definedName>
    <definedName name="nnnnnnnnnnnnnn" hidden="1">{"'Verkehr-Personen'!$A$5:$J$26"}</definedName>
    <definedName name="Noah" hidden="1">{"'Verkehr-Personen'!$A$5:$J$26"}</definedName>
    <definedName name="non" hidden="1">{"'Verkehr-Personen'!$A$5:$J$26"}</definedName>
    <definedName name="Norbert" hidden="1">{"'Verkehr-Personen'!$A$5:$J$26"}</definedName>
    <definedName name="not" hidden="1">{"'Verkehr-Personen'!$A$5:$J$26"}</definedName>
    <definedName name="notnonn" hidden="1">{"'Verkehr-Personen'!$A$5:$J$26"}</definedName>
    <definedName name="nottele" hidden="1">{"'Verkehr-Personen'!$A$5:$J$26"}</definedName>
    <definedName name="nudel" hidden="1">{"'Verkehr-Personen'!$A$5:$J$26"}</definedName>
    <definedName name="öäöäöä" hidden="1">{"'Verkehr-Personen'!$A$5:$J$26"}</definedName>
    <definedName name="oben" hidden="1">{"'Verkehr-Personen'!$A$5:$J$26"}</definedName>
    <definedName name="ocujeuzl" hidden="1">{"'Verkehr-Personen'!$A$5:$J$26"}</definedName>
    <definedName name="odxododo" hidden="1">{"'Verkehr-Personen'!$A$5:$J$26"}</definedName>
    <definedName name="oesterreich" hidden="1">{"'Verkehr-Personen'!$A$5:$J$26"}</definedName>
    <definedName name="ogotle" hidden="1">{"'Verkehr-Personen'!$A$5:$J$26"}</definedName>
    <definedName name="ogott" hidden="1">{"'Verkehr-Personen'!$A$5:$J$26"}</definedName>
    <definedName name="oioi" hidden="1">{"'Verkehr-Personen'!$A$5:$J$26"}</definedName>
    <definedName name="oioip" hidden="1">{"'Verkehr-Personen'!$A$5:$J$26"}</definedName>
    <definedName name="Olaf" hidden="1">{"'Verkehr-Personen'!$A$5:$J$26"}</definedName>
    <definedName name="ookkkffffff" hidden="1">{"'Verkehr-Personen'!$A$5:$J$26"}</definedName>
    <definedName name="ooo" hidden="1">{"'Verkehr-Personen'!$A$5:$J$26"}</definedName>
    <definedName name="oooo" hidden="1">{"'Verkehr-Personen'!$A$5:$J$26"}</definedName>
    <definedName name="ooooo" hidden="1">{"'Verkehr-Personen'!$A$5:$J$26"}</definedName>
    <definedName name="ooooooo" hidden="1">{"'Verkehr-Personen'!$A$5:$J$26"}</definedName>
    <definedName name="öööööööööööööö" hidden="1">{"'Verkehr-Personen'!$A$5:$J$26"}</definedName>
    <definedName name="ooooopzt" hidden="1">{"'Verkehr-Personen'!$A$5:$J$26"}</definedName>
    <definedName name="oooppppp" hidden="1">{"'Verkehr-Personen'!$A$5:$J$26"}</definedName>
    <definedName name="oouzt8" hidden="1">{"'Verkehr-Personen'!$A$5:$J$26"}</definedName>
    <definedName name="operle" hidden="1">{"'Verkehr-Personen'!$A$5:$J$26"}</definedName>
    <definedName name="ororjkfkmf" hidden="1">{"'Verkehr-Personen'!$A$5:$J$26"}</definedName>
    <definedName name="otto" hidden="1">{"'Verkehr-Personen'!$A$5:$J$26"}</definedName>
    <definedName name="oui" hidden="1">{"'Verkehr-Personen'!$A$5:$J$26"}</definedName>
    <definedName name="ouiuuztr" hidden="1">{"'Verkehr-Personen'!$A$5:$J$26"}</definedName>
    <definedName name="outi" hidden="1">{"'Verkehr-Personen'!$A$5:$J$26"}</definedName>
    <definedName name="parma" hidden="1">{"'Verkehr-Personen'!$A$5:$J$26"}</definedName>
    <definedName name="patrick" hidden="1">{"'Verkehr-Personen'!$A$5:$J$26"}</definedName>
    <definedName name="Peter" hidden="1">{"'Verkehr-Personen'!$A$5:$J$26"}</definedName>
    <definedName name="petrus" hidden="1">{"'Verkehr-Personen'!$A$5:$J$26"}</definedName>
    <definedName name="pfarrerle" hidden="1">{"'Verkehr-Personen'!$A$5:$J$26"}</definedName>
    <definedName name="Pferdle" hidden="1">{"'Verkehr-Personen'!$A$5:$J$26"}</definedName>
    <definedName name="Phillip" hidden="1">{"'Verkehr-Personen'!$A$5:$J$26"}</definedName>
    <definedName name="pit" hidden="1">{"'Verkehr-Personen'!$A$5:$J$26"}</definedName>
    <definedName name="pitpot" hidden="1">{"'Verkehr-Personen'!$A$5:$J$26"}</definedName>
    <definedName name="piztrewq" hidden="1">{"'Verkehr-Personen'!$A$5:$J$26"}</definedName>
    <definedName name="plkjzr" hidden="1">{"'Verkehr-Personen'!$A$5:$J$26"}</definedName>
    <definedName name="plkplokm" hidden="1">{"'Verkehr-Personen'!$A$5:$J$26"}</definedName>
    <definedName name="pmjihz" hidden="1">{"'Verkehr-Personen'!$A$5:$J$26"}</definedName>
    <definedName name="poi" hidden="1">{"'Verkehr-Personen'!$A$5:$J$26"}</definedName>
    <definedName name="pooooooooooooo" hidden="1">{"'Verkehr-Personen'!$A$5:$J$26"}</definedName>
    <definedName name="popo" hidden="1">{"'Verkehr-Personen'!$A$5:$J$26"}</definedName>
    <definedName name="popole" hidden="1">{"'Verkehr-Personen'!$A$5:$J$26"}</definedName>
    <definedName name="popolein" hidden="1">{"'Verkehr-Personen'!$A$5:$J$26"}</definedName>
    <definedName name="popoleinchen" hidden="1">{"'Verkehr-Personen'!$A$5:$J$26"}</definedName>
    <definedName name="porsche" hidden="1">{"'Verkehr-Personen'!$A$5:$J$26"}</definedName>
    <definedName name="ppppppoo" hidden="1">{"'Verkehr-Personen'!$A$5:$J$26"}</definedName>
    <definedName name="ppppppppppppppppp" hidden="1">{"'Verkehr-Personen'!$A$5:$J$26"}</definedName>
    <definedName name="pppppppppppppppppppsss" hidden="1">{"'Verkehr-Personen'!$A$5:$J$26"}</definedName>
    <definedName name="prewei" hidden="1">{"'Verkehr-Personen'!$A$5:$J$26"}</definedName>
    <definedName name="prewi" hidden="1">{"'Verkehr-Personen'!$A$5:$J$26"}</definedName>
    <definedName name="prewo" hidden="1">{"'Verkehr-Personen'!$A$5:$J$26"}</definedName>
    <definedName name="prewu" hidden="1">{"'Verkehr-Personen'!$A$5:$J$26"}</definedName>
    <definedName name="privwi" hidden="1">{"'Verkehr-Personen'!$A$5:$J$26"}</definedName>
    <definedName name="probialld" hidden="1">{"'Verkehr-Personen'!$A$5:$J$26"}</definedName>
    <definedName name="prostatakrebs" hidden="1">{"'Verkehr-Personen'!$A$5:$J$26"}</definedName>
    <definedName name="prttyp" hidden="1">{"'Verkehr-Personen'!$A$5:$J$26"}</definedName>
    <definedName name="pummelig" hidden="1">{"'Verkehr-Personen'!$A$5:$J$26"}</definedName>
    <definedName name="pummmmmmel" hidden="1">{"'Verkehr-Personen'!$A$5:$J$26"}</definedName>
    <definedName name="pundelelal" hidden="1">{"'Verkehr-Personen'!$A$5:$J$26"}</definedName>
    <definedName name="puppe" hidden="1">{"'Verkehr-Personen'!$A$5:$J$26"}</definedName>
    <definedName name="putzetle" hidden="1">{"'Verkehr-Personen'!$A$5:$J$26"}</definedName>
    <definedName name="qadyvc" hidden="1">{"'Verkehr-Personen'!$A$5:$J$26"}</definedName>
    <definedName name="QAE" hidden="1">{"'Verkehr-Personen'!$A$5:$J$26"}</definedName>
    <definedName name="qaeydfv" hidden="1">{"'Verkehr-Personen'!$A$5:$J$26"}</definedName>
    <definedName name="qesfhn" hidden="1">{"'Verkehr-Personen'!$A$5:$J$26"}</definedName>
    <definedName name="qkjkl" hidden="1">{"'Verkehr-Personen'!$A$5:$J$26"}</definedName>
    <definedName name="qqq" hidden="1">{"'Verkehr-Personen'!$A$5:$J$26"}</definedName>
    <definedName name="qr" hidden="1">{"'Verkehr-Personen'!$A$5:$J$26"}</definedName>
    <definedName name="qwklwlk" hidden="1">{"'Verkehr-Personen'!$A$5:$J$26"}</definedName>
    <definedName name="QWSR" hidden="1">{"'Verkehr-Personen'!$A$5:$J$26"}</definedName>
    <definedName name="qwtsb" hidden="1">{"'Verkehr-Personen'!$A$5:$J$26"}</definedName>
    <definedName name="rdzjghv" hidden="1">{"'Verkehr-Personen'!$A$5:$J$26"}</definedName>
    <definedName name="reber" hidden="1">{"'Verkehr-Personen'!$A$5:$J$26"}</definedName>
    <definedName name="reberlllllotlt" hidden="1">{"'Verkehr-Personen'!$A$5:$J$26"}</definedName>
    <definedName name="regen" hidden="1">{"'Verkehr-Personen'!$A$5:$J$26"}</definedName>
    <definedName name="regenle" hidden="1">{"'Verkehr-Personen'!$A$5:$J$26"}</definedName>
    <definedName name="regenwetter" hidden="1">{"'Verkehr-Personen'!$A$5:$J$26"}</definedName>
    <definedName name="regenwurm" hidden="1">{"'Verkehr-Personen'!$A$5:$J$26"}</definedName>
    <definedName name="reichle" hidden="1">{"'Verkehr-Personen'!$A$5:$J$26"}</definedName>
    <definedName name="reis" hidden="1">{"'Verkehr-Personen'!$A$5:$J$26"}</definedName>
    <definedName name="reisssig" hidden="1">{"'Verkehr-Personen'!$A$5:$J$26"}</definedName>
    <definedName name="reiten" hidden="1">{"'Verkehr-Personen'!$A$5:$J$26"}</definedName>
    <definedName name="renault" hidden="1">{"'Verkehr-Personen'!$A$5:$J$26"}</definedName>
    <definedName name="rennenn" hidden="1">{"'Verkehr-Personen'!$A$5:$J$26"}</definedName>
    <definedName name="rennnnnnen" hidden="1">{"'Verkehr-Personen'!$A$5:$J$26"}</definedName>
    <definedName name="richtig" hidden="1">{"'Verkehr-Personen'!$A$5:$J$26"}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hracker" hidden="1">{"'Verkehr-Personen'!$A$5:$J$26"}</definedName>
    <definedName name="rom" hidden="1">{"'Verkehr-Personen'!$A$5:$J$26"}</definedName>
    <definedName name="rose" hidden="1">{"'Verkehr-Personen'!$A$5:$J$26"}</definedName>
    <definedName name="rosenkohl" hidden="1">{"'Verkehr-Personen'!$A$5:$J$26"}</definedName>
    <definedName name="rosenkohlim" hidden="1">{"'Verkehr-Personen'!$A$5:$J$26"}</definedName>
    <definedName name="rosenrot" hidden="1">{"'Verkehr-Personen'!$A$5:$J$26"}</definedName>
    <definedName name="rostenrot" hidden="1">{"'Verkehr-Personen'!$A$5:$J$26"}</definedName>
    <definedName name="rot" hidden="1">{"'Verkehr-Personen'!$A$5:$J$26"}</definedName>
    <definedName name="rotblau" hidden="1">{"'Verkehr-Personen'!$A$5:$J$26"}</definedName>
    <definedName name="rotbraun" hidden="1">{"'Verkehr-Personen'!$A$5:$J$26"}</definedName>
    <definedName name="rotgelb" hidden="1">{"'Verkehr-Personen'!$A$5:$J$26"}</definedName>
    <definedName name="rotgruen" hidden="1">{"'Verkehr-Personen'!$A$5:$J$26"}</definedName>
    <definedName name="rotoel" hidden="1">{"'Verkehr-Personen'!$A$5:$J$26"}</definedName>
    <definedName name="rotrosa" hidden="1">{"'Verkehr-Personen'!$A$5:$J$26"}</definedName>
    <definedName name="rotrose" hidden="1">{"'Verkehr-Personen'!$A$5:$J$26"}</definedName>
    <definedName name="rotvilolett" hidden="1">{"'Verkehr-Personen'!$A$5:$J$26"}</definedName>
    <definedName name="roüawpsdjykv" hidden="1">{"'Verkehr-Personen'!$A$5:$J$26"}</definedName>
    <definedName name="rP1.Deckblatt">'[4]Parameter 1'!$O$13:$O$23</definedName>
    <definedName name="rP1.Hinweis">'[4]Parameter 1'!$N$13</definedName>
    <definedName name="rP1.Inhalte">'[4]Parameter 1'!$K$13:$K$35</definedName>
    <definedName name="rP1.Links">'[4]Parameter 1'!$M$13</definedName>
    <definedName name="rP1.Überschrift">'[4]Parameter 1'!$L$13:$L$17</definedName>
    <definedName name="rrrrr" hidden="1">{"'Verkehr-Personen'!$A$5:$J$26"}</definedName>
    <definedName name="rrrrrrrr" hidden="1">{"'Verkehr-Personen'!$A$5:$J$26"}</definedName>
    <definedName name="rrrrrrrrrr" hidden="1">{"'Verkehr-Personen'!$A$5:$J$26"}</definedName>
    <definedName name="saarlaender" hidden="1">{"'Verkehr-Personen'!$A$5:$J$26"}</definedName>
    <definedName name="sabine" hidden="1">{"'Verkehr-Personen'!$A$5:$J$26"}</definedName>
    <definedName name="sabinerin" hidden="1">{"'Verkehr-Personen'!$A$5:$J$26"}</definedName>
    <definedName name="saenger" hidden="1">{"'Verkehr-Personen'!$A$5:$J$26"}</definedName>
    <definedName name="saengerchen" hidden="1">{"'Verkehr-Personen'!$A$5:$J$26"}</definedName>
    <definedName name="saengerle" hidden="1">{"'Verkehr-Personen'!$A$5:$J$26"}</definedName>
    <definedName name="sakra" hidden="1">{"'Verkehr-Personen'!$A$5:$J$26"}</definedName>
    <definedName name="sas" hidden="1">{"'Verkehr-Personen'!$A$5:$J$26"}</definedName>
    <definedName name="satan" hidden="1">{"'Verkehr-Personen'!$A$5:$J$26"}</definedName>
    <definedName name="satansbrut" hidden="1">{"'Verkehr-Personen'!$A$5:$J$26"}</definedName>
    <definedName name="satansmensch" hidden="1">{"'Verkehr-Personen'!$A$5:$J$26"}</definedName>
    <definedName name="saubloed" hidden="1">{"'Verkehr-Personen'!$A$5:$J$26"}</definedName>
    <definedName name="sauerkrat" hidden="1">{"'Verkehr-Personen'!$A$5:$J$26"}</definedName>
    <definedName name="sauerkraut" hidden="1">{"'Verkehr-Personen'!$A$5:$J$26"}</definedName>
    <definedName name="schickeawald" hidden="1">{"'Verkehr-Personen'!$A$5:$J$26"}</definedName>
    <definedName name="schiller" hidden="1">{"'Verkehr-Personen'!$A$5:$J$26"}</definedName>
    <definedName name="schlingel" hidden="1">{"'Verkehr-Personen'!$A$5:$J$26"}</definedName>
    <definedName name="Schmidt" hidden="1">{"'Verkehr-Personen'!$A$5:$J$26"}</definedName>
    <definedName name="schnee" hidden="1">{"'Verkehr-Personen'!$A$5:$J$26"}</definedName>
    <definedName name="schneewittchen" hidden="1">{"'Verkehr-Personen'!$A$5:$J$26"}</definedName>
    <definedName name="schnuiuztre" hidden="1">{"'Verkehr-Personen'!$A$5:$J$26"}</definedName>
    <definedName name="schnupfen" hidden="1">{"'Verkehr-Personen'!$A$5:$J$26"}</definedName>
    <definedName name="schnurpit" hidden="1">{"'Verkehr-Personen'!$A$5:$J$26"}</definedName>
    <definedName name="Schott" hidden="1">{"'Verkehr-Personen'!$A$5:$J$26"}</definedName>
    <definedName name="schraenkle" hidden="1">{"'Verkehr-Personen'!$A$5:$J$26"}</definedName>
    <definedName name="schrauben" hidden="1">{"'Verkehr-Personen'!$A$5:$J$26"}</definedName>
    <definedName name="schreiberle" hidden="1">{"'Verkehr-Personen'!$A$5:$J$26"}</definedName>
    <definedName name="schutz" hidden="1">{"'Verkehr-Personen'!$A$5:$J$26"}</definedName>
    <definedName name="schwargle" hidden="1">{"'Verkehr-Personen'!$A$5:$J$26"}</definedName>
    <definedName name="schwartz" hidden="1">{"'Verkehr-Personen'!$A$5:$J$26"}</definedName>
    <definedName name="schwarz" hidden="1">{"'Verkehr-Personen'!$A$5:$J$26"}</definedName>
    <definedName name="schwarzblau" hidden="1">{"'Verkehr-Personen'!$A$5:$J$26"}</definedName>
    <definedName name="schwarzbraun" hidden="1">{"'Verkehr-Personen'!$A$5:$J$26"}</definedName>
    <definedName name="schwarzgelb" hidden="1">{"'Verkehr-Personen'!$A$5:$J$26"}</definedName>
    <definedName name="schwarzhaupt" hidden="1">{"'Verkehr-Personen'!$A$5:$J$26"}</definedName>
    <definedName name="schwarzrot" hidden="1">{"'Verkehr-Personen'!$A$5:$J$26"}</definedName>
    <definedName name="schwarzwald" hidden="1">{"'Verkehr-Personen'!$A$5:$J$26"}</definedName>
    <definedName name="schwarzweiss" hidden="1">{"'Verkehr-Personen'!$A$5:$J$26"}</definedName>
    <definedName name="schweeweisschen" hidden="1">{"'Verkehr-Personen'!$A$5:$J$26"}</definedName>
    <definedName name="schweinefusse" hidden="1">{"'Verkehr-Personen'!$A$5:$J$26"}</definedName>
    <definedName name="schweinfef" hidden="1">{"'Verkehr-Personen'!$A$5:$J$26"}</definedName>
    <definedName name="schweinfett" hidden="1">{"'Verkehr-Personen'!$A$5:$J$26"}</definedName>
    <definedName name="sdcsds" hidden="1">{"'Verkehr-Personen'!$A$5:$J$26"}</definedName>
    <definedName name="sdf" hidden="1">{"'Verkehr-Personen'!$A$5:$J$26"}</definedName>
    <definedName name="sdfdffds" hidden="1">{"'Verkehr-Personen'!$A$5:$J$26"}</definedName>
    <definedName name="sdfklx" hidden="1">{"'Verkehr-Personen'!$A$5:$J$26"}</definedName>
    <definedName name="sdfsd" hidden="1">{"'Verkehr-Personen'!$A$5:$J$26"}</definedName>
    <definedName name="sdfserdfgvc" hidden="1">{"'Verkehr-Personen'!$A$5:$J$26"}</definedName>
    <definedName name="sdfyklaseklö" hidden="1">{"'Verkehr-Personen'!$A$5:$J$26"}</definedName>
    <definedName name="sdk" hidden="1">{"'Verkehr-Personen'!$A$5:$J$26"}</definedName>
    <definedName name="sdres" hidden="1">{"'Verkehr-Personen'!$A$5:$J$26"}</definedName>
    <definedName name="sds" hidden="1">{"'Verkehr-Personen'!$A$5:$J$26"}</definedName>
    <definedName name="sdsddsfsdzurt" hidden="1">{"'Verkehr-Personen'!$A$5:$J$26"}</definedName>
    <definedName name="sdswes" hidden="1">{"'Verkehr-Personen'!$A$5:$J$26"}</definedName>
    <definedName name="sed" hidden="1">{"'Verkehr-Personen'!$A$5:$J$26"}</definedName>
    <definedName name="seinle" hidden="1">{"'Verkehr-Personen'!$A$5:$J$26"}</definedName>
    <definedName name="serae" hidden="1">{"'Verkehr-Personen'!$A$5:$J$26"}</definedName>
    <definedName name="sfd" hidden="1">{"'Verkehr-Personen'!$A$5:$J$26"}</definedName>
    <definedName name="shckoe" hidden="1">{"'Verkehr-Personen'!$A$5:$J$26"}</definedName>
    <definedName name="shutz" hidden="1">{"'Verkehr-Personen'!$A$5:$J$26"}</definedName>
    <definedName name="sidslls" hidden="1">{"'Verkehr-Personen'!$A$5:$J$26"}</definedName>
    <definedName name="simsenkrebsler" hidden="1">{"'Verkehr-Personen'!$A$5:$J$26"}</definedName>
    <definedName name="skajiiunbv" hidden="1">{"'Verkehr-Personen'!$A$5:$J$26"}</definedName>
    <definedName name="sklsiufysxcm" hidden="1">{"'Verkehr-Personen'!$A$5:$J$26"}</definedName>
    <definedName name="sks" hidden="1">{"'Verkehr-Personen'!$A$5:$J$26"}</definedName>
    <definedName name="skurnns" hidden="1">{"'Verkehr-Personen'!$A$5:$J$26"}</definedName>
    <definedName name="sommer" hidden="1">{"'Verkehr-Personen'!$A$5:$J$26"}</definedName>
    <definedName name="Sonnenschein" hidden="1">{"'Verkehr-Personen'!$A$5:$J$26"}</definedName>
    <definedName name="spanien" hidden="1">{"'Verkehr-Personen'!$A$5:$J$26"}</definedName>
    <definedName name="sportlern" hidden="1">{"'Verkehr-Personen'!$A$5:$J$26"}</definedName>
    <definedName name="ss" hidden="1">{"'Verkehr-Personen'!$A$5:$J$26"}</definedName>
    <definedName name="sscheißdrechk" hidden="1">{"'Verkehr-Personen'!$A$5:$J$26"}</definedName>
    <definedName name="ssdss" hidden="1">{"'Verkehr-Personen'!$A$5:$J$26"}</definedName>
    <definedName name="sskdas" hidden="1">{"'Verkehr-Personen'!$A$5:$J$26"}</definedName>
    <definedName name="sss" hidden="1">{"'Verkehr-Personen'!$A$5:$J$26"}</definedName>
    <definedName name="ssss" hidden="1">{"'Verkehr-Personen'!$A$5:$J$26"}</definedName>
    <definedName name="sssss" hidden="1">{"'Verkehr-Personen'!$A$5:$J$26"}</definedName>
    <definedName name="ssssssssssssss" hidden="1">{"'Verkehr-Personen'!$A$5:$J$26"}</definedName>
    <definedName name="ssssssssssssssssssss" hidden="1">{"'Verkehr-Personen'!$A$5:$J$26"}</definedName>
    <definedName name="sssssssssssssssssssssssssssssssssss" hidden="1">{"'Verkehr-Personen'!$A$5:$J$26"}</definedName>
    <definedName name="stist" hidden="1">{"'Verkehr-Personen'!$A$5:$J$26"}</definedName>
    <definedName name="storbeck" hidden="1">{"'Verkehr-Personen'!$A$5:$J$26"}</definedName>
    <definedName name="strotbeck" hidden="1">{"'Verkehr-Personen'!$A$5:$J$26"}</definedName>
    <definedName name="strotbekck" hidden="1">{"'Verkehr-Personen'!$A$5:$J$26"}</definedName>
    <definedName name="stuehle" hidden="1">{"'Verkehr-Personen'!$A$5:$J$26"}</definedName>
    <definedName name="stufenle" hidden="1">{"'Verkehr-Personen'!$A$5:$J$26"}</definedName>
    <definedName name="suableidis" hidden="1">{"'Verkehr-Personen'!$A$5:$J$26"}</definedName>
    <definedName name="suerbleod" hidden="1">{"'Verkehr-Personen'!$A$5:$J$26"}</definedName>
    <definedName name="sx" hidden="1">{"'Verkehr-Personen'!$A$5:$J$26"}</definedName>
    <definedName name="sxc" hidden="1">{"'Verkehr-Personen'!$A$5:$J$26"}</definedName>
    <definedName name="syd" hidden="1">{"'Verkehr-Personen'!$A$5:$J$26"}</definedName>
    <definedName name="syxc" hidden="1">{"'Verkehr-Personen'!$A$5:$J$26"}</definedName>
    <definedName name="t" hidden="1">{"'Verkehr-Personen'!$A$5:$J$26"}</definedName>
    <definedName name="taet" hidden="1">{"'Verkehr-Personen'!$A$5:$J$26"}</definedName>
    <definedName name="tagungle" hidden="1">{"'Verkehr-Personen'!$A$5:$J$26"}</definedName>
    <definedName name="tastele" hidden="1">{"'Verkehr-Personen'!$A$5:$J$26"}</definedName>
    <definedName name="tat" hidden="1">{"'Verkehr-Personen'!$A$5:$J$26"}</definedName>
    <definedName name="tatsachlichvoll" hidden="1">{"'Verkehr-Personen'!$A$5:$J$26"}</definedName>
    <definedName name="tatsachlichvollundmehr" hidden="1">{"'Verkehr-Personen'!$A$5:$J$26"}</definedName>
    <definedName name="tatsaechlich" hidden="1">{"'Verkehr-Personen'!$A$5:$J$26"}</definedName>
    <definedName name="tausendle" hidden="1">{"'Verkehr-Personen'!$A$5:$J$26"}</definedName>
    <definedName name="teien" hidden="1">{"'Verkehr-Personen'!$A$5:$J$26"}</definedName>
    <definedName name="telefonbuch" hidden="1">{"'Verkehr-Personen'!$A$5:$J$26"}</definedName>
    <definedName name="teppich" hidden="1">{"'Verkehr-Personen'!$A$5:$J$26"}</definedName>
    <definedName name="teppichle" hidden="1">{"'Verkehr-Personen'!$A$5:$J$26"}</definedName>
    <definedName name="test" hidden="1">{"BadenWürtemberg",#N/A,FALSE,"Baden-Würtemberg"}</definedName>
    <definedName name="teufel" hidden="1">{"'Verkehr-Personen'!$A$5:$J$26"}</definedName>
    <definedName name="teufelin" hidden="1">{"'Verkehr-Personen'!$A$5:$J$26"}</definedName>
    <definedName name="teufelinn" hidden="1">{"'Verkehr-Personen'!$A$5:$J$26"}</definedName>
    <definedName name="teufellllnnnne" hidden="1">{"'Verkehr-Personen'!$A$5:$J$26"}</definedName>
    <definedName name="tfg" hidden="1">{"'Verkehr-Personen'!$A$5:$J$26"}</definedName>
    <definedName name="thamenn" hidden="1">{"'Verkehr-Personen'!$A$5:$J$26"}</definedName>
    <definedName name="theaterle" hidden="1">{"'Verkehr-Personen'!$A$5:$J$26"}</definedName>
    <definedName name="tischle" hidden="1">{"'Verkehr-Personen'!$A$5:$J$26"}</definedName>
    <definedName name="Titel_de">#REF!</definedName>
    <definedName name="Titel_en">#REF!</definedName>
    <definedName name="toni" hidden="1">{"'Verkehr-Personen'!$A$5:$J$26"}</definedName>
    <definedName name="tothlll" hidden="1">{"'Verkehr-Personen'!$A$5:$J$26"}</definedName>
    <definedName name="trepple" hidden="1">{"'Verkehr-Personen'!$A$5:$J$26"}</definedName>
    <definedName name="trgf" hidden="1">{"'Verkehr-Personen'!$A$5:$J$26"}</definedName>
    <definedName name="ttttiiip" hidden="1">{"'Verkehr-Personen'!$A$5:$J$26"}</definedName>
    <definedName name="ttttttt" hidden="1">{"'Verkehr-Personen'!$A$5:$J$26"}</definedName>
    <definedName name="Tuerik" hidden="1">{"'Verkehr-Personen'!$A$5:$J$26"}</definedName>
    <definedName name="tuermle" hidden="1">{"'Verkehr-Personen'!$A$5:$J$26"}</definedName>
    <definedName name="tuete" hidden="1">{"'Verkehr-Personen'!$A$5:$J$26"}</definedName>
    <definedName name="tuetle" hidden="1">{"'Verkehr-Personen'!$A$5:$J$26"}</definedName>
    <definedName name="turnen" hidden="1">{"'Verkehr-Personen'!$A$5:$J$26"}</definedName>
    <definedName name="turnhalle" hidden="1">{"'Verkehr-Personen'!$A$5:$J$26"}</definedName>
    <definedName name="tzgfhvb" hidden="1">{"'Verkehr-Personen'!$A$5:$J$26"}</definedName>
    <definedName name="Udo" hidden="1">{"'Verkehr-Personen'!$A$5:$J$26"}</definedName>
    <definedName name="Uebel" hidden="1">{"'Verkehr-Personen'!$A$5:$J$26"}</definedName>
    <definedName name="uehrle" hidden="1">{"'Verkehr-Personen'!$A$5:$J$26"}</definedName>
    <definedName name="uhlbach" hidden="1">{"'Verkehr-Personen'!$A$5:$J$26"}</definedName>
    <definedName name="uhlbachdhddhdi" hidden="1">{"'Verkehr-Personen'!$A$5:$J$26"}</definedName>
    <definedName name="Umlagebetrag">#REF!</definedName>
    <definedName name="uni" hidden="1">{"'Verkehr-Personen'!$A$5:$J$26"}</definedName>
    <definedName name="univer" hidden="1">{"'Verkehr-Personen'!$A$5:$J$26"}</definedName>
    <definedName name="universit" hidden="1">{"'Verkehr-Personen'!$A$5:$J$26"}</definedName>
    <definedName name="üoüi" hidden="1">{"'Verkehr-Personen'!$A$5:$J$26"}</definedName>
    <definedName name="urhrel" hidden="1">{"'Verkehr-Personen'!$A$5:$J$26"}</definedName>
    <definedName name="ute" hidden="1">{"'Verkehr-Personen'!$A$5:$J$26"}</definedName>
    <definedName name="utennn" hidden="1">{"'Verkehr-Personen'!$A$5:$J$26"}</definedName>
    <definedName name="uuu" hidden="1">{"'Verkehr-Personen'!$A$5:$J$26"}</definedName>
    <definedName name="Uwe" hidden="1">{"'Verkehr-Personen'!$A$5:$J$26"}</definedName>
    <definedName name="v" hidden="1">{"'Verkehr-Personen'!$A$5:$J$26"}</definedName>
    <definedName name="vaihingen" hidden="1">{"'Verkehr-Personen'!$A$5:$J$26"}</definedName>
    <definedName name="verbessern" hidden="1">{"'Verkehr-Personen'!$A$5:$J$26"}</definedName>
    <definedName name="verbesserndkdkdk" hidden="1">{"'Verkehr-Personen'!$A$5:$J$26"}</definedName>
    <definedName name="verflixt" hidden="1">{"'Verkehr-Personen'!$A$5:$J$26"}</definedName>
    <definedName name="Verkehr2" hidden="1">{"'Verkehr-Personen'!$A$5:$J$26"}</definedName>
    <definedName name="VerkehrPkwKlassen" hidden="1">{"'Verkehr-Personen'!$A$5:$J$26"}</definedName>
    <definedName name="verkehrt" hidden="1">{"'Verkehr-Personen'!$A$5:$J$26"}</definedName>
    <definedName name="verschlechternm" hidden="1">{"'Verkehr-Personen'!$A$5:$J$26"}</definedName>
    <definedName name="vertauschen" hidden="1">{"'Verkehr-Personen'!$A$5:$J$26"}</definedName>
    <definedName name="vertzaopssss" hidden="1">{"'Verkehr-Personen'!$A$5:$J$26"}</definedName>
    <definedName name="vg" hidden="1">{"'Verkehr-Personen'!$A$5:$J$26"}</definedName>
    <definedName name="vielfach" hidden="1">{"'Verkehr-Personen'!$A$5:$J$26"}</definedName>
    <definedName name="vielleut" hidden="1">{"'Verkehr-Personen'!$A$5:$J$26"}</definedName>
    <definedName name="viertele" hidden="1">{"'Verkehr-Personen'!$A$5:$J$26"}</definedName>
    <definedName name="voegle" hidden="1">{"'Verkehr-Personen'!$A$5:$J$26"}</definedName>
    <definedName name="volkswagen" hidden="1">{"'Verkehr-Personen'!$A$5:$J$26"}</definedName>
    <definedName name="von" hidden="1">{"'Verkehr-Personen'!$A$5:$J$26"}</definedName>
    <definedName name="vvvvvvvvvvvvvvvvvvvvvvvvvvv" hidden="1">{"'Verkehr-Personen'!$A$5:$J$26"}</definedName>
    <definedName name="vw" hidden="1">{"'Verkehr-Personen'!$A$5:$J$26"}</definedName>
    <definedName name="w2es" hidden="1">{"'Verkehr-Personen'!$A$5:$J$26"}</definedName>
    <definedName name="w3tesgf" hidden="1">{"'Verkehr-Personen'!$A$5:$J$26"}</definedName>
    <definedName name="wandern" hidden="1">{"'Verkehr-Personen'!$A$5:$J$26"}</definedName>
    <definedName name="wasserhaehnle" hidden="1">{"'Verkehr-Personen'!$A$5:$J$26"}</definedName>
    <definedName name="wasx" hidden="1">{"'Verkehr-Personen'!$A$5:$J$26"}</definedName>
    <definedName name="wau" hidden="1">{"'Verkehr-Personen'!$A$5:$J$26"}</definedName>
    <definedName name="wauwau" hidden="1">{"'Verkehr-Personen'!$A$5:$J$26"}</definedName>
    <definedName name="wauwi" hidden="1">{"'Verkehr-Personen'!$A$5:$J$26"}</definedName>
    <definedName name="wauwilein" hidden="1">{"'Verkehr-Personen'!$A$5:$J$26"}</definedName>
    <definedName name="wberle" hidden="1">{"'Verkehr-Personen'!$A$5:$J$26"}</definedName>
    <definedName name="weaw" hidden="1">{"'Verkehr-Personen'!$A$5:$J$26"}</definedName>
    <definedName name="weber" hidden="1">{"'Verkehr-Personen'!$A$5:$J$26"}</definedName>
    <definedName name="weberlein" hidden="1">{"'Verkehr-Personen'!$A$5:$J$26"}</definedName>
    <definedName name="wegwerfen" hidden="1">{"'Verkehr-Personen'!$A$5:$J$26"}</definedName>
    <definedName name="wegwerfenbald" hidden="1">{"'Verkehr-Personen'!$A$5:$J$26"}</definedName>
    <definedName name="wein" hidden="1">{"'Verkehr-Personen'!$A$5:$J$26"}</definedName>
    <definedName name="weingarten" hidden="1">{"'Verkehr-Personen'!$A$5:$J$26"}</definedName>
    <definedName name="weipgelb" hidden="1">{"'Verkehr-Personen'!$A$5:$J$26"}</definedName>
    <definedName name="weissgelb" hidden="1">{"'Verkehr-Personen'!$A$5:$J$26"}</definedName>
    <definedName name="werfel" hidden="1">{"'Verkehr-Personen'!$A$5:$J$26"}</definedName>
    <definedName name="westdx" hidden="1">{"'Verkehr-Personen'!$A$5:$J$26"}</definedName>
    <definedName name="wetfdv" hidden="1">{"'Verkehr-Personen'!$A$5:$J$26"}</definedName>
    <definedName name="wetwetfsd" hidden="1">{"'Verkehr-Personen'!$A$5:$J$26"}</definedName>
    <definedName name="whwisns" hidden="1">{"'Verkehr-Personen'!$A$5:$J$26"}</definedName>
    <definedName name="wiegehts" hidden="1">{"'Verkehr-Personen'!$A$5:$J$26"}</definedName>
    <definedName name="wiessgrune" hidden="1">{"'Verkehr-Personen'!$A$5:$J$26"}</definedName>
    <definedName name="wildschwein" hidden="1">{"'Verkehr-Personen'!$A$5:$J$26"}</definedName>
    <definedName name="wilhelm" hidden="1">{"'Verkehr-Personen'!$A$5:$J$26"}</definedName>
    <definedName name="winter" hidden="1">{"'Verkehr-Personen'!$A$5:$J$26"}</definedName>
    <definedName name="wirklich" hidden="1">{"'Verkehr-Personen'!$A$5:$J$26"}</definedName>
    <definedName name="wirklichvoll" hidden="1">{"'Verkehr-Personen'!$A$5:$J$26"}</definedName>
    <definedName name="wohenenenenen" hidden="1">{"'Verkehr-Personen'!$A$5:$J$26"}</definedName>
    <definedName name="woihsjlxc" hidden="1">{"'Verkehr-Personen'!$A$5:$J$26"}</definedName>
    <definedName name="wolfgang" hidden="1">{"'Verkehr-Personen'!$A$5:$J$26"}</definedName>
    <definedName name="wpdl" hidden="1">{"'Verkehr-Personen'!$A$5:$J$26"}</definedName>
    <definedName name="wrn.BadenWürtemberg." hidden="1">{"BadenWürtemberg",#N/A,FALSE,"Baden-Würtemberg"}</definedName>
    <definedName name="wrn.Bayern." hidden="1">{#N/A,#N/A,FALSE,"Bayern"}</definedName>
    <definedName name="wrn.Berlin." hidden="1">{#N/A,#N/A,FALSE,"Berlin"}</definedName>
    <definedName name="wrn.Brandenburg." hidden="1">{#N/A,#N/A,FALSE,"Brandenburg"}</definedName>
    <definedName name="wrn.Bremen." hidden="1">{#N/A,#N/A,FALSE,"Bremen"}</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Hamburg." hidden="1">{#N/A,#N/A,FALSE,"Hamburg"}</definedName>
    <definedName name="wrn.Hessen." hidden="1">{#N/A,#N/A,FALSE,"Hessen"}</definedName>
    <definedName name="wrn.MecklenburgVorpommern." hidden="1">{#N/A,#N/A,FALSE,"Mecklenburg-Vorpommern"}</definedName>
    <definedName name="wrn.nach._.Förderung." hidden="1">{"nach Förderung",#N/A,FALSE,"Länder Gesamt"}</definedName>
    <definedName name="wrn.nach._.Ländern." hidden="1">{"nach Ländern",#N/A,FALSE,"Länder Gesamt"}</definedName>
    <definedName name="wrn.Niedersachsen." hidden="1">{#N/A,#N/A,FALSE,"Niedersachsen"}</definedName>
    <definedName name="wrn.NordrheinWestfalen." hidden="1">{#N/A,#N/A,FALSE,"Nordrhein-Westfalen"}</definedName>
    <definedName name="wrn.RheinlandPfalz." hidden="1">{#N/A,#N/A,FALSE,"Rheinland-Pfalz"}</definedName>
    <definedName name="wrn.Saarland." hidden="1">{#N/A,#N/A,FALSE,"Saarland"}</definedName>
    <definedName name="wrn.Sachsen." hidden="1">{#N/A,#N/A,FALSE,"Sachsen"}</definedName>
    <definedName name="wrn.SachsenAnhalt." hidden="1">{"SachsenAnhalt",#N/A,FALSE,"Sachsen-Anhalt"}</definedName>
    <definedName name="wrn.SchleswigHolstein." hidden="1">{"SchleswigHolstein",#N/A,FALSE,"Schleswig-Holstein"}</definedName>
    <definedName name="wrn.Thüringen." hidden="1">{"Thüringen",#N/A,FALSE,"Thüringen"}</definedName>
    <definedName name="WRSHD" hidden="1">{"'Verkehr-Personen'!$A$5:$J$26"}</definedName>
    <definedName name="wsydg" hidden="1">{"'Verkehr-Personen'!$A$5:$J$26"}</definedName>
    <definedName name="wuert" hidden="1">{"'Verkehr-Personen'!$A$5:$J$26"}</definedName>
    <definedName name="wuertt" hidden="1">{"'Verkehr-Personen'!$A$5:$J$26"}</definedName>
    <definedName name="wuetericht" hidden="1">{"'Verkehr-Personen'!$A$5:$J$26"}</definedName>
    <definedName name="ww" hidden="1">{"'Verkehr-Personen'!$A$5:$J$26"}</definedName>
    <definedName name="wwes" hidden="1">{"'Verkehr-Personen'!$A$5:$J$26"}</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xxxxxxxxxxxxxxxx" hidden="1">{"'Verkehr-Personen'!$A$5:$J$26"}</definedName>
    <definedName name="ysdfserdf" hidden="1">{"'Verkehr-Personen'!$A$5:$J$26"}</definedName>
    <definedName name="zeitungle" hidden="1">{"'Verkehr-Personen'!$A$5:$J$26"}</definedName>
    <definedName name="zentele" hidden="1">{"'Verkehr-Personen'!$A$5:$J$26"}</definedName>
    <definedName name="zggh" hidden="1">{"'Verkehr-Personen'!$A$5:$J$26"}</definedName>
    <definedName name="zghudrtdg" hidden="1">{"'Verkehr-Personen'!$A$5:$J$26"}</definedName>
    <definedName name="ztfgvc" hidden="1">{"'Verkehr-Personen'!$A$5:$J$26"}</definedName>
    <definedName name="zuegle" hidden="1">{"'Verkehr-Personen'!$A$5:$J$26"}</definedName>
    <definedName name="zug" hidden="1">{"'Verkehr-Personen'!$A$5:$J$26"}</definedName>
    <definedName name="zugenaeth" hidden="1">{"'Verkehr-Personen'!$A$5:$J$26"}</definedName>
    <definedName name="Zum" hidden="1">{"'Verkehr-Personen'!$A$5:$J$26"}</definedName>
    <definedName name="ZUZU" hidden="1">{"'Verkehr-Personen'!$A$5:$J$26"}</definedName>
    <definedName name="zuzuzu" hidden="1">{"'Verkehr-Personen'!$A$5:$J$26"}</definedName>
    <definedName name="zwirn" hidden="1">{"'Verkehr-Personen'!$A$5:$J$26"}</definedName>
    <definedName name="zzzzzzz" hidden="1">{"'Verkehr-Personen'!$A$5:$J$26"}</definedName>
    <definedName name="zzzzzzzzzzz" hidden="1">{"'Verkehr-Personen'!$A$5:$J$26"}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 i="32" l="1"/>
  <c r="S15" i="32"/>
  <c r="V15" i="32"/>
  <c r="W15" i="32" s="1"/>
  <c r="X15" i="32" s="1"/>
  <c r="Y15" i="32" s="1"/>
  <c r="AA15" i="32"/>
  <c r="AB15" i="32"/>
  <c r="AC15" i="32" s="1"/>
  <c r="AD15" i="32" s="1"/>
  <c r="R12" i="31"/>
  <c r="R11" i="31"/>
  <c r="R10" i="31"/>
  <c r="R9" i="31"/>
  <c r="R8" i="31"/>
  <c r="R7" i="126" l="1"/>
  <c r="X18" i="22" l="1"/>
  <c r="Y18" i="22"/>
  <c r="Z18" i="22"/>
  <c r="AA18" i="22"/>
  <c r="AB18" i="22"/>
  <c r="AC18" i="22"/>
  <c r="AD18" i="22"/>
  <c r="W18" i="22"/>
  <c r="Y20" i="41" l="1"/>
  <c r="Z20" i="41"/>
  <c r="AA20" i="41"/>
  <c r="AB20" i="41"/>
  <c r="AC20" i="41"/>
  <c r="AD20" i="41"/>
  <c r="AE20" i="41"/>
  <c r="AF20" i="41"/>
  <c r="X20" i="41"/>
  <c r="Y19" i="41"/>
  <c r="Z19" i="41"/>
  <c r="AA19" i="41"/>
  <c r="AB19" i="41"/>
  <c r="AC19" i="41"/>
  <c r="AD19" i="41"/>
  <c r="AE19" i="41"/>
  <c r="AF19" i="41"/>
  <c r="X19" i="41"/>
  <c r="S69" i="42" l="1"/>
  <c r="T69" i="42" s="1"/>
  <c r="U69" i="42" s="1"/>
  <c r="V69" i="42" s="1"/>
  <c r="X69" i="42"/>
  <c r="Y69" i="42"/>
  <c r="Z69" i="42"/>
  <c r="AA69" i="42"/>
  <c r="AC69" i="42"/>
  <c r="AD69" i="42" s="1"/>
  <c r="AE69" i="42" s="1"/>
  <c r="AF69" i="42" s="1"/>
  <c r="Q454" i="39"/>
  <c r="P454" i="39"/>
  <c r="O454" i="39"/>
  <c r="N454" i="39"/>
  <c r="M454" i="39"/>
  <c r="L454" i="39"/>
  <c r="K454" i="39"/>
  <c r="J454" i="39"/>
  <c r="I454" i="39"/>
  <c r="H454" i="39"/>
  <c r="G454" i="39"/>
  <c r="F454" i="39"/>
  <c r="D7" i="22"/>
  <c r="Q7" i="28" l="1"/>
  <c r="G1" i="128" l="1"/>
  <c r="H1" i="128" s="1"/>
  <c r="I1" i="128" s="1"/>
  <c r="J1" i="128" s="1"/>
  <c r="K1" i="128" s="1"/>
  <c r="L1" i="128" s="1"/>
  <c r="M1" i="128" s="1"/>
  <c r="Q444" i="39"/>
  <c r="P444" i="39"/>
  <c r="O444" i="39"/>
  <c r="N444" i="39"/>
  <c r="M444" i="39"/>
  <c r="L444" i="39"/>
  <c r="K444" i="39"/>
  <c r="J444" i="39"/>
  <c r="I444" i="39"/>
  <c r="H444" i="39"/>
  <c r="G444" i="39"/>
  <c r="F444" i="39"/>
  <c r="Q434" i="39"/>
  <c r="P434" i="39"/>
  <c r="O434" i="39"/>
  <c r="N434" i="39"/>
  <c r="M434" i="39"/>
  <c r="L434" i="39"/>
  <c r="K434" i="39"/>
  <c r="J434" i="39"/>
  <c r="I434" i="39"/>
  <c r="H434" i="39"/>
  <c r="G434" i="39"/>
  <c r="F434" i="39"/>
  <c r="E9" i="22" l="1"/>
  <c r="R8" i="22"/>
  <c r="T14" i="48"/>
  <c r="U14" i="48" s="1"/>
  <c r="V14" i="48" s="1"/>
  <c r="W14" i="48" s="1"/>
  <c r="X14" i="48" s="1"/>
  <c r="Y14" i="48" s="1"/>
  <c r="Z14" i="48" s="1"/>
  <c r="AA14" i="48" s="1"/>
  <c r="AB14" i="48" s="1"/>
  <c r="AC14" i="48" s="1"/>
  <c r="AD14" i="48" s="1"/>
  <c r="AE14" i="48" s="1"/>
  <c r="S8" i="22" l="1"/>
  <c r="T8" i="22" s="1"/>
  <c r="U8" i="22" s="1"/>
  <c r="V8" i="22" s="1"/>
  <c r="W8" i="22" s="1"/>
  <c r="X8" i="22" s="1"/>
  <c r="Y8" i="22" s="1"/>
  <c r="Z8" i="22" s="1"/>
  <c r="AA8" i="22" s="1"/>
  <c r="AB8" i="22" s="1"/>
  <c r="AC8" i="22" s="1"/>
  <c r="AD8" i="22" s="1"/>
  <c r="AE8" i="22" s="1"/>
  <c r="D8" i="22" s="1"/>
  <c r="P13" i="42"/>
  <c r="O13" i="42" s="1"/>
  <c r="N13" i="42" s="1"/>
  <c r="M13" i="42" s="1"/>
  <c r="L13" i="42" s="1"/>
  <c r="AD16" i="22" l="1"/>
  <c r="AC16" i="22"/>
  <c r="AB16" i="22"/>
  <c r="AA16" i="22"/>
  <c r="Z16" i="22"/>
  <c r="Y16" i="22"/>
  <c r="X16" i="22"/>
  <c r="W16" i="22"/>
  <c r="V16" i="22"/>
  <c r="U16" i="22"/>
  <c r="T16" i="22"/>
  <c r="S16" i="22"/>
  <c r="R16" i="22"/>
  <c r="D16" i="22" s="1"/>
  <c r="AA13" i="95" l="1"/>
  <c r="AB13" i="95" s="1"/>
  <c r="AC13" i="95" s="1"/>
  <c r="AD13" i="95" s="1"/>
  <c r="R13" i="95"/>
  <c r="Q13" i="95"/>
  <c r="P13" i="95"/>
  <c r="T13" i="36"/>
  <c r="S13" i="36"/>
  <c r="R13" i="36"/>
  <c r="AA13" i="36"/>
  <c r="AB13" i="36" s="1"/>
  <c r="AC13" i="36" s="1"/>
  <c r="AD13" i="36" s="1"/>
  <c r="W13" i="36"/>
  <c r="X13" i="36" s="1"/>
  <c r="Y13" i="36" s="1"/>
  <c r="V13" i="36"/>
  <c r="AE15" i="22" l="1"/>
  <c r="AD15" i="22"/>
  <c r="AC15" i="22"/>
  <c r="AB15" i="22"/>
  <c r="AA15" i="22"/>
  <c r="Z15" i="22"/>
  <c r="Y15" i="22"/>
  <c r="X15" i="22"/>
  <c r="W15" i="22"/>
  <c r="V15" i="22"/>
  <c r="U15" i="22"/>
  <c r="T15" i="22"/>
  <c r="S15" i="22"/>
  <c r="R15" i="22"/>
  <c r="D15" i="22" s="1"/>
  <c r="AF126" i="80" l="1"/>
  <c r="AG126" i="80"/>
  <c r="AF125" i="80"/>
  <c r="AG125" i="80"/>
  <c r="AF151" i="80"/>
  <c r="AG151" i="80"/>
  <c r="R6" i="117" l="1"/>
  <c r="S6" i="117" s="1"/>
  <c r="T6" i="117" s="1"/>
  <c r="U6" i="117" s="1"/>
  <c r="V6" i="117" s="1"/>
  <c r="W6" i="117" s="1"/>
  <c r="X6" i="117" s="1"/>
  <c r="Y6" i="117" s="1"/>
  <c r="Z6" i="117" s="1"/>
  <c r="AA6" i="117" s="1"/>
  <c r="AB6" i="117" s="1"/>
  <c r="AC6" i="117" s="1"/>
  <c r="AD6" i="117" s="1"/>
  <c r="U13" i="22" l="1"/>
  <c r="V13" i="22"/>
  <c r="W13" i="22"/>
  <c r="X13" i="22"/>
  <c r="Y13" i="22"/>
  <c r="Z13" i="22"/>
  <c r="AA13" i="22"/>
  <c r="AB13" i="22"/>
  <c r="AC13" i="22"/>
  <c r="AD13" i="22"/>
  <c r="T13" i="22"/>
  <c r="W7" i="31" l="1"/>
  <c r="X7" i="31" s="1"/>
  <c r="Y7" i="31" s="1"/>
  <c r="AA7" i="31" s="1"/>
  <c r="AB7" i="31" s="1"/>
  <c r="AC7" i="31" s="1"/>
  <c r="AD7" i="31" s="1"/>
  <c r="AE7" i="31" s="1"/>
  <c r="T70" i="42"/>
  <c r="U70" i="42"/>
  <c r="V70" i="42"/>
  <c r="W70" i="42"/>
  <c r="X70" i="42"/>
  <c r="Y70" i="42"/>
  <c r="Z70" i="42"/>
  <c r="AA70" i="42"/>
  <c r="AB70" i="42"/>
  <c r="AC70" i="42"/>
  <c r="AD70" i="42"/>
  <c r="AE70" i="42"/>
  <c r="AF70" i="42"/>
  <c r="S70" i="42"/>
  <c r="R71" i="58"/>
  <c r="T175" i="42" l="1"/>
  <c r="U175" i="42" s="1"/>
  <c r="V175" i="42" s="1"/>
  <c r="W175" i="42" s="1"/>
  <c r="X175" i="42" s="1"/>
  <c r="Y175" i="42" s="1"/>
  <c r="Z175" i="42" s="1"/>
  <c r="AA175" i="42" s="1"/>
  <c r="AB175" i="42" s="1"/>
  <c r="AC175" i="42" s="1"/>
  <c r="AD175" i="42" s="1"/>
  <c r="AE175" i="42" s="1"/>
  <c r="T132" i="122"/>
  <c r="U132" i="122" s="1"/>
  <c r="V132" i="122" s="1"/>
  <c r="W132" i="122" s="1"/>
  <c r="X132" i="122" s="1"/>
  <c r="Y132" i="122" s="1"/>
  <c r="Z132" i="122" s="1"/>
  <c r="AA132" i="122" s="1"/>
  <c r="AB132" i="122" s="1"/>
  <c r="AC132" i="122" s="1"/>
  <c r="AD132" i="122" s="1"/>
  <c r="AE132" i="122" s="1"/>
  <c r="AF132" i="122" s="1"/>
  <c r="AE33" i="127" l="1"/>
  <c r="AD33" i="127"/>
  <c r="AC33" i="127"/>
  <c r="AB33" i="127"/>
  <c r="AA33" i="127"/>
  <c r="Z33" i="127"/>
  <c r="Y33" i="127"/>
  <c r="X33" i="127"/>
  <c r="W33" i="127"/>
  <c r="V33" i="127"/>
  <c r="U33" i="127"/>
  <c r="T33" i="127"/>
  <c r="S33" i="127"/>
  <c r="R33" i="127"/>
  <c r="Q33" i="127"/>
  <c r="P33" i="127"/>
  <c r="O33" i="127"/>
  <c r="N33" i="127"/>
  <c r="M33" i="127"/>
  <c r="L33" i="127"/>
  <c r="K33" i="127"/>
  <c r="AE32" i="127"/>
  <c r="AD32" i="127"/>
  <c r="AC32" i="127"/>
  <c r="AB32" i="127"/>
  <c r="AA32" i="127"/>
  <c r="Z32" i="127"/>
  <c r="Y32" i="127"/>
  <c r="X32" i="127"/>
  <c r="W32" i="127"/>
  <c r="V32" i="127"/>
  <c r="U32" i="127"/>
  <c r="T32" i="127"/>
  <c r="S32" i="127"/>
  <c r="R32" i="127"/>
  <c r="Q32" i="127"/>
  <c r="P32" i="127"/>
  <c r="O32" i="127"/>
  <c r="N32" i="127"/>
  <c r="M32" i="127"/>
  <c r="L32" i="127"/>
  <c r="K32" i="127"/>
  <c r="AE31" i="127"/>
  <c r="AD31" i="127"/>
  <c r="AC31" i="127"/>
  <c r="AB31" i="127"/>
  <c r="AA31" i="127"/>
  <c r="Z31" i="127"/>
  <c r="Y31" i="127"/>
  <c r="X31" i="127"/>
  <c r="W31" i="127"/>
  <c r="V31" i="127"/>
  <c r="U31" i="127"/>
  <c r="T31" i="127"/>
  <c r="S31" i="127"/>
  <c r="R31" i="127"/>
  <c r="Q31" i="127"/>
  <c r="P31" i="127"/>
  <c r="O31" i="127"/>
  <c r="N31" i="127"/>
  <c r="M31" i="127"/>
  <c r="L31" i="127"/>
  <c r="K31" i="127"/>
  <c r="AE30" i="127"/>
  <c r="AD30" i="127"/>
  <c r="AC30" i="127"/>
  <c r="AB30" i="127"/>
  <c r="AA30" i="127"/>
  <c r="Z30" i="127"/>
  <c r="Y30" i="127"/>
  <c r="X30" i="127"/>
  <c r="W30" i="127"/>
  <c r="V30" i="127"/>
  <c r="U30" i="127"/>
  <c r="T30" i="127"/>
  <c r="S30" i="127"/>
  <c r="R30" i="127"/>
  <c r="Q30" i="127"/>
  <c r="P30" i="127"/>
  <c r="O30" i="127"/>
  <c r="N30" i="127"/>
  <c r="M30" i="127"/>
  <c r="L30" i="127"/>
  <c r="K30" i="127"/>
  <c r="AE29" i="127"/>
  <c r="AD29" i="127"/>
  <c r="AC29" i="127"/>
  <c r="AB29" i="127"/>
  <c r="AA29" i="127"/>
  <c r="Z29" i="127"/>
  <c r="Y29" i="127"/>
  <c r="X29" i="127"/>
  <c r="W29" i="127"/>
  <c r="V29" i="127"/>
  <c r="U29" i="127"/>
  <c r="T29" i="127"/>
  <c r="S29" i="127"/>
  <c r="R29" i="127"/>
  <c r="Q29" i="127"/>
  <c r="P29" i="127"/>
  <c r="O29" i="127"/>
  <c r="N29" i="127"/>
  <c r="M29" i="127"/>
  <c r="L29" i="127"/>
  <c r="K29" i="127"/>
  <c r="AE28" i="127"/>
  <c r="AD28" i="127"/>
  <c r="AC28" i="127"/>
  <c r="AB28" i="127"/>
  <c r="AA28" i="127"/>
  <c r="Z28" i="127"/>
  <c r="Y28" i="127"/>
  <c r="X28" i="127"/>
  <c r="W28" i="127"/>
  <c r="V28" i="127"/>
  <c r="U28" i="127"/>
  <c r="T28" i="127"/>
  <c r="S28" i="127"/>
  <c r="R28" i="127"/>
  <c r="Q28" i="127"/>
  <c r="P28" i="127"/>
  <c r="O28" i="127"/>
  <c r="N28" i="127"/>
  <c r="M28" i="127"/>
  <c r="L28" i="127"/>
  <c r="K28" i="127"/>
  <c r="AF27" i="127"/>
  <c r="AE27" i="127"/>
  <c r="AD27" i="127"/>
  <c r="AC27" i="127"/>
  <c r="AB27" i="127"/>
  <c r="AA27" i="127"/>
  <c r="Z27" i="127"/>
  <c r="Y27" i="127"/>
  <c r="X27" i="127"/>
  <c r="W27" i="127"/>
  <c r="V27" i="127"/>
  <c r="U27" i="127"/>
  <c r="T27" i="127"/>
  <c r="S27" i="127"/>
  <c r="R27" i="127"/>
  <c r="Q27" i="127"/>
  <c r="P27" i="127"/>
  <c r="O27" i="127"/>
  <c r="N27" i="127"/>
  <c r="M27" i="127"/>
  <c r="L27" i="127"/>
  <c r="K27" i="127"/>
  <c r="L65" i="42" l="1"/>
  <c r="T131" i="122" l="1"/>
  <c r="U131" i="122" s="1"/>
  <c r="V131" i="122" l="1"/>
  <c r="W131" i="122" s="1"/>
  <c r="X131" i="122" s="1"/>
  <c r="Y131" i="122" s="1"/>
  <c r="Z131" i="122" s="1"/>
  <c r="AA131" i="122" s="1"/>
  <c r="AB131" i="122" s="1"/>
  <c r="AC131" i="122" s="1"/>
  <c r="AD131" i="122" s="1"/>
  <c r="AE131" i="122" s="1"/>
  <c r="AF131" i="122" s="1"/>
  <c r="T117" i="122" l="1"/>
  <c r="U117" i="122" s="1"/>
  <c r="V117" i="122" s="1"/>
  <c r="W117" i="122" s="1"/>
  <c r="X117" i="122" s="1"/>
  <c r="Y117" i="122" s="1"/>
  <c r="Z117" i="122" s="1"/>
  <c r="AA117" i="122" s="1"/>
  <c r="AB117" i="122" s="1"/>
  <c r="AC117" i="122" s="1"/>
  <c r="AD117" i="122" s="1"/>
  <c r="AE117" i="122" s="1"/>
  <c r="AF117" i="122" s="1"/>
  <c r="R7" i="86" l="1"/>
  <c r="Z7" i="86"/>
  <c r="AF7" i="86"/>
  <c r="N9" i="86"/>
  <c r="V9" i="86"/>
  <c r="AD9" i="86"/>
  <c r="AF9" i="86"/>
  <c r="Q6" i="86"/>
  <c r="S6" i="86"/>
  <c r="K7" i="86"/>
  <c r="L7" i="86"/>
  <c r="M7" i="86"/>
  <c r="N7" i="86"/>
  <c r="O7" i="86"/>
  <c r="P7" i="86"/>
  <c r="Q7" i="86"/>
  <c r="S7" i="86"/>
  <c r="T7" i="86"/>
  <c r="U7" i="86"/>
  <c r="V7" i="86"/>
  <c r="W7" i="86"/>
  <c r="X7" i="86"/>
  <c r="Y7" i="86"/>
  <c r="AA7" i="86"/>
  <c r="AB7" i="86"/>
  <c r="AC7" i="86"/>
  <c r="AD7" i="86"/>
  <c r="AE7" i="86"/>
  <c r="K9" i="86"/>
  <c r="L9" i="86"/>
  <c r="M9" i="86"/>
  <c r="O9" i="86"/>
  <c r="P9" i="86"/>
  <c r="Q9" i="86"/>
  <c r="R9" i="86"/>
  <c r="S9" i="86"/>
  <c r="T9" i="86"/>
  <c r="U9" i="86"/>
  <c r="W9" i="86"/>
  <c r="X9" i="86"/>
  <c r="Y9" i="86"/>
  <c r="Z9" i="86"/>
  <c r="AA9" i="86"/>
  <c r="AB9" i="86"/>
  <c r="AC9" i="86"/>
  <c r="AE9" i="86"/>
  <c r="Y6" i="86"/>
  <c r="Z6" i="86"/>
  <c r="AA6" i="86"/>
  <c r="AB6" i="86"/>
  <c r="AC6" i="86"/>
  <c r="AD6" i="86"/>
  <c r="AE6" i="86"/>
  <c r="AF6" i="86"/>
  <c r="L6" i="86"/>
  <c r="M6" i="86"/>
  <c r="N6" i="86"/>
  <c r="O6" i="86"/>
  <c r="P6" i="86"/>
  <c r="R6" i="86"/>
  <c r="T6" i="86"/>
  <c r="U6" i="86"/>
  <c r="V6" i="86"/>
  <c r="W6" i="86"/>
  <c r="X6" i="86"/>
  <c r="K6" i="86"/>
  <c r="K8" i="100"/>
  <c r="K8" i="86" s="1"/>
  <c r="R8" i="100"/>
  <c r="R8" i="86" s="1"/>
  <c r="S8" i="100"/>
  <c r="S8" i="86" s="1"/>
  <c r="T8" i="100"/>
  <c r="T8" i="86" s="1"/>
  <c r="U8" i="100"/>
  <c r="U8" i="86" s="1"/>
  <c r="V8" i="100"/>
  <c r="V8" i="86" s="1"/>
  <c r="W8" i="100"/>
  <c r="W8" i="86" s="1"/>
  <c r="X8" i="100"/>
  <c r="X8" i="86" s="1"/>
  <c r="Y8" i="100"/>
  <c r="Y8" i="86" s="1"/>
  <c r="Z8" i="100"/>
  <c r="Z8" i="86" s="1"/>
  <c r="AA8" i="100"/>
  <c r="AA8" i="86" s="1"/>
  <c r="AB8" i="100"/>
  <c r="AB8" i="86" s="1"/>
  <c r="AC8" i="100"/>
  <c r="AC8" i="86" s="1"/>
  <c r="AD8" i="100"/>
  <c r="AD8" i="86" s="1"/>
  <c r="AE8" i="100"/>
  <c r="AE8" i="86" s="1"/>
  <c r="AF8" i="100"/>
  <c r="AF8" i="86" s="1"/>
  <c r="L8" i="99" l="1"/>
  <c r="L8" i="100" s="1"/>
  <c r="L8" i="86" s="1"/>
  <c r="G66" i="41"/>
  <c r="H66" i="41"/>
  <c r="I66" i="41"/>
  <c r="J66" i="41"/>
  <c r="P65" i="41"/>
  <c r="O65" i="41"/>
  <c r="N65" i="41"/>
  <c r="M65" i="41"/>
  <c r="L65" i="41"/>
  <c r="K65" i="41"/>
  <c r="J65" i="41"/>
  <c r="I65" i="41"/>
  <c r="H65" i="41"/>
  <c r="G65" i="41"/>
  <c r="M8" i="99" l="1"/>
  <c r="N8" i="99" l="1"/>
  <c r="M8" i="100"/>
  <c r="M8" i="86" s="1"/>
  <c r="S71" i="58"/>
  <c r="T71" i="58" s="1"/>
  <c r="U71" i="58" s="1"/>
  <c r="V71" i="58" s="1"/>
  <c r="W71" i="58" s="1"/>
  <c r="X71" i="58" s="1"/>
  <c r="Y71" i="58" s="1"/>
  <c r="Z71" i="58" s="1"/>
  <c r="AA71" i="58" s="1"/>
  <c r="AB71" i="58" s="1"/>
  <c r="AC71" i="58" s="1"/>
  <c r="AD71" i="58" s="1"/>
  <c r="AE71" i="58" s="1"/>
  <c r="AF71" i="58" s="1"/>
  <c r="O8" i="99" l="1"/>
  <c r="N8" i="100"/>
  <c r="N8" i="86" s="1"/>
  <c r="P8" i="99" l="1"/>
  <c r="O8" i="100"/>
  <c r="O8" i="86" s="1"/>
  <c r="L169" i="42"/>
  <c r="M169" i="42" s="1"/>
  <c r="N169" i="42" s="1"/>
  <c r="P169" i="42" s="1"/>
  <c r="Q8" i="99" l="1"/>
  <c r="Q8" i="100" s="1"/>
  <c r="Q8" i="86" s="1"/>
  <c r="P8" i="100"/>
  <c r="P8" i="86" s="1"/>
  <c r="AF77" i="41"/>
  <c r="AE77" i="41"/>
  <c r="AD77" i="41"/>
  <c r="AC77" i="41"/>
  <c r="AB77" i="41"/>
  <c r="S77" i="41"/>
  <c r="AF161" i="41"/>
  <c r="AE161" i="41"/>
  <c r="AD161" i="41"/>
  <c r="AC161" i="41"/>
  <c r="AB161" i="41"/>
  <c r="Z192" i="41"/>
  <c r="AD192" i="41" s="1"/>
  <c r="Y192" i="41"/>
  <c r="X192" i="41"/>
  <c r="W192" i="41"/>
  <c r="V192" i="41"/>
  <c r="U192" i="41"/>
  <c r="T192" i="41"/>
  <c r="S192" i="41"/>
  <c r="Z161" i="41"/>
  <c r="Y161" i="41"/>
  <c r="X161" i="41"/>
  <c r="W161" i="41"/>
  <c r="V161" i="41"/>
  <c r="U161" i="41"/>
  <c r="T161" i="41"/>
  <c r="S161" i="41"/>
  <c r="Z133" i="41"/>
  <c r="AA133" i="41" s="1"/>
  <c r="Y133" i="41"/>
  <c r="X133" i="41"/>
  <c r="W133" i="41"/>
  <c r="V133" i="41"/>
  <c r="U133" i="41"/>
  <c r="T133" i="41"/>
  <c r="S133" i="41"/>
  <c r="AE133" i="41" l="1"/>
  <c r="AF133" i="41"/>
  <c r="AF192" i="41"/>
  <c r="AE192" i="41"/>
  <c r="AA192" i="41"/>
  <c r="AB133" i="41"/>
  <c r="AB192" i="41"/>
  <c r="AC192" i="41"/>
  <c r="AC133" i="41"/>
  <c r="AD133" i="41"/>
  <c r="P146" i="41"/>
  <c r="O146" i="41"/>
  <c r="N146" i="41"/>
  <c r="M146" i="41"/>
  <c r="L146" i="41"/>
  <c r="K146" i="41"/>
  <c r="J146" i="41"/>
  <c r="I146" i="41"/>
  <c r="H146" i="41"/>
  <c r="G146" i="41"/>
  <c r="AE11" i="100"/>
  <c r="AE11" i="86" s="1"/>
  <c r="L143" i="42"/>
  <c r="M143" i="42" s="1"/>
  <c r="N143" i="42" s="1"/>
  <c r="O143" i="42" s="1"/>
  <c r="P143" i="42" s="1"/>
  <c r="AA11" i="100"/>
  <c r="AA11" i="86" s="1"/>
  <c r="AB11" i="100"/>
  <c r="AB11" i="86" s="1"/>
  <c r="AC11" i="100"/>
  <c r="AC11" i="86" s="1"/>
  <c r="AD11" i="100"/>
  <c r="AD11" i="86" s="1"/>
  <c r="AF11" i="100"/>
  <c r="AF11" i="86" s="1"/>
  <c r="K11" i="100"/>
  <c r="K11" i="86" s="1"/>
  <c r="L11" i="99"/>
  <c r="L11" i="100" s="1"/>
  <c r="L11" i="86" s="1"/>
  <c r="M12" i="99"/>
  <c r="N12" i="99" s="1"/>
  <c r="L12" i="99"/>
  <c r="AE12" i="100"/>
  <c r="AE12" i="86" s="1"/>
  <c r="L12" i="100"/>
  <c r="L12" i="86" s="1"/>
  <c r="R12" i="100"/>
  <c r="R12" i="86" s="1"/>
  <c r="S12" i="100"/>
  <c r="S12" i="86" s="1"/>
  <c r="T12" i="100"/>
  <c r="T12" i="86" s="1"/>
  <c r="U12" i="100"/>
  <c r="U12" i="86" s="1"/>
  <c r="V12" i="100"/>
  <c r="V12" i="86" s="1"/>
  <c r="W12" i="100"/>
  <c r="W12" i="86" s="1"/>
  <c r="X12" i="100"/>
  <c r="X12" i="86" s="1"/>
  <c r="Y12" i="100"/>
  <c r="Y12" i="86" s="1"/>
  <c r="Z12" i="100"/>
  <c r="Z12" i="86" s="1"/>
  <c r="AA12" i="100"/>
  <c r="AA12" i="86" s="1"/>
  <c r="AB12" i="100"/>
  <c r="AB12" i="86" s="1"/>
  <c r="AC12" i="100"/>
  <c r="AC12" i="86" s="1"/>
  <c r="AD12" i="100"/>
  <c r="AD12" i="86" s="1"/>
  <c r="AF12" i="100"/>
  <c r="AF12" i="86" s="1"/>
  <c r="K12" i="100"/>
  <c r="K10" i="100"/>
  <c r="K10" i="86" s="1"/>
  <c r="P175" i="41"/>
  <c r="O175" i="41"/>
  <c r="N175" i="41"/>
  <c r="M175" i="41"/>
  <c r="L175" i="41"/>
  <c r="K175" i="41"/>
  <c r="J175" i="41"/>
  <c r="I175" i="41"/>
  <c r="H175" i="41"/>
  <c r="G175" i="41"/>
  <c r="N12" i="100" l="1"/>
  <c r="N12" i="86" s="1"/>
  <c r="O12" i="99"/>
  <c r="P12" i="99" s="1"/>
  <c r="M12" i="100"/>
  <c r="M12" i="86" s="1"/>
  <c r="M11" i="99"/>
  <c r="J80" i="39"/>
  <c r="K12" i="86"/>
  <c r="P12" i="100"/>
  <c r="P12" i="86" s="1"/>
  <c r="Q12" i="99"/>
  <c r="Q12" i="100" s="1"/>
  <c r="Q12" i="86" s="1"/>
  <c r="O12" i="100"/>
  <c r="O12" i="86" s="1"/>
  <c r="N11" i="99" l="1"/>
  <c r="M11" i="100"/>
  <c r="M11" i="86" s="1"/>
  <c r="N10" i="100"/>
  <c r="N10" i="86" s="1"/>
  <c r="O10" i="100"/>
  <c r="O10" i="86" s="1"/>
  <c r="P10" i="100"/>
  <c r="P10" i="86" s="1"/>
  <c r="Q10" i="100"/>
  <c r="Q10" i="86" s="1"/>
  <c r="R10" i="100"/>
  <c r="R10" i="86" s="1"/>
  <c r="S10" i="100"/>
  <c r="S10" i="86" s="1"/>
  <c r="T10" i="100"/>
  <c r="T10" i="86" s="1"/>
  <c r="U10" i="100"/>
  <c r="U10" i="86" s="1"/>
  <c r="V10" i="100"/>
  <c r="V10" i="86" s="1"/>
  <c r="W10" i="100"/>
  <c r="W10" i="86" s="1"/>
  <c r="X10" i="100"/>
  <c r="X10" i="86" s="1"/>
  <c r="Y10" i="100"/>
  <c r="Y10" i="86" s="1"/>
  <c r="Z10" i="100"/>
  <c r="Z10" i="86" s="1"/>
  <c r="AA10" i="100"/>
  <c r="AA10" i="86" s="1"/>
  <c r="AB10" i="100"/>
  <c r="AB10" i="86" s="1"/>
  <c r="AC10" i="100"/>
  <c r="AC10" i="86" s="1"/>
  <c r="AD10" i="100"/>
  <c r="AD10" i="86" s="1"/>
  <c r="AE10" i="100"/>
  <c r="AE10" i="86" s="1"/>
  <c r="AF10" i="100"/>
  <c r="AF10" i="86" s="1"/>
  <c r="O11" i="99" l="1"/>
  <c r="N11" i="100"/>
  <c r="N11" i="86" s="1"/>
  <c r="L10" i="122"/>
  <c r="M10" i="99"/>
  <c r="M10" i="100" s="1"/>
  <c r="M10" i="86" s="1"/>
  <c r="P11" i="99" l="1"/>
  <c r="O11" i="100"/>
  <c r="O11" i="86" s="1"/>
  <c r="L10" i="99"/>
  <c r="L10" i="100" s="1"/>
  <c r="L10" i="86" s="1"/>
  <c r="K10" i="120"/>
  <c r="J10" i="120"/>
  <c r="I10" i="120"/>
  <c r="H10" i="120"/>
  <c r="G10" i="120"/>
  <c r="P117" i="41"/>
  <c r="O117" i="41"/>
  <c r="N117" i="41"/>
  <c r="M117" i="41"/>
  <c r="L117" i="41"/>
  <c r="K117" i="41"/>
  <c r="J117" i="41"/>
  <c r="I117" i="41"/>
  <c r="H117" i="41"/>
  <c r="G117" i="41"/>
  <c r="Q11" i="99" l="1"/>
  <c r="P11" i="100"/>
  <c r="P11" i="86" s="1"/>
  <c r="K105" i="39"/>
  <c r="M105" i="39"/>
  <c r="M242" i="39" s="1"/>
  <c r="R11" i="99" l="1"/>
  <c r="Q11" i="100"/>
  <c r="Q11" i="86" s="1"/>
  <c r="M10" i="42"/>
  <c r="S11" i="99" l="1"/>
  <c r="R11" i="100"/>
  <c r="R11" i="86" s="1"/>
  <c r="R12" i="42"/>
  <c r="T11" i="99" l="1"/>
  <c r="S11" i="100"/>
  <c r="S11" i="86" s="1"/>
  <c r="T173" i="42"/>
  <c r="U173" i="42" s="1"/>
  <c r="V173" i="42" s="1"/>
  <c r="T148" i="42"/>
  <c r="U148" i="42" s="1"/>
  <c r="V148" i="42" s="1"/>
  <c r="Z148" i="42" s="1"/>
  <c r="AA148" i="42" s="1"/>
  <c r="AC148" i="42" s="1"/>
  <c r="AD148" i="42" s="1"/>
  <c r="AE148" i="42" s="1"/>
  <c r="AF148" i="42" s="1"/>
  <c r="T122" i="42"/>
  <c r="U122" i="42" s="1"/>
  <c r="V122" i="42" s="1"/>
  <c r="X122" i="42" s="1"/>
  <c r="Y122" i="42" s="1"/>
  <c r="Z122" i="42" s="1"/>
  <c r="AA122" i="42" s="1"/>
  <c r="AC122" i="42" s="1"/>
  <c r="AD122" i="42" s="1"/>
  <c r="AE122" i="42" s="1"/>
  <c r="AF122" i="42" s="1"/>
  <c r="U11" i="99" l="1"/>
  <c r="T11" i="100"/>
  <c r="T11" i="86" s="1"/>
  <c r="X173" i="42"/>
  <c r="Y173" i="42" s="1"/>
  <c r="Z173" i="42" s="1"/>
  <c r="AA173" i="42" s="1"/>
  <c r="AC173" i="42" s="1"/>
  <c r="AD173" i="42" s="1"/>
  <c r="AE173" i="42" s="1"/>
  <c r="AF173" i="42" s="1"/>
  <c r="V11" i="99" l="1"/>
  <c r="U11" i="100"/>
  <c r="U11" i="86" s="1"/>
  <c r="W11" i="99" l="1"/>
  <c r="V11" i="100"/>
  <c r="V11" i="86" s="1"/>
  <c r="X11" i="99" l="1"/>
  <c r="W11" i="100"/>
  <c r="W11" i="86" s="1"/>
  <c r="V15" i="31"/>
  <c r="W15" i="31" s="1"/>
  <c r="X15" i="31" s="1"/>
  <c r="Y15" i="31" s="1"/>
  <c r="Y11" i="99" l="1"/>
  <c r="X11" i="100"/>
  <c r="X11" i="86" s="1"/>
  <c r="W177" i="41"/>
  <c r="X177" i="41" s="1"/>
  <c r="Y177" i="41" s="1"/>
  <c r="Z177" i="41" s="1"/>
  <c r="AA177" i="41" s="1"/>
  <c r="AB177" i="41" s="1"/>
  <c r="AC177" i="41" s="1"/>
  <c r="AD177" i="41" s="1"/>
  <c r="AE177" i="41" s="1"/>
  <c r="AF177" i="41" s="1"/>
  <c r="U177" i="41"/>
  <c r="T177" i="41"/>
  <c r="S177" i="41"/>
  <c r="F7" i="51"/>
  <c r="G7" i="51"/>
  <c r="H7" i="51"/>
  <c r="I7" i="51"/>
  <c r="J7" i="51"/>
  <c r="K7" i="51"/>
  <c r="L7" i="51"/>
  <c r="M7" i="51"/>
  <c r="N7" i="51"/>
  <c r="O7" i="51"/>
  <c r="P7" i="51"/>
  <c r="Q7" i="51"/>
  <c r="Z11" i="99" l="1"/>
  <c r="Z11" i="100" s="1"/>
  <c r="Z11" i="86" s="1"/>
  <c r="Y11" i="100"/>
  <c r="Y11" i="86" s="1"/>
  <c r="S6" i="90"/>
  <c r="T6" i="90" s="1"/>
  <c r="U6" i="90" s="1"/>
  <c r="V6" i="90" s="1"/>
  <c r="W6" i="90" s="1"/>
  <c r="X6" i="90" s="1"/>
  <c r="Y6" i="90" s="1"/>
  <c r="Z6" i="90" s="1"/>
  <c r="AA6" i="90" s="1"/>
  <c r="AB6" i="90" s="1"/>
  <c r="AC6" i="90" s="1"/>
  <c r="AD6" i="90" s="1"/>
  <c r="AE6" i="90" s="1"/>
  <c r="X146" i="41" l="1"/>
  <c r="Y146" i="41" s="1"/>
  <c r="Z146" i="41" s="1"/>
  <c r="AA146" i="41" s="1"/>
  <c r="AB146" i="41" s="1"/>
  <c r="AC146" i="41" s="1"/>
  <c r="AD146" i="41" s="1"/>
  <c r="AE146" i="41" s="1"/>
  <c r="AF146" i="41" s="1"/>
  <c r="J19" i="79" l="1"/>
  <c r="L146" i="116"/>
  <c r="I45" i="76"/>
  <c r="I45" i="19" l="1"/>
  <c r="P6" i="126"/>
  <c r="O6" i="126"/>
  <c r="O383" i="39" s="1"/>
  <c r="N6" i="126"/>
  <c r="N383" i="39" s="1"/>
  <c r="M6" i="126"/>
  <c r="M383" i="39" s="1"/>
  <c r="L6" i="126"/>
  <c r="L383" i="39" s="1"/>
  <c r="K6" i="126"/>
  <c r="K383" i="39" s="1"/>
  <c r="J6" i="126"/>
  <c r="J383" i="39" s="1"/>
  <c r="I6" i="126"/>
  <c r="I383" i="39" s="1"/>
  <c r="H6" i="126"/>
  <c r="H383" i="39" s="1"/>
  <c r="G6" i="126"/>
  <c r="G383" i="39" s="1"/>
  <c r="F6" i="126"/>
  <c r="F383" i="39" s="1"/>
  <c r="P383" i="39" l="1"/>
  <c r="C9" i="128"/>
  <c r="B6" i="126"/>
  <c r="AE6" i="126" s="1"/>
  <c r="AE383" i="39" s="1"/>
  <c r="B17" i="128"/>
  <c r="Q6" i="126"/>
  <c r="W119" i="41"/>
  <c r="X119" i="41" s="1"/>
  <c r="Y119" i="41" s="1"/>
  <c r="Z119" i="41" s="1"/>
  <c r="AA119" i="41" s="1"/>
  <c r="AB119" i="41" s="1"/>
  <c r="AC119" i="41" s="1"/>
  <c r="AD119" i="41" s="1"/>
  <c r="AE119" i="41" s="1"/>
  <c r="AF119" i="41" s="1"/>
  <c r="Q383" i="39" l="1"/>
  <c r="D9" i="128"/>
  <c r="U6" i="126"/>
  <c r="C6" i="126"/>
  <c r="W6" i="126"/>
  <c r="V6" i="126"/>
  <c r="S6" i="126"/>
  <c r="E6" i="126"/>
  <c r="Y6" i="126"/>
  <c r="AA6" i="126"/>
  <c r="AA383" i="39" s="1"/>
  <c r="AC6" i="126"/>
  <c r="AC383" i="39" s="1"/>
  <c r="D6" i="126"/>
  <c r="M21" i="75" s="1"/>
  <c r="Z6" i="126"/>
  <c r="R6" i="126"/>
  <c r="AB6" i="126"/>
  <c r="AB383" i="39" s="1"/>
  <c r="X6" i="126"/>
  <c r="AD6" i="126"/>
  <c r="AD383" i="39" s="1"/>
  <c r="T6" i="126"/>
  <c r="M146" i="116"/>
  <c r="V383" i="39" l="1"/>
  <c r="I9" i="128"/>
  <c r="R383" i="39"/>
  <c r="E9" i="128"/>
  <c r="W383" i="39"/>
  <c r="J9" i="128"/>
  <c r="X383" i="39"/>
  <c r="K9" i="128"/>
  <c r="Z383" i="39"/>
  <c r="M9" i="128"/>
  <c r="U383" i="39"/>
  <c r="H9" i="128"/>
  <c r="T383" i="39"/>
  <c r="G9" i="128"/>
  <c r="S383" i="39"/>
  <c r="F9" i="128"/>
  <c r="Y383" i="39"/>
  <c r="L9" i="128"/>
  <c r="J45" i="19"/>
  <c r="M45" i="74"/>
  <c r="T10" i="87"/>
  <c r="T12" i="87" s="1"/>
  <c r="S10" i="87"/>
  <c r="S11" i="87" s="1"/>
  <c r="R10" i="87"/>
  <c r="R11" i="87" s="1"/>
  <c r="T9" i="87" l="1"/>
  <c r="T11" i="87"/>
  <c r="S9" i="87"/>
  <c r="S12" i="87"/>
  <c r="R12" i="87"/>
  <c r="R9" i="87"/>
  <c r="AF13" i="97" l="1"/>
  <c r="L316" i="39" l="1"/>
  <c r="M316" i="39"/>
  <c r="N316" i="39"/>
  <c r="L317" i="39"/>
  <c r="M317" i="39"/>
  <c r="N317" i="39"/>
  <c r="O321" i="39"/>
  <c r="O320" i="39"/>
  <c r="O319" i="39"/>
  <c r="O318" i="39"/>
  <c r="O317" i="39"/>
  <c r="O316" i="39"/>
  <c r="O315" i="39"/>
  <c r="AD12" i="22" l="1"/>
  <c r="AC12" i="22"/>
  <c r="AB12" i="22"/>
  <c r="AA12" i="22"/>
  <c r="Z12" i="22"/>
  <c r="Y12" i="22"/>
  <c r="X12" i="22"/>
  <c r="W12" i="22"/>
  <c r="V12" i="22"/>
  <c r="U12" i="22"/>
  <c r="T12" i="22"/>
  <c r="S12" i="22"/>
  <c r="R12" i="22"/>
  <c r="D12" i="22" s="1"/>
  <c r="Q12" i="22"/>
  <c r="P12" i="22"/>
  <c r="Q16" i="58" l="1"/>
  <c r="O6" i="108" l="1"/>
  <c r="O13" i="97" s="1"/>
  <c r="Q172" i="58"/>
  <c r="R172" i="58"/>
  <c r="S172" i="58"/>
  <c r="T172" i="58"/>
  <c r="U172" i="58"/>
  <c r="V172" i="58"/>
  <c r="W172" i="58"/>
  <c r="X172" i="58"/>
  <c r="Y172" i="58"/>
  <c r="Z172" i="58"/>
  <c r="AA172" i="58"/>
  <c r="AB172" i="58"/>
  <c r="AC172" i="58"/>
  <c r="AD172" i="58"/>
  <c r="AE172" i="58"/>
  <c r="Q173" i="58"/>
  <c r="R173" i="58"/>
  <c r="S173" i="58"/>
  <c r="T173" i="58"/>
  <c r="U173" i="58"/>
  <c r="V173" i="58"/>
  <c r="W173" i="58"/>
  <c r="X173" i="58"/>
  <c r="Y173" i="58"/>
  <c r="Z173" i="58"/>
  <c r="AA173" i="58"/>
  <c r="AB173" i="58"/>
  <c r="AC173" i="58"/>
  <c r="AD173" i="58"/>
  <c r="AE173" i="58"/>
  <c r="AF173" i="58"/>
  <c r="AF172" i="58"/>
  <c r="Q174" i="58"/>
  <c r="AF174" i="58" s="1"/>
  <c r="Q147" i="58"/>
  <c r="Q146" i="58"/>
  <c r="R146" i="58"/>
  <c r="S146" i="58"/>
  <c r="T146" i="58"/>
  <c r="U146" i="58"/>
  <c r="V146" i="58"/>
  <c r="W146" i="58"/>
  <c r="X146" i="58"/>
  <c r="Y146" i="58"/>
  <c r="Z146" i="58"/>
  <c r="AA146" i="58"/>
  <c r="AB146" i="58"/>
  <c r="AC146" i="58"/>
  <c r="AD146" i="58"/>
  <c r="AE146" i="58"/>
  <c r="R147" i="58"/>
  <c r="S147" i="58"/>
  <c r="T147" i="58"/>
  <c r="U147" i="58"/>
  <c r="V147" i="58"/>
  <c r="W147" i="58"/>
  <c r="X147" i="58"/>
  <c r="Y147" i="58"/>
  <c r="Z147" i="58"/>
  <c r="AA147" i="58"/>
  <c r="AB147" i="58"/>
  <c r="AC147" i="58"/>
  <c r="AD147" i="58"/>
  <c r="AE147" i="58"/>
  <c r="AF147" i="58"/>
  <c r="AF146" i="58"/>
  <c r="S148" i="58"/>
  <c r="R148" i="58"/>
  <c r="Q148" i="58"/>
  <c r="AF148" i="58" s="1"/>
  <c r="Q121" i="58"/>
  <c r="Q120" i="58"/>
  <c r="R120" i="58"/>
  <c r="S120" i="58"/>
  <c r="T120" i="58"/>
  <c r="U120" i="58"/>
  <c r="V120" i="58"/>
  <c r="W120" i="58"/>
  <c r="X120" i="58"/>
  <c r="Y120" i="58"/>
  <c r="Z120" i="58"/>
  <c r="AA120" i="58"/>
  <c r="AB120" i="58"/>
  <c r="AC120" i="58"/>
  <c r="AD120" i="58"/>
  <c r="AE120" i="58"/>
  <c r="R121" i="58"/>
  <c r="S121" i="58"/>
  <c r="T121" i="58"/>
  <c r="U121" i="58"/>
  <c r="V121" i="58"/>
  <c r="W121" i="58"/>
  <c r="X121" i="58"/>
  <c r="Y121" i="58"/>
  <c r="Z121" i="58"/>
  <c r="AA121" i="58"/>
  <c r="AB121" i="58"/>
  <c r="AC121" i="58"/>
  <c r="AD121" i="58"/>
  <c r="AE121" i="58"/>
  <c r="AF121" i="58"/>
  <c r="AF120" i="58"/>
  <c r="Q122" i="58"/>
  <c r="Q93" i="58"/>
  <c r="R93" i="58"/>
  <c r="S93" i="58"/>
  <c r="T93" i="58"/>
  <c r="U93" i="58"/>
  <c r="V93" i="58"/>
  <c r="W93" i="58"/>
  <c r="X93" i="58"/>
  <c r="Y93" i="58"/>
  <c r="Z93" i="58"/>
  <c r="AA93" i="58"/>
  <c r="AB93" i="58"/>
  <c r="AC93" i="58"/>
  <c r="AD93" i="58"/>
  <c r="AE93" i="58"/>
  <c r="Q92" i="58"/>
  <c r="R92" i="58"/>
  <c r="S92" i="58"/>
  <c r="T92" i="58"/>
  <c r="U92" i="58"/>
  <c r="V92" i="58"/>
  <c r="W92" i="58"/>
  <c r="X92" i="58"/>
  <c r="Y92" i="58"/>
  <c r="Z92" i="58"/>
  <c r="AA92" i="58"/>
  <c r="AB92" i="58"/>
  <c r="AC92" i="58"/>
  <c r="AD92" i="58"/>
  <c r="AE92" i="58"/>
  <c r="Q94" i="58"/>
  <c r="Q69" i="58"/>
  <c r="Q68" i="58"/>
  <c r="R68" i="58"/>
  <c r="S68" i="58"/>
  <c r="T68" i="58"/>
  <c r="U68" i="58"/>
  <c r="V68" i="58"/>
  <c r="W68" i="58"/>
  <c r="X68" i="58"/>
  <c r="Y68" i="58"/>
  <c r="Z68" i="58"/>
  <c r="AA68" i="58"/>
  <c r="AB68" i="58"/>
  <c r="AC68" i="58"/>
  <c r="AD68" i="58"/>
  <c r="AE68" i="58"/>
  <c r="R69" i="58"/>
  <c r="S69" i="58"/>
  <c r="T69" i="58"/>
  <c r="U69" i="58"/>
  <c r="V69" i="58"/>
  <c r="W69" i="58"/>
  <c r="X69" i="58"/>
  <c r="Y69" i="58"/>
  <c r="Z69" i="58"/>
  <c r="AA69" i="58"/>
  <c r="AB69" i="58"/>
  <c r="AC69" i="58"/>
  <c r="AD69" i="58"/>
  <c r="AE69" i="58"/>
  <c r="AF69" i="58"/>
  <c r="AF68" i="58"/>
  <c r="Q41" i="58"/>
  <c r="Q40" i="58"/>
  <c r="Q15" i="58"/>
  <c r="AD15" i="58"/>
  <c r="AD14" i="58"/>
  <c r="AE14" i="58"/>
  <c r="AF14" i="58"/>
  <c r="Q70" i="58"/>
  <c r="AF70" i="58" s="1"/>
  <c r="S70" i="58" s="1"/>
  <c r="Q42" i="58"/>
  <c r="AF42" i="58" s="1"/>
  <c r="AF122" i="58" l="1"/>
  <c r="T122" i="58" s="1"/>
  <c r="R10" i="22"/>
  <c r="R11" i="22"/>
  <c r="T70" i="58"/>
  <c r="AC122" i="58"/>
  <c r="Z70" i="58"/>
  <c r="AF94" i="58"/>
  <c r="T94" i="58" s="1"/>
  <c r="AC94" i="58"/>
  <c r="W174" i="58"/>
  <c r="AE174" i="58"/>
  <c r="AB174" i="58"/>
  <c r="S174" i="58"/>
  <c r="AA174" i="58"/>
  <c r="T174" i="58"/>
  <c r="X174" i="58"/>
  <c r="R174" i="58"/>
  <c r="W70" i="58"/>
  <c r="AC174" i="58"/>
  <c r="AD70" i="58"/>
  <c r="V70" i="58"/>
  <c r="Y174" i="58"/>
  <c r="AE70" i="58"/>
  <c r="AA70" i="58"/>
  <c r="W122" i="58"/>
  <c r="V174" i="58"/>
  <c r="U174" i="58"/>
  <c r="Y70" i="58"/>
  <c r="AC70" i="58"/>
  <c r="U70" i="58"/>
  <c r="R70" i="58"/>
  <c r="AB70" i="58"/>
  <c r="X70" i="58"/>
  <c r="AD122" i="58"/>
  <c r="AD174" i="58"/>
  <c r="Z174" i="58"/>
  <c r="AF16" i="58"/>
  <c r="S16" i="58" s="1"/>
  <c r="R41" i="58"/>
  <c r="S41" i="58"/>
  <c r="T41" i="58"/>
  <c r="U41" i="58"/>
  <c r="V41" i="58"/>
  <c r="W41" i="58"/>
  <c r="X41" i="58"/>
  <c r="Y41" i="58"/>
  <c r="Z41" i="58"/>
  <c r="AA41" i="58"/>
  <c r="AB41" i="58"/>
  <c r="AC41" i="58"/>
  <c r="AD41" i="58"/>
  <c r="AE41" i="58"/>
  <c r="R40" i="58"/>
  <c r="S40" i="58"/>
  <c r="T40" i="58"/>
  <c r="U40" i="58"/>
  <c r="V40" i="58"/>
  <c r="W40" i="58"/>
  <c r="X40" i="58"/>
  <c r="Y40" i="58"/>
  <c r="Z40" i="58"/>
  <c r="AA40" i="58"/>
  <c r="AB40" i="58"/>
  <c r="AC40" i="58"/>
  <c r="AD40" i="58"/>
  <c r="AE40" i="58"/>
  <c r="R15" i="58"/>
  <c r="S15" i="58"/>
  <c r="T15" i="58"/>
  <c r="U15" i="58"/>
  <c r="V15" i="58"/>
  <c r="W15" i="58"/>
  <c r="X15" i="58"/>
  <c r="Y15" i="58"/>
  <c r="Z15" i="58"/>
  <c r="AA15" i="58"/>
  <c r="AB15" i="58"/>
  <c r="AC15" i="58"/>
  <c r="AE15" i="58"/>
  <c r="Q14" i="58"/>
  <c r="R14" i="58"/>
  <c r="S14" i="58"/>
  <c r="T14" i="58"/>
  <c r="U14" i="58"/>
  <c r="V14" i="58"/>
  <c r="W14" i="58"/>
  <c r="X14" i="58"/>
  <c r="Y14" i="58"/>
  <c r="Z14" i="58"/>
  <c r="AA14" i="58"/>
  <c r="AB14" i="58"/>
  <c r="AC14" i="58"/>
  <c r="S11" i="22" l="1"/>
  <c r="T11" i="22" s="1"/>
  <c r="U11" i="22" s="1"/>
  <c r="V11" i="22" s="1"/>
  <c r="W11" i="22" s="1"/>
  <c r="X11" i="22" s="1"/>
  <c r="Y11" i="22" s="1"/>
  <c r="Z11" i="22" s="1"/>
  <c r="AA11" i="22" s="1"/>
  <c r="AB11" i="22" s="1"/>
  <c r="AC11" i="22" s="1"/>
  <c r="AD11" i="22" s="1"/>
  <c r="D11" i="22"/>
  <c r="S10" i="22"/>
  <c r="T10" i="22" s="1"/>
  <c r="U10" i="22" s="1"/>
  <c r="V10" i="22" s="1"/>
  <c r="W10" i="22" s="1"/>
  <c r="X10" i="22" s="1"/>
  <c r="Y10" i="22" s="1"/>
  <c r="Z10" i="22" s="1"/>
  <c r="AA10" i="22" s="1"/>
  <c r="AB10" i="22" s="1"/>
  <c r="AC10" i="22" s="1"/>
  <c r="AD10" i="22" s="1"/>
  <c r="D10" i="22"/>
  <c r="AD94" i="58"/>
  <c r="AA94" i="58"/>
  <c r="Z122" i="58"/>
  <c r="U122" i="58"/>
  <c r="AA122" i="58"/>
  <c r="AB122" i="58"/>
  <c r="R122" i="58"/>
  <c r="S122" i="58"/>
  <c r="V122" i="58"/>
  <c r="Y122" i="58"/>
  <c r="AE122" i="58"/>
  <c r="S94" i="58"/>
  <c r="V94" i="58"/>
  <c r="R94" i="58"/>
  <c r="Z94" i="58"/>
  <c r="X122" i="58"/>
  <c r="AB94" i="58"/>
  <c r="W94" i="58"/>
  <c r="Y94" i="58"/>
  <c r="X94" i="58"/>
  <c r="AE94" i="58"/>
  <c r="U94" i="58"/>
  <c r="AE16" i="58"/>
  <c r="Z16" i="58"/>
  <c r="W16" i="58"/>
  <c r="T16" i="58"/>
  <c r="AD16" i="58"/>
  <c r="V16" i="58"/>
  <c r="AA16" i="58"/>
  <c r="AC16" i="58"/>
  <c r="Y16" i="58"/>
  <c r="U16" i="58"/>
  <c r="R16" i="58"/>
  <c r="AB16" i="58"/>
  <c r="X16" i="58"/>
  <c r="AF92" i="58"/>
  <c r="I22" i="74"/>
  <c r="I21" i="74"/>
  <c r="X157" i="41" l="1"/>
  <c r="Y157" i="41"/>
  <c r="Z157" i="41"/>
  <c r="AA157" i="41"/>
  <c r="AB157" i="41"/>
  <c r="AC157" i="41"/>
  <c r="AD157" i="41"/>
  <c r="AE157" i="41"/>
  <c r="AF157" i="41"/>
  <c r="X158" i="41"/>
  <c r="Y158" i="41"/>
  <c r="Z158" i="41"/>
  <c r="AA158" i="41"/>
  <c r="AB158" i="41"/>
  <c r="AC158" i="41"/>
  <c r="AD158" i="41"/>
  <c r="AE158" i="41"/>
  <c r="AF158" i="41"/>
  <c r="X159" i="41"/>
  <c r="Y159" i="41"/>
  <c r="Z159" i="41"/>
  <c r="AA159" i="41"/>
  <c r="AB159" i="41"/>
  <c r="AC159" i="41"/>
  <c r="AD159" i="41"/>
  <c r="AE159" i="41"/>
  <c r="AF159" i="41"/>
  <c r="U226" i="80"/>
  <c r="W143" i="42"/>
  <c r="X143" i="42" s="1"/>
  <c r="Y143" i="42" s="1"/>
  <c r="Z143" i="42" s="1"/>
  <c r="AA143" i="42" s="1"/>
  <c r="AB143" i="42" s="1"/>
  <c r="AC143" i="42" s="1"/>
  <c r="AD143" i="42" s="1"/>
  <c r="AE143" i="42" s="1"/>
  <c r="X121" i="42"/>
  <c r="Y121" i="42" s="1"/>
  <c r="Z121" i="42" s="1"/>
  <c r="AA121" i="42" s="1"/>
  <c r="AB121" i="42" s="1"/>
  <c r="AC121" i="42" s="1"/>
  <c r="AD121" i="42" s="1"/>
  <c r="AE121" i="42" s="1"/>
  <c r="X117" i="42"/>
  <c r="Y117" i="42" s="1"/>
  <c r="Z117" i="42" s="1"/>
  <c r="AA117" i="42" s="1"/>
  <c r="AB117" i="42" s="1"/>
  <c r="X147" i="42"/>
  <c r="Y147" i="42" s="1"/>
  <c r="Z147" i="42" s="1"/>
  <c r="AA147" i="42" s="1"/>
  <c r="AB147" i="42" s="1"/>
  <c r="AC147" i="42" s="1"/>
  <c r="AD147" i="42" s="1"/>
  <c r="AE147" i="42" s="1"/>
  <c r="AC117" i="42" l="1"/>
  <c r="AD117" i="42" s="1"/>
  <c r="AE117" i="42" s="1"/>
  <c r="X171" i="42" l="1"/>
  <c r="Y171" i="42" s="1"/>
  <c r="Z171" i="42" s="1"/>
  <c r="AA171" i="42" s="1"/>
  <c r="AB171" i="42" s="1"/>
  <c r="AC171" i="42" s="1"/>
  <c r="AD171" i="42" s="1"/>
  <c r="AE171" i="42" s="1"/>
  <c r="Q130" i="122"/>
  <c r="R130" i="122"/>
  <c r="S130" i="122"/>
  <c r="T130" i="122"/>
  <c r="U130" i="122"/>
  <c r="V130" i="122"/>
  <c r="W130" i="122"/>
  <c r="X130" i="122"/>
  <c r="Y130" i="122"/>
  <c r="Z130" i="122"/>
  <c r="AA130" i="122"/>
  <c r="AB130" i="122"/>
  <c r="AC130" i="122"/>
  <c r="AD130" i="122"/>
  <c r="AE130" i="122"/>
  <c r="AF130" i="122"/>
  <c r="X172" i="42"/>
  <c r="Y172" i="42" s="1"/>
  <c r="Z172" i="42" s="1"/>
  <c r="AA172" i="42" s="1"/>
  <c r="AB172" i="42" s="1"/>
  <c r="AC172" i="42" s="1"/>
  <c r="AD172" i="42" s="1"/>
  <c r="AE172" i="42" s="1"/>
  <c r="X169" i="42"/>
  <c r="Y169" i="42" s="1"/>
  <c r="Z169" i="42" s="1"/>
  <c r="AA169" i="42" s="1"/>
  <c r="AB169" i="42" s="1"/>
  <c r="AC169" i="42" s="1"/>
  <c r="AD169" i="42" s="1"/>
  <c r="AE169" i="42" s="1"/>
  <c r="X146" i="42"/>
  <c r="Y146" i="42" s="1"/>
  <c r="Z146" i="42" s="1"/>
  <c r="AA146" i="42" s="1"/>
  <c r="AB146" i="42" s="1"/>
  <c r="AC146" i="42" s="1"/>
  <c r="AD146" i="42" s="1"/>
  <c r="AE146" i="42" s="1"/>
  <c r="X145" i="42"/>
  <c r="Y145" i="42" s="1"/>
  <c r="Z145" i="42" s="1"/>
  <c r="AA145" i="42" s="1"/>
  <c r="AB145" i="42" s="1"/>
  <c r="AC145" i="42" s="1"/>
  <c r="AD145" i="42" s="1"/>
  <c r="AE145" i="42" s="1"/>
  <c r="S6" i="33" l="1"/>
  <c r="T6" i="33" s="1"/>
  <c r="U6" i="33" s="1"/>
  <c r="V6" i="33" s="1"/>
  <c r="W6" i="33" s="1"/>
  <c r="X6" i="33" s="1"/>
  <c r="Y6" i="33" s="1"/>
  <c r="Z6" i="33" s="1"/>
  <c r="AA6" i="33" s="1"/>
  <c r="AB6" i="33" s="1"/>
  <c r="AC6" i="33" s="1"/>
  <c r="AD6" i="33" s="1"/>
  <c r="AE6" i="33" s="1"/>
  <c r="S7" i="49"/>
  <c r="T7" i="49" s="1"/>
  <c r="U7" i="49" s="1"/>
  <c r="V7" i="49" s="1"/>
  <c r="W7" i="49" s="1"/>
  <c r="X7" i="49" s="1"/>
  <c r="Y7" i="49" s="1"/>
  <c r="Z7" i="49" s="1"/>
  <c r="AA7" i="49" s="1"/>
  <c r="AB7" i="49" s="1"/>
  <c r="AC7" i="49" s="1"/>
  <c r="AD7" i="49" s="1"/>
  <c r="AE7" i="49" s="1"/>
  <c r="Q7" i="91"/>
  <c r="S7" i="91" s="1"/>
  <c r="T7" i="91" s="1"/>
  <c r="U7" i="91" s="1"/>
  <c r="V7" i="91" s="1"/>
  <c r="W7" i="91" s="1"/>
  <c r="X7" i="91" s="1"/>
  <c r="Y7" i="91" s="1"/>
  <c r="Z7" i="91" s="1"/>
  <c r="AA7" i="91" s="1"/>
  <c r="AB7" i="91" s="1"/>
  <c r="AC7" i="91" s="1"/>
  <c r="AD7" i="91" s="1"/>
  <c r="AE7" i="91" s="1"/>
  <c r="M6" i="87"/>
  <c r="N6" i="87"/>
  <c r="O6" i="87"/>
  <c r="N6" i="52"/>
  <c r="G6" i="52"/>
  <c r="B18" i="29" l="1"/>
  <c r="D18" i="29" s="1"/>
  <c r="B17" i="29"/>
  <c r="D17" i="29" s="1"/>
  <c r="B16" i="29"/>
  <c r="D16" i="29" s="1"/>
  <c r="B15" i="29"/>
  <c r="D15" i="29" s="1"/>
  <c r="B14" i="29"/>
  <c r="D14" i="29" s="1"/>
  <c r="B13" i="29"/>
  <c r="D13" i="29" s="1"/>
  <c r="B12" i="29"/>
  <c r="D12" i="29" s="1"/>
  <c r="B11" i="29"/>
  <c r="D11" i="29" s="1"/>
  <c r="B10" i="29"/>
  <c r="D10" i="29" s="1"/>
  <c r="B9" i="29"/>
  <c r="D9" i="29" s="1"/>
  <c r="B8" i="29"/>
  <c r="D8" i="29" s="1"/>
  <c r="E8" i="29" s="1"/>
  <c r="H102" i="116" l="1"/>
  <c r="G102" i="116"/>
  <c r="F102" i="116"/>
  <c r="E102" i="116"/>
  <c r="V23" i="75"/>
  <c r="U23" i="75"/>
  <c r="T23" i="75"/>
  <c r="S23" i="75"/>
  <c r="V37" i="74"/>
  <c r="U37" i="74"/>
  <c r="T37" i="74"/>
  <c r="S37" i="74"/>
  <c r="AE148" i="58"/>
  <c r="AD148" i="58"/>
  <c r="AC148" i="58"/>
  <c r="AB148" i="58"/>
  <c r="AA148" i="58"/>
  <c r="Z148" i="58"/>
  <c r="Y148" i="58"/>
  <c r="X148" i="58"/>
  <c r="W148" i="58"/>
  <c r="V148" i="58"/>
  <c r="U148" i="58"/>
  <c r="T148" i="58"/>
  <c r="O12" i="41" l="1"/>
  <c r="M12" i="41"/>
  <c r="L12" i="41"/>
  <c r="K12" i="41"/>
  <c r="J12" i="41"/>
  <c r="I12" i="41"/>
  <c r="H12" i="41"/>
  <c r="G12" i="41"/>
  <c r="O11" i="41"/>
  <c r="M11" i="41"/>
  <c r="L11" i="41"/>
  <c r="K11" i="41"/>
  <c r="J11" i="41"/>
  <c r="I11" i="41"/>
  <c r="H11" i="41"/>
  <c r="G11" i="41"/>
  <c r="O10" i="41"/>
  <c r="M10" i="41"/>
  <c r="L10" i="41"/>
  <c r="K10" i="41"/>
  <c r="J10" i="41"/>
  <c r="I10" i="41"/>
  <c r="H10" i="41"/>
  <c r="G10" i="41"/>
  <c r="O9" i="41"/>
  <c r="N9" i="41"/>
  <c r="M9" i="41"/>
  <c r="L9" i="41"/>
  <c r="K9" i="41"/>
  <c r="J9" i="41"/>
  <c r="I9" i="41"/>
  <c r="H9" i="41"/>
  <c r="G9" i="41"/>
  <c r="O8" i="41"/>
  <c r="N8" i="41"/>
  <c r="M8" i="41"/>
  <c r="L8" i="41"/>
  <c r="K8" i="41"/>
  <c r="J8" i="41"/>
  <c r="I8" i="41"/>
  <c r="H8" i="41"/>
  <c r="G8" i="41"/>
  <c r="O7" i="41"/>
  <c r="N7" i="41"/>
  <c r="M7" i="41"/>
  <c r="L7" i="41"/>
  <c r="K7" i="41"/>
  <c r="J7" i="41"/>
  <c r="I7" i="41"/>
  <c r="H7" i="41"/>
  <c r="G7" i="41"/>
  <c r="O6" i="41"/>
  <c r="N6" i="41"/>
  <c r="M6" i="41"/>
  <c r="L6" i="41"/>
  <c r="K6" i="41"/>
  <c r="J6" i="41"/>
  <c r="I6" i="41"/>
  <c r="H6" i="41"/>
  <c r="G6" i="41"/>
  <c r="I3" i="51"/>
  <c r="D15" i="51" l="1"/>
  <c r="D17" i="51" s="1"/>
  <c r="C15" i="51"/>
  <c r="P12" i="48"/>
  <c r="I16" i="51" l="1"/>
  <c r="I17" i="51" s="1"/>
  <c r="M17" i="51"/>
  <c r="Q17" i="51"/>
  <c r="N17" i="51"/>
  <c r="J17" i="51"/>
  <c r="K17" i="51"/>
  <c r="O17" i="51"/>
  <c r="L17" i="51"/>
  <c r="P17" i="51"/>
  <c r="C17" i="51"/>
  <c r="F16" i="51" s="1"/>
  <c r="E17" i="51" l="1"/>
  <c r="F17" i="51"/>
  <c r="H17" i="51"/>
  <c r="G17" i="51"/>
  <c r="N12" i="41" l="1"/>
  <c r="N11" i="41"/>
  <c r="N10" i="41"/>
  <c r="G44" i="39" l="1"/>
  <c r="F43" i="39"/>
  <c r="G42" i="39"/>
  <c r="F42" i="39"/>
  <c r="G40" i="39"/>
  <c r="F39" i="39"/>
  <c r="G38" i="39"/>
  <c r="F38" i="39"/>
  <c r="AE44" i="39"/>
  <c r="AD44" i="39"/>
  <c r="AC44" i="39"/>
  <c r="AB44" i="39"/>
  <c r="AA44" i="39"/>
  <c r="Z44" i="39"/>
  <c r="Y44" i="39"/>
  <c r="X44" i="39"/>
  <c r="W44" i="39"/>
  <c r="V44" i="39"/>
  <c r="U44" i="39"/>
  <c r="T44" i="39"/>
  <c r="S44" i="39"/>
  <c r="R44" i="39"/>
  <c r="Q44" i="39"/>
  <c r="P44" i="39"/>
  <c r="O44" i="39"/>
  <c r="N44" i="39"/>
  <c r="M44" i="39"/>
  <c r="L44" i="39"/>
  <c r="K44" i="39"/>
  <c r="J44" i="39"/>
  <c r="I44" i="39"/>
  <c r="H44" i="39"/>
  <c r="F44" i="39"/>
  <c r="AE43" i="39"/>
  <c r="AD43" i="39"/>
  <c r="AC43" i="39"/>
  <c r="AB43" i="39"/>
  <c r="AA43" i="39"/>
  <c r="Z43" i="39"/>
  <c r="Y43" i="39"/>
  <c r="X43" i="39"/>
  <c r="W43" i="39"/>
  <c r="V43" i="39"/>
  <c r="U43" i="39"/>
  <c r="T43" i="39"/>
  <c r="S43" i="39"/>
  <c r="R43" i="39"/>
  <c r="Q43" i="39"/>
  <c r="P43" i="39"/>
  <c r="O43" i="39"/>
  <c r="N43" i="39"/>
  <c r="M43" i="39"/>
  <c r="L43" i="39"/>
  <c r="K43" i="39"/>
  <c r="J43" i="39"/>
  <c r="I43" i="39"/>
  <c r="H43" i="39"/>
  <c r="G43" i="39"/>
  <c r="AE42" i="39"/>
  <c r="AD42" i="39"/>
  <c r="AC42" i="39"/>
  <c r="AB42" i="39"/>
  <c r="AA42" i="39"/>
  <c r="Z42" i="39"/>
  <c r="Y42" i="39"/>
  <c r="X42" i="39"/>
  <c r="W42" i="39"/>
  <c r="V42" i="39"/>
  <c r="U42" i="39"/>
  <c r="T42" i="39"/>
  <c r="S42" i="39"/>
  <c r="R42" i="39"/>
  <c r="Q42" i="39"/>
  <c r="P42" i="39"/>
  <c r="O42" i="39"/>
  <c r="N42" i="39"/>
  <c r="M42" i="39"/>
  <c r="L42" i="39"/>
  <c r="K42" i="39"/>
  <c r="J42" i="39"/>
  <c r="I42" i="39"/>
  <c r="H42"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AE40" i="39"/>
  <c r="AD40" i="39"/>
  <c r="AC40" i="39"/>
  <c r="AB40" i="39"/>
  <c r="AA40" i="39"/>
  <c r="Z40" i="39"/>
  <c r="Y40" i="39"/>
  <c r="X40" i="39"/>
  <c r="W40" i="39"/>
  <c r="V40" i="39"/>
  <c r="U40" i="39"/>
  <c r="T40" i="39"/>
  <c r="S40" i="39"/>
  <c r="R40" i="39"/>
  <c r="Q40" i="39"/>
  <c r="P40" i="39"/>
  <c r="O40" i="39"/>
  <c r="N40" i="39"/>
  <c r="M40" i="39"/>
  <c r="L40" i="39"/>
  <c r="K40" i="39"/>
  <c r="J40" i="39"/>
  <c r="I40" i="39"/>
  <c r="H40" i="39"/>
  <c r="F40" i="39"/>
  <c r="AE39" i="39"/>
  <c r="AD39" i="39"/>
  <c r="AC39" i="39"/>
  <c r="AB39" i="39"/>
  <c r="AA39" i="39"/>
  <c r="Z39" i="39"/>
  <c r="Y39" i="39"/>
  <c r="X39" i="39"/>
  <c r="W39" i="39"/>
  <c r="V39" i="39"/>
  <c r="U39" i="39"/>
  <c r="T39" i="39"/>
  <c r="S39" i="39"/>
  <c r="R39" i="39"/>
  <c r="Q39" i="39"/>
  <c r="P39" i="39"/>
  <c r="O39" i="39"/>
  <c r="N39" i="39"/>
  <c r="M39" i="39"/>
  <c r="L39" i="39"/>
  <c r="K39" i="39"/>
  <c r="J39" i="39"/>
  <c r="I39" i="39"/>
  <c r="H39" i="39"/>
  <c r="G39" i="39"/>
  <c r="AE38" i="39"/>
  <c r="AD38" i="39"/>
  <c r="AC38" i="39"/>
  <c r="AB38" i="39"/>
  <c r="AA38" i="39"/>
  <c r="Z38" i="39"/>
  <c r="Y38" i="39"/>
  <c r="X38" i="39"/>
  <c r="W38" i="39"/>
  <c r="V38" i="39"/>
  <c r="U38" i="39"/>
  <c r="T38" i="39"/>
  <c r="S38" i="39"/>
  <c r="R38" i="39"/>
  <c r="Q38" i="39"/>
  <c r="P38" i="39"/>
  <c r="O38" i="39"/>
  <c r="N38" i="39"/>
  <c r="M38" i="39"/>
  <c r="L38" i="39"/>
  <c r="K38" i="39"/>
  <c r="J38" i="39"/>
  <c r="I38" i="39"/>
  <c r="H38" i="39"/>
  <c r="D44" i="39"/>
  <c r="C44" i="39"/>
  <c r="B44" i="39"/>
  <c r="D43" i="39"/>
  <c r="C43" i="39"/>
  <c r="B43" i="39"/>
  <c r="D42" i="39"/>
  <c r="C42" i="39"/>
  <c r="B42" i="39"/>
  <c r="D41" i="39"/>
  <c r="C41" i="39"/>
  <c r="B41" i="39"/>
  <c r="D40" i="39"/>
  <c r="C40" i="39"/>
  <c r="B40" i="39"/>
  <c r="D39" i="39"/>
  <c r="C39" i="39"/>
  <c r="B39" i="39"/>
  <c r="D38" i="39"/>
  <c r="C38" i="39"/>
  <c r="B38" i="39"/>
  <c r="AE127" i="39"/>
  <c r="AD127" i="39"/>
  <c r="AC127" i="39"/>
  <c r="AB127" i="39"/>
  <c r="AA127" i="39"/>
  <c r="Z127" i="39"/>
  <c r="Y127" i="39"/>
  <c r="X127" i="39"/>
  <c r="W127" i="39"/>
  <c r="V127" i="39"/>
  <c r="U127" i="39"/>
  <c r="T127" i="39"/>
  <c r="S127" i="39"/>
  <c r="R127" i="39"/>
  <c r="Q127" i="39"/>
  <c r="P127" i="39"/>
  <c r="O127" i="39"/>
  <c r="AE126" i="39"/>
  <c r="AD126" i="39"/>
  <c r="AC126" i="39"/>
  <c r="AB126" i="39"/>
  <c r="AA126" i="39"/>
  <c r="Z126" i="39"/>
  <c r="Y126" i="39"/>
  <c r="X126" i="39"/>
  <c r="W126" i="39"/>
  <c r="V126" i="39"/>
  <c r="U126" i="39"/>
  <c r="T126" i="39"/>
  <c r="S126" i="39"/>
  <c r="R126" i="39"/>
  <c r="Q126" i="39"/>
  <c r="P126" i="39"/>
  <c r="O126" i="39"/>
  <c r="AE125" i="39"/>
  <c r="AD125" i="39"/>
  <c r="AC125" i="39"/>
  <c r="AB125" i="39"/>
  <c r="AA125" i="39"/>
  <c r="Z125" i="39"/>
  <c r="Y125" i="39"/>
  <c r="X125" i="39"/>
  <c r="W125" i="39"/>
  <c r="V125" i="39"/>
  <c r="U125" i="39"/>
  <c r="T125" i="39"/>
  <c r="S125" i="39"/>
  <c r="R125" i="39"/>
  <c r="Q125" i="39"/>
  <c r="P125" i="39"/>
  <c r="O125" i="39"/>
  <c r="AE124" i="39"/>
  <c r="AD124" i="39"/>
  <c r="AC124" i="39"/>
  <c r="AB124" i="39"/>
  <c r="AA124" i="39"/>
  <c r="Z124" i="39"/>
  <c r="Y124" i="39"/>
  <c r="X124" i="39"/>
  <c r="W124" i="39"/>
  <c r="V124" i="39"/>
  <c r="U124" i="39"/>
  <c r="T124" i="39"/>
  <c r="S124" i="39"/>
  <c r="R124" i="39"/>
  <c r="Q124" i="39"/>
  <c r="P124" i="39"/>
  <c r="O124" i="39"/>
  <c r="AE123" i="39"/>
  <c r="AD123" i="39"/>
  <c r="AC123" i="39"/>
  <c r="AB123" i="39"/>
  <c r="AA123" i="39"/>
  <c r="Z123" i="39"/>
  <c r="Y123" i="39"/>
  <c r="X123" i="39"/>
  <c r="W123" i="39"/>
  <c r="V123" i="39"/>
  <c r="U123" i="39"/>
  <c r="T123" i="39"/>
  <c r="S123" i="39"/>
  <c r="R123" i="39"/>
  <c r="Q123" i="39"/>
  <c r="P123" i="39"/>
  <c r="O123" i="39"/>
  <c r="AE122" i="39"/>
  <c r="AD122" i="39"/>
  <c r="AC122" i="39"/>
  <c r="AB122" i="39"/>
  <c r="AA122" i="39"/>
  <c r="Z122" i="39"/>
  <c r="Y122" i="39"/>
  <c r="X122" i="39"/>
  <c r="W122" i="39"/>
  <c r="V122" i="39"/>
  <c r="U122" i="39"/>
  <c r="T122" i="39"/>
  <c r="S122" i="39"/>
  <c r="R122" i="39"/>
  <c r="Q122" i="39"/>
  <c r="P122" i="39"/>
  <c r="O122" i="39"/>
  <c r="AE121" i="39"/>
  <c r="AD121" i="39"/>
  <c r="AC121" i="39"/>
  <c r="AB121" i="39"/>
  <c r="AA121" i="39"/>
  <c r="Z121" i="39"/>
  <c r="Y121" i="39"/>
  <c r="X121" i="39"/>
  <c r="W121" i="39"/>
  <c r="V121" i="39"/>
  <c r="U121" i="39"/>
  <c r="T121" i="39"/>
  <c r="S121" i="39"/>
  <c r="R121" i="39"/>
  <c r="Q121" i="39"/>
  <c r="P121" i="39"/>
  <c r="O121" i="39"/>
  <c r="N127" i="39"/>
  <c r="M127" i="39"/>
  <c r="L127" i="39"/>
  <c r="K127" i="39"/>
  <c r="J127" i="39"/>
  <c r="I127" i="39"/>
  <c r="H127" i="39"/>
  <c r="G127" i="39"/>
  <c r="F127" i="39"/>
  <c r="N126" i="39"/>
  <c r="M126" i="39"/>
  <c r="L126" i="39"/>
  <c r="K126" i="39"/>
  <c r="J126" i="39"/>
  <c r="I126" i="39"/>
  <c r="H126" i="39"/>
  <c r="G126" i="39"/>
  <c r="F126" i="39"/>
  <c r="N125" i="39"/>
  <c r="M125" i="39"/>
  <c r="L125" i="39"/>
  <c r="K125" i="39"/>
  <c r="J125" i="39"/>
  <c r="I125" i="39"/>
  <c r="H125" i="39"/>
  <c r="G125" i="39"/>
  <c r="F125" i="39"/>
  <c r="N124" i="39"/>
  <c r="M124" i="39"/>
  <c r="L124" i="39"/>
  <c r="K124" i="39"/>
  <c r="J124" i="39"/>
  <c r="I124" i="39"/>
  <c r="H124" i="39"/>
  <c r="G124" i="39"/>
  <c r="F124" i="39"/>
  <c r="N123" i="39"/>
  <c r="M123" i="39"/>
  <c r="L123" i="39"/>
  <c r="K123" i="39"/>
  <c r="J123" i="39"/>
  <c r="I123" i="39"/>
  <c r="H123" i="39"/>
  <c r="G123" i="39"/>
  <c r="F123" i="39"/>
  <c r="N122" i="39"/>
  <c r="M122" i="39"/>
  <c r="L122" i="39"/>
  <c r="K122" i="39"/>
  <c r="J122" i="39"/>
  <c r="I122" i="39"/>
  <c r="H122" i="39"/>
  <c r="G122" i="39"/>
  <c r="F122" i="39"/>
  <c r="N121" i="39"/>
  <c r="M121" i="39"/>
  <c r="L121" i="39"/>
  <c r="K121" i="39"/>
  <c r="J121" i="39"/>
  <c r="I121" i="39"/>
  <c r="H121" i="39"/>
  <c r="G121" i="39"/>
  <c r="F121" i="39"/>
  <c r="D127" i="39"/>
  <c r="C127" i="39"/>
  <c r="B127" i="39"/>
  <c r="D126" i="39"/>
  <c r="C126" i="39"/>
  <c r="B126" i="39"/>
  <c r="D125" i="39"/>
  <c r="C125" i="39"/>
  <c r="B125" i="39"/>
  <c r="D124" i="39"/>
  <c r="C124" i="39"/>
  <c r="B124" i="39"/>
  <c r="D123" i="39"/>
  <c r="C123" i="39"/>
  <c r="B123" i="39"/>
  <c r="D122" i="39"/>
  <c r="C122" i="39"/>
  <c r="B122" i="39"/>
  <c r="D121" i="39"/>
  <c r="C121" i="39"/>
  <c r="B121" i="39"/>
  <c r="X128" i="39" l="1"/>
  <c r="P128" i="39"/>
  <c r="H128" i="39"/>
  <c r="I128" i="39"/>
  <c r="Z128" i="39"/>
  <c r="F128" i="39"/>
  <c r="N128" i="39"/>
  <c r="V128" i="39"/>
  <c r="AD128" i="39"/>
  <c r="G128" i="39"/>
  <c r="O128" i="39"/>
  <c r="W128" i="39"/>
  <c r="AE128" i="39"/>
  <c r="R128" i="39"/>
  <c r="K128" i="39"/>
  <c r="S128" i="39"/>
  <c r="AA128" i="39"/>
  <c r="Q128" i="39"/>
  <c r="J128" i="39"/>
  <c r="L128" i="39"/>
  <c r="T128" i="39"/>
  <c r="AB128" i="39"/>
  <c r="Y128" i="39"/>
  <c r="M128" i="39"/>
  <c r="U128" i="39"/>
  <c r="AC128" i="39"/>
  <c r="S7" i="95" l="1"/>
  <c r="T7" i="95" l="1"/>
  <c r="S13" i="95"/>
  <c r="S10" i="31"/>
  <c r="T10" i="31" s="1"/>
  <c r="U10" i="31" s="1"/>
  <c r="V10" i="31" s="1"/>
  <c r="W10" i="31" s="1"/>
  <c r="X10" i="31" s="1"/>
  <c r="Y10" i="31" s="1"/>
  <c r="Z10" i="31" s="1"/>
  <c r="AA10" i="31" s="1"/>
  <c r="AB10" i="31" s="1"/>
  <c r="AC10" i="31" s="1"/>
  <c r="AD10" i="31" s="1"/>
  <c r="AE10" i="31" s="1"/>
  <c r="X16" i="42"/>
  <c r="Y16" i="42" s="1"/>
  <c r="Z16" i="42" s="1"/>
  <c r="AA16" i="42" s="1"/>
  <c r="AB16" i="42" s="1"/>
  <c r="AC16" i="42" s="1"/>
  <c r="AD16" i="42" s="1"/>
  <c r="AE16" i="42" s="1"/>
  <c r="AF16" i="42" s="1"/>
  <c r="X15" i="42"/>
  <c r="Y15" i="42" s="1"/>
  <c r="Z15" i="42" s="1"/>
  <c r="AA15" i="42" s="1"/>
  <c r="AB15" i="42" s="1"/>
  <c r="AC15" i="42" s="1"/>
  <c r="AD15" i="42" s="1"/>
  <c r="AE15" i="42" s="1"/>
  <c r="AF15" i="42" s="1"/>
  <c r="X13" i="42"/>
  <c r="Y13" i="42" s="1"/>
  <c r="Z13" i="42" s="1"/>
  <c r="AA13" i="42" s="1"/>
  <c r="AB13" i="42" s="1"/>
  <c r="AC13" i="42" s="1"/>
  <c r="AD13" i="42" s="1"/>
  <c r="AE13" i="42" s="1"/>
  <c r="AF13" i="42" s="1"/>
  <c r="U7" i="95" l="1"/>
  <c r="T13" i="95"/>
  <c r="X169" i="68"/>
  <c r="Y169" i="68" s="1"/>
  <c r="Z169" i="68" s="1"/>
  <c r="AA169" i="68" s="1"/>
  <c r="AB169" i="68" s="1"/>
  <c r="AC169" i="68" s="1"/>
  <c r="AD169" i="68" s="1"/>
  <c r="AE169" i="68" s="1"/>
  <c r="X143" i="68"/>
  <c r="Y143" i="68" s="1"/>
  <c r="Z143" i="68" s="1"/>
  <c r="AA143" i="68" s="1"/>
  <c r="AB143" i="68" s="1"/>
  <c r="AC143" i="68" s="1"/>
  <c r="AD143" i="68" s="1"/>
  <c r="AE143" i="68" s="1"/>
  <c r="X117" i="68"/>
  <c r="Y117" i="68" s="1"/>
  <c r="Z117" i="68" s="1"/>
  <c r="AA117" i="68" s="1"/>
  <c r="AB117" i="68" s="1"/>
  <c r="AC117" i="68" s="1"/>
  <c r="AD117" i="68" s="1"/>
  <c r="AE117" i="68" s="1"/>
  <c r="V7" i="95" l="1"/>
  <c r="W7" i="95" s="1"/>
  <c r="X7" i="95" s="1"/>
  <c r="Y7" i="95" s="1"/>
  <c r="Z7" i="95" s="1"/>
  <c r="AA7" i="95" s="1"/>
  <c r="AB7" i="95" s="1"/>
  <c r="AC7" i="95" s="1"/>
  <c r="AD7" i="95" s="1"/>
  <c r="AE7" i="95" s="1"/>
  <c r="U13" i="95"/>
  <c r="V13" i="95" s="1"/>
  <c r="W13" i="95" s="1"/>
  <c r="X13" i="95" s="1"/>
  <c r="Y13" i="95" s="1"/>
  <c r="AE164" i="39"/>
  <c r="AD164" i="39"/>
  <c r="AC164" i="39"/>
  <c r="AB164" i="39"/>
  <c r="AA164" i="39"/>
  <c r="Z164" i="39"/>
  <c r="Y164" i="39"/>
  <c r="X164" i="39"/>
  <c r="W164" i="39"/>
  <c r="V164" i="39"/>
  <c r="U164" i="39"/>
  <c r="T164" i="39"/>
  <c r="S164" i="39"/>
  <c r="R164" i="39"/>
  <c r="Q164" i="39"/>
  <c r="P164" i="39"/>
  <c r="O164" i="39"/>
  <c r="N164" i="39"/>
  <c r="M164" i="39"/>
  <c r="L164" i="39"/>
  <c r="K164" i="39"/>
  <c r="J164" i="39"/>
  <c r="I164" i="39"/>
  <c r="H164" i="39"/>
  <c r="G164" i="39"/>
  <c r="F164" i="39"/>
  <c r="AE163" i="39"/>
  <c r="AD163" i="39"/>
  <c r="AC163" i="39"/>
  <c r="AB163" i="39"/>
  <c r="AA163" i="39"/>
  <c r="Z163" i="39"/>
  <c r="Y163" i="39"/>
  <c r="X163" i="39"/>
  <c r="W163" i="39"/>
  <c r="V163" i="39"/>
  <c r="U163" i="39"/>
  <c r="T163" i="39"/>
  <c r="S163" i="39"/>
  <c r="R163" i="39"/>
  <c r="Q163" i="39"/>
  <c r="P163" i="39"/>
  <c r="O163" i="39"/>
  <c r="N163" i="39"/>
  <c r="M163" i="39"/>
  <c r="L163" i="39"/>
  <c r="K163" i="39"/>
  <c r="J163" i="39"/>
  <c r="I163" i="39"/>
  <c r="H163" i="39"/>
  <c r="G163" i="39"/>
  <c r="F163" i="39"/>
  <c r="AE162" i="39"/>
  <c r="AD162" i="39"/>
  <c r="AC162" i="39"/>
  <c r="AB162" i="39"/>
  <c r="AA162" i="39"/>
  <c r="Z162" i="39"/>
  <c r="Y162" i="39"/>
  <c r="X162" i="39"/>
  <c r="W162" i="39"/>
  <c r="V162" i="39"/>
  <c r="U162" i="39"/>
  <c r="T162" i="39"/>
  <c r="S162" i="39"/>
  <c r="R162" i="39"/>
  <c r="Q162" i="39"/>
  <c r="P162" i="39"/>
  <c r="O162" i="39"/>
  <c r="N162" i="39"/>
  <c r="M162" i="39"/>
  <c r="L162" i="39"/>
  <c r="K162" i="39"/>
  <c r="J162" i="39"/>
  <c r="I162" i="39"/>
  <c r="H162" i="39"/>
  <c r="G162" i="39"/>
  <c r="F162" i="39"/>
  <c r="AE161" i="39"/>
  <c r="AD161" i="39"/>
  <c r="AC161" i="39"/>
  <c r="AB161" i="39"/>
  <c r="AA161" i="39"/>
  <c r="Z161" i="39"/>
  <c r="Y161" i="39"/>
  <c r="X161" i="39"/>
  <c r="W161" i="39"/>
  <c r="V161" i="39"/>
  <c r="U161" i="39"/>
  <c r="T161" i="39"/>
  <c r="S161" i="39"/>
  <c r="R161" i="39"/>
  <c r="Q161" i="39"/>
  <c r="P161" i="39"/>
  <c r="O161" i="39"/>
  <c r="N161" i="39"/>
  <c r="M161" i="39"/>
  <c r="L161" i="39"/>
  <c r="K161" i="39"/>
  <c r="J161" i="39"/>
  <c r="I161" i="39"/>
  <c r="H161" i="39"/>
  <c r="G161" i="39"/>
  <c r="F161" i="39"/>
  <c r="AE160" i="39"/>
  <c r="AD160" i="39"/>
  <c r="AC160" i="39"/>
  <c r="AB160" i="39"/>
  <c r="AA160" i="39"/>
  <c r="Z160" i="39"/>
  <c r="Y160" i="39"/>
  <c r="X160" i="39"/>
  <c r="W160" i="39"/>
  <c r="V160" i="39"/>
  <c r="U160" i="39"/>
  <c r="T160" i="39"/>
  <c r="S160" i="39"/>
  <c r="R160" i="39"/>
  <c r="Q160" i="39"/>
  <c r="P160" i="39"/>
  <c r="O160" i="39"/>
  <c r="N160" i="39"/>
  <c r="M160" i="39"/>
  <c r="L160" i="39"/>
  <c r="K160" i="39"/>
  <c r="J160" i="39"/>
  <c r="I160" i="39"/>
  <c r="H160" i="39"/>
  <c r="G160" i="39"/>
  <c r="F160" i="39"/>
  <c r="AE159" i="39"/>
  <c r="AD159" i="39"/>
  <c r="AC159" i="39"/>
  <c r="AB159" i="39"/>
  <c r="AA159" i="39"/>
  <c r="Z159" i="39"/>
  <c r="Y159" i="39"/>
  <c r="X159" i="39"/>
  <c r="W159" i="39"/>
  <c r="V159" i="39"/>
  <c r="U159" i="39"/>
  <c r="T159" i="39"/>
  <c r="S159" i="39"/>
  <c r="R159" i="39"/>
  <c r="Q159" i="39"/>
  <c r="P159" i="39"/>
  <c r="O159" i="39"/>
  <c r="N159" i="39"/>
  <c r="M159" i="39"/>
  <c r="L159" i="39"/>
  <c r="K159" i="39"/>
  <c r="J159" i="39"/>
  <c r="I159" i="39"/>
  <c r="H159" i="39"/>
  <c r="G159" i="39"/>
  <c r="F159" i="39"/>
  <c r="AE158" i="39"/>
  <c r="AD158" i="39"/>
  <c r="AC158" i="39"/>
  <c r="AB158" i="39"/>
  <c r="AA158" i="39"/>
  <c r="Z158" i="39"/>
  <c r="Y158" i="39"/>
  <c r="X158" i="39"/>
  <c r="W158" i="39"/>
  <c r="V158" i="39"/>
  <c r="U158" i="39"/>
  <c r="T158" i="39"/>
  <c r="S158" i="39"/>
  <c r="R158" i="39"/>
  <c r="Q158" i="39"/>
  <c r="P158" i="39"/>
  <c r="O158" i="39"/>
  <c r="N158" i="39"/>
  <c r="M158" i="39"/>
  <c r="L158" i="39"/>
  <c r="K158" i="39"/>
  <c r="J158" i="39"/>
  <c r="I158" i="39"/>
  <c r="H158" i="39"/>
  <c r="G158" i="39"/>
  <c r="F158" i="39"/>
  <c r="F6" i="52" l="1"/>
  <c r="H6" i="52"/>
  <c r="I6" i="52"/>
  <c r="J6" i="52"/>
  <c r="K6" i="52"/>
  <c r="L6" i="52"/>
  <c r="M6" i="52"/>
  <c r="AF93" i="58" l="1"/>
  <c r="AF41" i="58"/>
  <c r="AF40" i="58"/>
  <c r="AF15" i="58"/>
  <c r="AG171" i="58" l="1"/>
  <c r="AG170" i="58"/>
  <c r="AG145" i="58"/>
  <c r="AG144" i="58"/>
  <c r="AG119" i="58"/>
  <c r="AG118" i="58"/>
  <c r="AG67" i="58"/>
  <c r="AG66" i="58"/>
  <c r="R66" i="58" l="1"/>
  <c r="V66" i="58"/>
  <c r="Z66" i="58"/>
  <c r="AD66" i="58"/>
  <c r="W66" i="58"/>
  <c r="AE66" i="58"/>
  <c r="S66" i="58"/>
  <c r="AA66" i="58"/>
  <c r="Q66" i="58"/>
  <c r="Y66" i="58"/>
  <c r="AC66" i="58"/>
  <c r="X66" i="58"/>
  <c r="T66" i="58"/>
  <c r="AB66" i="58"/>
  <c r="U66" i="58"/>
  <c r="AF66" i="58"/>
  <c r="Q144" i="58"/>
  <c r="U144" i="58"/>
  <c r="Y144" i="58"/>
  <c r="AC144" i="58"/>
  <c r="AF144" i="58"/>
  <c r="R144" i="58"/>
  <c r="V144" i="58"/>
  <c r="Z144" i="58"/>
  <c r="AD144" i="58"/>
  <c r="AA144" i="58"/>
  <c r="S144" i="58"/>
  <c r="W144" i="58"/>
  <c r="T144" i="58"/>
  <c r="X144" i="58"/>
  <c r="AB144" i="58"/>
  <c r="AE144" i="58"/>
  <c r="Q67" i="58"/>
  <c r="U67" i="58"/>
  <c r="Y67" i="58"/>
  <c r="AC67" i="58"/>
  <c r="R67" i="58"/>
  <c r="V67" i="58"/>
  <c r="AD67" i="58"/>
  <c r="Z67" i="58"/>
  <c r="X67" i="58"/>
  <c r="AF67" i="58"/>
  <c r="T67" i="58"/>
  <c r="W67" i="58"/>
  <c r="S67" i="58"/>
  <c r="AA67" i="58"/>
  <c r="AB67" i="58"/>
  <c r="AE67" i="58"/>
  <c r="S145" i="58"/>
  <c r="W145" i="58"/>
  <c r="AA145" i="58"/>
  <c r="AE145" i="58"/>
  <c r="X145" i="58"/>
  <c r="AB145" i="58"/>
  <c r="T145" i="58"/>
  <c r="R145" i="58"/>
  <c r="Z145" i="58"/>
  <c r="U145" i="58"/>
  <c r="AC145" i="58"/>
  <c r="AF145" i="58"/>
  <c r="V145" i="58"/>
  <c r="AD145" i="58"/>
  <c r="Q145" i="58"/>
  <c r="Y145" i="58"/>
  <c r="Q118" i="58"/>
  <c r="U118" i="58"/>
  <c r="Y118" i="58"/>
  <c r="AC118" i="58"/>
  <c r="AF118" i="58"/>
  <c r="R118" i="58"/>
  <c r="V118" i="58"/>
  <c r="Z118" i="58"/>
  <c r="AD118" i="58"/>
  <c r="S118" i="58"/>
  <c r="AA118" i="58"/>
  <c r="T118" i="58"/>
  <c r="AB118" i="58"/>
  <c r="W118" i="58"/>
  <c r="AE118" i="58"/>
  <c r="X118" i="58"/>
  <c r="T170" i="58"/>
  <c r="X170" i="58"/>
  <c r="AB170" i="58"/>
  <c r="AF170" i="58"/>
  <c r="R170" i="58"/>
  <c r="AD170" i="58"/>
  <c r="Q170" i="58"/>
  <c r="U170" i="58"/>
  <c r="Y170" i="58"/>
  <c r="AC170" i="58"/>
  <c r="V170" i="58"/>
  <c r="Z170" i="58"/>
  <c r="S170" i="58"/>
  <c r="W170" i="58"/>
  <c r="AA170" i="58"/>
  <c r="AE170" i="58"/>
  <c r="S119" i="58"/>
  <c r="W119" i="58"/>
  <c r="AA119" i="58"/>
  <c r="AE119" i="58"/>
  <c r="T119" i="58"/>
  <c r="X119" i="58"/>
  <c r="AB119" i="58"/>
  <c r="U119" i="58"/>
  <c r="AC119" i="58"/>
  <c r="AF119" i="58"/>
  <c r="V119" i="58"/>
  <c r="AD119" i="58"/>
  <c r="Y119" i="58"/>
  <c r="Q119" i="58"/>
  <c r="R119" i="58"/>
  <c r="Z119" i="58"/>
  <c r="Q171" i="58"/>
  <c r="U171" i="58"/>
  <c r="Y171" i="58"/>
  <c r="AC171" i="58"/>
  <c r="V171" i="58"/>
  <c r="W171" i="58"/>
  <c r="AE171" i="58"/>
  <c r="R171" i="58"/>
  <c r="Z171" i="58"/>
  <c r="AD171" i="58"/>
  <c r="S171" i="58"/>
  <c r="AA171" i="58"/>
  <c r="T171" i="58"/>
  <c r="X171" i="58"/>
  <c r="AB171" i="58"/>
  <c r="AF171" i="58"/>
  <c r="E143" i="58"/>
  <c r="E11" i="22" l="1"/>
  <c r="E10" i="22"/>
  <c r="E16" i="29" l="1"/>
  <c r="E13" i="29"/>
  <c r="E9" i="29" l="1"/>
  <c r="E10" i="29"/>
  <c r="E11" i="29"/>
  <c r="E14" i="29"/>
  <c r="E17" i="29"/>
  <c r="E12" i="29"/>
  <c r="E15" i="29"/>
  <c r="E18" i="29"/>
  <c r="V102" i="116" l="1"/>
  <c r="U102" i="116"/>
  <c r="J114" i="116"/>
  <c r="I114" i="116"/>
  <c r="R12" i="32"/>
  <c r="R11" i="32"/>
  <c r="R10" i="32"/>
  <c r="M13" i="39" l="1"/>
  <c r="AF185" i="39" l="1"/>
  <c r="AG185" i="39"/>
  <c r="M83" i="39" l="1"/>
  <c r="M80" i="39" l="1"/>
  <c r="U10" i="87" l="1"/>
  <c r="W14" i="32"/>
  <c r="X14" i="32" s="1"/>
  <c r="Y14" i="32" s="1"/>
  <c r="Z14" i="32" s="1"/>
  <c r="AA14" i="32" s="1"/>
  <c r="AB14" i="32" s="1"/>
  <c r="AC14" i="32" s="1"/>
  <c r="AD14" i="32" s="1"/>
  <c r="AE14" i="32" s="1"/>
  <c r="W13" i="32"/>
  <c r="X13" i="32" s="1"/>
  <c r="Y13" i="32" s="1"/>
  <c r="Z13" i="32" s="1"/>
  <c r="AA13" i="32" s="1"/>
  <c r="AB13" i="32" s="1"/>
  <c r="AC13" i="32" s="1"/>
  <c r="AD13" i="32" s="1"/>
  <c r="AE13" i="32" s="1"/>
  <c r="U11" i="87" l="1"/>
  <c r="U12" i="87"/>
  <c r="U9" i="87"/>
  <c r="W7" i="87"/>
  <c r="V10" i="87"/>
  <c r="S10" i="32"/>
  <c r="S12" i="32"/>
  <c r="S11" i="32"/>
  <c r="V13" i="31"/>
  <c r="W13" i="31" s="1"/>
  <c r="X13" i="31" s="1"/>
  <c r="Y13" i="31" s="1"/>
  <c r="Z13" i="31" s="1"/>
  <c r="AA13" i="31" s="1"/>
  <c r="AB13" i="31" s="1"/>
  <c r="AC13" i="31" s="1"/>
  <c r="AD13" i="31" s="1"/>
  <c r="AE13" i="31" s="1"/>
  <c r="V14" i="31"/>
  <c r="W14" i="31" s="1"/>
  <c r="X14" i="31" s="1"/>
  <c r="Y14" i="31" s="1"/>
  <c r="Z14" i="31" s="1"/>
  <c r="AA14" i="31" s="1"/>
  <c r="AB14" i="31" s="1"/>
  <c r="AC14" i="31" s="1"/>
  <c r="AD14" i="31" s="1"/>
  <c r="AE14" i="31" s="1"/>
  <c r="V11" i="87" l="1"/>
  <c r="V9" i="87"/>
  <c r="V12" i="87"/>
  <c r="X7" i="87"/>
  <c r="W10" i="87"/>
  <c r="T12" i="32"/>
  <c r="T11" i="32"/>
  <c r="T10" i="32"/>
  <c r="W11" i="87" l="1"/>
  <c r="W12" i="87"/>
  <c r="W9" i="87"/>
  <c r="Y7" i="87"/>
  <c r="X10" i="87"/>
  <c r="U12" i="32"/>
  <c r="U11" i="32"/>
  <c r="U10" i="32"/>
  <c r="I129" i="116"/>
  <c r="J6" i="75"/>
  <c r="J6" i="74"/>
  <c r="R13" i="19"/>
  <c r="R12" i="19"/>
  <c r="J6" i="58"/>
  <c r="I149" i="39" s="1"/>
  <c r="K6" i="58"/>
  <c r="J149" i="39" s="1"/>
  <c r="J7" i="58"/>
  <c r="I150" i="39" s="1"/>
  <c r="K7" i="58"/>
  <c r="J150" i="39" s="1"/>
  <c r="J8" i="58"/>
  <c r="I151" i="39" s="1"/>
  <c r="K8" i="58"/>
  <c r="J151" i="39" s="1"/>
  <c r="J9" i="58"/>
  <c r="I152" i="39" s="1"/>
  <c r="K9" i="58"/>
  <c r="J152" i="39" s="1"/>
  <c r="J10" i="58"/>
  <c r="I153" i="39" s="1"/>
  <c r="K10" i="58"/>
  <c r="J153" i="39" s="1"/>
  <c r="J11" i="58"/>
  <c r="I154" i="39" s="1"/>
  <c r="K11" i="58"/>
  <c r="J154" i="39" s="1"/>
  <c r="J12" i="58"/>
  <c r="I155" i="39" s="1"/>
  <c r="K12" i="58"/>
  <c r="J155" i="39" s="1"/>
  <c r="L12" i="58"/>
  <c r="K155" i="39" s="1"/>
  <c r="J195" i="39"/>
  <c r="I195" i="39"/>
  <c r="H195" i="39"/>
  <c r="G195" i="39"/>
  <c r="F195" i="39"/>
  <c r="J194" i="39"/>
  <c r="I194" i="39"/>
  <c r="H194" i="39"/>
  <c r="G194" i="39"/>
  <c r="F194" i="39"/>
  <c r="J193" i="39"/>
  <c r="I193" i="39"/>
  <c r="H193" i="39"/>
  <c r="G193" i="39"/>
  <c r="F193" i="39"/>
  <c r="J192" i="39"/>
  <c r="I192" i="39"/>
  <c r="H192" i="39"/>
  <c r="G192" i="39"/>
  <c r="F192" i="39"/>
  <c r="J191" i="39"/>
  <c r="I191" i="39"/>
  <c r="H191" i="39"/>
  <c r="G191" i="39"/>
  <c r="F191" i="39"/>
  <c r="J190" i="39"/>
  <c r="I190" i="39"/>
  <c r="H190" i="39"/>
  <c r="G190" i="39"/>
  <c r="F190" i="39"/>
  <c r="J189" i="39"/>
  <c r="I189" i="39"/>
  <c r="H189" i="39"/>
  <c r="G189" i="39"/>
  <c r="F189" i="39"/>
  <c r="G207" i="80"/>
  <c r="H207" i="80"/>
  <c r="I207" i="80"/>
  <c r="J207" i="80"/>
  <c r="F207" i="80"/>
  <c r="X9" i="87" l="1"/>
  <c r="X12" i="87"/>
  <c r="X11" i="87"/>
  <c r="Z7" i="87"/>
  <c r="Y10" i="87"/>
  <c r="W7" i="32"/>
  <c r="V12" i="32"/>
  <c r="V11" i="32"/>
  <c r="V10" i="32"/>
  <c r="T2" i="74"/>
  <c r="T2" i="75"/>
  <c r="Y9" i="87" l="1"/>
  <c r="Y12" i="87"/>
  <c r="Y11" i="87"/>
  <c r="AA7" i="87"/>
  <c r="Z10" i="87"/>
  <c r="X7" i="32"/>
  <c r="W11" i="32"/>
  <c r="W10" i="32"/>
  <c r="W12" i="32"/>
  <c r="S8" i="31"/>
  <c r="T8" i="31" s="1"/>
  <c r="U8" i="31" s="1"/>
  <c r="V8" i="31" s="1"/>
  <c r="W8" i="31" s="1"/>
  <c r="X8" i="31" s="1"/>
  <c r="Y8" i="31" s="1"/>
  <c r="Z8" i="31" s="1"/>
  <c r="AA8" i="31" s="1"/>
  <c r="AB8" i="31" s="1"/>
  <c r="AC8" i="31" s="1"/>
  <c r="AD8" i="31" s="1"/>
  <c r="AE8" i="31" s="1"/>
  <c r="S9" i="31"/>
  <c r="T9" i="31" s="1"/>
  <c r="U9" i="31" s="1"/>
  <c r="V9" i="31" s="1"/>
  <c r="W9" i="31" s="1"/>
  <c r="X9" i="31" s="1"/>
  <c r="Y9" i="31" s="1"/>
  <c r="Z9" i="31" s="1"/>
  <c r="AA9" i="31" s="1"/>
  <c r="AB9" i="31" s="1"/>
  <c r="AC9" i="31" s="1"/>
  <c r="AD9" i="31" s="1"/>
  <c r="AE9" i="31" s="1"/>
  <c r="S11" i="31"/>
  <c r="T11" i="31" s="1"/>
  <c r="U11" i="31" s="1"/>
  <c r="V11" i="31" s="1"/>
  <c r="W11" i="31" s="1"/>
  <c r="X11" i="31" s="1"/>
  <c r="Y11" i="31" s="1"/>
  <c r="Z11" i="31" s="1"/>
  <c r="AA11" i="31" s="1"/>
  <c r="AB11" i="31" s="1"/>
  <c r="AC11" i="31" s="1"/>
  <c r="AD11" i="31" s="1"/>
  <c r="AE11" i="31" s="1"/>
  <c r="S12" i="31"/>
  <c r="T12" i="31" s="1"/>
  <c r="U12" i="31" s="1"/>
  <c r="V12" i="31" s="1"/>
  <c r="W12" i="31" s="1"/>
  <c r="X12" i="31" s="1"/>
  <c r="Y12" i="31" s="1"/>
  <c r="Z12" i="31" s="1"/>
  <c r="AA12" i="31" s="1"/>
  <c r="AB12" i="31" s="1"/>
  <c r="AC12" i="31" s="1"/>
  <c r="AD12" i="31" s="1"/>
  <c r="AE12" i="31" s="1"/>
  <c r="L26" i="76"/>
  <c r="Z11" i="87" l="1"/>
  <c r="Z9" i="87"/>
  <c r="Z12" i="87"/>
  <c r="AB7" i="87"/>
  <c r="AA10" i="87"/>
  <c r="Y7" i="32"/>
  <c r="X10" i="32"/>
  <c r="X11" i="32"/>
  <c r="X12" i="32"/>
  <c r="AE163" i="80"/>
  <c r="AD163" i="80"/>
  <c r="AC163" i="80"/>
  <c r="AB163" i="80"/>
  <c r="AA163" i="80"/>
  <c r="Z163" i="80"/>
  <c r="Y163" i="80"/>
  <c r="X163" i="80"/>
  <c r="W163" i="80"/>
  <c r="V163" i="80"/>
  <c r="U163" i="80"/>
  <c r="T163" i="80"/>
  <c r="S163" i="80"/>
  <c r="R163" i="80"/>
  <c r="Q163" i="80"/>
  <c r="P163" i="80"/>
  <c r="O163" i="80"/>
  <c r="N163" i="80"/>
  <c r="M163" i="80"/>
  <c r="L163" i="80"/>
  <c r="K163" i="80"/>
  <c r="J163" i="80"/>
  <c r="I163" i="80"/>
  <c r="H163" i="80"/>
  <c r="G163" i="80"/>
  <c r="F163" i="80"/>
  <c r="AA9" i="87" l="1"/>
  <c r="AA11" i="87"/>
  <c r="AA12" i="87"/>
  <c r="AC7" i="87"/>
  <c r="AB10" i="87"/>
  <c r="Z7" i="32"/>
  <c r="Y10" i="32"/>
  <c r="Y12" i="32"/>
  <c r="Y11" i="32"/>
  <c r="AD7" i="87" l="1"/>
  <c r="AC10" i="87"/>
  <c r="AB11" i="87"/>
  <c r="AB12" i="87"/>
  <c r="AB9" i="87"/>
  <c r="AA7" i="32"/>
  <c r="Z10" i="32"/>
  <c r="Z12" i="32"/>
  <c r="Z11" i="32"/>
  <c r="AF172" i="68"/>
  <c r="X172" i="68" s="1"/>
  <c r="Y172" i="68" s="1"/>
  <c r="Z172" i="68" s="1"/>
  <c r="AA172" i="68" s="1"/>
  <c r="AB172" i="68" s="1"/>
  <c r="AC172" i="68" s="1"/>
  <c r="AD172" i="68" s="1"/>
  <c r="AE172" i="68" s="1"/>
  <c r="AF171" i="68"/>
  <c r="X171" i="68" s="1"/>
  <c r="Y171" i="68" s="1"/>
  <c r="Z171" i="68" s="1"/>
  <c r="AA171" i="68" s="1"/>
  <c r="AB171" i="68" s="1"/>
  <c r="AC171" i="68" s="1"/>
  <c r="AD171" i="68" s="1"/>
  <c r="AE171" i="68" s="1"/>
  <c r="AF146" i="68"/>
  <c r="AF145" i="68"/>
  <c r="X145" i="68" s="1"/>
  <c r="Y145" i="68" s="1"/>
  <c r="Z145" i="68" s="1"/>
  <c r="AA145" i="68" s="1"/>
  <c r="AB145" i="68" s="1"/>
  <c r="AC145" i="68" s="1"/>
  <c r="AD145" i="68" s="1"/>
  <c r="AE145" i="68" s="1"/>
  <c r="AF120" i="68"/>
  <c r="X120" i="68" s="1"/>
  <c r="Y120" i="68" s="1"/>
  <c r="Z120" i="68" s="1"/>
  <c r="AA120" i="68" s="1"/>
  <c r="AB120" i="68" s="1"/>
  <c r="AC120" i="68" s="1"/>
  <c r="AD120" i="68" s="1"/>
  <c r="AE120" i="68" s="1"/>
  <c r="AF119" i="68"/>
  <c r="X119" i="68" s="1"/>
  <c r="Y119" i="68" s="1"/>
  <c r="Z119" i="68" s="1"/>
  <c r="AA119" i="68" s="1"/>
  <c r="AB119" i="68" s="1"/>
  <c r="AC119" i="68" s="1"/>
  <c r="AD119" i="68" s="1"/>
  <c r="AE119" i="68" s="1"/>
  <c r="AC12" i="87" l="1"/>
  <c r="AC11" i="87"/>
  <c r="AC9" i="87"/>
  <c r="AE7" i="87"/>
  <c r="AE10" i="87" s="1"/>
  <c r="AD10" i="87"/>
  <c r="X146" i="68"/>
  <c r="Y146" i="68" s="1"/>
  <c r="Z146" i="68" s="1"/>
  <c r="AA146" i="68" s="1"/>
  <c r="AB146" i="68" s="1"/>
  <c r="AC146" i="68" s="1"/>
  <c r="AD146" i="68" s="1"/>
  <c r="AE146" i="68" s="1"/>
  <c r="AB7" i="32"/>
  <c r="AA12" i="32"/>
  <c r="AA11" i="32"/>
  <c r="AA10" i="32"/>
  <c r="AF120" i="42"/>
  <c r="X120" i="42" s="1"/>
  <c r="Y120" i="42" s="1"/>
  <c r="Z120" i="42" s="1"/>
  <c r="AA120" i="42" s="1"/>
  <c r="AB120" i="42" s="1"/>
  <c r="AC120" i="42" s="1"/>
  <c r="AD120" i="42" s="1"/>
  <c r="AE120" i="42" s="1"/>
  <c r="AF119" i="42"/>
  <c r="X119" i="42" s="1"/>
  <c r="Y119" i="42" s="1"/>
  <c r="Z119" i="42" s="1"/>
  <c r="AA119" i="42" s="1"/>
  <c r="AB119" i="42" s="1"/>
  <c r="AC119" i="42" s="1"/>
  <c r="AD119" i="42" s="1"/>
  <c r="AE119" i="42" s="1"/>
  <c r="AF98" i="41"/>
  <c r="AE98" i="41"/>
  <c r="AD98" i="41"/>
  <c r="AC98" i="41"/>
  <c r="AB98" i="41"/>
  <c r="AA98" i="41"/>
  <c r="Z98" i="41"/>
  <c r="Y98" i="41"/>
  <c r="X98" i="41"/>
  <c r="AF97" i="41"/>
  <c r="AE97" i="41"/>
  <c r="AD97" i="41"/>
  <c r="AC97" i="41"/>
  <c r="AB97" i="41"/>
  <c r="AA97" i="41"/>
  <c r="Z97" i="41"/>
  <c r="Y97" i="41"/>
  <c r="X97" i="41"/>
  <c r="AF73" i="41"/>
  <c r="AE73" i="41"/>
  <c r="AD73" i="41"/>
  <c r="AC73" i="41"/>
  <c r="AB73" i="41"/>
  <c r="AA73" i="41"/>
  <c r="Z73" i="41"/>
  <c r="Y73" i="41"/>
  <c r="X73" i="41"/>
  <c r="AF72" i="41"/>
  <c r="AE72" i="41"/>
  <c r="AD72" i="41"/>
  <c r="AC72" i="41"/>
  <c r="AB72" i="41"/>
  <c r="AA72" i="41"/>
  <c r="Z72" i="41"/>
  <c r="Y72" i="41"/>
  <c r="X72" i="41"/>
  <c r="AF46" i="41"/>
  <c r="AE46" i="41"/>
  <c r="AD46" i="41"/>
  <c r="AC46" i="41"/>
  <c r="AB46" i="41"/>
  <c r="AA46" i="41"/>
  <c r="Z46" i="41"/>
  <c r="Y46" i="41"/>
  <c r="X46" i="41"/>
  <c r="AF45" i="41"/>
  <c r="AE45" i="41"/>
  <c r="AD45" i="41"/>
  <c r="AC45" i="41"/>
  <c r="AB45" i="41"/>
  <c r="AA45" i="41"/>
  <c r="Z45" i="41"/>
  <c r="Y45" i="41"/>
  <c r="X45" i="41"/>
  <c r="AD11" i="87" l="1"/>
  <c r="AD9" i="87"/>
  <c r="AD12" i="87"/>
  <c r="AE11" i="87"/>
  <c r="AE9" i="87"/>
  <c r="AE12" i="87"/>
  <c r="AC7" i="32"/>
  <c r="AB12" i="32"/>
  <c r="AB11" i="32"/>
  <c r="AB10" i="32"/>
  <c r="AD7" i="32" l="1"/>
  <c r="AC12" i="32"/>
  <c r="AC11" i="32"/>
  <c r="AC10" i="32"/>
  <c r="J365" i="39"/>
  <c r="I365" i="39"/>
  <c r="H365" i="39"/>
  <c r="G365" i="39"/>
  <c r="F365" i="39"/>
  <c r="AE7" i="32" l="1"/>
  <c r="AD12" i="32"/>
  <c r="AD11" i="32"/>
  <c r="AD10" i="32"/>
  <c r="L13" i="39"/>
  <c r="N13" i="39"/>
  <c r="O13" i="39"/>
  <c r="P13" i="39"/>
  <c r="AE11" i="32" l="1"/>
  <c r="AE10" i="32"/>
  <c r="AE12" i="32"/>
  <c r="N11" i="51"/>
  <c r="Q11" i="51"/>
  <c r="P11" i="51"/>
  <c r="O11" i="51"/>
  <c r="M11" i="51" l="1"/>
  <c r="E117" i="58"/>
  <c r="T5" i="75"/>
  <c r="U9" i="116" l="1"/>
  <c r="T5" i="74"/>
  <c r="G106" i="103" l="1"/>
  <c r="H106" i="103"/>
  <c r="I106" i="103"/>
  <c r="J106" i="103"/>
  <c r="K106" i="103"/>
  <c r="G107" i="103"/>
  <c r="H107" i="103"/>
  <c r="I107" i="103"/>
  <c r="J107" i="103"/>
  <c r="K107" i="103"/>
  <c r="G108" i="103"/>
  <c r="H108" i="103"/>
  <c r="I108" i="103"/>
  <c r="J108" i="103"/>
  <c r="K108" i="103"/>
  <c r="G109" i="103"/>
  <c r="H109" i="103"/>
  <c r="I109" i="103"/>
  <c r="J109" i="103"/>
  <c r="K109" i="103"/>
  <c r="G110" i="103"/>
  <c r="H110" i="103"/>
  <c r="I110" i="103"/>
  <c r="J110" i="103"/>
  <c r="K110" i="103"/>
  <c r="G111" i="103"/>
  <c r="H111" i="103"/>
  <c r="I111" i="103"/>
  <c r="J111" i="103"/>
  <c r="K111" i="103"/>
  <c r="G112" i="103"/>
  <c r="H112" i="103"/>
  <c r="I112" i="103"/>
  <c r="J112" i="103"/>
  <c r="K112" i="103"/>
  <c r="T2" i="116" l="1"/>
  <c r="AE226" i="80" l="1"/>
  <c r="L11" i="51" l="1"/>
  <c r="D176" i="116" l="1"/>
  <c r="C176" i="116"/>
  <c r="D175" i="116"/>
  <c r="C175" i="116"/>
  <c r="D174" i="116"/>
  <c r="C174" i="116"/>
  <c r="D173" i="116"/>
  <c r="C173" i="116"/>
  <c r="D172" i="116"/>
  <c r="C172" i="116"/>
  <c r="D171" i="116"/>
  <c r="C171" i="116"/>
  <c r="D170" i="116"/>
  <c r="C170" i="116"/>
  <c r="D169" i="116"/>
  <c r="C169" i="116"/>
  <c r="K176" i="116"/>
  <c r="H176" i="116"/>
  <c r="D165" i="116"/>
  <c r="C165" i="116"/>
  <c r="K175" i="116"/>
  <c r="H175" i="116"/>
  <c r="D164" i="116"/>
  <c r="C164" i="116"/>
  <c r="K174" i="116"/>
  <c r="H174" i="116"/>
  <c r="D163" i="116"/>
  <c r="C163" i="116"/>
  <c r="K173" i="116"/>
  <c r="H173" i="116"/>
  <c r="D162" i="116"/>
  <c r="C162" i="116"/>
  <c r="K172" i="116"/>
  <c r="H172" i="116"/>
  <c r="D161" i="116"/>
  <c r="C161" i="116"/>
  <c r="K171" i="116"/>
  <c r="H171" i="116"/>
  <c r="D160" i="116"/>
  <c r="C160" i="116"/>
  <c r="K170" i="116"/>
  <c r="H170" i="116"/>
  <c r="D159" i="116"/>
  <c r="C159" i="116"/>
  <c r="K169" i="116"/>
  <c r="H169" i="116"/>
  <c r="D158" i="116"/>
  <c r="C158" i="116"/>
  <c r="L163" i="116"/>
  <c r="I163" i="116"/>
  <c r="L162" i="116"/>
  <c r="I162" i="116"/>
  <c r="D152" i="116"/>
  <c r="C152" i="116"/>
  <c r="L161" i="116"/>
  <c r="I161" i="116"/>
  <c r="D151" i="116"/>
  <c r="C151" i="116"/>
  <c r="L160" i="116"/>
  <c r="I160" i="116"/>
  <c r="D150" i="116"/>
  <c r="C150" i="116"/>
  <c r="L159" i="116"/>
  <c r="I159" i="116"/>
  <c r="D149" i="116"/>
  <c r="C149" i="116"/>
  <c r="L158" i="116"/>
  <c r="D148" i="116"/>
  <c r="C148" i="116"/>
  <c r="L145" i="116"/>
  <c r="I145" i="116"/>
  <c r="L144" i="116"/>
  <c r="D144" i="116"/>
  <c r="C144" i="116"/>
  <c r="L143" i="116"/>
  <c r="I143" i="116"/>
  <c r="D143" i="116"/>
  <c r="C143" i="116"/>
  <c r="L142" i="116"/>
  <c r="I142" i="116"/>
  <c r="D142" i="116"/>
  <c r="C142" i="116"/>
  <c r="M141" i="116"/>
  <c r="L141" i="116"/>
  <c r="D141" i="116"/>
  <c r="L130" i="116"/>
  <c r="C131" i="116"/>
  <c r="D131" i="116"/>
  <c r="I131" i="116"/>
  <c r="L131" i="116"/>
  <c r="C132" i="116"/>
  <c r="D132" i="116"/>
  <c r="I132" i="116"/>
  <c r="L132" i="116"/>
  <c r="C133" i="116"/>
  <c r="D133" i="116"/>
  <c r="I133" i="116"/>
  <c r="L133" i="116"/>
  <c r="C134" i="116"/>
  <c r="D134" i="116"/>
  <c r="I134" i="116"/>
  <c r="L134" i="116"/>
  <c r="C135" i="116"/>
  <c r="D135" i="116"/>
  <c r="I135" i="116"/>
  <c r="L135" i="116"/>
  <c r="C136" i="116"/>
  <c r="D136" i="116"/>
  <c r="I136" i="116"/>
  <c r="L136" i="116"/>
  <c r="C137" i="116"/>
  <c r="D137" i="116"/>
  <c r="I137" i="116"/>
  <c r="L137" i="116"/>
  <c r="C130" i="116"/>
  <c r="K88" i="39" l="1"/>
  <c r="F223" i="80" l="1"/>
  <c r="G223" i="80"/>
  <c r="H223" i="80"/>
  <c r="I223" i="80"/>
  <c r="J223" i="80"/>
  <c r="E51" i="19" l="1"/>
  <c r="C7" i="122" s="1"/>
  <c r="E50" i="19"/>
  <c r="C6" i="122" s="1"/>
  <c r="E49" i="19"/>
  <c r="C9" i="122" s="1"/>
  <c r="E48" i="19"/>
  <c r="C8" i="122" s="1"/>
  <c r="E47" i="19"/>
  <c r="C12" i="122" s="1"/>
  <c r="AC12" i="122" s="1"/>
  <c r="E46" i="19"/>
  <c r="C11" i="122" s="1"/>
  <c r="E45" i="19"/>
  <c r="C10" i="122" s="1"/>
  <c r="K12" i="122"/>
  <c r="J12" i="122"/>
  <c r="I12" i="122"/>
  <c r="H12" i="122"/>
  <c r="G12" i="122"/>
  <c r="K11" i="122"/>
  <c r="J11" i="122"/>
  <c r="I11" i="122"/>
  <c r="H11" i="122"/>
  <c r="G11" i="122"/>
  <c r="K10" i="122"/>
  <c r="J10" i="122"/>
  <c r="I10" i="122"/>
  <c r="H10" i="122"/>
  <c r="G10" i="122"/>
  <c r="K9" i="122"/>
  <c r="J9" i="122"/>
  <c r="I9" i="122"/>
  <c r="H9" i="122"/>
  <c r="G9" i="122"/>
  <c r="K8" i="122"/>
  <c r="J8" i="122"/>
  <c r="I8" i="122"/>
  <c r="H8" i="122"/>
  <c r="G8" i="122"/>
  <c r="K7" i="122"/>
  <c r="J7" i="122"/>
  <c r="I7" i="122"/>
  <c r="H7" i="122"/>
  <c r="G7" i="122"/>
  <c r="K6" i="122"/>
  <c r="J6" i="122"/>
  <c r="I6" i="122"/>
  <c r="H6" i="122"/>
  <c r="G6" i="122"/>
  <c r="AF9" i="122" l="1"/>
  <c r="AC9" i="122"/>
  <c r="U9" i="122"/>
  <c r="Y9" i="122"/>
  <c r="P9" i="122"/>
  <c r="L9" i="122"/>
  <c r="X9" i="122"/>
  <c r="AE10" i="122"/>
  <c r="V10" i="122"/>
  <c r="O10" i="122"/>
  <c r="AA10" i="122"/>
  <c r="T10" i="122"/>
  <c r="AD10" i="122"/>
  <c r="Q10" i="122"/>
  <c r="F10" i="122"/>
  <c r="Y10" i="122"/>
  <c r="W10" i="122"/>
  <c r="AB10" i="122"/>
  <c r="X7" i="122"/>
  <c r="AF7" i="122"/>
  <c r="P7" i="122"/>
  <c r="AC7" i="122"/>
  <c r="AE6" i="122"/>
  <c r="R6" i="122"/>
  <c r="AD6" i="122"/>
  <c r="Q6" i="122"/>
  <c r="T6" i="122"/>
  <c r="AB6" i="122"/>
  <c r="O6" i="122"/>
  <c r="F6" i="122"/>
  <c r="Y6" i="122"/>
  <c r="AA6" i="122"/>
  <c r="W6" i="122"/>
  <c r="V6" i="122"/>
  <c r="Z6" i="122"/>
  <c r="N6" i="122"/>
  <c r="D6" i="122"/>
  <c r="L6" i="122"/>
  <c r="W9" i="122"/>
  <c r="D9" i="122"/>
  <c r="M9" i="122"/>
  <c r="Z9" i="122"/>
  <c r="E9" i="122"/>
  <c r="F49" i="19" s="1"/>
  <c r="O9" i="122"/>
  <c r="AB9" i="122"/>
  <c r="R9" i="122"/>
  <c r="AE9" i="122"/>
  <c r="T9" i="122"/>
  <c r="Z8" i="122"/>
  <c r="AC8" i="122"/>
  <c r="U8" i="122"/>
  <c r="E8" i="122"/>
  <c r="F48" i="74" s="1"/>
  <c r="E173" i="116" s="1"/>
  <c r="R8" i="122"/>
  <c r="AE8" i="122"/>
  <c r="M8" i="122"/>
  <c r="E12" i="122"/>
  <c r="F47" i="74" s="1"/>
  <c r="E172" i="116" s="1"/>
  <c r="U12" i="122"/>
  <c r="AF11" i="122"/>
  <c r="AC11" i="122"/>
  <c r="X11" i="122"/>
  <c r="P11" i="122"/>
  <c r="D10" i="122"/>
  <c r="N10" i="122"/>
  <c r="Z10" i="122"/>
  <c r="R10" i="122"/>
  <c r="M12" i="122"/>
  <c r="AE12" i="122"/>
  <c r="R12" i="122"/>
  <c r="Z12" i="122"/>
  <c r="AA7" i="122"/>
  <c r="S11" i="122"/>
  <c r="AA11" i="122"/>
  <c r="F7" i="122"/>
  <c r="N7" i="122"/>
  <c r="V7" i="122"/>
  <c r="AD7" i="122"/>
  <c r="P8" i="122"/>
  <c r="X8" i="122"/>
  <c r="AF8" i="122"/>
  <c r="F11" i="122"/>
  <c r="N11" i="122"/>
  <c r="V11" i="122"/>
  <c r="AD11" i="122"/>
  <c r="P12" i="122"/>
  <c r="X12" i="122"/>
  <c r="AF12" i="122"/>
  <c r="E6" i="122"/>
  <c r="M6" i="122"/>
  <c r="U6" i="122"/>
  <c r="AC6" i="122"/>
  <c r="O7" i="122"/>
  <c r="W7" i="122"/>
  <c r="AE7" i="122"/>
  <c r="Q8" i="122"/>
  <c r="Y8" i="122"/>
  <c r="S9" i="122"/>
  <c r="AA9" i="122"/>
  <c r="E10" i="122"/>
  <c r="F45" i="74" s="1"/>
  <c r="M10" i="122"/>
  <c r="U10" i="122"/>
  <c r="AC10" i="122"/>
  <c r="O11" i="122"/>
  <c r="W11" i="122"/>
  <c r="AE11" i="122"/>
  <c r="Q12" i="122"/>
  <c r="Y12" i="122"/>
  <c r="Q7" i="122"/>
  <c r="Y7" i="122"/>
  <c r="S8" i="122"/>
  <c r="AA8" i="122"/>
  <c r="Q11" i="122"/>
  <c r="Y11" i="122"/>
  <c r="S12" i="122"/>
  <c r="AA12" i="122"/>
  <c r="P6" i="122"/>
  <c r="X6" i="122"/>
  <c r="AF6" i="122"/>
  <c r="R7" i="122"/>
  <c r="Z7" i="122"/>
  <c r="D8" i="122"/>
  <c r="L8" i="122"/>
  <c r="T8" i="122"/>
  <c r="AB8" i="122"/>
  <c r="F9" i="122"/>
  <c r="N9" i="122"/>
  <c r="V9" i="122"/>
  <c r="AD9" i="122"/>
  <c r="P10" i="122"/>
  <c r="X10" i="122"/>
  <c r="AF10" i="122"/>
  <c r="R11" i="122"/>
  <c r="Z11" i="122"/>
  <c r="D12" i="122"/>
  <c r="L12" i="122"/>
  <c r="T12" i="122"/>
  <c r="AB12" i="122"/>
  <c r="S7" i="122"/>
  <c r="D7" i="122"/>
  <c r="L7" i="122"/>
  <c r="T7" i="122"/>
  <c r="AB7" i="122"/>
  <c r="F8" i="122"/>
  <c r="N8" i="122"/>
  <c r="V8" i="122"/>
  <c r="AD8" i="122"/>
  <c r="D11" i="122"/>
  <c r="L11" i="122"/>
  <c r="T11" i="122"/>
  <c r="AB11" i="122"/>
  <c r="F12" i="122"/>
  <c r="N12" i="122"/>
  <c r="V12" i="122"/>
  <c r="AD12" i="122"/>
  <c r="S6" i="122"/>
  <c r="E7" i="122"/>
  <c r="M7" i="122"/>
  <c r="U7" i="122"/>
  <c r="O8" i="122"/>
  <c r="W8" i="122"/>
  <c r="Q9" i="122"/>
  <c r="S10" i="122"/>
  <c r="E11" i="122"/>
  <c r="M11" i="122"/>
  <c r="U11" i="122"/>
  <c r="O12" i="122"/>
  <c r="W12" i="122"/>
  <c r="F47" i="19" l="1"/>
  <c r="F49" i="74"/>
  <c r="E174" i="116" s="1"/>
  <c r="F48" i="19"/>
  <c r="F51" i="19"/>
  <c r="F51" i="74"/>
  <c r="E176" i="116" s="1"/>
  <c r="F50" i="74"/>
  <c r="E175" i="116" s="1"/>
  <c r="F50" i="19"/>
  <c r="F46" i="74"/>
  <c r="E171" i="116" s="1"/>
  <c r="F46" i="19"/>
  <c r="E170" i="116"/>
  <c r="F45" i="19"/>
  <c r="G6" i="42" l="1"/>
  <c r="H6" i="42"/>
  <c r="I6" i="42"/>
  <c r="J6" i="42"/>
  <c r="K6" i="42"/>
  <c r="G7" i="42"/>
  <c r="H7" i="42"/>
  <c r="I7" i="42"/>
  <c r="J7" i="42"/>
  <c r="K7" i="42"/>
  <c r="G8" i="42"/>
  <c r="H8" i="42"/>
  <c r="I8" i="42"/>
  <c r="J8" i="42"/>
  <c r="K8" i="42"/>
  <c r="G9" i="42"/>
  <c r="H9" i="42"/>
  <c r="I9" i="42"/>
  <c r="J9" i="42"/>
  <c r="K9" i="42"/>
  <c r="G10" i="42"/>
  <c r="H10" i="42"/>
  <c r="I10" i="42"/>
  <c r="J10" i="42"/>
  <c r="K10" i="42"/>
  <c r="G11" i="42"/>
  <c r="H11" i="42"/>
  <c r="I11" i="42"/>
  <c r="J11" i="42"/>
  <c r="K11" i="42"/>
  <c r="G12" i="42"/>
  <c r="H12" i="42"/>
  <c r="I12" i="42"/>
  <c r="J12" i="42"/>
  <c r="K12" i="42"/>
  <c r="K11" i="51" l="1"/>
  <c r="G196" i="39"/>
  <c r="F196" i="39"/>
  <c r="I196" i="39"/>
  <c r="J196" i="39"/>
  <c r="H196" i="39"/>
  <c r="K12" i="68" l="1"/>
  <c r="K11" i="68"/>
  <c r="K10" i="68"/>
  <c r="K9" i="68"/>
  <c r="K8" i="68"/>
  <c r="K7" i="68"/>
  <c r="K6" i="68"/>
  <c r="J12" i="68"/>
  <c r="J11" i="68"/>
  <c r="J10" i="68"/>
  <c r="J9" i="68"/>
  <c r="J8" i="68"/>
  <c r="J7" i="68"/>
  <c r="J6" i="68"/>
  <c r="I12" i="68"/>
  <c r="I11" i="68"/>
  <c r="I10" i="68"/>
  <c r="I9" i="68"/>
  <c r="I8" i="68"/>
  <c r="I7" i="68"/>
  <c r="I6" i="68"/>
  <c r="H12" i="68"/>
  <c r="H11" i="68"/>
  <c r="H10" i="68"/>
  <c r="H9" i="68"/>
  <c r="H8" i="68"/>
  <c r="H7" i="68"/>
  <c r="H6" i="68"/>
  <c r="G12" i="68"/>
  <c r="G11" i="68"/>
  <c r="G10" i="68"/>
  <c r="G9" i="68"/>
  <c r="G8" i="68"/>
  <c r="G7" i="68"/>
  <c r="G6" i="68"/>
  <c r="L30" i="19" l="1"/>
  <c r="B6" i="108" s="1"/>
  <c r="X27" i="75" l="1"/>
  <c r="W27" i="75"/>
  <c r="V27" i="75"/>
  <c r="U27" i="75"/>
  <c r="T27" i="75"/>
  <c r="S27" i="75"/>
  <c r="X41" i="74" l="1"/>
  <c r="W41" i="74"/>
  <c r="V41" i="74"/>
  <c r="U41" i="74"/>
  <c r="T41" i="74"/>
  <c r="S41" i="74"/>
  <c r="J11" i="51" l="1"/>
  <c r="K12" i="48" l="1"/>
  <c r="J12" i="48"/>
  <c r="I12" i="48"/>
  <c r="H12" i="48"/>
  <c r="G12" i="48"/>
  <c r="J6" i="108"/>
  <c r="I6" i="108"/>
  <c r="H6" i="108"/>
  <c r="G6" i="108"/>
  <c r="F6" i="108"/>
  <c r="J6" i="49"/>
  <c r="I6" i="49"/>
  <c r="H6" i="49"/>
  <c r="G6" i="49"/>
  <c r="F6" i="49"/>
  <c r="J6" i="91"/>
  <c r="I6" i="91"/>
  <c r="H6" i="91"/>
  <c r="G6" i="91"/>
  <c r="F6" i="91"/>
  <c r="J6" i="87"/>
  <c r="I6" i="87"/>
  <c r="H6" i="87"/>
  <c r="G6" i="87"/>
  <c r="F6" i="87"/>
  <c r="J6" i="98"/>
  <c r="I6" i="98"/>
  <c r="H6" i="98"/>
  <c r="G6" i="98"/>
  <c r="F6" i="98"/>
  <c r="J6" i="95"/>
  <c r="I6" i="95"/>
  <c r="H6" i="95"/>
  <c r="G6" i="95"/>
  <c r="F6" i="95"/>
  <c r="J6" i="36"/>
  <c r="I6" i="36"/>
  <c r="H6" i="36"/>
  <c r="G6" i="36"/>
  <c r="F6" i="36"/>
  <c r="J6" i="32"/>
  <c r="I6" i="32"/>
  <c r="H6" i="32"/>
  <c r="G6" i="32"/>
  <c r="F6" i="32"/>
  <c r="J6" i="31"/>
  <c r="I6" i="31"/>
  <c r="H6" i="31"/>
  <c r="G6" i="31"/>
  <c r="F6" i="31"/>
  <c r="J6" i="29"/>
  <c r="I6" i="29"/>
  <c r="H6" i="29"/>
  <c r="G6" i="29"/>
  <c r="F6" i="29"/>
  <c r="J6" i="22"/>
  <c r="I6" i="22"/>
  <c r="H6" i="22"/>
  <c r="G6" i="22"/>
  <c r="F6" i="22"/>
  <c r="H6" i="28"/>
  <c r="G6" i="28"/>
  <c r="F6" i="28"/>
  <c r="I12" i="58"/>
  <c r="H12" i="58"/>
  <c r="G12" i="58"/>
  <c r="I11" i="58"/>
  <c r="H11" i="58"/>
  <c r="G11" i="58"/>
  <c r="I10" i="58"/>
  <c r="H10" i="58"/>
  <c r="G10" i="58"/>
  <c r="I9" i="58"/>
  <c r="H9" i="58"/>
  <c r="G9" i="58"/>
  <c r="I8" i="58"/>
  <c r="H8" i="58"/>
  <c r="G8" i="58"/>
  <c r="I7" i="58"/>
  <c r="H7" i="58"/>
  <c r="G7" i="58"/>
  <c r="I6" i="58"/>
  <c r="H6" i="58"/>
  <c r="G6" i="58"/>
  <c r="G220" i="80" l="1"/>
  <c r="H220" i="80"/>
  <c r="I220" i="80"/>
  <c r="J220" i="80"/>
  <c r="K220" i="80"/>
  <c r="L220" i="80"/>
  <c r="M220" i="80"/>
  <c r="N220" i="80"/>
  <c r="O220" i="80"/>
  <c r="P220" i="80"/>
  <c r="Q220" i="80"/>
  <c r="R220" i="80"/>
  <c r="S220" i="80"/>
  <c r="T220" i="80"/>
  <c r="U220" i="80"/>
  <c r="V220" i="80"/>
  <c r="W220" i="80"/>
  <c r="X220" i="80"/>
  <c r="Y220" i="80"/>
  <c r="Z220" i="80"/>
  <c r="AA220" i="80"/>
  <c r="AB220" i="80"/>
  <c r="AC220" i="80"/>
  <c r="AD220" i="80"/>
  <c r="AE220" i="80"/>
  <c r="F220" i="80"/>
  <c r="Z247" i="80" l="1"/>
  <c r="Z248" i="80" s="1"/>
  <c r="AD247" i="80"/>
  <c r="AD248" i="80" s="1"/>
  <c r="N247" i="80"/>
  <c r="N248" i="80" s="1"/>
  <c r="AA247" i="80"/>
  <c r="AA248" i="80" s="1"/>
  <c r="S247" i="80"/>
  <c r="S248" i="80" s="1"/>
  <c r="R247" i="80"/>
  <c r="R248" i="80" s="1"/>
  <c r="AC247" i="80"/>
  <c r="AC248" i="80" s="1"/>
  <c r="U247" i="80"/>
  <c r="U248" i="80" s="1"/>
  <c r="M247" i="80"/>
  <c r="M248" i="80" s="1"/>
  <c r="AB247" i="80"/>
  <c r="AB248" i="80" s="1"/>
  <c r="T247" i="80"/>
  <c r="T248" i="80" s="1"/>
  <c r="X247" i="80"/>
  <c r="X248" i="80" s="1"/>
  <c r="P247" i="80"/>
  <c r="P248" i="80" s="1"/>
  <c r="L247" i="80"/>
  <c r="L248" i="80" s="1"/>
  <c r="Y247" i="80"/>
  <c r="Y248" i="80" s="1"/>
  <c r="Q247" i="80"/>
  <c r="Q248" i="80" s="1"/>
  <c r="V247" i="80"/>
  <c r="V248" i="80" s="1"/>
  <c r="AE247" i="80"/>
  <c r="AE248" i="80" s="1"/>
  <c r="W247" i="80"/>
  <c r="W248" i="80" s="1"/>
  <c r="O247" i="80"/>
  <c r="O248" i="80" s="1"/>
  <c r="S102" i="116" l="1"/>
  <c r="G114" i="116"/>
  <c r="Q102" i="116"/>
  <c r="E114" i="116"/>
  <c r="T102" i="116"/>
  <c r="H114" i="116"/>
  <c r="R102" i="116"/>
  <c r="F114" i="116"/>
  <c r="E115" i="116"/>
  <c r="E106" i="116"/>
  <c r="E116" i="116"/>
  <c r="Q108" i="116"/>
  <c r="Q111" i="116"/>
  <c r="Q110" i="116"/>
  <c r="Q109" i="116"/>
  <c r="Q107" i="116"/>
  <c r="Q104" i="116"/>
  <c r="Q106" i="116"/>
  <c r="Q112" i="116"/>
  <c r="Q113" i="116"/>
  <c r="Q105" i="116"/>
  <c r="H115" i="116"/>
  <c r="H106" i="116"/>
  <c r="T105" i="116"/>
  <c r="T108" i="116"/>
  <c r="T112" i="116"/>
  <c r="T113" i="116"/>
  <c r="T111" i="116"/>
  <c r="T106" i="116"/>
  <c r="T107" i="116"/>
  <c r="T104" i="116"/>
  <c r="H116" i="116"/>
  <c r="T110" i="116"/>
  <c r="T109" i="116"/>
  <c r="G115" i="116"/>
  <c r="G106" i="116"/>
  <c r="S104" i="116"/>
  <c r="S113" i="116"/>
  <c r="S112" i="116"/>
  <c r="S111" i="116"/>
  <c r="S109" i="116"/>
  <c r="S108" i="116"/>
  <c r="G116" i="116"/>
  <c r="S106" i="116"/>
  <c r="S105" i="116"/>
  <c r="S110" i="116"/>
  <c r="S107" i="116"/>
  <c r="I115" i="116"/>
  <c r="I106" i="116"/>
  <c r="U106" i="116"/>
  <c r="I116" i="116"/>
  <c r="U110" i="116"/>
  <c r="U113" i="116"/>
  <c r="U105" i="116"/>
  <c r="U108" i="116"/>
  <c r="U107" i="116"/>
  <c r="U112" i="116"/>
  <c r="U104" i="116"/>
  <c r="U111" i="116"/>
  <c r="U109" i="116"/>
  <c r="F115" i="116"/>
  <c r="F106" i="116"/>
  <c r="R113" i="116"/>
  <c r="R105" i="116"/>
  <c r="F116" i="116"/>
  <c r="R109" i="116"/>
  <c r="R112" i="116"/>
  <c r="R104" i="116"/>
  <c r="R107" i="116"/>
  <c r="R106" i="116"/>
  <c r="R111" i="116"/>
  <c r="R110" i="116"/>
  <c r="R108" i="116"/>
  <c r="J115" i="116"/>
  <c r="J106" i="116"/>
  <c r="V111" i="116"/>
  <c r="V107" i="116"/>
  <c r="V104" i="116"/>
  <c r="J116" i="116"/>
  <c r="V109" i="116"/>
  <c r="V112" i="116"/>
  <c r="V106" i="116"/>
  <c r="V113" i="116"/>
  <c r="V110" i="116"/>
  <c r="V108" i="116"/>
  <c r="V105" i="116"/>
  <c r="U25" i="75"/>
  <c r="V26" i="75"/>
  <c r="S26" i="75"/>
  <c r="V25" i="75"/>
  <c r="S25" i="75"/>
  <c r="W26" i="75"/>
  <c r="W25" i="75"/>
  <c r="X26" i="75"/>
  <c r="X25" i="75"/>
  <c r="T26" i="75"/>
  <c r="T25" i="75"/>
  <c r="U26" i="75"/>
  <c r="T40" i="74"/>
  <c r="S39" i="74"/>
  <c r="V40" i="74"/>
  <c r="V39" i="74"/>
  <c r="X39" i="74"/>
  <c r="T39" i="74"/>
  <c r="U40" i="74"/>
  <c r="S40" i="74"/>
  <c r="U39" i="74"/>
  <c r="W40" i="74"/>
  <c r="W39" i="74"/>
  <c r="X40" i="74"/>
  <c r="E104" i="116"/>
  <c r="H105" i="116"/>
  <c r="J105" i="116"/>
  <c r="G105" i="116"/>
  <c r="E105" i="116"/>
  <c r="I105" i="116"/>
  <c r="I104" i="116"/>
  <c r="H104" i="116"/>
  <c r="G104" i="116"/>
  <c r="F105" i="116"/>
  <c r="F104" i="116"/>
  <c r="J104" i="116"/>
  <c r="AE170" i="80"/>
  <c r="AD170" i="80"/>
  <c r="AC170" i="80"/>
  <c r="AB170" i="80"/>
  <c r="AA170" i="80"/>
  <c r="Z170" i="80"/>
  <c r="Y170" i="80"/>
  <c r="X170" i="80"/>
  <c r="W170" i="80"/>
  <c r="V170" i="80"/>
  <c r="U170" i="80"/>
  <c r="T170" i="80"/>
  <c r="S170" i="80"/>
  <c r="R170" i="80"/>
  <c r="Q170" i="80"/>
  <c r="P170" i="80"/>
  <c r="O170" i="80"/>
  <c r="N170" i="80"/>
  <c r="M170" i="80"/>
  <c r="L170" i="80"/>
  <c r="K170" i="80"/>
  <c r="J170" i="80"/>
  <c r="I170" i="80"/>
  <c r="H170" i="80"/>
  <c r="G170" i="80"/>
  <c r="F170" i="80"/>
  <c r="E5" i="51" l="1"/>
  <c r="H11" i="51" l="1"/>
  <c r="I11" i="51"/>
  <c r="G11" i="51"/>
  <c r="K65" i="103"/>
  <c r="J65" i="103"/>
  <c r="I65" i="103"/>
  <c r="H65" i="103"/>
  <c r="G65" i="103"/>
  <c r="K64" i="103"/>
  <c r="J64" i="103"/>
  <c r="I64" i="103"/>
  <c r="H64" i="103"/>
  <c r="G64" i="103"/>
  <c r="K63" i="103"/>
  <c r="J63" i="103"/>
  <c r="I63" i="103"/>
  <c r="H63" i="103"/>
  <c r="G63" i="103"/>
  <c r="K62" i="103"/>
  <c r="J62" i="103"/>
  <c r="I62" i="103"/>
  <c r="H62" i="103"/>
  <c r="G62" i="103"/>
  <c r="K61" i="103"/>
  <c r="J61" i="103"/>
  <c r="I61" i="103"/>
  <c r="H61" i="103"/>
  <c r="G61" i="103"/>
  <c r="H31" i="103"/>
  <c r="I31" i="103"/>
  <c r="J31" i="103"/>
  <c r="K31" i="103"/>
  <c r="H32" i="103"/>
  <c r="I32" i="103"/>
  <c r="J32" i="103"/>
  <c r="K32" i="103"/>
  <c r="H33" i="103"/>
  <c r="I33" i="103"/>
  <c r="J33" i="103"/>
  <c r="K33" i="103"/>
  <c r="H34" i="103"/>
  <c r="I34" i="103"/>
  <c r="J34" i="103"/>
  <c r="K34" i="103"/>
  <c r="H35" i="103"/>
  <c r="I35" i="103"/>
  <c r="J35" i="103"/>
  <c r="K35" i="103"/>
  <c r="G34" i="103"/>
  <c r="G35" i="103"/>
  <c r="G33" i="103"/>
  <c r="G32" i="103"/>
  <c r="G31" i="103"/>
  <c r="J25" i="39" l="1"/>
  <c r="I25" i="39"/>
  <c r="H25" i="39"/>
  <c r="G25" i="39"/>
  <c r="F25" i="39"/>
  <c r="AE89" i="39" l="1"/>
  <c r="AD89" i="39"/>
  <c r="AC89" i="39"/>
  <c r="AB89" i="39"/>
  <c r="AA89" i="39"/>
  <c r="Z89" i="39"/>
  <c r="Y89" i="39"/>
  <c r="X89" i="39"/>
  <c r="W89" i="39"/>
  <c r="V89" i="39"/>
  <c r="U89" i="39"/>
  <c r="T89" i="39"/>
  <c r="S89" i="39"/>
  <c r="R89" i="39"/>
  <c r="Q89" i="39"/>
  <c r="P89" i="39"/>
  <c r="O89" i="39"/>
  <c r="N89" i="39"/>
  <c r="M89" i="39"/>
  <c r="L89" i="39"/>
  <c r="K89" i="39"/>
  <c r="J89" i="39"/>
  <c r="I89" i="39"/>
  <c r="H89" i="39"/>
  <c r="G89" i="39"/>
  <c r="F89" i="39"/>
  <c r="AE88" i="39"/>
  <c r="AD88" i="39"/>
  <c r="AC88" i="39"/>
  <c r="AB88" i="39"/>
  <c r="AA88" i="39"/>
  <c r="Z88" i="39"/>
  <c r="Y88" i="39"/>
  <c r="X88" i="39"/>
  <c r="W88" i="39"/>
  <c r="V88" i="39"/>
  <c r="U88" i="39"/>
  <c r="T88" i="39"/>
  <c r="S88" i="39"/>
  <c r="R88" i="39"/>
  <c r="Q88" i="39"/>
  <c r="P88" i="39"/>
  <c r="O88" i="39"/>
  <c r="N88" i="39"/>
  <c r="M88" i="39"/>
  <c r="L88" i="39"/>
  <c r="J88" i="39"/>
  <c r="I88" i="39"/>
  <c r="H88" i="39"/>
  <c r="G88" i="39"/>
  <c r="F88" i="39"/>
  <c r="AE87" i="39"/>
  <c r="AD87" i="39"/>
  <c r="AC87" i="39"/>
  <c r="AB87" i="39"/>
  <c r="AA87" i="39"/>
  <c r="Z87" i="39"/>
  <c r="Y87" i="39"/>
  <c r="X87" i="39"/>
  <c r="W87" i="39"/>
  <c r="V87" i="39"/>
  <c r="U87" i="39"/>
  <c r="T87" i="39"/>
  <c r="S87" i="39"/>
  <c r="R87" i="39"/>
  <c r="Q87" i="39"/>
  <c r="P87" i="39"/>
  <c r="O87" i="39"/>
  <c r="N87" i="39"/>
  <c r="M87" i="39"/>
  <c r="L87" i="39"/>
  <c r="K87" i="39"/>
  <c r="J87" i="39"/>
  <c r="I87" i="39"/>
  <c r="H87" i="39"/>
  <c r="G87" i="39"/>
  <c r="F87" i="39"/>
  <c r="AE86" i="39"/>
  <c r="AD86" i="39"/>
  <c r="AC86" i="39"/>
  <c r="AB86" i="39"/>
  <c r="AA86" i="39"/>
  <c r="Z86" i="39"/>
  <c r="Y86" i="39"/>
  <c r="X86" i="39"/>
  <c r="W86" i="39"/>
  <c r="V86" i="39"/>
  <c r="U86" i="39"/>
  <c r="T86" i="39"/>
  <c r="S86" i="39"/>
  <c r="R86" i="39"/>
  <c r="Q86" i="39"/>
  <c r="P86" i="39"/>
  <c r="O86" i="39"/>
  <c r="N86" i="39"/>
  <c r="M86" i="39"/>
  <c r="L86" i="39"/>
  <c r="K86" i="39"/>
  <c r="J86" i="39"/>
  <c r="I86" i="39"/>
  <c r="H86" i="39"/>
  <c r="G86" i="39"/>
  <c r="F86" i="39"/>
  <c r="AE85" i="39"/>
  <c r="AD85" i="39"/>
  <c r="AC85" i="39"/>
  <c r="AB85" i="39"/>
  <c r="AA85" i="39"/>
  <c r="Z85" i="39"/>
  <c r="Y85" i="39"/>
  <c r="X85" i="39"/>
  <c r="W85" i="39"/>
  <c r="V85" i="39"/>
  <c r="U85" i="39"/>
  <c r="T85" i="39"/>
  <c r="S85" i="39"/>
  <c r="R85" i="39"/>
  <c r="Q85" i="39"/>
  <c r="P85" i="39"/>
  <c r="O85" i="39"/>
  <c r="N85" i="39"/>
  <c r="M85" i="39"/>
  <c r="L85" i="39"/>
  <c r="K85" i="39"/>
  <c r="J85" i="39"/>
  <c r="I85" i="39"/>
  <c r="H85" i="39"/>
  <c r="G85" i="39"/>
  <c r="F85" i="39"/>
  <c r="AE84" i="39"/>
  <c r="AD84" i="39"/>
  <c r="AC84" i="39"/>
  <c r="AB84" i="39"/>
  <c r="AA84" i="39"/>
  <c r="Z84" i="39"/>
  <c r="Y84" i="39"/>
  <c r="X84" i="39"/>
  <c r="W84" i="39"/>
  <c r="V84" i="39"/>
  <c r="U84" i="39"/>
  <c r="T84" i="39"/>
  <c r="S84" i="39"/>
  <c r="R84" i="39"/>
  <c r="Q84" i="39"/>
  <c r="P84" i="39"/>
  <c r="O84" i="39"/>
  <c r="N84" i="39"/>
  <c r="M84" i="39"/>
  <c r="L84" i="39"/>
  <c r="K84" i="39"/>
  <c r="J84" i="39"/>
  <c r="I84" i="39"/>
  <c r="H84" i="39"/>
  <c r="G84" i="39"/>
  <c r="F84" i="39"/>
  <c r="AE83" i="39"/>
  <c r="AD83" i="39"/>
  <c r="AC83" i="39"/>
  <c r="AB83" i="39"/>
  <c r="AA83" i="39"/>
  <c r="Z83" i="39"/>
  <c r="Y83" i="39"/>
  <c r="X83" i="39"/>
  <c r="W83" i="39"/>
  <c r="V83" i="39"/>
  <c r="U83" i="39"/>
  <c r="T83" i="39"/>
  <c r="S83" i="39"/>
  <c r="R83" i="39"/>
  <c r="Q83" i="39"/>
  <c r="P83" i="39"/>
  <c r="O83" i="39"/>
  <c r="N83" i="39"/>
  <c r="L83" i="39"/>
  <c r="K83" i="39"/>
  <c r="J83" i="39"/>
  <c r="I83" i="39"/>
  <c r="H83" i="39"/>
  <c r="G83" i="39"/>
  <c r="F83" i="39"/>
  <c r="AE80" i="39"/>
  <c r="AD80" i="39"/>
  <c r="AC80" i="39"/>
  <c r="AB80" i="39"/>
  <c r="AA80" i="39"/>
  <c r="Z80" i="39"/>
  <c r="Y80" i="39"/>
  <c r="X80" i="39"/>
  <c r="W80" i="39"/>
  <c r="V80" i="39"/>
  <c r="U80" i="39"/>
  <c r="T80" i="39"/>
  <c r="S80" i="39"/>
  <c r="R80" i="39"/>
  <c r="Q80" i="39"/>
  <c r="P80" i="39"/>
  <c r="O80" i="39"/>
  <c r="N80" i="39"/>
  <c r="L80" i="39"/>
  <c r="K80" i="39"/>
  <c r="I80" i="39"/>
  <c r="H80" i="39"/>
  <c r="G80" i="39"/>
  <c r="F80" i="39"/>
  <c r="AE79" i="39"/>
  <c r="AD79" i="39"/>
  <c r="AC79" i="39"/>
  <c r="AB79" i="39"/>
  <c r="AA79" i="39"/>
  <c r="Z79" i="39"/>
  <c r="Y79" i="39"/>
  <c r="X79" i="39"/>
  <c r="W79" i="39"/>
  <c r="V79" i="39"/>
  <c r="U79" i="39"/>
  <c r="T79" i="39"/>
  <c r="S79" i="39"/>
  <c r="R79" i="39"/>
  <c r="Q79" i="39"/>
  <c r="P79" i="39"/>
  <c r="O79" i="39"/>
  <c r="N79" i="39"/>
  <c r="M79" i="39"/>
  <c r="L79" i="39"/>
  <c r="K79" i="39"/>
  <c r="J79" i="39"/>
  <c r="I79" i="39"/>
  <c r="H79" i="39"/>
  <c r="G79" i="39"/>
  <c r="F79" i="39"/>
  <c r="AE78" i="39"/>
  <c r="AD78" i="39"/>
  <c r="AC78" i="39"/>
  <c r="AB78" i="39"/>
  <c r="AA78" i="39"/>
  <c r="Z78" i="39"/>
  <c r="Y78" i="39"/>
  <c r="X78" i="39"/>
  <c r="W78" i="39"/>
  <c r="V78" i="39"/>
  <c r="U78" i="39"/>
  <c r="T78" i="39"/>
  <c r="S78" i="39"/>
  <c r="R78" i="39"/>
  <c r="Q78" i="39"/>
  <c r="P78" i="39"/>
  <c r="O78" i="39"/>
  <c r="N78" i="39"/>
  <c r="M78" i="39"/>
  <c r="L78" i="39"/>
  <c r="K78" i="39"/>
  <c r="J78" i="39"/>
  <c r="I78" i="39"/>
  <c r="H78" i="39"/>
  <c r="G78" i="39"/>
  <c r="F78" i="39"/>
  <c r="AE77" i="39"/>
  <c r="AD77" i="39"/>
  <c r="AC77" i="39"/>
  <c r="AB77" i="39"/>
  <c r="AA77" i="39"/>
  <c r="Z77" i="39"/>
  <c r="Y77" i="39"/>
  <c r="X77" i="39"/>
  <c r="W77" i="39"/>
  <c r="V77" i="39"/>
  <c r="U77" i="39"/>
  <c r="T77" i="39"/>
  <c r="S77" i="39"/>
  <c r="R77" i="39"/>
  <c r="Q77" i="39"/>
  <c r="P77" i="39"/>
  <c r="O77" i="39"/>
  <c r="N77" i="39"/>
  <c r="M77" i="39"/>
  <c r="L77" i="39"/>
  <c r="K77" i="39"/>
  <c r="J77" i="39"/>
  <c r="I77" i="39"/>
  <c r="H77" i="39"/>
  <c r="G77" i="39"/>
  <c r="F77" i="39"/>
  <c r="AE76" i="39"/>
  <c r="AD76" i="39"/>
  <c r="AC76" i="39"/>
  <c r="AB76" i="39"/>
  <c r="AA76" i="39"/>
  <c r="Z76" i="39"/>
  <c r="Y76" i="39"/>
  <c r="X76" i="39"/>
  <c r="W76" i="39"/>
  <c r="V76" i="39"/>
  <c r="U76" i="39"/>
  <c r="T76" i="39"/>
  <c r="S76" i="39"/>
  <c r="R76" i="39"/>
  <c r="Q76" i="39"/>
  <c r="P76" i="39"/>
  <c r="O76" i="39"/>
  <c r="N76" i="39"/>
  <c r="M76" i="39"/>
  <c r="L76" i="39"/>
  <c r="K76" i="39"/>
  <c r="J76" i="39"/>
  <c r="I76" i="39"/>
  <c r="H76" i="39"/>
  <c r="G76" i="39"/>
  <c r="F76" i="39"/>
  <c r="AE75" i="39"/>
  <c r="AD75" i="39"/>
  <c r="AC75" i="39"/>
  <c r="AB75" i="39"/>
  <c r="AA75" i="39"/>
  <c r="Z75" i="39"/>
  <c r="Y75" i="39"/>
  <c r="X75" i="39"/>
  <c r="W75" i="39"/>
  <c r="V75" i="39"/>
  <c r="U75" i="39"/>
  <c r="T75" i="39"/>
  <c r="S75" i="39"/>
  <c r="R75" i="39"/>
  <c r="Q75" i="39"/>
  <c r="P75" i="39"/>
  <c r="O75" i="39"/>
  <c r="N75" i="39"/>
  <c r="M75" i="39"/>
  <c r="L75" i="39"/>
  <c r="K75" i="39"/>
  <c r="J75" i="39"/>
  <c r="I75" i="39"/>
  <c r="H75" i="39"/>
  <c r="G75" i="39"/>
  <c r="F75" i="39"/>
  <c r="AE74" i="39"/>
  <c r="AD74" i="39"/>
  <c r="AC74" i="39"/>
  <c r="AB74" i="39"/>
  <c r="AA74" i="39"/>
  <c r="Z74" i="39"/>
  <c r="Y74" i="39"/>
  <c r="X74" i="39"/>
  <c r="W74" i="39"/>
  <c r="V74" i="39"/>
  <c r="U74" i="39"/>
  <c r="T74" i="39"/>
  <c r="S74" i="39"/>
  <c r="R74" i="39"/>
  <c r="Q74" i="39"/>
  <c r="P74" i="39"/>
  <c r="O74" i="39"/>
  <c r="N74" i="39"/>
  <c r="M74" i="39"/>
  <c r="L74" i="39"/>
  <c r="K74" i="39"/>
  <c r="J74" i="39"/>
  <c r="I74" i="39"/>
  <c r="H74" i="39"/>
  <c r="G74" i="39"/>
  <c r="F74" i="39"/>
  <c r="K213" i="80" l="1"/>
  <c r="K214" i="80"/>
  <c r="K212" i="80"/>
  <c r="K210" i="80"/>
  <c r="K211" i="80"/>
  <c r="K215" i="80"/>
  <c r="R216" i="80"/>
  <c r="P210" i="80"/>
  <c r="X210" i="80"/>
  <c r="N211" i="80"/>
  <c r="V211" i="80"/>
  <c r="AD211" i="80"/>
  <c r="L212" i="80"/>
  <c r="T212" i="80"/>
  <c r="AB212" i="80"/>
  <c r="R213" i="80"/>
  <c r="Z213" i="80"/>
  <c r="P214" i="80"/>
  <c r="X214" i="80"/>
  <c r="N215" i="80"/>
  <c r="V215" i="80"/>
  <c r="AD215" i="80"/>
  <c r="Q210" i="80"/>
  <c r="Y210" i="80"/>
  <c r="O211" i="80"/>
  <c r="W211" i="80"/>
  <c r="AE211" i="80"/>
  <c r="M212" i="80"/>
  <c r="U212" i="80"/>
  <c r="AC212" i="80"/>
  <c r="S213" i="80"/>
  <c r="AA213" i="80"/>
  <c r="Q214" i="80"/>
  <c r="Y214" i="80"/>
  <c r="O215" i="80"/>
  <c r="W215" i="80"/>
  <c r="AE215" i="80"/>
  <c r="Z216" i="80"/>
  <c r="AE212" i="80"/>
  <c r="AC213" i="80"/>
  <c r="AA214" i="80"/>
  <c r="Y215" i="80"/>
  <c r="N213" i="80"/>
  <c r="T214" i="80"/>
  <c r="U210" i="80"/>
  <c r="S211" i="80"/>
  <c r="Q212" i="80"/>
  <c r="W213" i="80"/>
  <c r="AE213" i="80"/>
  <c r="M214" i="80"/>
  <c r="AC214" i="80"/>
  <c r="S215" i="80"/>
  <c r="AA215" i="80"/>
  <c r="Z210" i="80"/>
  <c r="P211" i="80"/>
  <c r="X211" i="80"/>
  <c r="N212" i="80"/>
  <c r="V212" i="80"/>
  <c r="AD212" i="80"/>
  <c r="L213" i="80"/>
  <c r="T213" i="80"/>
  <c r="AB213" i="80"/>
  <c r="R214" i="80"/>
  <c r="Z214" i="80"/>
  <c r="P215" i="80"/>
  <c r="X215" i="80"/>
  <c r="S210" i="80"/>
  <c r="Q211" i="80"/>
  <c r="O212" i="80"/>
  <c r="M213" i="80"/>
  <c r="S214" i="80"/>
  <c r="Q215" i="80"/>
  <c r="AB210" i="80"/>
  <c r="Z211" i="80"/>
  <c r="X212" i="80"/>
  <c r="L214" i="80"/>
  <c r="AC210" i="80"/>
  <c r="AA211" i="80"/>
  <c r="Y212" i="80"/>
  <c r="O213" i="80"/>
  <c r="U214" i="80"/>
  <c r="N210" i="80"/>
  <c r="V210" i="80"/>
  <c r="AD210" i="80"/>
  <c r="L211" i="80"/>
  <c r="T211" i="80"/>
  <c r="AB211" i="80"/>
  <c r="R212" i="80"/>
  <c r="Z212" i="80"/>
  <c r="P213" i="80"/>
  <c r="X213" i="80"/>
  <c r="N214" i="80"/>
  <c r="V214" i="80"/>
  <c r="AD214" i="80"/>
  <c r="L215" i="80"/>
  <c r="T215" i="80"/>
  <c r="AB215" i="80"/>
  <c r="R210" i="80"/>
  <c r="AA210" i="80"/>
  <c r="Y211" i="80"/>
  <c r="W212" i="80"/>
  <c r="U213" i="80"/>
  <c r="L210" i="80"/>
  <c r="T210" i="80"/>
  <c r="R211" i="80"/>
  <c r="P212" i="80"/>
  <c r="V213" i="80"/>
  <c r="AD213" i="80"/>
  <c r="AB214" i="80"/>
  <c r="R215" i="80"/>
  <c r="Z215" i="80"/>
  <c r="O210" i="80"/>
  <c r="W210" i="80"/>
  <c r="AE210" i="80"/>
  <c r="M211" i="80"/>
  <c r="U211" i="80"/>
  <c r="AC211" i="80"/>
  <c r="S212" i="80"/>
  <c r="AA212" i="80"/>
  <c r="Q213" i="80"/>
  <c r="Y213" i="80"/>
  <c r="O214" i="80"/>
  <c r="W214" i="80"/>
  <c r="AE214" i="80"/>
  <c r="M215" i="80"/>
  <c r="U215" i="80"/>
  <c r="AC215" i="80"/>
  <c r="M210" i="80"/>
  <c r="S216" i="80"/>
  <c r="AA216" i="80"/>
  <c r="V216" i="80"/>
  <c r="AD216" i="80"/>
  <c r="T216" i="80"/>
  <c r="AB216" i="80"/>
  <c r="U216" i="80"/>
  <c r="AC216" i="80"/>
  <c r="W216" i="80"/>
  <c r="AE216" i="80"/>
  <c r="O216" i="80"/>
  <c r="K216" i="80"/>
  <c r="M216" i="80"/>
  <c r="P216" i="80"/>
  <c r="L216" i="80"/>
  <c r="N216" i="80"/>
  <c r="X216" i="80"/>
  <c r="Q216" i="80"/>
  <c r="Y216" i="80"/>
  <c r="AE71" i="39"/>
  <c r="AD71" i="39"/>
  <c r="AC71" i="39"/>
  <c r="AB71" i="39"/>
  <c r="AA71" i="39"/>
  <c r="Z71" i="39"/>
  <c r="Y71" i="39"/>
  <c r="X71" i="39"/>
  <c r="W71" i="39"/>
  <c r="V71" i="39"/>
  <c r="U71" i="39"/>
  <c r="T71" i="39"/>
  <c r="S71" i="39"/>
  <c r="R71" i="39"/>
  <c r="Q71" i="39"/>
  <c r="P71" i="39"/>
  <c r="O71" i="39"/>
  <c r="N71" i="39"/>
  <c r="M71" i="39"/>
  <c r="L71" i="39"/>
  <c r="K71" i="39"/>
  <c r="J71" i="39"/>
  <c r="I71" i="39"/>
  <c r="H71" i="39"/>
  <c r="G71" i="39"/>
  <c r="F71" i="39"/>
  <c r="AE70" i="39"/>
  <c r="AD70" i="39"/>
  <c r="AC70" i="39"/>
  <c r="AB70" i="39"/>
  <c r="AA70" i="39"/>
  <c r="Z70" i="39"/>
  <c r="Y70" i="39"/>
  <c r="X70" i="39"/>
  <c r="W70" i="39"/>
  <c r="V70" i="39"/>
  <c r="U70" i="39"/>
  <c r="T70" i="39"/>
  <c r="S70" i="39"/>
  <c r="R70" i="39"/>
  <c r="Q70" i="39"/>
  <c r="P70" i="39"/>
  <c r="O70" i="39"/>
  <c r="N70" i="39"/>
  <c r="M70" i="39"/>
  <c r="L70" i="39"/>
  <c r="K70" i="39"/>
  <c r="J70" i="39"/>
  <c r="I70" i="39"/>
  <c r="H70" i="39"/>
  <c r="G70" i="39"/>
  <c r="F70" i="39"/>
  <c r="AE69" i="39"/>
  <c r="AD69" i="39"/>
  <c r="AC69" i="39"/>
  <c r="AB69" i="39"/>
  <c r="AA69" i="39"/>
  <c r="Z69" i="39"/>
  <c r="Y69" i="39"/>
  <c r="X69" i="39"/>
  <c r="W69" i="39"/>
  <c r="V69" i="39"/>
  <c r="U69" i="39"/>
  <c r="T69" i="39"/>
  <c r="S69" i="39"/>
  <c r="R69" i="39"/>
  <c r="Q69" i="39"/>
  <c r="P69" i="39"/>
  <c r="P197" i="80" s="1"/>
  <c r="O69" i="39"/>
  <c r="N69" i="39"/>
  <c r="M69" i="39"/>
  <c r="L69" i="39"/>
  <c r="K69" i="39"/>
  <c r="J69" i="39"/>
  <c r="I69" i="39"/>
  <c r="H69" i="39"/>
  <c r="G69" i="39"/>
  <c r="F69" i="39"/>
  <c r="AE68" i="39"/>
  <c r="AD68" i="39"/>
  <c r="AC68" i="39"/>
  <c r="AB68" i="39"/>
  <c r="AA68" i="39"/>
  <c r="Z68" i="39"/>
  <c r="Y68" i="39"/>
  <c r="X68" i="39"/>
  <c r="W68" i="39"/>
  <c r="V68" i="39"/>
  <c r="U68" i="39"/>
  <c r="T68" i="39"/>
  <c r="S68" i="39"/>
  <c r="R68" i="39"/>
  <c r="Q68" i="39"/>
  <c r="P68" i="39"/>
  <c r="O68" i="39"/>
  <c r="N68" i="39"/>
  <c r="M68" i="39"/>
  <c r="L68" i="39"/>
  <c r="K68" i="39"/>
  <c r="J68" i="39"/>
  <c r="I68" i="39"/>
  <c r="H68" i="39"/>
  <c r="G68" i="39"/>
  <c r="F68"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AE66" i="39"/>
  <c r="AD66" i="39"/>
  <c r="AC66" i="39"/>
  <c r="AB66" i="39"/>
  <c r="AA66" i="39"/>
  <c r="Z66" i="39"/>
  <c r="Y66" i="39"/>
  <c r="X66" i="39"/>
  <c r="W66" i="39"/>
  <c r="V66" i="39"/>
  <c r="U66" i="39"/>
  <c r="T66" i="39"/>
  <c r="S66" i="39"/>
  <c r="R66" i="39"/>
  <c r="Q66" i="39"/>
  <c r="P66" i="39"/>
  <c r="O66" i="39"/>
  <c r="N66" i="39"/>
  <c r="M66" i="39"/>
  <c r="L66" i="39"/>
  <c r="K66" i="39"/>
  <c r="J66" i="39"/>
  <c r="I66" i="39"/>
  <c r="H66" i="39"/>
  <c r="G66" i="39"/>
  <c r="F66" i="39"/>
  <c r="AE65" i="39"/>
  <c r="AD65" i="39"/>
  <c r="AC65" i="39"/>
  <c r="AB65" i="39"/>
  <c r="AA65" i="39"/>
  <c r="Z65" i="39"/>
  <c r="Y65" i="39"/>
  <c r="X65" i="39"/>
  <c r="W65" i="39"/>
  <c r="V65" i="39"/>
  <c r="U65" i="39"/>
  <c r="T65" i="39"/>
  <c r="S65" i="39"/>
  <c r="R65" i="39"/>
  <c r="Q65" i="39"/>
  <c r="P65" i="39"/>
  <c r="O65" i="39"/>
  <c r="N65" i="39"/>
  <c r="M65" i="39"/>
  <c r="L65" i="39"/>
  <c r="K65" i="39"/>
  <c r="J65" i="39"/>
  <c r="I65" i="39"/>
  <c r="H65" i="39"/>
  <c r="G65" i="39"/>
  <c r="F65" i="39"/>
  <c r="K194" i="39" l="1"/>
  <c r="M197" i="80"/>
  <c r="M198" i="80"/>
  <c r="M203" i="80"/>
  <c r="U197" i="80"/>
  <c r="U198" i="80"/>
  <c r="N197" i="80"/>
  <c r="N198" i="80"/>
  <c r="V197" i="80"/>
  <c r="V198" i="80"/>
  <c r="O197" i="80"/>
  <c r="P198" i="80"/>
  <c r="O198" i="80"/>
  <c r="W197" i="80"/>
  <c r="W198" i="80"/>
  <c r="X197" i="80"/>
  <c r="X198" i="80"/>
  <c r="Q197" i="80"/>
  <c r="R193" i="39"/>
  <c r="R197" i="80"/>
  <c r="S193" i="39"/>
  <c r="R198" i="80"/>
  <c r="S197" i="80"/>
  <c r="S198" i="80"/>
  <c r="L198" i="80"/>
  <c r="Q198" i="80"/>
  <c r="T197" i="80"/>
  <c r="T198" i="80"/>
  <c r="L64" i="39"/>
  <c r="L197" i="80"/>
  <c r="L203" i="80"/>
  <c r="K193" i="39"/>
  <c r="K190" i="39"/>
  <c r="K189" i="39"/>
  <c r="K192" i="39"/>
  <c r="AD200" i="80"/>
  <c r="AD204" i="80"/>
  <c r="AC195" i="39"/>
  <c r="AD201" i="80"/>
  <c r="AD199" i="80"/>
  <c r="AD203" i="80"/>
  <c r="AF15" i="103"/>
  <c r="AF30" i="103" s="1"/>
  <c r="AD202" i="80"/>
  <c r="AB195" i="39"/>
  <c r="V190" i="39"/>
  <c r="U200" i="80"/>
  <c r="T191" i="39"/>
  <c r="S201" i="80"/>
  <c r="X193" i="39"/>
  <c r="W203" i="80"/>
  <c r="V194" i="39"/>
  <c r="U204" i="80"/>
  <c r="Y189" i="39"/>
  <c r="X199" i="80"/>
  <c r="O190" i="39"/>
  <c r="N200" i="80"/>
  <c r="W190" i="39"/>
  <c r="V200" i="80"/>
  <c r="M191" i="39"/>
  <c r="L201" i="80"/>
  <c r="U191" i="39"/>
  <c r="T201" i="80"/>
  <c r="AC191" i="39"/>
  <c r="AB201" i="80"/>
  <c r="S192" i="39"/>
  <c r="R202" i="80"/>
  <c r="AA192" i="39"/>
  <c r="Z202" i="80"/>
  <c r="Q193" i="39"/>
  <c r="P203" i="80"/>
  <c r="Y193" i="39"/>
  <c r="X203" i="80"/>
  <c r="O194" i="39"/>
  <c r="N204" i="80"/>
  <c r="W194" i="39"/>
  <c r="V204" i="80"/>
  <c r="M195" i="39"/>
  <c r="Q205" i="80"/>
  <c r="U195" i="39"/>
  <c r="Y205" i="80"/>
  <c r="R189" i="39"/>
  <c r="Q199" i="80"/>
  <c r="Z189" i="39"/>
  <c r="Y199" i="80"/>
  <c r="P190" i="39"/>
  <c r="O200" i="80"/>
  <c r="X190" i="39"/>
  <c r="W200" i="80"/>
  <c r="AF10" i="103"/>
  <c r="AE200" i="80"/>
  <c r="N191" i="39"/>
  <c r="M201" i="80"/>
  <c r="V191" i="39"/>
  <c r="U201" i="80"/>
  <c r="AD191" i="39"/>
  <c r="AC201" i="80"/>
  <c r="L192" i="39"/>
  <c r="K202" i="80"/>
  <c r="T192" i="39"/>
  <c r="S202" i="80"/>
  <c r="AB192" i="39"/>
  <c r="AA202" i="80"/>
  <c r="Q203" i="80"/>
  <c r="Z193" i="39"/>
  <c r="Y203" i="80"/>
  <c r="P194" i="39"/>
  <c r="O204" i="80"/>
  <c r="X194" i="39"/>
  <c r="W204" i="80"/>
  <c r="AF14" i="103"/>
  <c r="AF29" i="103" s="1"/>
  <c r="AE204" i="80"/>
  <c r="N195" i="39"/>
  <c r="R205" i="80"/>
  <c r="V195" i="39"/>
  <c r="Z205" i="80"/>
  <c r="AD195" i="39"/>
  <c r="AF9" i="103"/>
  <c r="AE199" i="80"/>
  <c r="AB191" i="39"/>
  <c r="AA201" i="80"/>
  <c r="AD194" i="39"/>
  <c r="AC204" i="80"/>
  <c r="S189" i="39"/>
  <c r="R199" i="80"/>
  <c r="Y190" i="39"/>
  <c r="X200" i="80"/>
  <c r="O191" i="39"/>
  <c r="N201" i="80"/>
  <c r="W191" i="39"/>
  <c r="V201" i="80"/>
  <c r="M192" i="39"/>
  <c r="L202" i="80"/>
  <c r="U192" i="39"/>
  <c r="T202" i="80"/>
  <c r="R203" i="80"/>
  <c r="AA193" i="39"/>
  <c r="Z203" i="80"/>
  <c r="Y194" i="39"/>
  <c r="X204" i="80"/>
  <c r="O195" i="39"/>
  <c r="S205" i="80"/>
  <c r="W195" i="39"/>
  <c r="AA205" i="80"/>
  <c r="L189" i="39"/>
  <c r="K199" i="80"/>
  <c r="R190" i="39"/>
  <c r="Q200" i="80"/>
  <c r="P191" i="39"/>
  <c r="O201" i="80"/>
  <c r="N192" i="39"/>
  <c r="M202" i="80"/>
  <c r="AD192" i="39"/>
  <c r="AC202" i="80"/>
  <c r="T193" i="39"/>
  <c r="S203" i="80"/>
  <c r="Z194" i="39"/>
  <c r="Y204" i="80"/>
  <c r="P195" i="39"/>
  <c r="T205" i="80"/>
  <c r="AA190" i="39"/>
  <c r="Z200" i="80"/>
  <c r="Y191" i="39"/>
  <c r="X201" i="80"/>
  <c r="W192" i="39"/>
  <c r="V202" i="80"/>
  <c r="M193" i="39"/>
  <c r="U193" i="39"/>
  <c r="T203" i="80"/>
  <c r="AC193" i="39"/>
  <c r="AB203" i="80"/>
  <c r="S194" i="39"/>
  <c r="R204" i="80"/>
  <c r="AA194" i="39"/>
  <c r="Z204" i="80"/>
  <c r="Q195" i="39"/>
  <c r="U205" i="80"/>
  <c r="Y195" i="39"/>
  <c r="AC205" i="80"/>
  <c r="P189" i="39"/>
  <c r="O199" i="80"/>
  <c r="N190" i="39"/>
  <c r="M200" i="80"/>
  <c r="L191" i="39"/>
  <c r="K201" i="80"/>
  <c r="R192" i="39"/>
  <c r="Q202" i="80"/>
  <c r="P193" i="39"/>
  <c r="O203" i="80"/>
  <c r="AF13" i="103"/>
  <c r="AF28" i="103" s="1"/>
  <c r="AE203" i="80"/>
  <c r="L195" i="39"/>
  <c r="O205" i="80"/>
  <c r="K205" i="80"/>
  <c r="L205" i="80"/>
  <c r="P205" i="80"/>
  <c r="M205" i="80"/>
  <c r="N205" i="80"/>
  <c r="T195" i="39"/>
  <c r="X205" i="80"/>
  <c r="AC192" i="39"/>
  <c r="AB202" i="80"/>
  <c r="T189" i="39"/>
  <c r="S199" i="80"/>
  <c r="Z190" i="39"/>
  <c r="Y200" i="80"/>
  <c r="X191" i="39"/>
  <c r="W201" i="80"/>
  <c r="V192" i="39"/>
  <c r="U202" i="80"/>
  <c r="L193" i="39"/>
  <c r="K203" i="80"/>
  <c r="AB193" i="39"/>
  <c r="AA203" i="80"/>
  <c r="R194" i="39"/>
  <c r="Q204" i="80"/>
  <c r="X195" i="39"/>
  <c r="AB205" i="80"/>
  <c r="M189" i="39"/>
  <c r="L199" i="80"/>
  <c r="U189" i="39"/>
  <c r="T199" i="80"/>
  <c r="AC189" i="39"/>
  <c r="AB199" i="80"/>
  <c r="S190" i="39"/>
  <c r="R200" i="80"/>
  <c r="Q191" i="39"/>
  <c r="P201" i="80"/>
  <c r="O192" i="39"/>
  <c r="N202" i="80"/>
  <c r="N189" i="39"/>
  <c r="M199" i="80"/>
  <c r="V189" i="39"/>
  <c r="U199" i="80"/>
  <c r="AD189" i="39"/>
  <c r="AC199" i="80"/>
  <c r="L190" i="39"/>
  <c r="K200" i="80"/>
  <c r="T190" i="39"/>
  <c r="S200" i="80"/>
  <c r="AB190" i="39"/>
  <c r="AA200" i="80"/>
  <c r="R191" i="39"/>
  <c r="Q201" i="80"/>
  <c r="Z191" i="39"/>
  <c r="Y201" i="80"/>
  <c r="P192" i="39"/>
  <c r="O202" i="80"/>
  <c r="X192" i="39"/>
  <c r="W202" i="80"/>
  <c r="AF12" i="103"/>
  <c r="AE202" i="80"/>
  <c r="N193" i="39"/>
  <c r="V193" i="39"/>
  <c r="U203" i="80"/>
  <c r="AD193" i="39"/>
  <c r="AC203" i="80"/>
  <c r="L194" i="39"/>
  <c r="K204" i="80"/>
  <c r="T194" i="39"/>
  <c r="S204" i="80"/>
  <c r="AB194" i="39"/>
  <c r="AA204" i="80"/>
  <c r="R195" i="39"/>
  <c r="V205" i="80"/>
  <c r="Z195" i="39"/>
  <c r="AD205" i="80"/>
  <c r="X189" i="39"/>
  <c r="W199" i="80"/>
  <c r="AD190" i="39"/>
  <c r="AC200" i="80"/>
  <c r="Z192" i="39"/>
  <c r="Y202" i="80"/>
  <c r="N194" i="39"/>
  <c r="M204" i="80"/>
  <c r="Q189" i="39"/>
  <c r="P199" i="80"/>
  <c r="AA189" i="39"/>
  <c r="Z199" i="80"/>
  <c r="Q190" i="39"/>
  <c r="P200" i="80"/>
  <c r="Q194" i="39"/>
  <c r="P204" i="80"/>
  <c r="AB189" i="39"/>
  <c r="AA199" i="80"/>
  <c r="AF11" i="103"/>
  <c r="AF27" i="103" s="1"/>
  <c r="AE201" i="80"/>
  <c r="O189" i="39"/>
  <c r="N199" i="80"/>
  <c r="W189" i="39"/>
  <c r="V199" i="80"/>
  <c r="M190" i="39"/>
  <c r="L200" i="80"/>
  <c r="U190" i="39"/>
  <c r="T200" i="80"/>
  <c r="AC190" i="39"/>
  <c r="AB200" i="80"/>
  <c r="K191" i="39"/>
  <c r="S191" i="39"/>
  <c r="R201" i="80"/>
  <c r="AA191" i="39"/>
  <c r="Z201" i="80"/>
  <c r="Q192" i="39"/>
  <c r="P202" i="80"/>
  <c r="Y192" i="39"/>
  <c r="X202" i="80"/>
  <c r="O193" i="39"/>
  <c r="N203" i="80"/>
  <c r="W193" i="39"/>
  <c r="V203" i="80"/>
  <c r="M194" i="39"/>
  <c r="L204" i="80"/>
  <c r="U194" i="39"/>
  <c r="T204" i="80"/>
  <c r="AC194" i="39"/>
  <c r="AB204" i="80"/>
  <c r="K195" i="39"/>
  <c r="S195" i="39"/>
  <c r="W205" i="80"/>
  <c r="AA195" i="39"/>
  <c r="AE205" i="80"/>
  <c r="Q223" i="80"/>
  <c r="M223" i="80"/>
  <c r="K223" i="80"/>
  <c r="AB223" i="80"/>
  <c r="AE223" i="80"/>
  <c r="P223" i="80"/>
  <c r="O223" i="80"/>
  <c r="U223" i="80"/>
  <c r="Z223" i="80"/>
  <c r="T223" i="80"/>
  <c r="AA223" i="80"/>
  <c r="X223" i="80"/>
  <c r="N223" i="80"/>
  <c r="V223" i="80"/>
  <c r="L223" i="80"/>
  <c r="S223" i="80"/>
  <c r="AD223" i="80"/>
  <c r="Y223" i="80"/>
  <c r="R223" i="80"/>
  <c r="AC223" i="80"/>
  <c r="W223" i="80"/>
  <c r="V9" i="103"/>
  <c r="AB10" i="103"/>
  <c r="Z11" i="103"/>
  <c r="Z27" i="103" s="1"/>
  <c r="P12" i="103"/>
  <c r="N13" i="103"/>
  <c r="N28" i="103" s="1"/>
  <c r="AD13" i="103"/>
  <c r="AD28" i="103" s="1"/>
  <c r="T14" i="103"/>
  <c r="T29" i="103" s="1"/>
  <c r="AB14" i="103"/>
  <c r="AB29" i="103" s="1"/>
  <c r="Z15" i="103"/>
  <c r="Z30" i="103" s="1"/>
  <c r="O9" i="103"/>
  <c r="W9" i="103"/>
  <c r="AE9" i="103"/>
  <c r="M10" i="103"/>
  <c r="U10" i="103"/>
  <c r="AC10" i="103"/>
  <c r="S11" i="103"/>
  <c r="S27" i="103" s="1"/>
  <c r="AA11" i="103"/>
  <c r="AA27" i="103" s="1"/>
  <c r="Q12" i="103"/>
  <c r="Y12" i="103"/>
  <c r="O13" i="103"/>
  <c r="O28" i="103" s="1"/>
  <c r="W13" i="103"/>
  <c r="W28" i="103" s="1"/>
  <c r="AE13" i="103"/>
  <c r="AE28" i="103" s="1"/>
  <c r="M14" i="103"/>
  <c r="M29" i="103" s="1"/>
  <c r="U14" i="103"/>
  <c r="U29" i="103" s="1"/>
  <c r="AC14" i="103"/>
  <c r="AC29" i="103" s="1"/>
  <c r="S15" i="103"/>
  <c r="S30" i="103" s="1"/>
  <c r="AA15" i="103"/>
  <c r="AA30" i="103" s="1"/>
  <c r="P9" i="103"/>
  <c r="X9" i="103"/>
  <c r="N10" i="103"/>
  <c r="V10" i="103"/>
  <c r="AD10" i="103"/>
  <c r="L11" i="103"/>
  <c r="L27" i="103" s="1"/>
  <c r="T11" i="103"/>
  <c r="T27" i="103" s="1"/>
  <c r="AB11" i="103"/>
  <c r="AB27" i="103" s="1"/>
  <c r="R12" i="103"/>
  <c r="Z12" i="103"/>
  <c r="P13" i="103"/>
  <c r="P28" i="103" s="1"/>
  <c r="X13" i="103"/>
  <c r="X28" i="103" s="1"/>
  <c r="N14" i="103"/>
  <c r="N29" i="103" s="1"/>
  <c r="V14" i="103"/>
  <c r="V29" i="103" s="1"/>
  <c r="AD14" i="103"/>
  <c r="AD29" i="103" s="1"/>
  <c r="L15" i="103"/>
  <c r="L30" i="103" s="1"/>
  <c r="T15" i="103"/>
  <c r="T30" i="103" s="1"/>
  <c r="AB15" i="103"/>
  <c r="AB30" i="103" s="1"/>
  <c r="AD9" i="103"/>
  <c r="V13" i="103"/>
  <c r="V28" i="103" s="1"/>
  <c r="Y9" i="103"/>
  <c r="O10" i="103"/>
  <c r="AE10" i="103"/>
  <c r="U11" i="103"/>
  <c r="U27" i="103" s="1"/>
  <c r="AE14" i="103"/>
  <c r="AE29" i="103" s="1"/>
  <c r="AC15" i="103"/>
  <c r="AC30" i="103" s="1"/>
  <c r="Z9" i="103"/>
  <c r="P10" i="103"/>
  <c r="N11" i="103"/>
  <c r="N27" i="103" s="1"/>
  <c r="AD11" i="103"/>
  <c r="AD27" i="103" s="1"/>
  <c r="AB12" i="103"/>
  <c r="R13" i="103"/>
  <c r="R28" i="103" s="1"/>
  <c r="P14" i="103"/>
  <c r="P29" i="103" s="1"/>
  <c r="N15" i="103"/>
  <c r="N30" i="103" s="1"/>
  <c r="V15" i="103"/>
  <c r="V30" i="103" s="1"/>
  <c r="AD15" i="103"/>
  <c r="AD30" i="103" s="1"/>
  <c r="S9" i="103"/>
  <c r="AA9" i="103"/>
  <c r="Q10" i="103"/>
  <c r="Y10" i="103"/>
  <c r="O11" i="103"/>
  <c r="O27" i="103" s="1"/>
  <c r="W11" i="103"/>
  <c r="W27" i="103" s="1"/>
  <c r="AE11" i="103"/>
  <c r="AE27" i="103" s="1"/>
  <c r="M12" i="103"/>
  <c r="U12" i="103"/>
  <c r="AC12" i="103"/>
  <c r="S13" i="103"/>
  <c r="S28" i="103" s="1"/>
  <c r="AA13" i="103"/>
  <c r="AA28" i="103" s="1"/>
  <c r="Q14" i="103"/>
  <c r="Q29" i="103" s="1"/>
  <c r="Y14" i="103"/>
  <c r="Y29" i="103" s="1"/>
  <c r="O15" i="103"/>
  <c r="O30" i="103" s="1"/>
  <c r="W15" i="103"/>
  <c r="W30" i="103" s="1"/>
  <c r="AE15" i="103"/>
  <c r="AE30" i="103" s="1"/>
  <c r="L10" i="103"/>
  <c r="R15" i="103"/>
  <c r="R30" i="103" s="1"/>
  <c r="Q9" i="103"/>
  <c r="S12" i="103"/>
  <c r="Q13" i="103"/>
  <c r="Q28" i="103" s="1"/>
  <c r="W14" i="103"/>
  <c r="W29" i="103" s="1"/>
  <c r="U15" i="103"/>
  <c r="U30" i="103" s="1"/>
  <c r="T12" i="103"/>
  <c r="L9" i="103"/>
  <c r="AB9" i="103"/>
  <c r="R10" i="103"/>
  <c r="Z10" i="103"/>
  <c r="P11" i="103"/>
  <c r="P27" i="103" s="1"/>
  <c r="X11" i="103"/>
  <c r="X27" i="103" s="1"/>
  <c r="N12" i="103"/>
  <c r="V12" i="103"/>
  <c r="AD12" i="103"/>
  <c r="L13" i="103"/>
  <c r="L28" i="103" s="1"/>
  <c r="T13" i="103"/>
  <c r="T28" i="103" s="1"/>
  <c r="AB13" i="103"/>
  <c r="AB28" i="103" s="1"/>
  <c r="R14" i="103"/>
  <c r="R29" i="103" s="1"/>
  <c r="Z14" i="103"/>
  <c r="Z29" i="103" s="1"/>
  <c r="P15" i="103"/>
  <c r="P30" i="103" s="1"/>
  <c r="X15" i="103"/>
  <c r="X30" i="103" s="1"/>
  <c r="N9" i="103"/>
  <c r="T10" i="103"/>
  <c r="R11" i="103"/>
  <c r="R27" i="103" s="1"/>
  <c r="X12" i="103"/>
  <c r="L14" i="103"/>
  <c r="L29" i="103" s="1"/>
  <c r="W10" i="103"/>
  <c r="M11" i="103"/>
  <c r="M27" i="103" s="1"/>
  <c r="AC11" i="103"/>
  <c r="AC27" i="103" s="1"/>
  <c r="AA12" i="103"/>
  <c r="Y13" i="103"/>
  <c r="Y28" i="103" s="1"/>
  <c r="O14" i="103"/>
  <c r="O29" i="103" s="1"/>
  <c r="M15" i="103"/>
  <c r="M30" i="103" s="1"/>
  <c r="R9" i="103"/>
  <c r="X10" i="103"/>
  <c r="V11" i="103"/>
  <c r="V27" i="103" s="1"/>
  <c r="L12" i="103"/>
  <c r="Z13" i="103"/>
  <c r="Z28" i="103" s="1"/>
  <c r="X14" i="103"/>
  <c r="X29" i="103" s="1"/>
  <c r="T9" i="103"/>
  <c r="M9" i="103"/>
  <c r="U9" i="103"/>
  <c r="AC9" i="103"/>
  <c r="S10" i="103"/>
  <c r="AA10" i="103"/>
  <c r="Q11" i="103"/>
  <c r="Q27" i="103" s="1"/>
  <c r="Y11" i="103"/>
  <c r="Y27" i="103" s="1"/>
  <c r="O12" i="103"/>
  <c r="W12" i="103"/>
  <c r="AE12" i="103"/>
  <c r="M13" i="103"/>
  <c r="M28" i="103" s="1"/>
  <c r="U13" i="103"/>
  <c r="U28" i="103" s="1"/>
  <c r="AC13" i="103"/>
  <c r="AC28" i="103" s="1"/>
  <c r="S14" i="103"/>
  <c r="S29" i="103" s="1"/>
  <c r="AA14" i="103"/>
  <c r="AA29" i="103" s="1"/>
  <c r="Q15" i="103"/>
  <c r="Q30" i="103" s="1"/>
  <c r="Y15" i="103"/>
  <c r="Y30" i="103" s="1"/>
  <c r="J19" i="39"/>
  <c r="I19" i="39"/>
  <c r="H19" i="39"/>
  <c r="G19" i="39"/>
  <c r="F19" i="39"/>
  <c r="P207" i="80" l="1"/>
  <c r="AE207" i="80"/>
  <c r="AD207" i="80"/>
  <c r="N207" i="80"/>
  <c r="U207" i="80"/>
  <c r="AF26" i="103"/>
  <c r="Y207" i="80"/>
  <c r="K207" i="80"/>
  <c r="Z207" i="80"/>
  <c r="M207" i="80"/>
  <c r="AB207" i="80"/>
  <c r="Q207" i="80"/>
  <c r="AA207" i="80"/>
  <c r="O207" i="80"/>
  <c r="T207" i="80"/>
  <c r="V207" i="80"/>
  <c r="AC207" i="80"/>
  <c r="L207" i="80"/>
  <c r="S207" i="80"/>
  <c r="X207" i="80"/>
  <c r="W207" i="80"/>
  <c r="R207" i="80"/>
  <c r="F172" i="80"/>
  <c r="G172" i="80"/>
  <c r="H172" i="80"/>
  <c r="I172" i="80"/>
  <c r="J172" i="80"/>
  <c r="AC26" i="103"/>
  <c r="X26" i="103"/>
  <c r="V26" i="103"/>
  <c r="AB26" i="103"/>
  <c r="O26" i="103"/>
  <c r="T196" i="39"/>
  <c r="Q196" i="39"/>
  <c r="U26" i="103"/>
  <c r="Y196" i="39"/>
  <c r="N26" i="103"/>
  <c r="R26" i="103"/>
  <c r="AD26" i="103"/>
  <c r="L26" i="103"/>
  <c r="Q26" i="103"/>
  <c r="AA26" i="103"/>
  <c r="M26" i="103"/>
  <c r="Z26" i="103"/>
  <c r="Y26" i="103"/>
  <c r="AE26" i="103"/>
  <c r="P26" i="103"/>
  <c r="S26" i="103"/>
  <c r="T26" i="103"/>
  <c r="W26" i="103"/>
  <c r="P196" i="39"/>
  <c r="K196" i="39"/>
  <c r="AC196" i="39"/>
  <c r="AB196" i="39"/>
  <c r="W196" i="39"/>
  <c r="U196" i="39"/>
  <c r="Z196" i="39"/>
  <c r="O196" i="39"/>
  <c r="AA196" i="39"/>
  <c r="AD196" i="39"/>
  <c r="M196" i="39"/>
  <c r="X196" i="39"/>
  <c r="V196" i="39"/>
  <c r="R196" i="39"/>
  <c r="N196" i="39"/>
  <c r="L196" i="39"/>
  <c r="S196" i="39"/>
  <c r="J98" i="39"/>
  <c r="I98" i="39"/>
  <c r="H98" i="39"/>
  <c r="G98" i="39"/>
  <c r="F98" i="39"/>
  <c r="J97" i="39"/>
  <c r="I97" i="39"/>
  <c r="H97" i="39"/>
  <c r="G97" i="39"/>
  <c r="F97" i="39"/>
  <c r="J96" i="39"/>
  <c r="I96" i="39"/>
  <c r="H96" i="39"/>
  <c r="G96" i="39"/>
  <c r="F96" i="39"/>
  <c r="J95" i="39"/>
  <c r="I95" i="39"/>
  <c r="H95" i="39"/>
  <c r="G95" i="39"/>
  <c r="F95" i="39"/>
  <c r="J94" i="39"/>
  <c r="I94" i="39"/>
  <c r="H94" i="39"/>
  <c r="G94" i="39"/>
  <c r="F94" i="39"/>
  <c r="J93" i="39"/>
  <c r="I93" i="39"/>
  <c r="H93" i="39"/>
  <c r="G93" i="39"/>
  <c r="F93" i="39"/>
  <c r="J92" i="39"/>
  <c r="I92" i="39"/>
  <c r="H92" i="39"/>
  <c r="G92" i="39"/>
  <c r="F92" i="39"/>
  <c r="Q10" i="39" l="1"/>
  <c r="E9" i="51" s="1"/>
  <c r="F9" i="51" s="1"/>
  <c r="R10" i="39"/>
  <c r="S10" i="39"/>
  <c r="T10" i="39"/>
  <c r="U10" i="39"/>
  <c r="V10" i="39"/>
  <c r="W10" i="39"/>
  <c r="X10" i="39"/>
  <c r="Y10" i="39"/>
  <c r="Z10" i="39"/>
  <c r="AA10" i="39"/>
  <c r="AB10" i="39"/>
  <c r="AC10" i="39"/>
  <c r="AD10" i="39"/>
  <c r="AE10" i="39"/>
  <c r="Q13" i="39"/>
  <c r="R13" i="39"/>
  <c r="S13" i="39"/>
  <c r="T13" i="39"/>
  <c r="U13" i="39"/>
  <c r="V13" i="39"/>
  <c r="W13" i="39"/>
  <c r="X13" i="39"/>
  <c r="Y13" i="39"/>
  <c r="Z13" i="39"/>
  <c r="AA13" i="39"/>
  <c r="AB13" i="39"/>
  <c r="AC13" i="39"/>
  <c r="AD13" i="39"/>
  <c r="AE13" i="39"/>
  <c r="Q15" i="39"/>
  <c r="R15" i="39"/>
  <c r="S15" i="39"/>
  <c r="T15" i="39"/>
  <c r="U15" i="39"/>
  <c r="V15" i="39"/>
  <c r="W15" i="39"/>
  <c r="X15" i="39"/>
  <c r="Y15" i="39"/>
  <c r="Z15" i="39"/>
  <c r="AA15" i="39"/>
  <c r="AB15" i="39"/>
  <c r="AC15" i="39"/>
  <c r="AD15" i="39"/>
  <c r="AE15" i="39"/>
  <c r="Q16" i="39"/>
  <c r="R16" i="39"/>
  <c r="S16" i="39"/>
  <c r="T16" i="39"/>
  <c r="U16" i="39"/>
  <c r="V16" i="39"/>
  <c r="W16" i="39"/>
  <c r="X16" i="39"/>
  <c r="Y16" i="39"/>
  <c r="Z16" i="39"/>
  <c r="AA16" i="39"/>
  <c r="AB16" i="39"/>
  <c r="AC16" i="39"/>
  <c r="AD16" i="39"/>
  <c r="AE16" i="39"/>
  <c r="Q21" i="39"/>
  <c r="Q174" i="80" s="1"/>
  <c r="R21" i="39"/>
  <c r="R174" i="80" s="1"/>
  <c r="S21" i="39"/>
  <c r="S174" i="80" s="1"/>
  <c r="T21" i="39"/>
  <c r="T174" i="80" s="1"/>
  <c r="U21" i="39"/>
  <c r="U174" i="80" s="1"/>
  <c r="V21" i="39"/>
  <c r="V174" i="80" s="1"/>
  <c r="W21" i="39"/>
  <c r="W174" i="80" s="1"/>
  <c r="X21" i="39"/>
  <c r="X174" i="80" s="1"/>
  <c r="Y21" i="39"/>
  <c r="Y174" i="80" s="1"/>
  <c r="Z21" i="39"/>
  <c r="Z174" i="80" s="1"/>
  <c r="AA21" i="39"/>
  <c r="AA174" i="80" s="1"/>
  <c r="AB21" i="39"/>
  <c r="AB174" i="80" s="1"/>
  <c r="AC21" i="39"/>
  <c r="AC174" i="80" s="1"/>
  <c r="AD21" i="39"/>
  <c r="AD174" i="80" s="1"/>
  <c r="AE21" i="39"/>
  <c r="AE174" i="80" s="1"/>
  <c r="Q22" i="39"/>
  <c r="Q175" i="80" s="1"/>
  <c r="R22" i="39"/>
  <c r="R175" i="80" s="1"/>
  <c r="S22" i="39"/>
  <c r="S175" i="80" s="1"/>
  <c r="T22" i="39"/>
  <c r="U22" i="39"/>
  <c r="U175" i="80" s="1"/>
  <c r="V22" i="39"/>
  <c r="V175" i="80" s="1"/>
  <c r="W22" i="39"/>
  <c r="W175" i="80" s="1"/>
  <c r="X22" i="39"/>
  <c r="X175" i="80" s="1"/>
  <c r="Y22" i="39"/>
  <c r="Y175" i="80" s="1"/>
  <c r="Z22" i="39"/>
  <c r="Z175" i="80" s="1"/>
  <c r="AA22" i="39"/>
  <c r="AA175" i="80" s="1"/>
  <c r="AB22" i="39"/>
  <c r="AC22" i="39"/>
  <c r="AC175" i="80" s="1"/>
  <c r="AD22" i="39"/>
  <c r="AD175" i="80" s="1"/>
  <c r="AE22" i="39"/>
  <c r="AE175" i="80" s="1"/>
  <c r="Q101" i="39"/>
  <c r="R101" i="39"/>
  <c r="S101" i="39"/>
  <c r="T101" i="39"/>
  <c r="U101" i="39"/>
  <c r="V101" i="39"/>
  <c r="W101" i="39"/>
  <c r="X101" i="39"/>
  <c r="Y101" i="39"/>
  <c r="Z101" i="39"/>
  <c r="AA101" i="39"/>
  <c r="AB101" i="39"/>
  <c r="AC101" i="39"/>
  <c r="AD101" i="39"/>
  <c r="AE101" i="39"/>
  <c r="Q102" i="39"/>
  <c r="R102" i="39"/>
  <c r="S102" i="39"/>
  <c r="T102" i="39"/>
  <c r="U102" i="39"/>
  <c r="V102" i="39"/>
  <c r="W102" i="39"/>
  <c r="X102" i="39"/>
  <c r="Y102" i="39"/>
  <c r="Z102" i="39"/>
  <c r="AA102" i="39"/>
  <c r="AB102" i="39"/>
  <c r="AC102" i="39"/>
  <c r="AD102" i="39"/>
  <c r="AE102" i="39"/>
  <c r="Q103" i="39"/>
  <c r="R103" i="39"/>
  <c r="S103" i="39"/>
  <c r="T103" i="39"/>
  <c r="U103" i="39"/>
  <c r="V103" i="39"/>
  <c r="W103" i="39"/>
  <c r="X103" i="39"/>
  <c r="Y103" i="39"/>
  <c r="Z103" i="39"/>
  <c r="AA103" i="39"/>
  <c r="AB103" i="39"/>
  <c r="AC103" i="39"/>
  <c r="AD103" i="39"/>
  <c r="AE103" i="39"/>
  <c r="Q104" i="39"/>
  <c r="R104" i="39"/>
  <c r="S104" i="39"/>
  <c r="T104" i="39"/>
  <c r="U104" i="39"/>
  <c r="V104" i="39"/>
  <c r="W104" i="39"/>
  <c r="X104" i="39"/>
  <c r="Y104" i="39"/>
  <c r="Z104" i="39"/>
  <c r="AA104" i="39"/>
  <c r="AB104" i="39"/>
  <c r="AC104" i="39"/>
  <c r="AD104" i="39"/>
  <c r="AE104" i="39"/>
  <c r="Q105" i="39"/>
  <c r="R105" i="39"/>
  <c r="S105" i="39"/>
  <c r="T105" i="39"/>
  <c r="U105" i="39"/>
  <c r="V105" i="39"/>
  <c r="W105" i="39"/>
  <c r="X105" i="39"/>
  <c r="Y105" i="39"/>
  <c r="Z105" i="39"/>
  <c r="AA105" i="39"/>
  <c r="AB105" i="39"/>
  <c r="AC105" i="39"/>
  <c r="AD105" i="39"/>
  <c r="AE105" i="39"/>
  <c r="Q106" i="39"/>
  <c r="R106" i="39"/>
  <c r="S106" i="39"/>
  <c r="T106" i="39"/>
  <c r="U106" i="39"/>
  <c r="V106" i="39"/>
  <c r="W106" i="39"/>
  <c r="X106" i="39"/>
  <c r="Y106" i="39"/>
  <c r="Z106" i="39"/>
  <c r="AA106" i="39"/>
  <c r="AB106" i="39"/>
  <c r="AC106" i="39"/>
  <c r="AD106" i="39"/>
  <c r="AE106" i="39"/>
  <c r="Q107" i="39"/>
  <c r="R107" i="39"/>
  <c r="S107" i="39"/>
  <c r="T107" i="39"/>
  <c r="U107" i="39"/>
  <c r="V107" i="39"/>
  <c r="W107" i="39"/>
  <c r="X107" i="39"/>
  <c r="Y107" i="39"/>
  <c r="Z107" i="39"/>
  <c r="AA107" i="39"/>
  <c r="AB107" i="39"/>
  <c r="AC107" i="39"/>
  <c r="AD107" i="39"/>
  <c r="AE107" i="39"/>
  <c r="Q111" i="39"/>
  <c r="R111" i="39"/>
  <c r="S111" i="39"/>
  <c r="T111" i="39"/>
  <c r="U111" i="39"/>
  <c r="V111" i="39"/>
  <c r="W111" i="39"/>
  <c r="X111" i="39"/>
  <c r="Y111" i="39"/>
  <c r="Z111" i="39"/>
  <c r="AA111" i="39"/>
  <c r="AB111" i="39"/>
  <c r="AC111" i="39"/>
  <c r="AD111" i="39"/>
  <c r="AE111" i="39"/>
  <c r="Q112" i="39"/>
  <c r="R112" i="39"/>
  <c r="S112" i="39"/>
  <c r="T112" i="39"/>
  <c r="U112" i="39"/>
  <c r="V112" i="39"/>
  <c r="W112" i="39"/>
  <c r="X112" i="39"/>
  <c r="Y112" i="39"/>
  <c r="Z112" i="39"/>
  <c r="AA112" i="39"/>
  <c r="AB112" i="39"/>
  <c r="AC112" i="39"/>
  <c r="AD112" i="39"/>
  <c r="AE112" i="39"/>
  <c r="Q113" i="39"/>
  <c r="R113" i="39"/>
  <c r="S113" i="39"/>
  <c r="T113" i="39"/>
  <c r="U113" i="39"/>
  <c r="V113" i="39"/>
  <c r="W113" i="39"/>
  <c r="X113" i="39"/>
  <c r="Y113" i="39"/>
  <c r="Z113" i="39"/>
  <c r="AA113" i="39"/>
  <c r="AB113" i="39"/>
  <c r="AC113" i="39"/>
  <c r="AD113" i="39"/>
  <c r="AE113" i="39"/>
  <c r="Q114" i="39"/>
  <c r="R114" i="39"/>
  <c r="S114" i="39"/>
  <c r="T114" i="39"/>
  <c r="U114" i="39"/>
  <c r="V114" i="39"/>
  <c r="W114" i="39"/>
  <c r="X114" i="39"/>
  <c r="Y114" i="39"/>
  <c r="Z114" i="39"/>
  <c r="AA114" i="39"/>
  <c r="AB114" i="39"/>
  <c r="AC114" i="39"/>
  <c r="AD114" i="39"/>
  <c r="AE114" i="39"/>
  <c r="Q115" i="39"/>
  <c r="R115" i="39"/>
  <c r="S115" i="39"/>
  <c r="T115" i="39"/>
  <c r="U115" i="39"/>
  <c r="V115" i="39"/>
  <c r="W115" i="39"/>
  <c r="X115" i="39"/>
  <c r="Y115" i="39"/>
  <c r="Z115" i="39"/>
  <c r="AA115" i="39"/>
  <c r="AB115" i="39"/>
  <c r="AC115" i="39"/>
  <c r="AD115" i="39"/>
  <c r="AE115" i="39"/>
  <c r="Q116" i="39"/>
  <c r="R116" i="39"/>
  <c r="S116" i="39"/>
  <c r="T116" i="39"/>
  <c r="U116" i="39"/>
  <c r="V116" i="39"/>
  <c r="W116" i="39"/>
  <c r="X116" i="39"/>
  <c r="Y116" i="39"/>
  <c r="Z116" i="39"/>
  <c r="AA116" i="39"/>
  <c r="AB116" i="39"/>
  <c r="AC116" i="39"/>
  <c r="AD116" i="39"/>
  <c r="AE116" i="39"/>
  <c r="Q117" i="39"/>
  <c r="R117" i="39"/>
  <c r="S117" i="39"/>
  <c r="T117" i="39"/>
  <c r="U117" i="39"/>
  <c r="V117" i="39"/>
  <c r="W117" i="39"/>
  <c r="X117" i="39"/>
  <c r="Y117" i="39"/>
  <c r="Z117" i="39"/>
  <c r="AA117" i="39"/>
  <c r="AB117" i="39"/>
  <c r="AC117" i="39"/>
  <c r="AD117" i="39"/>
  <c r="AE117" i="39"/>
  <c r="Q131" i="39"/>
  <c r="R131" i="39"/>
  <c r="S131" i="39"/>
  <c r="T131" i="39"/>
  <c r="U131" i="39"/>
  <c r="V131" i="39"/>
  <c r="W131" i="39"/>
  <c r="X131" i="39"/>
  <c r="Y131" i="39"/>
  <c r="Z131" i="39"/>
  <c r="AA131" i="39"/>
  <c r="AB131" i="39"/>
  <c r="AC131" i="39"/>
  <c r="AD131" i="39"/>
  <c r="AE131" i="39"/>
  <c r="Q132" i="39"/>
  <c r="R132" i="39"/>
  <c r="S132" i="39"/>
  <c r="T132" i="39"/>
  <c r="U132" i="39"/>
  <c r="V132" i="39"/>
  <c r="W132" i="39"/>
  <c r="X132" i="39"/>
  <c r="Y132" i="39"/>
  <c r="Z132" i="39"/>
  <c r="AA132" i="39"/>
  <c r="AB132" i="39"/>
  <c r="AC132" i="39"/>
  <c r="AD132" i="39"/>
  <c r="AE132" i="39"/>
  <c r="Q133" i="39"/>
  <c r="R133" i="39"/>
  <c r="S133" i="39"/>
  <c r="T133" i="39"/>
  <c r="U133" i="39"/>
  <c r="V133" i="39"/>
  <c r="W133" i="39"/>
  <c r="X133" i="39"/>
  <c r="Y133" i="39"/>
  <c r="Z133" i="39"/>
  <c r="AA133" i="39"/>
  <c r="AB133" i="39"/>
  <c r="AC133" i="39"/>
  <c r="AD133" i="39"/>
  <c r="AE133" i="39"/>
  <c r="Q134" i="39"/>
  <c r="R134" i="39"/>
  <c r="S134" i="39"/>
  <c r="T134" i="39"/>
  <c r="U134" i="39"/>
  <c r="V134" i="39"/>
  <c r="W134" i="39"/>
  <c r="X134" i="39"/>
  <c r="Y134" i="39"/>
  <c r="Z134" i="39"/>
  <c r="AA134" i="39"/>
  <c r="AB134" i="39"/>
  <c r="AC134" i="39"/>
  <c r="AD134" i="39"/>
  <c r="AE134" i="39"/>
  <c r="Q135" i="39"/>
  <c r="R135" i="39"/>
  <c r="S135" i="39"/>
  <c r="T135" i="39"/>
  <c r="U135" i="39"/>
  <c r="V135" i="39"/>
  <c r="W135" i="39"/>
  <c r="X135" i="39"/>
  <c r="Y135" i="39"/>
  <c r="Z135" i="39"/>
  <c r="AA135" i="39"/>
  <c r="AB135" i="39"/>
  <c r="AC135" i="39"/>
  <c r="AD135" i="39"/>
  <c r="AE135" i="39"/>
  <c r="Q136" i="39"/>
  <c r="R136" i="39"/>
  <c r="S136" i="39"/>
  <c r="T136" i="39"/>
  <c r="U136" i="39"/>
  <c r="V136" i="39"/>
  <c r="W136" i="39"/>
  <c r="X136" i="39"/>
  <c r="Y136" i="39"/>
  <c r="Z136" i="39"/>
  <c r="AA136" i="39"/>
  <c r="AB136" i="39"/>
  <c r="AC136" i="39"/>
  <c r="AD136" i="39"/>
  <c r="AE136" i="39"/>
  <c r="Q140" i="39"/>
  <c r="R140" i="39"/>
  <c r="S140" i="39"/>
  <c r="T140" i="39"/>
  <c r="U140" i="39"/>
  <c r="V140" i="39"/>
  <c r="W140" i="39"/>
  <c r="X140" i="39"/>
  <c r="Y140" i="39"/>
  <c r="Z140" i="39"/>
  <c r="AA140" i="39"/>
  <c r="AB140" i="39"/>
  <c r="AC140" i="39"/>
  <c r="AD140" i="39"/>
  <c r="AE140" i="39"/>
  <c r="Q141" i="39"/>
  <c r="R141" i="39"/>
  <c r="S141" i="39"/>
  <c r="T141" i="39"/>
  <c r="U141" i="39"/>
  <c r="V141" i="39"/>
  <c r="W141" i="39"/>
  <c r="X141" i="39"/>
  <c r="Y141" i="39"/>
  <c r="Z141" i="39"/>
  <c r="AA141" i="39"/>
  <c r="AB141" i="39"/>
  <c r="AC141" i="39"/>
  <c r="AD141" i="39"/>
  <c r="AE141" i="39"/>
  <c r="Q142" i="39"/>
  <c r="R142" i="39"/>
  <c r="S142" i="39"/>
  <c r="T142" i="39"/>
  <c r="U142" i="39"/>
  <c r="V142" i="39"/>
  <c r="W142" i="39"/>
  <c r="X142" i="39"/>
  <c r="Y142" i="39"/>
  <c r="Z142" i="39"/>
  <c r="AA142" i="39"/>
  <c r="AB142" i="39"/>
  <c r="AC142" i="39"/>
  <c r="AD142" i="39"/>
  <c r="AE142" i="39"/>
  <c r="Q143" i="39"/>
  <c r="R143" i="39"/>
  <c r="S143" i="39"/>
  <c r="T143" i="39"/>
  <c r="U143" i="39"/>
  <c r="V143" i="39"/>
  <c r="W143" i="39"/>
  <c r="X143" i="39"/>
  <c r="Y143" i="39"/>
  <c r="Z143" i="39"/>
  <c r="AA143" i="39"/>
  <c r="AB143" i="39"/>
  <c r="AC143" i="39"/>
  <c r="AD143" i="39"/>
  <c r="AE143" i="39"/>
  <c r="Q144" i="39"/>
  <c r="R144" i="39"/>
  <c r="S144" i="39"/>
  <c r="T144" i="39"/>
  <c r="U144" i="39"/>
  <c r="V144" i="39"/>
  <c r="W144" i="39"/>
  <c r="X144" i="39"/>
  <c r="Y144" i="39"/>
  <c r="Z144" i="39"/>
  <c r="AA144" i="39"/>
  <c r="AB144" i="39"/>
  <c r="AC144" i="39"/>
  <c r="AD144" i="39"/>
  <c r="AE144" i="39"/>
  <c r="Q145" i="39"/>
  <c r="R145" i="39"/>
  <c r="S145" i="39"/>
  <c r="T145" i="39"/>
  <c r="U145" i="39"/>
  <c r="V145" i="39"/>
  <c r="W145" i="39"/>
  <c r="X145" i="39"/>
  <c r="Y145" i="39"/>
  <c r="Z145" i="39"/>
  <c r="AA145" i="39"/>
  <c r="AB145" i="39"/>
  <c r="AC145" i="39"/>
  <c r="AD145" i="39"/>
  <c r="AE145" i="39"/>
  <c r="Q146" i="39"/>
  <c r="R146" i="39"/>
  <c r="S146" i="39"/>
  <c r="T146" i="39"/>
  <c r="U146" i="39"/>
  <c r="V146" i="39"/>
  <c r="W146" i="39"/>
  <c r="X146" i="39"/>
  <c r="Y146" i="39"/>
  <c r="Z146" i="39"/>
  <c r="AA146" i="39"/>
  <c r="AB146" i="39"/>
  <c r="AC146" i="39"/>
  <c r="AD146" i="39"/>
  <c r="AE146" i="39"/>
  <c r="AE309" i="39" l="1"/>
  <c r="U307" i="39"/>
  <c r="X310" i="39"/>
  <c r="AB306" i="39"/>
  <c r="T310" i="39"/>
  <c r="S309" i="39"/>
  <c r="Z308" i="39"/>
  <c r="R308" i="39"/>
  <c r="X306" i="39"/>
  <c r="AE305" i="39"/>
  <c r="W305" i="39"/>
  <c r="AB310" i="39"/>
  <c r="Y307" i="39"/>
  <c r="AA309" i="39"/>
  <c r="Q307" i="39"/>
  <c r="W309" i="39"/>
  <c r="AD308" i="39"/>
  <c r="V308" i="39"/>
  <c r="AC307" i="39"/>
  <c r="T306" i="39"/>
  <c r="AA305" i="39"/>
  <c r="S305" i="39"/>
  <c r="AD310" i="39"/>
  <c r="Z310" i="39"/>
  <c r="V310" i="39"/>
  <c r="R310" i="39"/>
  <c r="AC309" i="39"/>
  <c r="Y309" i="39"/>
  <c r="U309" i="39"/>
  <c r="Q309" i="39"/>
  <c r="AB308" i="39"/>
  <c r="X308" i="39"/>
  <c r="T308" i="39"/>
  <c r="AE307" i="39"/>
  <c r="AA307" i="39"/>
  <c r="W307" i="39"/>
  <c r="S307" i="39"/>
  <c r="AD306" i="39"/>
  <c r="Z306" i="39"/>
  <c r="V306" i="39"/>
  <c r="R306" i="39"/>
  <c r="AC305" i="39"/>
  <c r="Y305" i="39"/>
  <c r="U305" i="39"/>
  <c r="Q305" i="39"/>
  <c r="AE310" i="39"/>
  <c r="AA310" i="39"/>
  <c r="W310" i="39"/>
  <c r="S310" i="39"/>
  <c r="AD309" i="39"/>
  <c r="Z309" i="39"/>
  <c r="V309" i="39"/>
  <c r="R309" i="39"/>
  <c r="AC308" i="39"/>
  <c r="Y308" i="39"/>
  <c r="U308" i="39"/>
  <c r="Q308" i="39"/>
  <c r="AB307" i="39"/>
  <c r="X307" i="39"/>
  <c r="T307" i="39"/>
  <c r="AE306" i="39"/>
  <c r="AA306" i="39"/>
  <c r="W306" i="39"/>
  <c r="S306" i="39"/>
  <c r="AD305" i="39"/>
  <c r="Z305" i="39"/>
  <c r="V305" i="39"/>
  <c r="R305" i="39"/>
  <c r="AC310" i="39"/>
  <c r="Y310" i="39"/>
  <c r="U310" i="39"/>
  <c r="Q310" i="39"/>
  <c r="AB309" i="39"/>
  <c r="X309" i="39"/>
  <c r="T309" i="39"/>
  <c r="AE308" i="39"/>
  <c r="AA308" i="39"/>
  <c r="W308" i="39"/>
  <c r="S308" i="39"/>
  <c r="AD307" i="39"/>
  <c r="Z307" i="39"/>
  <c r="V307" i="39"/>
  <c r="R307" i="39"/>
  <c r="AC306" i="39"/>
  <c r="Y306" i="39"/>
  <c r="U306" i="39"/>
  <c r="Q306" i="39"/>
  <c r="AB305" i="39"/>
  <c r="X305" i="39"/>
  <c r="T305" i="39"/>
  <c r="Y159" i="80"/>
  <c r="Q159" i="80"/>
  <c r="X159" i="80"/>
  <c r="AE159" i="80"/>
  <c r="W159" i="80"/>
  <c r="AC159" i="80"/>
  <c r="AB159" i="80"/>
  <c r="T159" i="80"/>
  <c r="V159" i="80"/>
  <c r="AA159" i="80"/>
  <c r="S159" i="80"/>
  <c r="AD159" i="80"/>
  <c r="U159" i="80"/>
  <c r="Z159" i="80"/>
  <c r="R159" i="80"/>
  <c r="AB367" i="39"/>
  <c r="AB175" i="80"/>
  <c r="T367" i="39"/>
  <c r="T175" i="80"/>
  <c r="AA162" i="80"/>
  <c r="S162" i="80"/>
  <c r="Z161" i="80"/>
  <c r="R161" i="80"/>
  <c r="Z162" i="80"/>
  <c r="R162" i="80"/>
  <c r="Y161" i="80"/>
  <c r="Q161" i="80"/>
  <c r="Y162" i="80"/>
  <c r="Q162" i="80"/>
  <c r="X161" i="80"/>
  <c r="X162" i="80"/>
  <c r="AE161" i="80"/>
  <c r="W161" i="80"/>
  <c r="AE162" i="80"/>
  <c r="AD161" i="80"/>
  <c r="AC161" i="80"/>
  <c r="AC162" i="80"/>
  <c r="U162" i="80"/>
  <c r="AB161" i="80"/>
  <c r="T161" i="80"/>
  <c r="W162" i="80"/>
  <c r="V161" i="80"/>
  <c r="AD162" i="80"/>
  <c r="V162" i="80"/>
  <c r="U161" i="80"/>
  <c r="AB162" i="80"/>
  <c r="T162" i="80"/>
  <c r="AA161" i="80"/>
  <c r="S161" i="80"/>
  <c r="AD367" i="39"/>
  <c r="AC367" i="39"/>
  <c r="X108" i="39"/>
  <c r="S367" i="39"/>
  <c r="R118" i="39"/>
  <c r="Z367" i="39"/>
  <c r="V367" i="39"/>
  <c r="AE367" i="39"/>
  <c r="R108" i="39"/>
  <c r="AB108" i="39"/>
  <c r="T108" i="39"/>
  <c r="R367" i="39"/>
  <c r="S108" i="39"/>
  <c r="AA367" i="39"/>
  <c r="S118" i="39"/>
  <c r="Y367" i="39"/>
  <c r="Q367" i="39"/>
  <c r="X367" i="39"/>
  <c r="U367" i="39"/>
  <c r="W367" i="39"/>
  <c r="T118" i="39"/>
  <c r="AA118" i="39"/>
  <c r="Z118" i="39"/>
  <c r="AB118" i="39"/>
  <c r="AA108" i="39"/>
  <c r="X118" i="39"/>
  <c r="Z108" i="39"/>
  <c r="Y118" i="39"/>
  <c r="Q118" i="39"/>
  <c r="Y108" i="39"/>
  <c r="Q108" i="39"/>
  <c r="AE118" i="39"/>
  <c r="W118" i="39"/>
  <c r="AD118" i="39"/>
  <c r="V118" i="39"/>
  <c r="AC118" i="39"/>
  <c r="U118" i="39"/>
  <c r="AE108" i="39"/>
  <c r="W108" i="39"/>
  <c r="AD108" i="39"/>
  <c r="V108" i="39"/>
  <c r="AC108" i="39"/>
  <c r="U108" i="39"/>
  <c r="O103" i="80"/>
  <c r="O125" i="80" s="1"/>
  <c r="P103" i="80"/>
  <c r="P125" i="80" s="1"/>
  <c r="Q103" i="80"/>
  <c r="Q125" i="80" s="1"/>
  <c r="R103" i="80"/>
  <c r="R125" i="80" s="1"/>
  <c r="S103" i="80"/>
  <c r="S125" i="80" s="1"/>
  <c r="T103" i="80"/>
  <c r="T125" i="80" s="1"/>
  <c r="U103" i="80"/>
  <c r="U125" i="80" s="1"/>
  <c r="V103" i="80"/>
  <c r="V125" i="80" s="1"/>
  <c r="W103" i="80"/>
  <c r="W125" i="80" s="1"/>
  <c r="X103" i="80"/>
  <c r="X125" i="80" s="1"/>
  <c r="Y103" i="80"/>
  <c r="Y125" i="80" s="1"/>
  <c r="Z103" i="80"/>
  <c r="Z125" i="80" s="1"/>
  <c r="AA103" i="80"/>
  <c r="AA125" i="80" s="1"/>
  <c r="AB103" i="80"/>
  <c r="AB125" i="80" s="1"/>
  <c r="AC103" i="80"/>
  <c r="AC125" i="80" s="1"/>
  <c r="AD103" i="80"/>
  <c r="AD125" i="80" s="1"/>
  <c r="AE103" i="80"/>
  <c r="AE125" i="80" s="1"/>
  <c r="O10" i="39"/>
  <c r="O382" i="39" s="1"/>
  <c r="B8" i="128" s="1"/>
  <c r="P10" i="39"/>
  <c r="O159" i="80"/>
  <c r="P159" i="80"/>
  <c r="O15" i="39"/>
  <c r="P15" i="39"/>
  <c r="O16" i="39"/>
  <c r="P16" i="39"/>
  <c r="O21" i="39"/>
  <c r="O174" i="80" s="1"/>
  <c r="P21" i="39"/>
  <c r="P174" i="80" s="1"/>
  <c r="O22" i="39"/>
  <c r="O175" i="80" s="1"/>
  <c r="P22" i="39"/>
  <c r="P175" i="80" s="1"/>
  <c r="O101" i="39"/>
  <c r="P101" i="39"/>
  <c r="O102" i="39"/>
  <c r="P102" i="39"/>
  <c r="O103" i="39"/>
  <c r="P103" i="39"/>
  <c r="O104" i="39"/>
  <c r="P104" i="39"/>
  <c r="O105" i="39"/>
  <c r="P105" i="39"/>
  <c r="P242" i="39" s="1"/>
  <c r="O106" i="39"/>
  <c r="P106" i="39"/>
  <c r="O107" i="39"/>
  <c r="P107" i="39"/>
  <c r="O111" i="39"/>
  <c r="P111" i="39"/>
  <c r="O112" i="39"/>
  <c r="P112" i="39"/>
  <c r="O113" i="39"/>
  <c r="P113" i="39"/>
  <c r="O114" i="39"/>
  <c r="P114" i="39"/>
  <c r="O115" i="39"/>
  <c r="P115" i="39"/>
  <c r="O116" i="39"/>
  <c r="P116" i="39"/>
  <c r="O117" i="39"/>
  <c r="P117" i="39"/>
  <c r="O131" i="39"/>
  <c r="P131" i="39"/>
  <c r="O132" i="39"/>
  <c r="P132" i="39"/>
  <c r="O133" i="39"/>
  <c r="P133" i="39"/>
  <c r="O134" i="39"/>
  <c r="P134" i="39"/>
  <c r="O135" i="39"/>
  <c r="P135" i="39"/>
  <c r="O136" i="39"/>
  <c r="P136" i="39"/>
  <c r="O140" i="39"/>
  <c r="P140" i="39"/>
  <c r="O141" i="39"/>
  <c r="P141" i="39"/>
  <c r="O142" i="39"/>
  <c r="P142" i="39"/>
  <c r="O143" i="39"/>
  <c r="P143" i="39"/>
  <c r="O144" i="39"/>
  <c r="P144" i="39"/>
  <c r="O145" i="39"/>
  <c r="P145" i="39"/>
  <c r="O146" i="39"/>
  <c r="P146" i="39"/>
  <c r="O307" i="39" l="1"/>
  <c r="P309" i="39"/>
  <c r="P307" i="39"/>
  <c r="P305" i="39"/>
  <c r="O310" i="39"/>
  <c r="O308" i="39"/>
  <c r="P310" i="39"/>
  <c r="P308" i="39"/>
  <c r="P306" i="39"/>
  <c r="O306" i="39"/>
  <c r="O309" i="39"/>
  <c r="O305" i="39"/>
  <c r="P161" i="80"/>
  <c r="O161" i="80"/>
  <c r="O162" i="80"/>
  <c r="P162" i="80"/>
  <c r="P367" i="39"/>
  <c r="O367" i="39"/>
  <c r="P118" i="39"/>
  <c r="P108" i="39"/>
  <c r="O108" i="39"/>
  <c r="O118" i="39"/>
  <c r="C167" i="39" l="1"/>
  <c r="D167" i="39"/>
  <c r="C168" i="39"/>
  <c r="D168" i="39"/>
  <c r="C169" i="39"/>
  <c r="D169" i="39"/>
  <c r="C170" i="39"/>
  <c r="D170" i="39"/>
  <c r="C171" i="39"/>
  <c r="D171" i="39"/>
  <c r="C172" i="39"/>
  <c r="D172" i="39"/>
  <c r="C173" i="39"/>
  <c r="D173" i="39"/>
  <c r="B173" i="39"/>
  <c r="B172" i="39"/>
  <c r="B171" i="39"/>
  <c r="B170" i="39"/>
  <c r="B169" i="39"/>
  <c r="B168" i="39"/>
  <c r="B167" i="39"/>
  <c r="D111" i="39"/>
  <c r="D112" i="39"/>
  <c r="D113" i="39"/>
  <c r="D114" i="39"/>
  <c r="D115" i="39"/>
  <c r="D116" i="39"/>
  <c r="D117" i="39"/>
  <c r="B111" i="39"/>
  <c r="B112" i="39"/>
  <c r="B113" i="39"/>
  <c r="B114" i="39"/>
  <c r="B115" i="39"/>
  <c r="B116" i="39"/>
  <c r="B117" i="39"/>
  <c r="C117" i="39"/>
  <c r="C116" i="39"/>
  <c r="C115" i="39"/>
  <c r="C114" i="39"/>
  <c r="C113" i="39"/>
  <c r="C112" i="39"/>
  <c r="C111" i="39"/>
  <c r="K322" i="39" l="1"/>
  <c r="F322" i="39"/>
  <c r="G322" i="39"/>
  <c r="H322" i="39"/>
  <c r="I322" i="39"/>
  <c r="J322" i="39"/>
  <c r="E21" i="76" l="1"/>
  <c r="J18" i="39" l="1"/>
  <c r="I18" i="39"/>
  <c r="H18" i="39"/>
  <c r="G18" i="39"/>
  <c r="F18" i="39"/>
  <c r="E21" i="19" l="1"/>
  <c r="B6" i="95" s="1"/>
  <c r="AA6" i="95" l="1"/>
  <c r="AA18" i="39" s="1"/>
  <c r="S6" i="95"/>
  <c r="S18" i="39" s="1"/>
  <c r="K6" i="95"/>
  <c r="K18" i="39" s="1"/>
  <c r="X6" i="95"/>
  <c r="X18" i="39" s="1"/>
  <c r="Z6" i="95"/>
  <c r="Z18" i="39" s="1"/>
  <c r="R6" i="95"/>
  <c r="R18" i="39" s="1"/>
  <c r="P6" i="95"/>
  <c r="P18" i="39" s="1"/>
  <c r="O6" i="95"/>
  <c r="O18" i="39" s="1"/>
  <c r="V6" i="95"/>
  <c r="V18" i="39" s="1"/>
  <c r="Y6" i="95"/>
  <c r="Y18" i="39" s="1"/>
  <c r="Q6" i="95"/>
  <c r="Q18" i="39" s="1"/>
  <c r="AE6" i="95"/>
  <c r="AE18" i="39" s="1"/>
  <c r="AD6" i="95"/>
  <c r="AD18" i="39" s="1"/>
  <c r="AC6" i="95"/>
  <c r="AC18" i="39" s="1"/>
  <c r="U6" i="95"/>
  <c r="U18" i="39" s="1"/>
  <c r="M6" i="95"/>
  <c r="M18" i="39" s="1"/>
  <c r="AB6" i="95"/>
  <c r="AB18" i="39" s="1"/>
  <c r="T6" i="95"/>
  <c r="T18" i="39" s="1"/>
  <c r="L6" i="95"/>
  <c r="L18" i="39" s="1"/>
  <c r="W6" i="95"/>
  <c r="W18" i="39" s="1"/>
  <c r="N6" i="95"/>
  <c r="N18" i="39" s="1"/>
  <c r="E6" i="95"/>
  <c r="B18" i="39"/>
  <c r="D6" i="95"/>
  <c r="C6" i="95"/>
  <c r="D18" i="39" l="1"/>
  <c r="C18" i="39"/>
  <c r="F21" i="74"/>
  <c r="E144" i="116" s="1"/>
  <c r="F21" i="75"/>
  <c r="E10" i="51" l="1"/>
  <c r="F8" i="51" s="1"/>
  <c r="I21" i="19" l="1"/>
  <c r="I254" i="39" l="1"/>
  <c r="E27" i="76" l="1"/>
  <c r="E27" i="19" s="1"/>
  <c r="I22" i="76"/>
  <c r="I21" i="76"/>
  <c r="I22" i="19"/>
  <c r="F112" i="39" l="1"/>
  <c r="G112" i="39"/>
  <c r="H112" i="39"/>
  <c r="I112" i="39"/>
  <c r="J112" i="39"/>
  <c r="K112" i="39"/>
  <c r="L112" i="39"/>
  <c r="F113" i="39"/>
  <c r="G113" i="39"/>
  <c r="H113" i="39"/>
  <c r="I113" i="39"/>
  <c r="J113" i="39"/>
  <c r="K113" i="39"/>
  <c r="L113" i="39"/>
  <c r="F114" i="39"/>
  <c r="G114" i="39"/>
  <c r="H114" i="39"/>
  <c r="I114" i="39"/>
  <c r="J114" i="39"/>
  <c r="K114" i="39"/>
  <c r="L114" i="39"/>
  <c r="F115" i="39"/>
  <c r="G115" i="39"/>
  <c r="H115" i="39"/>
  <c r="I115" i="39"/>
  <c r="J115" i="39"/>
  <c r="K115" i="39"/>
  <c r="L115" i="39"/>
  <c r="F116" i="39"/>
  <c r="G116" i="39"/>
  <c r="H116" i="39"/>
  <c r="I116" i="39"/>
  <c r="J116" i="39"/>
  <c r="K116" i="39"/>
  <c r="L116" i="39"/>
  <c r="F117" i="39"/>
  <c r="G117" i="39"/>
  <c r="H117" i="39"/>
  <c r="I117" i="39"/>
  <c r="J117" i="39"/>
  <c r="K117" i="39"/>
  <c r="L117" i="39"/>
  <c r="F111" i="39"/>
  <c r="G111" i="39"/>
  <c r="H111" i="39"/>
  <c r="I111" i="39"/>
  <c r="J111" i="39"/>
  <c r="K111" i="39"/>
  <c r="L111" i="39"/>
  <c r="F254" i="39" l="1"/>
  <c r="G254" i="39"/>
  <c r="H254" i="39"/>
  <c r="J254" i="39"/>
  <c r="C21" i="39" l="1"/>
  <c r="D21" i="39"/>
  <c r="N21" i="39"/>
  <c r="N174" i="80" s="1"/>
  <c r="M21" i="39"/>
  <c r="M174" i="80" s="1"/>
  <c r="L21" i="39"/>
  <c r="L174" i="80" s="1"/>
  <c r="K21" i="39"/>
  <c r="K174" i="80" s="1"/>
  <c r="J21" i="39"/>
  <c r="J174" i="80" s="1"/>
  <c r="I21" i="39"/>
  <c r="I174" i="80" s="1"/>
  <c r="H21" i="39"/>
  <c r="H174" i="80" s="1"/>
  <c r="G21" i="39"/>
  <c r="G174" i="80" s="1"/>
  <c r="F21" i="39"/>
  <c r="F174" i="80" s="1"/>
  <c r="B15" i="39"/>
  <c r="C15" i="39"/>
  <c r="D15" i="39"/>
  <c r="L15" i="39"/>
  <c r="K15" i="39"/>
  <c r="J15" i="39"/>
  <c r="I15" i="39"/>
  <c r="H15" i="39"/>
  <c r="G15" i="39"/>
  <c r="F15" i="39"/>
  <c r="L161" i="80" l="1"/>
  <c r="F161" i="80"/>
  <c r="G161" i="80"/>
  <c r="H161" i="80"/>
  <c r="I161" i="80"/>
  <c r="J161" i="80"/>
  <c r="K161" i="80"/>
  <c r="J20" i="39"/>
  <c r="I20" i="39"/>
  <c r="H20" i="39"/>
  <c r="G20" i="39"/>
  <c r="F20" i="39"/>
  <c r="H173" i="80" l="1"/>
  <c r="F173" i="80"/>
  <c r="G173" i="80"/>
  <c r="I173" i="80"/>
  <c r="J173" i="80"/>
  <c r="J14" i="39"/>
  <c r="I14" i="39"/>
  <c r="H14" i="39"/>
  <c r="G14" i="39"/>
  <c r="F14" i="39"/>
  <c r="I144" i="116" l="1"/>
  <c r="L22" i="76"/>
  <c r="L22" i="19" s="1"/>
  <c r="B6" i="85" s="1"/>
  <c r="L21" i="19"/>
  <c r="D6" i="85" l="1"/>
  <c r="M22" i="19" s="1"/>
  <c r="E6" i="85"/>
  <c r="F6" i="85"/>
  <c r="C6" i="85"/>
  <c r="B6" i="84"/>
  <c r="E6" i="84" l="1"/>
  <c r="F6" i="84"/>
  <c r="M20" i="75"/>
  <c r="M22" i="74"/>
  <c r="M145" i="116" s="1"/>
  <c r="C6" i="84"/>
  <c r="D6" i="84"/>
  <c r="M21" i="19" s="1"/>
  <c r="M21" i="74" l="1"/>
  <c r="M144" i="116" s="1"/>
  <c r="D100" i="51" l="1"/>
  <c r="C100" i="51"/>
  <c r="D104" i="51"/>
  <c r="C104" i="51"/>
  <c r="D91" i="51"/>
  <c r="C91" i="51"/>
  <c r="D63" i="51"/>
  <c r="D53" i="51"/>
  <c r="C53" i="51"/>
  <c r="D44" i="51"/>
  <c r="C44" i="51"/>
  <c r="D39" i="51"/>
  <c r="E30" i="51"/>
  <c r="D30" i="51"/>
  <c r="C30" i="51"/>
  <c r="K5" i="51"/>
  <c r="J5" i="51"/>
  <c r="P5" i="51"/>
  <c r="O5" i="51" l="1"/>
  <c r="G5" i="51"/>
  <c r="H5" i="51"/>
  <c r="I5" i="51"/>
  <c r="L5" i="51"/>
  <c r="M5" i="51"/>
  <c r="F5" i="51"/>
  <c r="N5" i="51"/>
  <c r="Q5" i="51"/>
  <c r="I7" i="28" l="1"/>
  <c r="I6" i="28" s="1"/>
  <c r="B29" i="39" l="1"/>
  <c r="L36" i="19" l="1"/>
  <c r="I36" i="19"/>
  <c r="E36" i="19"/>
  <c r="L35" i="19"/>
  <c r="I35" i="19"/>
  <c r="E35" i="19"/>
  <c r="L34" i="19"/>
  <c r="I34" i="19"/>
  <c r="E34" i="19"/>
  <c r="L38" i="19"/>
  <c r="I38" i="19"/>
  <c r="E38" i="19"/>
  <c r="L37" i="19"/>
  <c r="I37" i="19"/>
  <c r="E37" i="19"/>
  <c r="L40" i="19"/>
  <c r="I40" i="19"/>
  <c r="E40" i="19"/>
  <c r="L39" i="19"/>
  <c r="I39" i="19"/>
  <c r="E39" i="19"/>
  <c r="L29" i="19"/>
  <c r="L28" i="19"/>
  <c r="L26" i="19"/>
  <c r="B16" i="128" s="1"/>
  <c r="L27" i="19"/>
  <c r="Z6" i="108" l="1"/>
  <c r="R6" i="108"/>
  <c r="O25" i="39"/>
  <c r="N6" i="108"/>
  <c r="T6" i="108"/>
  <c r="Y6" i="108"/>
  <c r="Q6" i="108"/>
  <c r="AD6" i="108"/>
  <c r="M6" i="108"/>
  <c r="AB6" i="108"/>
  <c r="X6" i="108"/>
  <c r="P6" i="108"/>
  <c r="W6" i="108"/>
  <c r="U6" i="108"/>
  <c r="L6" i="108"/>
  <c r="AA6" i="108"/>
  <c r="S6" i="108"/>
  <c r="K6" i="108"/>
  <c r="K25" i="39" s="1"/>
  <c r="AE6" i="108"/>
  <c r="V6" i="108"/>
  <c r="AC6" i="108"/>
  <c r="D6" i="108"/>
  <c r="E6" i="108"/>
  <c r="C6" i="108"/>
  <c r="E28" i="76"/>
  <c r="E29" i="76"/>
  <c r="E29" i="19" s="1"/>
  <c r="B6" i="98" s="1"/>
  <c r="E20" i="76"/>
  <c r="E20" i="19" s="1"/>
  <c r="E26" i="76"/>
  <c r="E26" i="19" s="1"/>
  <c r="B6" i="87" s="1"/>
  <c r="E19" i="76"/>
  <c r="E19" i="19" s="1"/>
  <c r="L20" i="19"/>
  <c r="L19" i="76"/>
  <c r="L19" i="19" s="1"/>
  <c r="B18" i="128" s="1"/>
  <c r="L10" i="76"/>
  <c r="L10" i="19" s="1"/>
  <c r="C12" i="58" s="1"/>
  <c r="L9" i="76"/>
  <c r="L9" i="19" s="1"/>
  <c r="L8" i="76"/>
  <c r="L8" i="19" s="1"/>
  <c r="C10" i="58" s="1"/>
  <c r="L12" i="19"/>
  <c r="L11" i="76"/>
  <c r="L11" i="19" s="1"/>
  <c r="C8" i="58" s="1"/>
  <c r="L14" i="19"/>
  <c r="L13" i="19"/>
  <c r="E14" i="19"/>
  <c r="E11" i="76"/>
  <c r="E11" i="19" s="1"/>
  <c r="E12" i="19"/>
  <c r="E8" i="76"/>
  <c r="E8" i="19" s="1"/>
  <c r="E9" i="76"/>
  <c r="E9" i="19" s="1"/>
  <c r="E10" i="76"/>
  <c r="E10" i="19" s="1"/>
  <c r="E13" i="19"/>
  <c r="V25" i="39" l="1"/>
  <c r="V13" i="97"/>
  <c r="AA25" i="39"/>
  <c r="AA13" i="97"/>
  <c r="P25" i="39"/>
  <c r="P13" i="97"/>
  <c r="AD25" i="39"/>
  <c r="AD13" i="97"/>
  <c r="N25" i="39"/>
  <c r="N13" i="97"/>
  <c r="AE25" i="39"/>
  <c r="AE13" i="97"/>
  <c r="L25" i="39"/>
  <c r="L13" i="97"/>
  <c r="X25" i="39"/>
  <c r="X13" i="97"/>
  <c r="Q25" i="39"/>
  <c r="Q13" i="97"/>
  <c r="U25" i="39"/>
  <c r="U13" i="97"/>
  <c r="AB25" i="39"/>
  <c r="AB13" i="97"/>
  <c r="Y25" i="39"/>
  <c r="Y13" i="97"/>
  <c r="R25" i="39"/>
  <c r="R13" i="97"/>
  <c r="AC25" i="39"/>
  <c r="AC13" i="97"/>
  <c r="S25" i="39"/>
  <c r="S13" i="97"/>
  <c r="W25" i="39"/>
  <c r="W13" i="97"/>
  <c r="M25" i="39"/>
  <c r="M13" i="97"/>
  <c r="T25" i="39"/>
  <c r="T13" i="97"/>
  <c r="Z25" i="39"/>
  <c r="Z13" i="97"/>
  <c r="M30" i="19"/>
  <c r="M30" i="74"/>
  <c r="M163" i="116" s="1"/>
  <c r="K123" i="103"/>
  <c r="K122" i="103"/>
  <c r="K125" i="103"/>
  <c r="K124" i="103"/>
  <c r="Z6" i="98"/>
  <c r="Z19" i="39" s="1"/>
  <c r="R6" i="98"/>
  <c r="R19" i="39" s="1"/>
  <c r="O6" i="98"/>
  <c r="O19" i="39" s="1"/>
  <c r="N6" i="98"/>
  <c r="N19" i="39" s="1"/>
  <c r="Y6" i="98"/>
  <c r="Y19" i="39" s="1"/>
  <c r="Q6" i="98"/>
  <c r="Q19" i="39" s="1"/>
  <c r="W6" i="98"/>
  <c r="W19" i="39" s="1"/>
  <c r="V6" i="98"/>
  <c r="V19" i="39" s="1"/>
  <c r="X6" i="98"/>
  <c r="X19" i="39" s="1"/>
  <c r="P6" i="98"/>
  <c r="P19" i="39" s="1"/>
  <c r="AE6" i="98"/>
  <c r="AE19" i="39" s="1"/>
  <c r="AD6" i="98"/>
  <c r="AD19" i="39" s="1"/>
  <c r="AC6" i="98"/>
  <c r="AC19" i="39" s="1"/>
  <c r="U6" i="98"/>
  <c r="U19" i="39" s="1"/>
  <c r="M6" i="98"/>
  <c r="M19" i="39" s="1"/>
  <c r="AB6" i="98"/>
  <c r="AB19" i="39" s="1"/>
  <c r="T6" i="98"/>
  <c r="T19" i="39" s="1"/>
  <c r="L6" i="98"/>
  <c r="L19" i="39" s="1"/>
  <c r="AA6" i="98"/>
  <c r="AA19" i="39" s="1"/>
  <c r="S6" i="98"/>
  <c r="S19" i="39" s="1"/>
  <c r="K6" i="98"/>
  <c r="K19" i="39" s="1"/>
  <c r="AE6" i="87"/>
  <c r="AE14" i="39" s="1"/>
  <c r="W6" i="87"/>
  <c r="W14" i="39" s="1"/>
  <c r="O14" i="39"/>
  <c r="L6" i="87"/>
  <c r="L14" i="39" s="1"/>
  <c r="K6" i="87"/>
  <c r="K14" i="39" s="1"/>
  <c r="AD6" i="87"/>
  <c r="AD14" i="39" s="1"/>
  <c r="V6" i="87"/>
  <c r="V14" i="39" s="1"/>
  <c r="N14" i="39"/>
  <c r="T6" i="87"/>
  <c r="T14" i="39" s="1"/>
  <c r="R6" i="87"/>
  <c r="R14" i="39" s="1"/>
  <c r="AC6" i="87"/>
  <c r="AC14" i="39" s="1"/>
  <c r="U6" i="87"/>
  <c r="U14" i="39" s="1"/>
  <c r="M14" i="39"/>
  <c r="AB6" i="87"/>
  <c r="AB14" i="39" s="1"/>
  <c r="AA6" i="87"/>
  <c r="AA14" i="39" s="1"/>
  <c r="Z6" i="87"/>
  <c r="Z14" i="39" s="1"/>
  <c r="Y6" i="87"/>
  <c r="Y14" i="39" s="1"/>
  <c r="Q6" i="87"/>
  <c r="Q14" i="39" s="1"/>
  <c r="X6" i="87"/>
  <c r="X14" i="39" s="1"/>
  <c r="P6" i="87"/>
  <c r="P14" i="39" s="1"/>
  <c r="S6" i="87"/>
  <c r="S14" i="39" s="1"/>
  <c r="E6" i="87"/>
  <c r="D6" i="98"/>
  <c r="C6" i="98"/>
  <c r="E6" i="98"/>
  <c r="E28" i="19"/>
  <c r="B6" i="91" s="1"/>
  <c r="B14" i="39"/>
  <c r="C6" i="87"/>
  <c r="D6" i="87"/>
  <c r="B21" i="39"/>
  <c r="C12" i="41"/>
  <c r="G149" i="39"/>
  <c r="P6" i="91" l="1"/>
  <c r="P20" i="39" s="1"/>
  <c r="E6" i="91"/>
  <c r="AF12" i="41"/>
  <c r="X12" i="41"/>
  <c r="P12" i="41"/>
  <c r="AC12" i="41"/>
  <c r="AB12" i="41"/>
  <c r="S12" i="41"/>
  <c r="Q12" i="41"/>
  <c r="AE12" i="41"/>
  <c r="W12" i="41"/>
  <c r="U12" i="41"/>
  <c r="Y12" i="41"/>
  <c r="AD12" i="41"/>
  <c r="V12" i="41"/>
  <c r="T12" i="41"/>
  <c r="AA12" i="41"/>
  <c r="Z12" i="41"/>
  <c r="R12" i="41"/>
  <c r="K172" i="80"/>
  <c r="AC172" i="80"/>
  <c r="Y172" i="80"/>
  <c r="S172" i="80"/>
  <c r="AD172" i="80"/>
  <c r="N172" i="80"/>
  <c r="AA172" i="80"/>
  <c r="O172" i="80"/>
  <c r="P172" i="80"/>
  <c r="T172" i="80"/>
  <c r="X172" i="80"/>
  <c r="Z172" i="80"/>
  <c r="U172" i="80"/>
  <c r="AE172" i="80"/>
  <c r="R172" i="80"/>
  <c r="C14" i="39"/>
  <c r="AB172" i="80"/>
  <c r="V172" i="80"/>
  <c r="Q172" i="80"/>
  <c r="L172" i="80"/>
  <c r="M172" i="80"/>
  <c r="W172" i="80"/>
  <c r="K121" i="103"/>
  <c r="J124" i="103"/>
  <c r="J122" i="103"/>
  <c r="J125" i="103"/>
  <c r="J123" i="103"/>
  <c r="X6" i="91"/>
  <c r="X20" i="39" s="1"/>
  <c r="AB6" i="91"/>
  <c r="AB20" i="39" s="1"/>
  <c r="AE6" i="91"/>
  <c r="AE20" i="39" s="1"/>
  <c r="W6" i="91"/>
  <c r="W20" i="39" s="1"/>
  <c r="O6" i="91"/>
  <c r="O20" i="39" s="1"/>
  <c r="U6" i="91"/>
  <c r="U20" i="39" s="1"/>
  <c r="K6" i="91"/>
  <c r="K20" i="39" s="1"/>
  <c r="R6" i="91"/>
  <c r="R20" i="39" s="1"/>
  <c r="AD6" i="91"/>
  <c r="AD20" i="39" s="1"/>
  <c r="V6" i="91"/>
  <c r="V20" i="39" s="1"/>
  <c r="N6" i="91"/>
  <c r="N20" i="39" s="1"/>
  <c r="M6" i="91"/>
  <c r="M20" i="39" s="1"/>
  <c r="T6" i="91"/>
  <c r="T20" i="39" s="1"/>
  <c r="AA6" i="91"/>
  <c r="AA20" i="39" s="1"/>
  <c r="Y6" i="91"/>
  <c r="Y20" i="39" s="1"/>
  <c r="Q6" i="91"/>
  <c r="Q20" i="39" s="1"/>
  <c r="AC6" i="91"/>
  <c r="AC20" i="39" s="1"/>
  <c r="L6" i="91"/>
  <c r="L20" i="39" s="1"/>
  <c r="S6" i="91"/>
  <c r="S20" i="39" s="1"/>
  <c r="Z6" i="91"/>
  <c r="Z20" i="39" s="1"/>
  <c r="AC8" i="58"/>
  <c r="AB151" i="39" s="1"/>
  <c r="U8" i="58"/>
  <c r="T151" i="39" s="1"/>
  <c r="M8" i="58"/>
  <c r="L151" i="39" s="1"/>
  <c r="AB8" i="58"/>
  <c r="AA151" i="39" s="1"/>
  <c r="T8" i="58"/>
  <c r="S151" i="39" s="1"/>
  <c r="L8" i="58"/>
  <c r="K151" i="39" s="1"/>
  <c r="Z8" i="58"/>
  <c r="Y151" i="39" s="1"/>
  <c r="Y8" i="58"/>
  <c r="X151" i="39" s="1"/>
  <c r="X8" i="58"/>
  <c r="W151" i="39" s="1"/>
  <c r="AA8" i="58"/>
  <c r="Z151" i="39" s="1"/>
  <c r="S8" i="58"/>
  <c r="R151" i="39" s="1"/>
  <c r="R8" i="58"/>
  <c r="Q151" i="39" s="1"/>
  <c r="Q8" i="58"/>
  <c r="P151" i="39" s="1"/>
  <c r="AF8" i="58"/>
  <c r="AE151" i="39" s="1"/>
  <c r="AE8" i="58"/>
  <c r="AD151" i="39" s="1"/>
  <c r="W8" i="58"/>
  <c r="V151" i="39" s="1"/>
  <c r="O8" i="58"/>
  <c r="N151" i="39" s="1"/>
  <c r="AD8" i="58"/>
  <c r="AC151" i="39" s="1"/>
  <c r="V8" i="58"/>
  <c r="U151" i="39" s="1"/>
  <c r="N8" i="58"/>
  <c r="M151" i="39" s="1"/>
  <c r="P8" i="58"/>
  <c r="O151" i="39" s="1"/>
  <c r="AF12" i="58"/>
  <c r="AE155" i="39" s="1"/>
  <c r="X12" i="58"/>
  <c r="W155" i="39" s="1"/>
  <c r="P12" i="58"/>
  <c r="O155" i="39" s="1"/>
  <c r="U12" i="58"/>
  <c r="T155" i="39" s="1"/>
  <c r="T12" i="58"/>
  <c r="S155" i="39" s="1"/>
  <c r="AE12" i="58"/>
  <c r="AD155" i="39" s="1"/>
  <c r="W12" i="58"/>
  <c r="V155" i="39" s="1"/>
  <c r="O12" i="58"/>
  <c r="N155" i="39" s="1"/>
  <c r="AC12" i="58"/>
  <c r="AB155" i="39" s="1"/>
  <c r="M12" i="58"/>
  <c r="L155" i="39" s="1"/>
  <c r="AB12" i="58"/>
  <c r="AA155" i="39" s="1"/>
  <c r="S12" i="58"/>
  <c r="R155" i="39" s="1"/>
  <c r="AD12" i="58"/>
  <c r="AC155" i="39" s="1"/>
  <c r="V12" i="58"/>
  <c r="U155" i="39" s="1"/>
  <c r="N12" i="58"/>
  <c r="M155" i="39" s="1"/>
  <c r="AA12" i="58"/>
  <c r="Z155" i="39" s="1"/>
  <c r="Z12" i="58"/>
  <c r="Y155" i="39" s="1"/>
  <c r="R12" i="58"/>
  <c r="Q155" i="39" s="1"/>
  <c r="Y12" i="58"/>
  <c r="X155" i="39" s="1"/>
  <c r="Q12" i="58"/>
  <c r="P155" i="39" s="1"/>
  <c r="AD10" i="58"/>
  <c r="AC153" i="39" s="1"/>
  <c r="V10" i="58"/>
  <c r="U153" i="39" s="1"/>
  <c r="N10" i="58"/>
  <c r="M153" i="39" s="1"/>
  <c r="T10" i="58"/>
  <c r="S153" i="39" s="1"/>
  <c r="AC10" i="58"/>
  <c r="AB153" i="39" s="1"/>
  <c r="U10" i="58"/>
  <c r="T153" i="39" s="1"/>
  <c r="M10" i="58"/>
  <c r="L153" i="39" s="1"/>
  <c r="AB10" i="58"/>
  <c r="AA153" i="39" s="1"/>
  <c r="L10" i="58"/>
  <c r="K153" i="39" s="1"/>
  <c r="S10" i="58"/>
  <c r="R153" i="39" s="1"/>
  <c r="R10" i="58"/>
  <c r="Q153" i="39" s="1"/>
  <c r="Y10" i="58"/>
  <c r="X153" i="39" s="1"/>
  <c r="AA10" i="58"/>
  <c r="Z153" i="39" s="1"/>
  <c r="Q10" i="58"/>
  <c r="P153" i="39" s="1"/>
  <c r="AF10" i="58"/>
  <c r="AE153" i="39" s="1"/>
  <c r="X10" i="58"/>
  <c r="W153" i="39" s="1"/>
  <c r="P10" i="58"/>
  <c r="O153" i="39" s="1"/>
  <c r="AE10" i="58"/>
  <c r="AD153" i="39" s="1"/>
  <c r="W10" i="58"/>
  <c r="V153" i="39" s="1"/>
  <c r="O10" i="58"/>
  <c r="N153" i="39" s="1"/>
  <c r="Z10" i="58"/>
  <c r="Y153" i="39" s="1"/>
  <c r="F29" i="75"/>
  <c r="F29" i="74"/>
  <c r="E152" i="116" s="1"/>
  <c r="F10" i="58"/>
  <c r="F8" i="58"/>
  <c r="F12" i="58"/>
  <c r="F12" i="41"/>
  <c r="B151" i="39"/>
  <c r="B155" i="39"/>
  <c r="B153" i="39"/>
  <c r="F26" i="75"/>
  <c r="F26" i="74"/>
  <c r="E149" i="116" s="1"/>
  <c r="D14" i="39"/>
  <c r="B20" i="39"/>
  <c r="D6" i="91"/>
  <c r="C6" i="91"/>
  <c r="C12" i="68"/>
  <c r="C11" i="68"/>
  <c r="C10" i="68"/>
  <c r="C9" i="68"/>
  <c r="C8" i="68"/>
  <c r="C7" i="68"/>
  <c r="C6" i="68"/>
  <c r="X173" i="80" l="1"/>
  <c r="Y173" i="80"/>
  <c r="K173" i="80"/>
  <c r="AA173" i="80"/>
  <c r="U173" i="80"/>
  <c r="R173" i="80"/>
  <c r="M173" i="80"/>
  <c r="S173" i="80"/>
  <c r="N173" i="80"/>
  <c r="AE173" i="80"/>
  <c r="C20" i="39"/>
  <c r="O173" i="80"/>
  <c r="Z173" i="80"/>
  <c r="L173" i="80"/>
  <c r="V173" i="80"/>
  <c r="AB173" i="80"/>
  <c r="Q173" i="80"/>
  <c r="T173" i="80"/>
  <c r="W173" i="80"/>
  <c r="AC173" i="80"/>
  <c r="AD173" i="80"/>
  <c r="P173" i="80"/>
  <c r="I123" i="103"/>
  <c r="I122" i="103"/>
  <c r="AF7" i="68"/>
  <c r="AE30" i="39" s="1"/>
  <c r="X7" i="68"/>
  <c r="W30" i="39" s="1"/>
  <c r="P7" i="68"/>
  <c r="O30" i="39" s="1"/>
  <c r="AE7" i="68"/>
  <c r="AD30" i="39" s="1"/>
  <c r="W7" i="68"/>
  <c r="V30" i="39" s="1"/>
  <c r="Y7" i="68"/>
  <c r="X30" i="39" s="1"/>
  <c r="AD7" i="68"/>
  <c r="AC30" i="39" s="1"/>
  <c r="V7" i="68"/>
  <c r="U30" i="39" s="1"/>
  <c r="Q7" i="68"/>
  <c r="P30" i="39" s="1"/>
  <c r="AC7" i="68"/>
  <c r="AB30" i="39" s="1"/>
  <c r="U7" i="68"/>
  <c r="T30" i="39" s="1"/>
  <c r="M7" i="68"/>
  <c r="AB7" i="68"/>
  <c r="AA30" i="39" s="1"/>
  <c r="T7" i="68"/>
  <c r="S30" i="39" s="1"/>
  <c r="L7" i="68"/>
  <c r="AA7" i="68"/>
  <c r="Z30" i="39" s="1"/>
  <c r="S7" i="68"/>
  <c r="R30" i="39" s="1"/>
  <c r="Z7" i="68"/>
  <c r="Y30" i="39" s="1"/>
  <c r="R7" i="68"/>
  <c r="Q30" i="39" s="1"/>
  <c r="M6" i="68"/>
  <c r="AF6" i="68"/>
  <c r="AE29" i="39" s="1"/>
  <c r="AB6" i="68"/>
  <c r="AA29" i="39" s="1"/>
  <c r="X6" i="68"/>
  <c r="W29" i="39" s="1"/>
  <c r="T6" i="68"/>
  <c r="S29" i="39" s="1"/>
  <c r="P6" i="68"/>
  <c r="O29" i="39" s="1"/>
  <c r="L6" i="68"/>
  <c r="K29" i="39" s="1"/>
  <c r="AA6" i="68"/>
  <c r="Z29" i="39" s="1"/>
  <c r="W6" i="68"/>
  <c r="V29" i="39" s="1"/>
  <c r="S6" i="68"/>
  <c r="R29" i="39" s="1"/>
  <c r="AC6" i="68"/>
  <c r="AB29" i="39" s="1"/>
  <c r="Y6" i="68"/>
  <c r="X29" i="39" s="1"/>
  <c r="Q6" i="68"/>
  <c r="P29" i="39" s="1"/>
  <c r="AE6" i="68"/>
  <c r="AD29" i="39" s="1"/>
  <c r="AD6" i="68"/>
  <c r="AC29" i="39" s="1"/>
  <c r="Z6" i="68"/>
  <c r="Y29" i="39" s="1"/>
  <c r="V6" i="68"/>
  <c r="U29" i="39" s="1"/>
  <c r="R6" i="68"/>
  <c r="Q29" i="39" s="1"/>
  <c r="U6" i="68"/>
  <c r="T29" i="39" s="1"/>
  <c r="AF9" i="68"/>
  <c r="AE32" i="39" s="1"/>
  <c r="X9" i="68"/>
  <c r="W32" i="39" s="1"/>
  <c r="P9" i="68"/>
  <c r="O32" i="39" s="1"/>
  <c r="W9" i="68"/>
  <c r="V32" i="39" s="1"/>
  <c r="L9" i="68"/>
  <c r="Q9" i="68"/>
  <c r="P32" i="39" s="1"/>
  <c r="AC9" i="68"/>
  <c r="AB32" i="39" s="1"/>
  <c r="U9" i="68"/>
  <c r="T32" i="39" s="1"/>
  <c r="M9" i="68"/>
  <c r="T9" i="68"/>
  <c r="S32" i="39" s="1"/>
  <c r="Y9" i="68"/>
  <c r="X32" i="39" s="1"/>
  <c r="V9" i="68"/>
  <c r="U32" i="39" s="1"/>
  <c r="S9" i="68"/>
  <c r="R32" i="39" s="1"/>
  <c r="Z9" i="68"/>
  <c r="Y32" i="39" s="1"/>
  <c r="R9" i="68"/>
  <c r="Q32" i="39" s="1"/>
  <c r="AE9" i="68"/>
  <c r="AD32" i="39" s="1"/>
  <c r="AB9" i="68"/>
  <c r="AA32" i="39" s="1"/>
  <c r="AD9" i="68"/>
  <c r="AC32" i="39" s="1"/>
  <c r="AA9" i="68"/>
  <c r="Z32" i="39" s="1"/>
  <c r="AD12" i="68"/>
  <c r="AC35" i="39" s="1"/>
  <c r="AB12" i="68"/>
  <c r="AA35" i="39" s="1"/>
  <c r="X12" i="68"/>
  <c r="W35" i="39" s="1"/>
  <c r="T12" i="68"/>
  <c r="S35" i="39" s="1"/>
  <c r="P12" i="68"/>
  <c r="O35" i="39" s="1"/>
  <c r="L12" i="68"/>
  <c r="K35" i="39" s="1"/>
  <c r="AC12" i="68"/>
  <c r="AB35" i="39" s="1"/>
  <c r="U12" i="68"/>
  <c r="T35" i="39" s="1"/>
  <c r="Q12" i="68"/>
  <c r="P35" i="39" s="1"/>
  <c r="AE12" i="68"/>
  <c r="AD35" i="39" s="1"/>
  <c r="W12" i="68"/>
  <c r="V35" i="39" s="1"/>
  <c r="AF12" i="68"/>
  <c r="AE35" i="39" s="1"/>
  <c r="Z12" i="68"/>
  <c r="Y35" i="39" s="1"/>
  <c r="V12" i="68"/>
  <c r="U35" i="39" s="1"/>
  <c r="R12" i="68"/>
  <c r="Q35" i="39" s="1"/>
  <c r="AA12" i="68"/>
  <c r="Z35" i="39" s="1"/>
  <c r="Y12" i="68"/>
  <c r="X35" i="39" s="1"/>
  <c r="S12" i="68"/>
  <c r="R35" i="39" s="1"/>
  <c r="M12" i="68"/>
  <c r="L35" i="39" s="1"/>
  <c r="AC11" i="68"/>
  <c r="AB34" i="39" s="1"/>
  <c r="U11" i="68"/>
  <c r="T34" i="39" s="1"/>
  <c r="M11" i="68"/>
  <c r="L34" i="39" s="1"/>
  <c r="AF11" i="68"/>
  <c r="AE34" i="39" s="1"/>
  <c r="X11" i="68"/>
  <c r="W34" i="39" s="1"/>
  <c r="P11" i="68"/>
  <c r="O34" i="39" s="1"/>
  <c r="AD11" i="68"/>
  <c r="AC34" i="39" s="1"/>
  <c r="Q11" i="68"/>
  <c r="P34" i="39" s="1"/>
  <c r="AA11" i="68"/>
  <c r="Z34" i="39" s="1"/>
  <c r="S11" i="68"/>
  <c r="R34" i="39" s="1"/>
  <c r="V11" i="68"/>
  <c r="U34" i="39" s="1"/>
  <c r="Y11" i="68"/>
  <c r="X34" i="39" s="1"/>
  <c r="AB11" i="68"/>
  <c r="AA34" i="39" s="1"/>
  <c r="T11" i="68"/>
  <c r="S34" i="39" s="1"/>
  <c r="L11" i="68"/>
  <c r="K34" i="39" s="1"/>
  <c r="AE11" i="68"/>
  <c r="AD34" i="39" s="1"/>
  <c r="W11" i="68"/>
  <c r="V34" i="39" s="1"/>
  <c r="Z11" i="68"/>
  <c r="Y34" i="39" s="1"/>
  <c r="R11" i="68"/>
  <c r="Q34" i="39" s="1"/>
  <c r="AE10" i="68"/>
  <c r="AD33" i="39" s="1"/>
  <c r="AA10" i="68"/>
  <c r="Z33" i="39" s="1"/>
  <c r="W10" i="68"/>
  <c r="V33" i="39" s="1"/>
  <c r="S10" i="68"/>
  <c r="R33" i="39" s="1"/>
  <c r="AB10" i="68"/>
  <c r="AA33" i="39" s="1"/>
  <c r="T10" i="68"/>
  <c r="S33" i="39" s="1"/>
  <c r="AC10" i="68"/>
  <c r="AB33" i="39" s="1"/>
  <c r="U10" i="68"/>
  <c r="T33" i="39" s="1"/>
  <c r="M10" i="68"/>
  <c r="L33" i="39" s="1"/>
  <c r="Z10" i="68"/>
  <c r="Y33" i="39" s="1"/>
  <c r="R10" i="68"/>
  <c r="Q33" i="39" s="1"/>
  <c r="AF10" i="68"/>
  <c r="AE33" i="39" s="1"/>
  <c r="X10" i="68"/>
  <c r="W33" i="39" s="1"/>
  <c r="P10" i="68"/>
  <c r="O33" i="39" s="1"/>
  <c r="L10" i="68"/>
  <c r="K33" i="39" s="1"/>
  <c r="Y10" i="68"/>
  <c r="X33" i="39" s="1"/>
  <c r="Q10" i="68"/>
  <c r="P33" i="39" s="1"/>
  <c r="AD10" i="68"/>
  <c r="AC33" i="39" s="1"/>
  <c r="V10" i="68"/>
  <c r="U33" i="39" s="1"/>
  <c r="AB8" i="68"/>
  <c r="AA31" i="39" s="1"/>
  <c r="T8" i="68"/>
  <c r="S31" i="39" s="1"/>
  <c r="L8" i="68"/>
  <c r="W8" i="68"/>
  <c r="V31" i="39" s="1"/>
  <c r="AC8" i="68"/>
  <c r="AB31" i="39" s="1"/>
  <c r="U8" i="68"/>
  <c r="T31" i="39" s="1"/>
  <c r="M8" i="68"/>
  <c r="AE8" i="68"/>
  <c r="AD31" i="39" s="1"/>
  <c r="AF8" i="68"/>
  <c r="AE31" i="39" s="1"/>
  <c r="P8" i="68"/>
  <c r="O31" i="39" s="1"/>
  <c r="Y8" i="68"/>
  <c r="X31" i="39" s="1"/>
  <c r="Q8" i="68"/>
  <c r="P31" i="39" s="1"/>
  <c r="Z8" i="68"/>
  <c r="Y31" i="39" s="1"/>
  <c r="R8" i="68"/>
  <c r="Q31" i="39" s="1"/>
  <c r="AD8" i="68"/>
  <c r="AC31" i="39" s="1"/>
  <c r="V8" i="68"/>
  <c r="U31" i="39" s="1"/>
  <c r="X8" i="68"/>
  <c r="W31" i="39" s="1"/>
  <c r="AA8" i="68"/>
  <c r="Z31" i="39" s="1"/>
  <c r="S8" i="68"/>
  <c r="R31" i="39" s="1"/>
  <c r="F8" i="68"/>
  <c r="I124" i="103"/>
  <c r="J121" i="103"/>
  <c r="J35" i="39"/>
  <c r="G35" i="39"/>
  <c r="I35" i="39"/>
  <c r="H35" i="39"/>
  <c r="F35" i="39"/>
  <c r="J34" i="39"/>
  <c r="I34" i="39"/>
  <c r="G34" i="39"/>
  <c r="F34" i="39"/>
  <c r="H34" i="39"/>
  <c r="F33" i="39"/>
  <c r="I33" i="39"/>
  <c r="H33" i="39"/>
  <c r="G33" i="39"/>
  <c r="J33" i="39"/>
  <c r="I125" i="103"/>
  <c r="F6" i="68"/>
  <c r="F9" i="68"/>
  <c r="F10" i="68"/>
  <c r="F11" i="68"/>
  <c r="F12" i="68"/>
  <c r="F7" i="68"/>
  <c r="F28" i="74"/>
  <c r="E151" i="116" s="1"/>
  <c r="F28" i="75"/>
  <c r="D20" i="39"/>
  <c r="H124" i="103" l="1"/>
  <c r="H122" i="103"/>
  <c r="H125" i="103"/>
  <c r="H123" i="103"/>
  <c r="I121" i="103"/>
  <c r="J31" i="39"/>
  <c r="L29" i="39"/>
  <c r="L318" i="39" s="1"/>
  <c r="I32" i="39"/>
  <c r="H32" i="39"/>
  <c r="G32" i="39"/>
  <c r="F32" i="39"/>
  <c r="I31" i="39"/>
  <c r="H31" i="39"/>
  <c r="G31" i="39"/>
  <c r="F31" i="39"/>
  <c r="E8" i="68"/>
  <c r="I30" i="39"/>
  <c r="H30" i="39"/>
  <c r="G30" i="39"/>
  <c r="F30" i="39"/>
  <c r="I29" i="39"/>
  <c r="H29" i="39"/>
  <c r="G29" i="39"/>
  <c r="F29" i="39"/>
  <c r="G124" i="103" l="1"/>
  <c r="H121" i="103"/>
  <c r="G125" i="103"/>
  <c r="G123" i="103"/>
  <c r="G122" i="103"/>
  <c r="M37" i="19"/>
  <c r="M37" i="74"/>
  <c r="L173" i="116" s="1"/>
  <c r="J29" i="39"/>
  <c r="K31" i="39"/>
  <c r="L31" i="39"/>
  <c r="L320" i="39" s="1"/>
  <c r="D9" i="68"/>
  <c r="D11" i="68"/>
  <c r="E7" i="68"/>
  <c r="E9" i="68"/>
  <c r="E11" i="68"/>
  <c r="J30" i="39"/>
  <c r="K30" i="39"/>
  <c r="K32" i="39"/>
  <c r="D7" i="68"/>
  <c r="J32" i="39"/>
  <c r="D6" i="68"/>
  <c r="L30" i="39"/>
  <c r="L319" i="39" s="1"/>
  <c r="D8" i="68"/>
  <c r="L32" i="39"/>
  <c r="L321" i="39" s="1"/>
  <c r="D10" i="68"/>
  <c r="D12" i="68"/>
  <c r="E6" i="68"/>
  <c r="E10" i="68"/>
  <c r="E12" i="68"/>
  <c r="G121" i="103" l="1"/>
  <c r="M39" i="19"/>
  <c r="M39" i="74"/>
  <c r="L175" i="116" s="1"/>
  <c r="M38" i="19"/>
  <c r="M38" i="74"/>
  <c r="L174" i="116" s="1"/>
  <c r="M34" i="19"/>
  <c r="M34" i="74"/>
  <c r="L170" i="116" s="1"/>
  <c r="M36" i="19"/>
  <c r="M36" i="74"/>
  <c r="L172" i="116" s="1"/>
  <c r="M35" i="19"/>
  <c r="M35" i="74"/>
  <c r="L171" i="116" s="1"/>
  <c r="M40" i="19"/>
  <c r="M40" i="74"/>
  <c r="L176" i="116" s="1"/>
  <c r="I24" i="39" l="1"/>
  <c r="H24" i="39"/>
  <c r="G24" i="39"/>
  <c r="F24" i="39"/>
  <c r="B6" i="52"/>
  <c r="I23" i="39"/>
  <c r="H23" i="39"/>
  <c r="G23" i="39"/>
  <c r="F23" i="39"/>
  <c r="B6" i="49"/>
  <c r="I22" i="39"/>
  <c r="I175" i="80" s="1"/>
  <c r="H22" i="39"/>
  <c r="H175" i="80" s="1"/>
  <c r="G22" i="39"/>
  <c r="G175" i="80" s="1"/>
  <c r="F22" i="39"/>
  <c r="F175" i="80" s="1"/>
  <c r="B6" i="36"/>
  <c r="I16" i="39"/>
  <c r="H16" i="39"/>
  <c r="G16" i="39"/>
  <c r="F16" i="39"/>
  <c r="I12" i="39"/>
  <c r="H12" i="39"/>
  <c r="G12" i="39"/>
  <c r="F12" i="39"/>
  <c r="B6" i="32"/>
  <c r="I11" i="39"/>
  <c r="H11" i="39"/>
  <c r="G11" i="39"/>
  <c r="F11" i="39"/>
  <c r="B6" i="31"/>
  <c r="I10" i="39"/>
  <c r="I382" i="39" s="1"/>
  <c r="H10" i="39"/>
  <c r="H382" i="39" s="1"/>
  <c r="G10" i="39"/>
  <c r="G382" i="39" s="1"/>
  <c r="F10" i="39"/>
  <c r="F382" i="39" s="1"/>
  <c r="I9" i="39"/>
  <c r="H9" i="39"/>
  <c r="G9" i="39"/>
  <c r="F9" i="39"/>
  <c r="B6" i="29"/>
  <c r="G8" i="39"/>
  <c r="F8" i="39"/>
  <c r="B6" i="28"/>
  <c r="I7" i="39"/>
  <c r="H7" i="39"/>
  <c r="G7" i="39"/>
  <c r="F7" i="39"/>
  <c r="B6" i="22"/>
  <c r="F152" i="39"/>
  <c r="H155" i="39"/>
  <c r="G155" i="39"/>
  <c r="F155" i="39"/>
  <c r="C11" i="58"/>
  <c r="C9" i="58"/>
  <c r="C7" i="58"/>
  <c r="C6" i="58"/>
  <c r="R6" i="58" s="1"/>
  <c r="G146" i="39"/>
  <c r="H145" i="39"/>
  <c r="H310" i="39" s="1"/>
  <c r="I144" i="39"/>
  <c r="I309" i="39" s="1"/>
  <c r="F144" i="39"/>
  <c r="F309" i="39" s="1"/>
  <c r="I143" i="39"/>
  <c r="I308" i="39" s="1"/>
  <c r="G143" i="39"/>
  <c r="G308" i="39" s="1"/>
  <c r="F143" i="39"/>
  <c r="F308" i="39" s="1"/>
  <c r="H142" i="39"/>
  <c r="H307" i="39" s="1"/>
  <c r="G142" i="39"/>
  <c r="G307" i="39" s="1"/>
  <c r="F142" i="39"/>
  <c r="F307" i="39" s="1"/>
  <c r="I141" i="39"/>
  <c r="I306" i="39" s="1"/>
  <c r="H141" i="39"/>
  <c r="H306" i="39" s="1"/>
  <c r="G141" i="39"/>
  <c r="G306" i="39" s="1"/>
  <c r="I140" i="39"/>
  <c r="I305" i="39" s="1"/>
  <c r="H140" i="39"/>
  <c r="H305" i="39" s="1"/>
  <c r="I146" i="39"/>
  <c r="H146" i="39"/>
  <c r="F146" i="39"/>
  <c r="I145" i="39"/>
  <c r="I310" i="39" s="1"/>
  <c r="G145" i="39"/>
  <c r="G310" i="39" s="1"/>
  <c r="F145" i="39"/>
  <c r="F310" i="39" s="1"/>
  <c r="B145" i="39"/>
  <c r="H144" i="39"/>
  <c r="H309" i="39" s="1"/>
  <c r="G144" i="39"/>
  <c r="G309" i="39" s="1"/>
  <c r="H143" i="39"/>
  <c r="H308" i="39" s="1"/>
  <c r="I142" i="39"/>
  <c r="I307" i="39" s="1"/>
  <c r="D142" i="39"/>
  <c r="F141" i="39"/>
  <c r="F306" i="39" s="1"/>
  <c r="G140" i="39"/>
  <c r="G305" i="39" s="1"/>
  <c r="F140" i="39"/>
  <c r="F305" i="39" s="1"/>
  <c r="B140" i="39"/>
  <c r="I137" i="39"/>
  <c r="H137" i="39"/>
  <c r="G137" i="39"/>
  <c r="I136" i="39"/>
  <c r="H136" i="39"/>
  <c r="I135" i="39"/>
  <c r="F135" i="39"/>
  <c r="G134" i="39"/>
  <c r="F134" i="39"/>
  <c r="I133" i="39"/>
  <c r="H133" i="39"/>
  <c r="G133" i="39"/>
  <c r="F133" i="39"/>
  <c r="I132" i="39"/>
  <c r="H132" i="39"/>
  <c r="G132" i="39"/>
  <c r="F132" i="39"/>
  <c r="I131" i="39"/>
  <c r="H131" i="39"/>
  <c r="F131" i="39"/>
  <c r="F137" i="39"/>
  <c r="F264" i="39" s="1"/>
  <c r="C12" i="48"/>
  <c r="G136" i="39"/>
  <c r="F136" i="39"/>
  <c r="H135" i="39"/>
  <c r="G135" i="39"/>
  <c r="I134" i="39"/>
  <c r="H134" i="39"/>
  <c r="G131" i="39"/>
  <c r="C12" i="40"/>
  <c r="C11" i="40"/>
  <c r="C10" i="40"/>
  <c r="C9" i="40"/>
  <c r="C8" i="40"/>
  <c r="C7" i="40"/>
  <c r="C6" i="40"/>
  <c r="C12" i="42"/>
  <c r="C11" i="42"/>
  <c r="C10" i="42"/>
  <c r="C9" i="42"/>
  <c r="C8" i="42"/>
  <c r="C7" i="42"/>
  <c r="C6" i="42"/>
  <c r="H62" i="39"/>
  <c r="H404" i="39" s="1"/>
  <c r="G62" i="39"/>
  <c r="G404" i="39" s="1"/>
  <c r="F62" i="39"/>
  <c r="F404" i="39" s="1"/>
  <c r="H61" i="39"/>
  <c r="G61" i="39"/>
  <c r="F61" i="39"/>
  <c r="C11" i="41"/>
  <c r="H60" i="39"/>
  <c r="G60" i="39"/>
  <c r="F60" i="39"/>
  <c r="F402" i="39" s="1"/>
  <c r="C10" i="41"/>
  <c r="H59" i="39"/>
  <c r="H401" i="39" s="1"/>
  <c r="G59" i="39"/>
  <c r="G401" i="39" s="1"/>
  <c r="F59" i="39"/>
  <c r="F401" i="39" s="1"/>
  <c r="C9" i="41"/>
  <c r="H58" i="39"/>
  <c r="H400" i="39" s="1"/>
  <c r="G58" i="39"/>
  <c r="G400" i="39" s="1"/>
  <c r="F58" i="39"/>
  <c r="F400" i="39" s="1"/>
  <c r="C8" i="41"/>
  <c r="H57" i="39"/>
  <c r="H399" i="39" s="1"/>
  <c r="G57" i="39"/>
  <c r="G399" i="39" s="1"/>
  <c r="F57" i="39"/>
  <c r="F399" i="39" s="1"/>
  <c r="C7" i="41"/>
  <c r="H56" i="39"/>
  <c r="H398" i="39" s="1"/>
  <c r="G56" i="39"/>
  <c r="G398" i="39" s="1"/>
  <c r="F56" i="39"/>
  <c r="F398" i="39" s="1"/>
  <c r="C6" i="41"/>
  <c r="I107" i="39"/>
  <c r="I244" i="39" s="1"/>
  <c r="H107" i="39"/>
  <c r="H244" i="39" s="1"/>
  <c r="G107" i="39"/>
  <c r="G244" i="39" s="1"/>
  <c r="F107" i="39"/>
  <c r="F244" i="39" s="1"/>
  <c r="I106" i="39"/>
  <c r="I243" i="39" s="1"/>
  <c r="H106" i="39"/>
  <c r="H243" i="39" s="1"/>
  <c r="G106" i="39"/>
  <c r="G243" i="39" s="1"/>
  <c r="F106" i="39"/>
  <c r="F243" i="39" s="1"/>
  <c r="I105" i="39"/>
  <c r="I242" i="39" s="1"/>
  <c r="H105" i="39"/>
  <c r="H242" i="39" s="1"/>
  <c r="I43" i="103" s="1"/>
  <c r="I58" i="103" s="1"/>
  <c r="G105" i="39"/>
  <c r="G242" i="39" s="1"/>
  <c r="F105" i="39"/>
  <c r="F242" i="39" s="1"/>
  <c r="I104" i="39"/>
  <c r="I241" i="39" s="1"/>
  <c r="H104" i="39"/>
  <c r="H241" i="39" s="1"/>
  <c r="G104" i="39"/>
  <c r="G241" i="39" s="1"/>
  <c r="F104" i="39"/>
  <c r="F241" i="39" s="1"/>
  <c r="I103" i="39"/>
  <c r="I240" i="39" s="1"/>
  <c r="H103" i="39"/>
  <c r="H240" i="39" s="1"/>
  <c r="G103" i="39"/>
  <c r="G240" i="39" s="1"/>
  <c r="F103" i="39"/>
  <c r="F240" i="39" s="1"/>
  <c r="I102" i="39"/>
  <c r="I239" i="39" s="1"/>
  <c r="H102" i="39"/>
  <c r="H239" i="39" s="1"/>
  <c r="G102" i="39"/>
  <c r="G239" i="39" s="1"/>
  <c r="F102" i="39"/>
  <c r="F239" i="39" s="1"/>
  <c r="I101" i="39"/>
  <c r="I238" i="39" s="1"/>
  <c r="H101" i="39"/>
  <c r="H238" i="39" s="1"/>
  <c r="G101" i="39"/>
  <c r="G238" i="39" s="1"/>
  <c r="F101" i="39"/>
  <c r="F238" i="39" s="1"/>
  <c r="H8" i="39"/>
  <c r="Q6" i="22" l="1"/>
  <c r="V11" i="41"/>
  <c r="AD11" i="41"/>
  <c r="X11" i="41"/>
  <c r="Z11" i="41"/>
  <c r="T11" i="41"/>
  <c r="W11" i="41"/>
  <c r="AE11" i="41"/>
  <c r="AF11" i="41"/>
  <c r="S11" i="41"/>
  <c r="AB11" i="41"/>
  <c r="AC11" i="41"/>
  <c r="Y11" i="41"/>
  <c r="AA11" i="41"/>
  <c r="U11" i="41"/>
  <c r="V10" i="41"/>
  <c r="U60" i="39" s="1"/>
  <c r="AD10" i="41"/>
  <c r="AC60" i="39" s="1"/>
  <c r="W10" i="41"/>
  <c r="V60" i="39" s="1"/>
  <c r="AE10" i="41"/>
  <c r="T10" i="41"/>
  <c r="S60" i="39" s="1"/>
  <c r="X10" i="41"/>
  <c r="W60" i="39" s="1"/>
  <c r="AF10" i="41"/>
  <c r="AE60" i="39" s="1"/>
  <c r="AA10" i="41"/>
  <c r="Z60" i="39" s="1"/>
  <c r="U10" i="41"/>
  <c r="T60" i="39" s="1"/>
  <c r="Y10" i="41"/>
  <c r="X60" i="39" s="1"/>
  <c r="Z10" i="41"/>
  <c r="Y60" i="39" s="1"/>
  <c r="S10" i="41"/>
  <c r="R60" i="39" s="1"/>
  <c r="AB10" i="41"/>
  <c r="AA60" i="39" s="1"/>
  <c r="AC10" i="41"/>
  <c r="AB60" i="39" s="1"/>
  <c r="G407" i="39"/>
  <c r="F410" i="39"/>
  <c r="F413" i="39"/>
  <c r="G413" i="39"/>
  <c r="H413" i="39"/>
  <c r="D13" i="114"/>
  <c r="G403" i="39"/>
  <c r="D14" i="114"/>
  <c r="H403" i="39"/>
  <c r="D12" i="114"/>
  <c r="F403" i="39"/>
  <c r="H203" i="39"/>
  <c r="H402" i="39"/>
  <c r="G203" i="39"/>
  <c r="G402" i="39"/>
  <c r="AC7" i="41"/>
  <c r="AB57" i="39" s="1"/>
  <c r="U7" i="41"/>
  <c r="T57" i="39" s="1"/>
  <c r="Z7" i="41"/>
  <c r="Y57" i="39" s="1"/>
  <c r="Y7" i="41"/>
  <c r="X57" i="39" s="1"/>
  <c r="Q7" i="41"/>
  <c r="P57" i="39" s="1"/>
  <c r="AF7" i="41"/>
  <c r="AE57" i="39" s="1"/>
  <c r="X7" i="41"/>
  <c r="W57" i="39" s="1"/>
  <c r="V7" i="41"/>
  <c r="U57" i="39" s="1"/>
  <c r="AB7" i="41"/>
  <c r="AA57" i="39" s="1"/>
  <c r="T7" i="41"/>
  <c r="S57" i="39" s="1"/>
  <c r="R7" i="41"/>
  <c r="Q57" i="39" s="1"/>
  <c r="P7" i="41"/>
  <c r="O57" i="39" s="1"/>
  <c r="AD7" i="41"/>
  <c r="AC57" i="39" s="1"/>
  <c r="AA7" i="41"/>
  <c r="Z57" i="39" s="1"/>
  <c r="S7" i="41"/>
  <c r="R57" i="39" s="1"/>
  <c r="AE7" i="41"/>
  <c r="AD57" i="39" s="1"/>
  <c r="W7" i="41"/>
  <c r="V57" i="39" s="1"/>
  <c r="AE6" i="41"/>
  <c r="AD56" i="39" s="1"/>
  <c r="W6" i="41"/>
  <c r="V56" i="39" s="1"/>
  <c r="AB6" i="41"/>
  <c r="AA56" i="39" s="1"/>
  <c r="S6" i="41"/>
  <c r="R56" i="39" s="1"/>
  <c r="Z6" i="41"/>
  <c r="Y56" i="39" s="1"/>
  <c r="P6" i="41"/>
  <c r="O56" i="39" s="1"/>
  <c r="AD6" i="41"/>
  <c r="AC56" i="39" s="1"/>
  <c r="V6" i="41"/>
  <c r="U56" i="39" s="1"/>
  <c r="T6" i="41"/>
  <c r="S56" i="39" s="1"/>
  <c r="AA6" i="41"/>
  <c r="Z56" i="39" s="1"/>
  <c r="AC6" i="41"/>
  <c r="AB56" i="39" s="1"/>
  <c r="U6" i="41"/>
  <c r="T56" i="39" s="1"/>
  <c r="R6" i="41"/>
  <c r="Q56" i="39" s="1"/>
  <c r="AF6" i="41"/>
  <c r="AE56" i="39" s="1"/>
  <c r="Y6" i="41"/>
  <c r="X56" i="39" s="1"/>
  <c r="Q6" i="41"/>
  <c r="P56" i="39" s="1"/>
  <c r="X6" i="41"/>
  <c r="W56" i="39" s="1"/>
  <c r="AA9" i="41"/>
  <c r="Z59" i="39" s="1"/>
  <c r="S9" i="41"/>
  <c r="R59" i="39" s="1"/>
  <c r="AF9" i="41"/>
  <c r="AE59" i="39" s="1"/>
  <c r="X9" i="41"/>
  <c r="W59" i="39" s="1"/>
  <c r="P9" i="41"/>
  <c r="O59" i="39" s="1"/>
  <c r="AE9" i="41"/>
  <c r="AD59" i="39" s="1"/>
  <c r="W9" i="41"/>
  <c r="V59" i="39" s="1"/>
  <c r="V9" i="41"/>
  <c r="U59" i="39" s="1"/>
  <c r="AB9" i="41"/>
  <c r="AA59" i="39" s="1"/>
  <c r="Z9" i="41"/>
  <c r="Y59" i="39" s="1"/>
  <c r="R9" i="41"/>
  <c r="Q59" i="39" s="1"/>
  <c r="AD9" i="41"/>
  <c r="AC59" i="39" s="1"/>
  <c r="Y9" i="41"/>
  <c r="X59" i="39" s="1"/>
  <c r="Q9" i="41"/>
  <c r="P59" i="39" s="1"/>
  <c r="T9" i="41"/>
  <c r="S59" i="39" s="1"/>
  <c r="AC9" i="41"/>
  <c r="AB59" i="39" s="1"/>
  <c r="U9" i="41"/>
  <c r="T59" i="39" s="1"/>
  <c r="AC8" i="41"/>
  <c r="AB58" i="39" s="1"/>
  <c r="U8" i="41"/>
  <c r="T58" i="39" s="1"/>
  <c r="Z8" i="41"/>
  <c r="Y58" i="39" s="1"/>
  <c r="Q8" i="41"/>
  <c r="P58" i="39" s="1"/>
  <c r="AF8" i="41"/>
  <c r="AE58" i="39" s="1"/>
  <c r="V8" i="41"/>
  <c r="U58" i="39" s="1"/>
  <c r="AB8" i="41"/>
  <c r="AA58" i="39" s="1"/>
  <c r="T8" i="41"/>
  <c r="S58" i="39" s="1"/>
  <c r="R8" i="41"/>
  <c r="Q58" i="39" s="1"/>
  <c r="Y8" i="41"/>
  <c r="X58" i="39" s="1"/>
  <c r="P8" i="41"/>
  <c r="O58" i="39" s="1"/>
  <c r="AD8" i="41"/>
  <c r="AC58" i="39" s="1"/>
  <c r="AA8" i="41"/>
  <c r="Z58" i="39" s="1"/>
  <c r="S8" i="41"/>
  <c r="R58" i="39" s="1"/>
  <c r="X8" i="41"/>
  <c r="W58" i="39" s="1"/>
  <c r="AE8" i="41"/>
  <c r="AD58" i="39" s="1"/>
  <c r="W8" i="41"/>
  <c r="V58" i="39" s="1"/>
  <c r="R11" i="41"/>
  <c r="Q11" i="41"/>
  <c r="P11" i="41"/>
  <c r="Q10" i="41"/>
  <c r="P60" i="39" s="1"/>
  <c r="AD60" i="39"/>
  <c r="R10" i="41"/>
  <c r="Q60" i="39" s="1"/>
  <c r="O60" i="39"/>
  <c r="O203" i="39" s="1"/>
  <c r="C6" i="22"/>
  <c r="E6" i="22"/>
  <c r="AE6" i="22"/>
  <c r="AE7" i="39" s="1"/>
  <c r="H45" i="103"/>
  <c r="H60" i="103" s="1"/>
  <c r="G202" i="39"/>
  <c r="I219" i="80"/>
  <c r="F182" i="39"/>
  <c r="F368" i="39" s="1"/>
  <c r="G40" i="103"/>
  <c r="G42" i="103"/>
  <c r="G44" i="103"/>
  <c r="G59" i="103" s="1"/>
  <c r="G182" i="39"/>
  <c r="G368" i="39" s="1"/>
  <c r="H43" i="103"/>
  <c r="H58" i="103" s="1"/>
  <c r="I45" i="103"/>
  <c r="I60" i="103" s="1"/>
  <c r="I181" i="39"/>
  <c r="J41" i="103"/>
  <c r="H200" i="39"/>
  <c r="H44" i="103"/>
  <c r="H59" i="103" s="1"/>
  <c r="F311" i="39"/>
  <c r="F158" i="80"/>
  <c r="H182" i="39"/>
  <c r="H368" i="39" s="1"/>
  <c r="I40" i="103"/>
  <c r="I42" i="103"/>
  <c r="I44" i="103"/>
  <c r="I59" i="103" s="1"/>
  <c r="G158" i="80"/>
  <c r="I182" i="39"/>
  <c r="I368" i="39" s="1"/>
  <c r="H41" i="103"/>
  <c r="H57" i="103" s="1"/>
  <c r="F200" i="39"/>
  <c r="F202" i="39"/>
  <c r="I41" i="103"/>
  <c r="I57" i="103" s="1"/>
  <c r="J43" i="103"/>
  <c r="H202" i="39"/>
  <c r="H42" i="103"/>
  <c r="J44" i="103"/>
  <c r="G264" i="39"/>
  <c r="G311" i="39" s="1"/>
  <c r="F181" i="39"/>
  <c r="H158" i="80"/>
  <c r="H39" i="103"/>
  <c r="I264" i="39"/>
  <c r="I311" i="39" s="1"/>
  <c r="H181" i="39"/>
  <c r="G219" i="80"/>
  <c r="I39" i="103"/>
  <c r="G200" i="39"/>
  <c r="H219" i="80"/>
  <c r="J39" i="103"/>
  <c r="J45" i="103"/>
  <c r="H40" i="103"/>
  <c r="J40" i="103"/>
  <c r="J42" i="103"/>
  <c r="G39" i="103"/>
  <c r="G41" i="103"/>
  <c r="G57" i="103" s="1"/>
  <c r="G43" i="103"/>
  <c r="G58" i="103" s="1"/>
  <c r="G45" i="103"/>
  <c r="G60" i="103" s="1"/>
  <c r="H264" i="39"/>
  <c r="H311" i="39" s="1"/>
  <c r="G181" i="39"/>
  <c r="F219" i="80"/>
  <c r="I158" i="80"/>
  <c r="I183" i="39"/>
  <c r="H183" i="39"/>
  <c r="G183" i="39"/>
  <c r="F183" i="39"/>
  <c r="O6" i="31"/>
  <c r="P6" i="31"/>
  <c r="P11" i="39" s="1"/>
  <c r="L6" i="31"/>
  <c r="L11" i="39" s="1"/>
  <c r="F204" i="39"/>
  <c r="G150" i="103"/>
  <c r="G204" i="39"/>
  <c r="H150" i="103"/>
  <c r="I150" i="103"/>
  <c r="H204" i="39"/>
  <c r="I151" i="103"/>
  <c r="H205" i="39"/>
  <c r="G151" i="103"/>
  <c r="F205" i="39"/>
  <c r="H151" i="103"/>
  <c r="G205" i="39"/>
  <c r="H149" i="103"/>
  <c r="I149" i="103"/>
  <c r="G149" i="103"/>
  <c r="F203" i="39"/>
  <c r="H148" i="103"/>
  <c r="G201" i="39"/>
  <c r="H201" i="39"/>
  <c r="I148" i="103"/>
  <c r="F201" i="39"/>
  <c r="G148" i="103"/>
  <c r="H147" i="103"/>
  <c r="G199" i="39"/>
  <c r="I147" i="103"/>
  <c r="H199" i="39"/>
  <c r="G147" i="103"/>
  <c r="F199" i="39"/>
  <c r="AF8" i="42"/>
  <c r="AE94" i="39" s="1"/>
  <c r="X8" i="42"/>
  <c r="W94" i="39" s="1"/>
  <c r="P8" i="42"/>
  <c r="O94" i="39" s="1"/>
  <c r="AE8" i="42"/>
  <c r="AD94" i="39" s="1"/>
  <c r="W8" i="42"/>
  <c r="V94" i="39" s="1"/>
  <c r="O8" i="42"/>
  <c r="N94" i="39" s="1"/>
  <c r="AD8" i="42"/>
  <c r="AC94" i="39" s="1"/>
  <c r="V8" i="42"/>
  <c r="U94" i="39" s="1"/>
  <c r="N8" i="42"/>
  <c r="M94" i="39" s="1"/>
  <c r="AC8" i="42"/>
  <c r="AB94" i="39" s="1"/>
  <c r="U8" i="42"/>
  <c r="T94" i="39" s="1"/>
  <c r="M8" i="42"/>
  <c r="L94" i="39" s="1"/>
  <c r="AB8" i="42"/>
  <c r="AA94" i="39" s="1"/>
  <c r="T8" i="42"/>
  <c r="S94" i="39" s="1"/>
  <c r="L8" i="42"/>
  <c r="K94" i="39" s="1"/>
  <c r="R8" i="42"/>
  <c r="Q94" i="39" s="1"/>
  <c r="AA8" i="42"/>
  <c r="Z94" i="39" s="1"/>
  <c r="S8" i="42"/>
  <c r="R94" i="39" s="1"/>
  <c r="Z8" i="42"/>
  <c r="Y94" i="39" s="1"/>
  <c r="Y8" i="42"/>
  <c r="X94" i="39" s="1"/>
  <c r="Q8" i="42"/>
  <c r="P94" i="39" s="1"/>
  <c r="Y7" i="40"/>
  <c r="X48" i="39" s="1"/>
  <c r="Q7" i="40"/>
  <c r="P48" i="39" s="1"/>
  <c r="I7" i="40"/>
  <c r="H48" i="39" s="1"/>
  <c r="I174" i="103" s="1"/>
  <c r="V7" i="40"/>
  <c r="U48" i="39" s="1"/>
  <c r="AC7" i="40"/>
  <c r="AB48" i="39" s="1"/>
  <c r="AF7" i="40"/>
  <c r="AE48" i="39" s="1"/>
  <c r="X7" i="40"/>
  <c r="W48" i="39" s="1"/>
  <c r="P7" i="40"/>
  <c r="O48" i="39" s="1"/>
  <c r="H7" i="40"/>
  <c r="G48" i="39" s="1"/>
  <c r="H174" i="103" s="1"/>
  <c r="AD7" i="40"/>
  <c r="AC48" i="39" s="1"/>
  <c r="M7" i="40"/>
  <c r="L48" i="39" s="1"/>
  <c r="AE7" i="40"/>
  <c r="AD48" i="39" s="1"/>
  <c r="W7" i="40"/>
  <c r="V48" i="39" s="1"/>
  <c r="O7" i="40"/>
  <c r="N48" i="39" s="1"/>
  <c r="G7" i="40"/>
  <c r="F48" i="39" s="1"/>
  <c r="G174" i="103" s="1"/>
  <c r="N7" i="40"/>
  <c r="M48" i="39" s="1"/>
  <c r="U7" i="40"/>
  <c r="T48" i="39" s="1"/>
  <c r="AB7" i="40"/>
  <c r="AA48" i="39" s="1"/>
  <c r="T7" i="40"/>
  <c r="S48" i="39" s="1"/>
  <c r="L7" i="40"/>
  <c r="K48" i="39" s="1"/>
  <c r="AA7" i="40"/>
  <c r="Z48" i="39" s="1"/>
  <c r="S7" i="40"/>
  <c r="R48" i="39" s="1"/>
  <c r="K7" i="40"/>
  <c r="J48" i="39" s="1"/>
  <c r="K174" i="103" s="1"/>
  <c r="Z7" i="40"/>
  <c r="Y48" i="39" s="1"/>
  <c r="R7" i="40"/>
  <c r="Q48" i="39" s="1"/>
  <c r="J7" i="40"/>
  <c r="I48" i="39" s="1"/>
  <c r="J174" i="103" s="1"/>
  <c r="AA6" i="40"/>
  <c r="Z47" i="39" s="1"/>
  <c r="S6" i="40"/>
  <c r="R47" i="39" s="1"/>
  <c r="K6" i="40"/>
  <c r="J47" i="39" s="1"/>
  <c r="K173" i="103" s="1"/>
  <c r="X6" i="40"/>
  <c r="W47" i="39" s="1"/>
  <c r="H6" i="40"/>
  <c r="G47" i="39" s="1"/>
  <c r="H173" i="103" s="1"/>
  <c r="W6" i="40"/>
  <c r="V47" i="39" s="1"/>
  <c r="AD6" i="40"/>
  <c r="AC47" i="39" s="1"/>
  <c r="Z6" i="40"/>
  <c r="Y47" i="39" s="1"/>
  <c r="R6" i="40"/>
  <c r="Q47" i="39" s="1"/>
  <c r="J6" i="40"/>
  <c r="I47" i="39" s="1"/>
  <c r="J173" i="103" s="1"/>
  <c r="P6" i="40"/>
  <c r="O47" i="39" s="1"/>
  <c r="O6" i="40"/>
  <c r="N47" i="39" s="1"/>
  <c r="N6" i="40"/>
  <c r="M47" i="39" s="1"/>
  <c r="Y6" i="40"/>
  <c r="X47" i="39" s="1"/>
  <c r="Q6" i="40"/>
  <c r="P47" i="39" s="1"/>
  <c r="I6" i="40"/>
  <c r="H47" i="39" s="1"/>
  <c r="I173" i="103" s="1"/>
  <c r="AF6" i="40"/>
  <c r="AE47" i="39" s="1"/>
  <c r="G6" i="40"/>
  <c r="F47" i="39" s="1"/>
  <c r="G173" i="103" s="1"/>
  <c r="V6" i="40"/>
  <c r="U47" i="39" s="1"/>
  <c r="AC6" i="40"/>
  <c r="AB47" i="39" s="1"/>
  <c r="U6" i="40"/>
  <c r="T47" i="39" s="1"/>
  <c r="M6" i="40"/>
  <c r="L47" i="39" s="1"/>
  <c r="AB6" i="40"/>
  <c r="AA47" i="39" s="1"/>
  <c r="T6" i="40"/>
  <c r="S47" i="39" s="1"/>
  <c r="L6" i="40"/>
  <c r="K47" i="39" s="1"/>
  <c r="AE6" i="40"/>
  <c r="AD47" i="39" s="1"/>
  <c r="Y9" i="40"/>
  <c r="X50" i="39" s="1"/>
  <c r="Q9" i="40"/>
  <c r="P50" i="39" s="1"/>
  <c r="I9" i="40"/>
  <c r="H50" i="39" s="1"/>
  <c r="I176" i="103" s="1"/>
  <c r="V9" i="40"/>
  <c r="U50" i="39" s="1"/>
  <c r="AC9" i="40"/>
  <c r="AB50" i="39" s="1"/>
  <c r="T9" i="40"/>
  <c r="S50" i="39" s="1"/>
  <c r="AF9" i="40"/>
  <c r="AE50" i="39" s="1"/>
  <c r="X9" i="40"/>
  <c r="W50" i="39" s="1"/>
  <c r="P9" i="40"/>
  <c r="O50" i="39" s="1"/>
  <c r="H9" i="40"/>
  <c r="G50" i="39" s="1"/>
  <c r="H176" i="103" s="1"/>
  <c r="AD9" i="40"/>
  <c r="AC50" i="39" s="1"/>
  <c r="U9" i="40"/>
  <c r="T50" i="39" s="1"/>
  <c r="AE9" i="40"/>
  <c r="AD50" i="39" s="1"/>
  <c r="W9" i="40"/>
  <c r="V50" i="39" s="1"/>
  <c r="O9" i="40"/>
  <c r="N50" i="39" s="1"/>
  <c r="G9" i="40"/>
  <c r="F50" i="39" s="1"/>
  <c r="G176" i="103" s="1"/>
  <c r="N9" i="40"/>
  <c r="M50" i="39" s="1"/>
  <c r="M9" i="40"/>
  <c r="L50" i="39" s="1"/>
  <c r="L9" i="40"/>
  <c r="K50" i="39" s="1"/>
  <c r="AA9" i="40"/>
  <c r="Z50" i="39" s="1"/>
  <c r="S9" i="40"/>
  <c r="R50" i="39" s="1"/>
  <c r="K9" i="40"/>
  <c r="J50" i="39" s="1"/>
  <c r="K176" i="103" s="1"/>
  <c r="Z9" i="40"/>
  <c r="Y50" i="39" s="1"/>
  <c r="R9" i="40"/>
  <c r="Q50" i="39" s="1"/>
  <c r="J9" i="40"/>
  <c r="I50" i="39" s="1"/>
  <c r="J176" i="103" s="1"/>
  <c r="AB9" i="40"/>
  <c r="AA50" i="39" s="1"/>
  <c r="AA8" i="40"/>
  <c r="Z49" i="39" s="1"/>
  <c r="S8" i="40"/>
  <c r="R49" i="39" s="1"/>
  <c r="K8" i="40"/>
  <c r="J49" i="39" s="1"/>
  <c r="K175" i="103" s="1"/>
  <c r="X8" i="40"/>
  <c r="W49" i="39" s="1"/>
  <c r="AE8" i="40"/>
  <c r="AD49" i="39" s="1"/>
  <c r="V8" i="40"/>
  <c r="U49" i="39" s="1"/>
  <c r="Z8" i="40"/>
  <c r="Y49" i="39" s="1"/>
  <c r="R8" i="40"/>
  <c r="Q49" i="39" s="1"/>
  <c r="J8" i="40"/>
  <c r="I49" i="39" s="1"/>
  <c r="J175" i="103" s="1"/>
  <c r="P8" i="40"/>
  <c r="O49" i="39" s="1"/>
  <c r="O8" i="40"/>
  <c r="N49" i="39" s="1"/>
  <c r="N8" i="40"/>
  <c r="M49" i="39" s="1"/>
  <c r="Y8" i="40"/>
  <c r="X49" i="39" s="1"/>
  <c r="Q8" i="40"/>
  <c r="P49" i="39" s="1"/>
  <c r="I8" i="40"/>
  <c r="H49" i="39" s="1"/>
  <c r="I175" i="103" s="1"/>
  <c r="AF8" i="40"/>
  <c r="AE49" i="39" s="1"/>
  <c r="H8" i="40"/>
  <c r="G49" i="39" s="1"/>
  <c r="H175" i="103" s="1"/>
  <c r="G8" i="40"/>
  <c r="F49" i="39" s="1"/>
  <c r="G175" i="103" s="1"/>
  <c r="AD8" i="40"/>
  <c r="AC49" i="39" s="1"/>
  <c r="AC8" i="40"/>
  <c r="AB49" i="39" s="1"/>
  <c r="U8" i="40"/>
  <c r="T49" i="39" s="1"/>
  <c r="M8" i="40"/>
  <c r="L49" i="39" s="1"/>
  <c r="AB8" i="40"/>
  <c r="AA49" i="39" s="1"/>
  <c r="T8" i="40"/>
  <c r="S49" i="39" s="1"/>
  <c r="L8" i="40"/>
  <c r="K49" i="39" s="1"/>
  <c r="W8" i="40"/>
  <c r="V49" i="39" s="1"/>
  <c r="Y12" i="40"/>
  <c r="X53" i="39" s="1"/>
  <c r="Q12" i="40"/>
  <c r="P53" i="39" s="1"/>
  <c r="I12" i="40"/>
  <c r="H53" i="39" s="1"/>
  <c r="I179" i="103" s="1"/>
  <c r="N12" i="40"/>
  <c r="M53" i="39" s="1"/>
  <c r="T12" i="40"/>
  <c r="S53" i="39" s="1"/>
  <c r="AF12" i="40"/>
  <c r="AE53" i="39" s="1"/>
  <c r="X12" i="40"/>
  <c r="W53" i="39" s="1"/>
  <c r="P12" i="40"/>
  <c r="O53" i="39" s="1"/>
  <c r="H12" i="40"/>
  <c r="G53" i="39" s="1"/>
  <c r="H179" i="103" s="1"/>
  <c r="V12" i="40"/>
  <c r="U53" i="39" s="1"/>
  <c r="M12" i="40"/>
  <c r="L53" i="39" s="1"/>
  <c r="L12" i="40"/>
  <c r="K53" i="39" s="1"/>
  <c r="AE12" i="40"/>
  <c r="AD53" i="39" s="1"/>
  <c r="W12" i="40"/>
  <c r="V53" i="39" s="1"/>
  <c r="O12" i="40"/>
  <c r="N53" i="39" s="1"/>
  <c r="G12" i="40"/>
  <c r="F53" i="39" s="1"/>
  <c r="G179" i="103" s="1"/>
  <c r="AD12" i="40"/>
  <c r="AC53" i="39" s="1"/>
  <c r="AC12" i="40"/>
  <c r="AB53" i="39" s="1"/>
  <c r="AB12" i="40"/>
  <c r="AA53" i="39" s="1"/>
  <c r="AA12" i="40"/>
  <c r="Z53" i="39" s="1"/>
  <c r="S12" i="40"/>
  <c r="R53" i="39" s="1"/>
  <c r="K12" i="40"/>
  <c r="J53" i="39" s="1"/>
  <c r="K179" i="103" s="1"/>
  <c r="Z12" i="40"/>
  <c r="Y53" i="39" s="1"/>
  <c r="R12" i="40"/>
  <c r="Q53" i="39" s="1"/>
  <c r="J12" i="40"/>
  <c r="I53" i="39" s="1"/>
  <c r="J179" i="103" s="1"/>
  <c r="U12" i="40"/>
  <c r="T53" i="39" s="1"/>
  <c r="AA11" i="40"/>
  <c r="Z52" i="39" s="1"/>
  <c r="S11" i="40"/>
  <c r="R52" i="39" s="1"/>
  <c r="K11" i="40"/>
  <c r="J52" i="39" s="1"/>
  <c r="K178" i="103" s="1"/>
  <c r="P11" i="40"/>
  <c r="O52" i="39" s="1"/>
  <c r="O11" i="40"/>
  <c r="N52" i="39" s="1"/>
  <c r="V11" i="40"/>
  <c r="U52" i="39" s="1"/>
  <c r="Z11" i="40"/>
  <c r="Y52" i="39" s="1"/>
  <c r="R11" i="40"/>
  <c r="Q52" i="39" s="1"/>
  <c r="J11" i="40"/>
  <c r="I52" i="39" s="1"/>
  <c r="J178" i="103" s="1"/>
  <c r="X11" i="40"/>
  <c r="W52" i="39" s="1"/>
  <c r="W11" i="40"/>
  <c r="V52" i="39" s="1"/>
  <c r="N11" i="40"/>
  <c r="M52" i="39" s="1"/>
  <c r="Y11" i="40"/>
  <c r="X52" i="39" s="1"/>
  <c r="Q11" i="40"/>
  <c r="P52" i="39" s="1"/>
  <c r="I11" i="40"/>
  <c r="H52" i="39" s="1"/>
  <c r="I178" i="103" s="1"/>
  <c r="AF11" i="40"/>
  <c r="AE52" i="39" s="1"/>
  <c r="H11" i="40"/>
  <c r="G52" i="39" s="1"/>
  <c r="H178" i="103" s="1"/>
  <c r="G11" i="40"/>
  <c r="F52" i="39" s="1"/>
  <c r="G178" i="103" s="1"/>
  <c r="AC11" i="40"/>
  <c r="AB52" i="39" s="1"/>
  <c r="U11" i="40"/>
  <c r="T52" i="39" s="1"/>
  <c r="M11" i="40"/>
  <c r="L52" i="39" s="1"/>
  <c r="AB11" i="40"/>
  <c r="AA52" i="39" s="1"/>
  <c r="T11" i="40"/>
  <c r="S52" i="39" s="1"/>
  <c r="L11" i="40"/>
  <c r="K52" i="39" s="1"/>
  <c r="AE11" i="40"/>
  <c r="AD52" i="39" s="1"/>
  <c r="AD11" i="40"/>
  <c r="AC52" i="39" s="1"/>
  <c r="AC10" i="40"/>
  <c r="AB51" i="39" s="1"/>
  <c r="U10" i="40"/>
  <c r="T51" i="39" s="1"/>
  <c r="M10" i="40"/>
  <c r="L51" i="39" s="1"/>
  <c r="Z10" i="40"/>
  <c r="Y51" i="39" s="1"/>
  <c r="I10" i="40"/>
  <c r="H51" i="39" s="1"/>
  <c r="I177" i="103" s="1"/>
  <c r="AF10" i="40"/>
  <c r="AE51" i="39" s="1"/>
  <c r="AB10" i="40"/>
  <c r="AA51" i="39" s="1"/>
  <c r="T10" i="40"/>
  <c r="S51" i="39" s="1"/>
  <c r="L10" i="40"/>
  <c r="K51" i="39" s="1"/>
  <c r="R10" i="40"/>
  <c r="Q51" i="39" s="1"/>
  <c r="Y10" i="40"/>
  <c r="X51" i="39" s="1"/>
  <c r="P10" i="40"/>
  <c r="O51" i="39" s="1"/>
  <c r="AA10" i="40"/>
  <c r="Z51" i="39" s="1"/>
  <c r="S10" i="40"/>
  <c r="R51" i="39" s="1"/>
  <c r="K10" i="40"/>
  <c r="J51" i="39" s="1"/>
  <c r="K177" i="103" s="1"/>
  <c r="J10" i="40"/>
  <c r="I51" i="39" s="1"/>
  <c r="J177" i="103" s="1"/>
  <c r="X10" i="40"/>
  <c r="W51" i="39" s="1"/>
  <c r="AE10" i="40"/>
  <c r="AD51" i="39" s="1"/>
  <c r="W10" i="40"/>
  <c r="V51" i="39" s="1"/>
  <c r="O10" i="40"/>
  <c r="N51" i="39" s="1"/>
  <c r="G10" i="40"/>
  <c r="F51" i="39" s="1"/>
  <c r="G177" i="103" s="1"/>
  <c r="AD10" i="40"/>
  <c r="AC51" i="39" s="1"/>
  <c r="V10" i="40"/>
  <c r="U51" i="39" s="1"/>
  <c r="N10" i="40"/>
  <c r="M51" i="39" s="1"/>
  <c r="Q10" i="40"/>
  <c r="P51" i="39" s="1"/>
  <c r="H10" i="40"/>
  <c r="G51" i="39" s="1"/>
  <c r="H177" i="103" s="1"/>
  <c r="L24" i="39"/>
  <c r="K24" i="39"/>
  <c r="AD6" i="49"/>
  <c r="AD23" i="39" s="1"/>
  <c r="V6" i="49"/>
  <c r="V23" i="39" s="1"/>
  <c r="AA6" i="49"/>
  <c r="AA23" i="39" s="1"/>
  <c r="Z6" i="49"/>
  <c r="Z23" i="39" s="1"/>
  <c r="AC6" i="49"/>
  <c r="AC23" i="39" s="1"/>
  <c r="U6" i="49"/>
  <c r="U23" i="39" s="1"/>
  <c r="K6" i="49"/>
  <c r="K23" i="39" s="1"/>
  <c r="AB6" i="49"/>
  <c r="AB23" i="39" s="1"/>
  <c r="T6" i="49"/>
  <c r="T23" i="39" s="1"/>
  <c r="L6" i="49"/>
  <c r="L23" i="39" s="1"/>
  <c r="S6" i="49"/>
  <c r="S23" i="39" s="1"/>
  <c r="R6" i="49"/>
  <c r="R23" i="39" s="1"/>
  <c r="Y6" i="49"/>
  <c r="Y23" i="39" s="1"/>
  <c r="X6" i="49"/>
  <c r="X23" i="39" s="1"/>
  <c r="P6" i="49"/>
  <c r="P23" i="39" s="1"/>
  <c r="AE6" i="49"/>
  <c r="AE23" i="39" s="1"/>
  <c r="W6" i="49"/>
  <c r="W23" i="39" s="1"/>
  <c r="O6" i="49"/>
  <c r="O23" i="39" s="1"/>
  <c r="Q6" i="49"/>
  <c r="Q23" i="39" s="1"/>
  <c r="AC6" i="28"/>
  <c r="AC8" i="39" s="1"/>
  <c r="U6" i="28"/>
  <c r="U8" i="39" s="1"/>
  <c r="M6" i="28"/>
  <c r="M8" i="39" s="1"/>
  <c r="R6" i="28"/>
  <c r="R8" i="39" s="1"/>
  <c r="AB6" i="28"/>
  <c r="AB8" i="39" s="1"/>
  <c r="T6" i="28"/>
  <c r="T8" i="39" s="1"/>
  <c r="L6" i="28"/>
  <c r="L8" i="39" s="1"/>
  <c r="J6" i="28"/>
  <c r="J8" i="39" s="1"/>
  <c r="Y6" i="28"/>
  <c r="Y8" i="39" s="1"/>
  <c r="X6" i="28"/>
  <c r="X8" i="39" s="1"/>
  <c r="AA6" i="28"/>
  <c r="AA8" i="39" s="1"/>
  <c r="S6" i="28"/>
  <c r="S8" i="39" s="1"/>
  <c r="K6" i="28"/>
  <c r="K8" i="39" s="1"/>
  <c r="Z6" i="28"/>
  <c r="Z8" i="39" s="1"/>
  <c r="Q6" i="28"/>
  <c r="Q8" i="39" s="1"/>
  <c r="P6" i="28"/>
  <c r="P8" i="39" s="1"/>
  <c r="AE6" i="28"/>
  <c r="AE8" i="39" s="1"/>
  <c r="W6" i="28"/>
  <c r="W8" i="39" s="1"/>
  <c r="O6" i="28"/>
  <c r="O8" i="39" s="1"/>
  <c r="AD6" i="28"/>
  <c r="AD8" i="39" s="1"/>
  <c r="V6" i="28"/>
  <c r="V8" i="39" s="1"/>
  <c r="N6" i="28"/>
  <c r="N8" i="39" s="1"/>
  <c r="AA6" i="29"/>
  <c r="AA9" i="39" s="1"/>
  <c r="S6" i="29"/>
  <c r="S9" i="39" s="1"/>
  <c r="K6" i="29"/>
  <c r="K9" i="39" s="1"/>
  <c r="X6" i="29"/>
  <c r="X9" i="39" s="1"/>
  <c r="AE6" i="29"/>
  <c r="AE9" i="39" s="1"/>
  <c r="Z6" i="29"/>
  <c r="Z9" i="39" s="1"/>
  <c r="R6" i="29"/>
  <c r="R9" i="39" s="1"/>
  <c r="W6" i="29"/>
  <c r="W9" i="39" s="1"/>
  <c r="AD6" i="29"/>
  <c r="AD9" i="39" s="1"/>
  <c r="Y6" i="29"/>
  <c r="Y9" i="39" s="1"/>
  <c r="Q6" i="29"/>
  <c r="Q9" i="39" s="1"/>
  <c r="P6" i="29"/>
  <c r="P9" i="39" s="1"/>
  <c r="O6" i="29"/>
  <c r="O9" i="39" s="1"/>
  <c r="V6" i="29"/>
  <c r="V9" i="39" s="1"/>
  <c r="AC6" i="29"/>
  <c r="AC9" i="39" s="1"/>
  <c r="U6" i="29"/>
  <c r="U9" i="39" s="1"/>
  <c r="AB6" i="29"/>
  <c r="AB9" i="39" s="1"/>
  <c r="T6" i="29"/>
  <c r="T9" i="39" s="1"/>
  <c r="L6" i="29"/>
  <c r="L9" i="39" s="1"/>
  <c r="AC7" i="58"/>
  <c r="AB150" i="39" s="1"/>
  <c r="U7" i="58"/>
  <c r="T150" i="39" s="1"/>
  <c r="M7" i="58"/>
  <c r="L150" i="39" s="1"/>
  <c r="R7" i="58"/>
  <c r="Q150" i="39" s="1"/>
  <c r="Q7" i="58"/>
  <c r="P150" i="39" s="1"/>
  <c r="X7" i="58"/>
  <c r="W150" i="39" s="1"/>
  <c r="AB7" i="58"/>
  <c r="AA150" i="39" s="1"/>
  <c r="T7" i="58"/>
  <c r="S150" i="39" s="1"/>
  <c r="L7" i="58"/>
  <c r="K150" i="39" s="1"/>
  <c r="Z7" i="58"/>
  <c r="Y150" i="39" s="1"/>
  <c r="Y7" i="58"/>
  <c r="X150" i="39" s="1"/>
  <c r="P7" i="58"/>
  <c r="O150" i="39" s="1"/>
  <c r="AA7" i="58"/>
  <c r="Z150" i="39" s="1"/>
  <c r="S7" i="58"/>
  <c r="R150" i="39" s="1"/>
  <c r="AE7" i="58"/>
  <c r="AD150" i="39" s="1"/>
  <c r="W7" i="58"/>
  <c r="V150" i="39" s="1"/>
  <c r="O7" i="58"/>
  <c r="N150" i="39" s="1"/>
  <c r="AD7" i="58"/>
  <c r="AC150" i="39" s="1"/>
  <c r="V7" i="58"/>
  <c r="U150" i="39" s="1"/>
  <c r="N7" i="58"/>
  <c r="M150" i="39" s="1"/>
  <c r="AF7" i="58"/>
  <c r="AE150" i="39" s="1"/>
  <c r="AE6" i="58"/>
  <c r="AD149" i="39" s="1"/>
  <c r="W6" i="58"/>
  <c r="V149" i="39" s="1"/>
  <c r="O6" i="58"/>
  <c r="N149" i="39" s="1"/>
  <c r="L6" i="58"/>
  <c r="K149" i="39" s="1"/>
  <c r="S6" i="58"/>
  <c r="R149" i="39" s="1"/>
  <c r="AD6" i="58"/>
  <c r="AC149" i="39" s="1"/>
  <c r="V6" i="58"/>
  <c r="U149" i="39" s="1"/>
  <c r="N6" i="58"/>
  <c r="M149" i="39" s="1"/>
  <c r="T6" i="58"/>
  <c r="S149" i="39" s="1"/>
  <c r="AA6" i="58"/>
  <c r="Z149" i="39" s="1"/>
  <c r="Q149" i="39"/>
  <c r="AC6" i="58"/>
  <c r="AB149" i="39" s="1"/>
  <c r="U6" i="58"/>
  <c r="T149" i="39" s="1"/>
  <c r="M6" i="58"/>
  <c r="L149" i="39" s="1"/>
  <c r="AB6" i="58"/>
  <c r="AA149" i="39" s="1"/>
  <c r="Z6" i="58"/>
  <c r="Y149" i="39" s="1"/>
  <c r="Y6" i="58"/>
  <c r="X149" i="39" s="1"/>
  <c r="Q6" i="58"/>
  <c r="P149" i="39" s="1"/>
  <c r="AF6" i="58"/>
  <c r="AE149" i="39" s="1"/>
  <c r="X6" i="58"/>
  <c r="W149" i="39" s="1"/>
  <c r="P6" i="58"/>
  <c r="O149" i="39" s="1"/>
  <c r="AA9" i="58"/>
  <c r="Z152" i="39" s="1"/>
  <c r="S9" i="58"/>
  <c r="R152" i="39" s="1"/>
  <c r="AF9" i="58"/>
  <c r="AE152" i="39" s="1"/>
  <c r="AE9" i="58"/>
  <c r="AD152" i="39" s="1"/>
  <c r="AD9" i="58"/>
  <c r="AC152" i="39" s="1"/>
  <c r="Z9" i="58"/>
  <c r="Y152" i="39" s="1"/>
  <c r="R9" i="58"/>
  <c r="Q152" i="39" s="1"/>
  <c r="X9" i="58"/>
  <c r="W152" i="39" s="1"/>
  <c r="O9" i="58"/>
  <c r="N152" i="39" s="1"/>
  <c r="V9" i="58"/>
  <c r="U152" i="39" s="1"/>
  <c r="Y9" i="58"/>
  <c r="X152" i="39" s="1"/>
  <c r="Q9" i="58"/>
  <c r="P152" i="39" s="1"/>
  <c r="P9" i="58"/>
  <c r="O152" i="39" s="1"/>
  <c r="W9" i="58"/>
  <c r="V152" i="39" s="1"/>
  <c r="N9" i="58"/>
  <c r="M152" i="39" s="1"/>
  <c r="AC9" i="58"/>
  <c r="AB152" i="39" s="1"/>
  <c r="U9" i="58"/>
  <c r="T152" i="39" s="1"/>
  <c r="M9" i="58"/>
  <c r="L152" i="39" s="1"/>
  <c r="AB9" i="58"/>
  <c r="AA152" i="39" s="1"/>
  <c r="T9" i="58"/>
  <c r="S152" i="39" s="1"/>
  <c r="L9" i="58"/>
  <c r="K152" i="39" s="1"/>
  <c r="Y11" i="58"/>
  <c r="X154" i="39" s="1"/>
  <c r="Q11" i="58"/>
  <c r="P154" i="39" s="1"/>
  <c r="V11" i="58"/>
  <c r="U154" i="39" s="1"/>
  <c r="M11" i="58"/>
  <c r="L154" i="39" s="1"/>
  <c r="L11" i="58"/>
  <c r="K154" i="39" s="1"/>
  <c r="AF11" i="58"/>
  <c r="AE154" i="39" s="1"/>
  <c r="X11" i="58"/>
  <c r="W154" i="39" s="1"/>
  <c r="P11" i="58"/>
  <c r="O154" i="39" s="1"/>
  <c r="AD11" i="58"/>
  <c r="AC154" i="39" s="1"/>
  <c r="AC11" i="58"/>
  <c r="AB154" i="39" s="1"/>
  <c r="T11" i="58"/>
  <c r="S154" i="39" s="1"/>
  <c r="AE11" i="58"/>
  <c r="AD154" i="39" s="1"/>
  <c r="W11" i="58"/>
  <c r="V154" i="39" s="1"/>
  <c r="O11" i="58"/>
  <c r="N154" i="39" s="1"/>
  <c r="N11" i="58"/>
  <c r="M154" i="39" s="1"/>
  <c r="AB11" i="58"/>
  <c r="AA154" i="39" s="1"/>
  <c r="AA11" i="58"/>
  <c r="Z154" i="39" s="1"/>
  <c r="S11" i="58"/>
  <c r="R154" i="39" s="1"/>
  <c r="Z11" i="58"/>
  <c r="Y154" i="39" s="1"/>
  <c r="R11" i="58"/>
  <c r="Q154" i="39" s="1"/>
  <c r="U11" i="58"/>
  <c r="T154" i="39" s="1"/>
  <c r="L7" i="42"/>
  <c r="K93" i="39" s="1"/>
  <c r="M7" i="42"/>
  <c r="L93" i="39" s="1"/>
  <c r="P7" i="42"/>
  <c r="O93" i="39" s="1"/>
  <c r="N7" i="42"/>
  <c r="M93" i="39" s="1"/>
  <c r="O7" i="42"/>
  <c r="N93" i="39" s="1"/>
  <c r="Q7" i="42"/>
  <c r="P93" i="39" s="1"/>
  <c r="R7" i="42"/>
  <c r="Q93" i="39" s="1"/>
  <c r="L6" i="42"/>
  <c r="K92" i="39" s="1"/>
  <c r="T6" i="42"/>
  <c r="S92" i="39" s="1"/>
  <c r="AB6" i="42"/>
  <c r="AA92" i="39" s="1"/>
  <c r="AE6" i="42"/>
  <c r="AD92" i="39" s="1"/>
  <c r="AF6" i="42"/>
  <c r="AE92" i="39" s="1"/>
  <c r="S6" i="42"/>
  <c r="R92" i="39" s="1"/>
  <c r="M6" i="42"/>
  <c r="L92" i="39" s="1"/>
  <c r="U6" i="42"/>
  <c r="T92" i="39" s="1"/>
  <c r="AC6" i="42"/>
  <c r="AB92" i="39" s="1"/>
  <c r="O6" i="42"/>
  <c r="N92" i="39" s="1"/>
  <c r="X6" i="42"/>
  <c r="W92" i="39" s="1"/>
  <c r="Y6" i="42"/>
  <c r="X92" i="39" s="1"/>
  <c r="N6" i="42"/>
  <c r="M92" i="39" s="1"/>
  <c r="V6" i="42"/>
  <c r="U92" i="39" s="1"/>
  <c r="AD6" i="42"/>
  <c r="AC92" i="39" s="1"/>
  <c r="W6" i="42"/>
  <c r="V92" i="39" s="1"/>
  <c r="P6" i="42"/>
  <c r="O92" i="39" s="1"/>
  <c r="Q6" i="42"/>
  <c r="P92" i="39" s="1"/>
  <c r="R6" i="42"/>
  <c r="Q92" i="39" s="1"/>
  <c r="Z6" i="42"/>
  <c r="Y92" i="39" s="1"/>
  <c r="AA6" i="42"/>
  <c r="Z92" i="39" s="1"/>
  <c r="M9" i="42"/>
  <c r="L95" i="39" s="1"/>
  <c r="N9" i="42"/>
  <c r="M95" i="39" s="1"/>
  <c r="P9" i="42"/>
  <c r="O95" i="39" s="1"/>
  <c r="Q9" i="42"/>
  <c r="P95" i="39" s="1"/>
  <c r="O9" i="42"/>
  <c r="N95" i="39" s="1"/>
  <c r="L9" i="42"/>
  <c r="K95" i="39" s="1"/>
  <c r="R9" i="42"/>
  <c r="Q95" i="39" s="1"/>
  <c r="P12" i="42"/>
  <c r="O98" i="39" s="1"/>
  <c r="X12" i="42"/>
  <c r="W98" i="39" s="1"/>
  <c r="AF12" i="42"/>
  <c r="AE98" i="39" s="1"/>
  <c r="L12" i="42"/>
  <c r="K98" i="39" s="1"/>
  <c r="U12" i="42"/>
  <c r="T98" i="39" s="1"/>
  <c r="W12" i="42"/>
  <c r="V98" i="39" s="1"/>
  <c r="Q12" i="42"/>
  <c r="P98" i="39" s="1"/>
  <c r="Y12" i="42"/>
  <c r="X98" i="39" s="1"/>
  <c r="AA12" i="42"/>
  <c r="Z98" i="39" s="1"/>
  <c r="T12" i="42"/>
  <c r="S98" i="39" s="1"/>
  <c r="M12" i="42"/>
  <c r="L98" i="39" s="1"/>
  <c r="O12" i="42"/>
  <c r="N98" i="39" s="1"/>
  <c r="Q98" i="39"/>
  <c r="Z12" i="42"/>
  <c r="Y98" i="39" s="1"/>
  <c r="S12" i="42"/>
  <c r="R98" i="39" s="1"/>
  <c r="AB12" i="42"/>
  <c r="AA98" i="39" s="1"/>
  <c r="AC12" i="42"/>
  <c r="AB98" i="39" s="1"/>
  <c r="AE12" i="42"/>
  <c r="AD98" i="39" s="1"/>
  <c r="N12" i="42"/>
  <c r="M98" i="39" s="1"/>
  <c r="V12" i="42"/>
  <c r="U98" i="39" s="1"/>
  <c r="AD12" i="42"/>
  <c r="AC98" i="39" s="1"/>
  <c r="P11" i="42"/>
  <c r="X11" i="42"/>
  <c r="AF11" i="42"/>
  <c r="S11" i="42"/>
  <c r="AB11" i="42"/>
  <c r="M11" i="42"/>
  <c r="Q11" i="42"/>
  <c r="Y11" i="42"/>
  <c r="L11" i="42"/>
  <c r="K97" i="39" s="1"/>
  <c r="U11" i="42"/>
  <c r="R11" i="42"/>
  <c r="Z11" i="42"/>
  <c r="AA11" i="42"/>
  <c r="T11" i="42"/>
  <c r="AC11" i="42"/>
  <c r="N11" i="42"/>
  <c r="V11" i="42"/>
  <c r="AD11" i="42"/>
  <c r="O11" i="42"/>
  <c r="W11" i="42"/>
  <c r="AE11" i="42"/>
  <c r="P10" i="42"/>
  <c r="O96" i="39" s="1"/>
  <c r="O402" i="39" s="1"/>
  <c r="L10" i="42"/>
  <c r="K96" i="39" s="1"/>
  <c r="L96" i="39"/>
  <c r="Q10" i="42"/>
  <c r="P96" i="39" s="1"/>
  <c r="T10" i="42"/>
  <c r="S96" i="39" s="1"/>
  <c r="R10" i="42"/>
  <c r="Q96" i="39" s="1"/>
  <c r="S10" i="42"/>
  <c r="R96" i="39" s="1"/>
  <c r="N10" i="42"/>
  <c r="M96" i="39" s="1"/>
  <c r="O10" i="42"/>
  <c r="N96" i="39" s="1"/>
  <c r="AD12" i="48"/>
  <c r="AC137" i="39" s="1"/>
  <c r="V12" i="48"/>
  <c r="U137" i="39" s="1"/>
  <c r="N12" i="48"/>
  <c r="S12" i="48"/>
  <c r="R137" i="39" s="1"/>
  <c r="Z12" i="48"/>
  <c r="Y137" i="39" s="1"/>
  <c r="AC12" i="48"/>
  <c r="AB137" i="39" s="1"/>
  <c r="U12" i="48"/>
  <c r="T137" i="39" s="1"/>
  <c r="M12" i="48"/>
  <c r="Q12" i="48"/>
  <c r="AB12" i="48"/>
  <c r="AA137" i="39" s="1"/>
  <c r="T12" i="48"/>
  <c r="S137" i="39" s="1"/>
  <c r="L12" i="48"/>
  <c r="AA12" i="48"/>
  <c r="Z137" i="39" s="1"/>
  <c r="R12" i="48"/>
  <c r="Y12" i="48"/>
  <c r="X137" i="39" s="1"/>
  <c r="AF12" i="48"/>
  <c r="AE137" i="39" s="1"/>
  <c r="X12" i="48"/>
  <c r="W137" i="39" s="1"/>
  <c r="O137" i="39"/>
  <c r="AE12" i="48"/>
  <c r="AD137" i="39" s="1"/>
  <c r="W12" i="48"/>
  <c r="V137" i="39" s="1"/>
  <c r="O12" i="48"/>
  <c r="AC6" i="36"/>
  <c r="AC17" i="39" s="1"/>
  <c r="U6" i="36"/>
  <c r="U17" i="39" s="1"/>
  <c r="M6" i="36"/>
  <c r="R6" i="36"/>
  <c r="AE6" i="36"/>
  <c r="AE17" i="39" s="1"/>
  <c r="AB6" i="36"/>
  <c r="AB17" i="39" s="1"/>
  <c r="T6" i="36"/>
  <c r="T17" i="39" s="1"/>
  <c r="L6" i="36"/>
  <c r="Z6" i="36"/>
  <c r="Z17" i="39" s="1"/>
  <c r="Y6" i="36"/>
  <c r="Y17" i="39" s="1"/>
  <c r="X6" i="36"/>
  <c r="X17" i="39" s="1"/>
  <c r="AA6" i="36"/>
  <c r="AA17" i="39" s="1"/>
  <c r="S6" i="36"/>
  <c r="K6" i="36"/>
  <c r="O6" i="36"/>
  <c r="AD6" i="36"/>
  <c r="AD17" i="39" s="1"/>
  <c r="V6" i="36"/>
  <c r="V17" i="39" s="1"/>
  <c r="N6" i="36"/>
  <c r="Q6" i="36"/>
  <c r="P6" i="36"/>
  <c r="W6" i="36"/>
  <c r="W17" i="39" s="1"/>
  <c r="AE6" i="32"/>
  <c r="AE12" i="39" s="1"/>
  <c r="W6" i="32"/>
  <c r="W12" i="39" s="1"/>
  <c r="O6" i="32"/>
  <c r="O12" i="39" s="1"/>
  <c r="L6" i="32"/>
  <c r="K6" i="32"/>
  <c r="K12" i="39" s="1"/>
  <c r="Z6" i="32"/>
  <c r="Z12" i="39" s="1"/>
  <c r="AD6" i="32"/>
  <c r="AD12" i="39" s="1"/>
  <c r="V6" i="32"/>
  <c r="V12" i="39" s="1"/>
  <c r="AA6" i="32"/>
  <c r="AA12" i="39" s="1"/>
  <c r="R6" i="32"/>
  <c r="AC6" i="32"/>
  <c r="AC12" i="39" s="1"/>
  <c r="U6" i="32"/>
  <c r="AB6" i="32"/>
  <c r="AB12" i="39" s="1"/>
  <c r="T6" i="32"/>
  <c r="S6" i="32"/>
  <c r="Y6" i="32"/>
  <c r="Y12" i="39" s="1"/>
  <c r="Q6" i="32"/>
  <c r="X6" i="32"/>
  <c r="X12" i="39" s="1"/>
  <c r="P6" i="32"/>
  <c r="P12" i="39" s="1"/>
  <c r="M57" i="39"/>
  <c r="K57" i="39"/>
  <c r="N57" i="39"/>
  <c r="L57" i="39"/>
  <c r="N56" i="39"/>
  <c r="M56" i="39"/>
  <c r="L56" i="39"/>
  <c r="K56" i="39"/>
  <c r="K59" i="39"/>
  <c r="N59" i="39"/>
  <c r="M59" i="39"/>
  <c r="L59" i="39"/>
  <c r="M58" i="39"/>
  <c r="L58" i="39"/>
  <c r="K58" i="39"/>
  <c r="N58" i="39"/>
  <c r="K60" i="39"/>
  <c r="M60" i="39"/>
  <c r="L60" i="39"/>
  <c r="N60" i="39"/>
  <c r="J58" i="39"/>
  <c r="J400" i="39" s="1"/>
  <c r="J61" i="39"/>
  <c r="J403" i="39" s="1"/>
  <c r="J60" i="39"/>
  <c r="J402" i="39" s="1"/>
  <c r="F212" i="39"/>
  <c r="Y6" i="31"/>
  <c r="Q6" i="31"/>
  <c r="AE6" i="31"/>
  <c r="AE11" i="39" s="1"/>
  <c r="X6" i="31"/>
  <c r="W6" i="31"/>
  <c r="AC6" i="31"/>
  <c r="AC11" i="39" s="1"/>
  <c r="U6" i="31"/>
  <c r="AB6" i="31"/>
  <c r="AB11" i="39" s="1"/>
  <c r="T6" i="31"/>
  <c r="R6" i="31"/>
  <c r="AD6" i="31"/>
  <c r="AD11" i="39" s="1"/>
  <c r="V6" i="31"/>
  <c r="AA6" i="31"/>
  <c r="AA11" i="39" s="1"/>
  <c r="S6" i="31"/>
  <c r="K6" i="31"/>
  <c r="K11" i="39" s="1"/>
  <c r="Z6" i="31"/>
  <c r="L6" i="22"/>
  <c r="L7" i="39" s="1"/>
  <c r="K6" i="22"/>
  <c r="K7" i="39" s="1"/>
  <c r="F214" i="39"/>
  <c r="F210" i="39"/>
  <c r="F215" i="39"/>
  <c r="F209" i="39"/>
  <c r="F211" i="39"/>
  <c r="F213" i="39"/>
  <c r="F162" i="80"/>
  <c r="G162" i="80"/>
  <c r="H162" i="80"/>
  <c r="I162" i="80"/>
  <c r="B66" i="39"/>
  <c r="B93" i="39"/>
  <c r="B67" i="39"/>
  <c r="B94" i="39"/>
  <c r="B69" i="39"/>
  <c r="B96" i="39"/>
  <c r="B70" i="39"/>
  <c r="B97" i="39"/>
  <c r="B92" i="39"/>
  <c r="B65" i="39"/>
  <c r="B95" i="39"/>
  <c r="B68" i="39"/>
  <c r="B98" i="39"/>
  <c r="B71" i="39"/>
  <c r="F7" i="41"/>
  <c r="J57" i="39"/>
  <c r="J399" i="39" s="1"/>
  <c r="F6" i="58"/>
  <c r="F8" i="40"/>
  <c r="F9" i="40"/>
  <c r="F6" i="42"/>
  <c r="F7" i="40"/>
  <c r="F11" i="40"/>
  <c r="E6" i="36"/>
  <c r="F8" i="41"/>
  <c r="F6" i="40"/>
  <c r="F11" i="58"/>
  <c r="F7" i="42"/>
  <c r="F6" i="41"/>
  <c r="J56" i="39"/>
  <c r="J398" i="39" s="1"/>
  <c r="F10" i="40"/>
  <c r="F10" i="41"/>
  <c r="F12" i="40"/>
  <c r="F12" i="48"/>
  <c r="F7" i="58"/>
  <c r="E6" i="29"/>
  <c r="E6" i="49"/>
  <c r="E6" i="32"/>
  <c r="F8" i="42"/>
  <c r="F11" i="42"/>
  <c r="F10" i="42"/>
  <c r="F9" i="41"/>
  <c r="J59" i="39"/>
  <c r="J401" i="39" s="1"/>
  <c r="F9" i="42"/>
  <c r="F12" i="42"/>
  <c r="F9" i="58"/>
  <c r="E6" i="28"/>
  <c r="E6" i="31"/>
  <c r="E6" i="52"/>
  <c r="F11" i="41"/>
  <c r="B150" i="39"/>
  <c r="B152" i="39"/>
  <c r="B154" i="39"/>
  <c r="D6" i="36"/>
  <c r="E8" i="41"/>
  <c r="B149" i="39"/>
  <c r="I108" i="39"/>
  <c r="F108" i="39"/>
  <c r="G108" i="39"/>
  <c r="H108" i="39"/>
  <c r="F89" i="80"/>
  <c r="G89" i="80"/>
  <c r="H89" i="80"/>
  <c r="I89" i="80"/>
  <c r="E8" i="40"/>
  <c r="I61" i="39"/>
  <c r="I403" i="39" s="1"/>
  <c r="D160" i="39"/>
  <c r="D10" i="39"/>
  <c r="D133" i="39"/>
  <c r="F367" i="39"/>
  <c r="J103" i="39"/>
  <c r="J240" i="39" s="1"/>
  <c r="K102" i="39"/>
  <c r="J102" i="39"/>
  <c r="J239" i="39" s="1"/>
  <c r="K103" i="39"/>
  <c r="L102" i="39"/>
  <c r="L103" i="39"/>
  <c r="J107" i="39"/>
  <c r="J244" i="39" s="1"/>
  <c r="K107" i="39"/>
  <c r="L107" i="39"/>
  <c r="L244" i="39" s="1"/>
  <c r="L105" i="39"/>
  <c r="L242" i="39" s="1"/>
  <c r="J105" i="39"/>
  <c r="J242" i="39" s="1"/>
  <c r="L106" i="39"/>
  <c r="K106" i="39"/>
  <c r="J106" i="39"/>
  <c r="J243" i="39" s="1"/>
  <c r="G367" i="39"/>
  <c r="L104" i="39"/>
  <c r="K104" i="39"/>
  <c r="J104" i="39"/>
  <c r="J241" i="39" s="1"/>
  <c r="L101" i="39"/>
  <c r="L238" i="39" s="1"/>
  <c r="K101" i="39"/>
  <c r="J101" i="39"/>
  <c r="J238" i="39" s="1"/>
  <c r="B9" i="39"/>
  <c r="J9" i="39"/>
  <c r="I60" i="39"/>
  <c r="I402" i="39" s="1"/>
  <c r="M62" i="39"/>
  <c r="P62" i="39"/>
  <c r="L62" i="39"/>
  <c r="R62" i="39"/>
  <c r="Q62" i="39"/>
  <c r="S62" i="39"/>
  <c r="S404" i="39" s="1"/>
  <c r="K62" i="39"/>
  <c r="J62" i="39"/>
  <c r="I62" i="39"/>
  <c r="I404" i="39" s="1"/>
  <c r="O62" i="39"/>
  <c r="N62" i="39"/>
  <c r="I59" i="39"/>
  <c r="I401" i="39" s="1"/>
  <c r="I58" i="39"/>
  <c r="I400" i="39" s="1"/>
  <c r="I57" i="39"/>
  <c r="I399" i="39" s="1"/>
  <c r="I56" i="39"/>
  <c r="I398" i="39" s="1"/>
  <c r="J24" i="39"/>
  <c r="B23" i="39"/>
  <c r="J23" i="39"/>
  <c r="B22" i="39"/>
  <c r="J22" i="39"/>
  <c r="J175" i="80" s="1"/>
  <c r="M22" i="39"/>
  <c r="M175" i="80" s="1"/>
  <c r="L22" i="39"/>
  <c r="L175" i="80" s="1"/>
  <c r="K22" i="39"/>
  <c r="K175" i="80" s="1"/>
  <c r="N22" i="39"/>
  <c r="N175" i="80" s="1"/>
  <c r="H367" i="39"/>
  <c r="I367" i="39"/>
  <c r="B17" i="39"/>
  <c r="J16" i="39"/>
  <c r="K16" i="39"/>
  <c r="N16" i="39"/>
  <c r="L16" i="39"/>
  <c r="M16" i="39"/>
  <c r="M159" i="80"/>
  <c r="N159" i="80"/>
  <c r="L159" i="80"/>
  <c r="K13" i="39"/>
  <c r="J12" i="39"/>
  <c r="J11" i="39"/>
  <c r="I8" i="39"/>
  <c r="B7" i="39"/>
  <c r="J7" i="39"/>
  <c r="D10" i="58"/>
  <c r="E9" i="58"/>
  <c r="E7" i="58"/>
  <c r="B164" i="39"/>
  <c r="B162" i="39"/>
  <c r="J137" i="39"/>
  <c r="B136" i="39"/>
  <c r="M136" i="39"/>
  <c r="J136" i="39"/>
  <c r="L136" i="39"/>
  <c r="K136" i="39"/>
  <c r="N136" i="39"/>
  <c r="N135" i="39"/>
  <c r="M135" i="39"/>
  <c r="K135" i="39"/>
  <c r="L135" i="39"/>
  <c r="J135" i="39"/>
  <c r="B134" i="39"/>
  <c r="N134" i="39"/>
  <c r="L134" i="39"/>
  <c r="M134" i="39"/>
  <c r="K134" i="39"/>
  <c r="J134" i="39"/>
  <c r="M133" i="39"/>
  <c r="N132" i="39"/>
  <c r="L132" i="39"/>
  <c r="N133" i="39"/>
  <c r="L133" i="39"/>
  <c r="M132" i="39"/>
  <c r="K133" i="39"/>
  <c r="J133" i="39"/>
  <c r="K132" i="39"/>
  <c r="J132" i="39"/>
  <c r="B131" i="39"/>
  <c r="J131" i="39"/>
  <c r="N131" i="39"/>
  <c r="M131" i="39"/>
  <c r="L131" i="39"/>
  <c r="K131" i="39"/>
  <c r="B53" i="39"/>
  <c r="B51" i="39"/>
  <c r="B50" i="39"/>
  <c r="E12" i="41"/>
  <c r="D8" i="41"/>
  <c r="B30" i="39"/>
  <c r="B35" i="39"/>
  <c r="B34" i="39"/>
  <c r="B32" i="39"/>
  <c r="B31" i="39"/>
  <c r="B33" i="39"/>
  <c r="B142" i="39"/>
  <c r="B8" i="39"/>
  <c r="G150" i="39"/>
  <c r="G408" i="39" s="1"/>
  <c r="F153" i="39"/>
  <c r="F411" i="39" s="1"/>
  <c r="F149" i="39"/>
  <c r="F407" i="39" s="1"/>
  <c r="F151" i="39"/>
  <c r="F409" i="39" s="1"/>
  <c r="F154" i="39"/>
  <c r="F150" i="39"/>
  <c r="F408" i="39" s="1"/>
  <c r="B135" i="39"/>
  <c r="B144" i="39"/>
  <c r="B160" i="39"/>
  <c r="B13" i="39"/>
  <c r="B104" i="39"/>
  <c r="B52" i="39"/>
  <c r="B137" i="39"/>
  <c r="B58" i="39"/>
  <c r="B47" i="39"/>
  <c r="B161" i="39"/>
  <c r="B49" i="39"/>
  <c r="B11" i="39"/>
  <c r="D141" i="39"/>
  <c r="C135" i="39"/>
  <c r="C6" i="31"/>
  <c r="B105" i="39"/>
  <c r="C141" i="39"/>
  <c r="B133" i="39"/>
  <c r="B141" i="39"/>
  <c r="D9" i="58"/>
  <c r="D12" i="48"/>
  <c r="E6" i="58"/>
  <c r="D6" i="58"/>
  <c r="E11" i="41"/>
  <c r="B61" i="39"/>
  <c r="B146" i="39"/>
  <c r="E10" i="58"/>
  <c r="E10" i="41"/>
  <c r="B60" i="39"/>
  <c r="D10" i="41"/>
  <c r="B101" i="39"/>
  <c r="B107" i="39"/>
  <c r="B132" i="39"/>
  <c r="E9" i="42"/>
  <c r="D8" i="40"/>
  <c r="C133" i="39"/>
  <c r="C160" i="39"/>
  <c r="B10" i="39"/>
  <c r="B106" i="39"/>
  <c r="B62" i="39"/>
  <c r="B59" i="39"/>
  <c r="D103" i="39"/>
  <c r="C103" i="39"/>
  <c r="B103" i="39"/>
  <c r="B57" i="39"/>
  <c r="C107" i="39"/>
  <c r="C6" i="29"/>
  <c r="D6" i="52"/>
  <c r="K10" i="39"/>
  <c r="K382" i="39" s="1"/>
  <c r="B16" i="39"/>
  <c r="B24" i="39"/>
  <c r="B159" i="39"/>
  <c r="C105" i="39"/>
  <c r="B158" i="39"/>
  <c r="L10" i="39"/>
  <c r="L382" i="39" s="1"/>
  <c r="J141" i="39"/>
  <c r="J306" i="39" s="1"/>
  <c r="L144" i="39"/>
  <c r="L309" i="39" s="1"/>
  <c r="B48" i="39"/>
  <c r="D101" i="39"/>
  <c r="C101" i="39"/>
  <c r="E6" i="41"/>
  <c r="B56" i="39"/>
  <c r="E11" i="58"/>
  <c r="E7" i="41"/>
  <c r="C104" i="39"/>
  <c r="C102" i="39"/>
  <c r="B102" i="39"/>
  <c r="C131" i="39"/>
  <c r="C136" i="39"/>
  <c r="D105" i="39"/>
  <c r="J143" i="39"/>
  <c r="J308" i="39" s="1"/>
  <c r="B143" i="39"/>
  <c r="D143" i="39"/>
  <c r="C143" i="39"/>
  <c r="D9" i="40"/>
  <c r="E9" i="40"/>
  <c r="C164" i="39"/>
  <c r="D12" i="41"/>
  <c r="D6" i="29"/>
  <c r="E9" i="41"/>
  <c r="L140" i="39"/>
  <c r="L305" i="39" s="1"/>
  <c r="J140" i="39"/>
  <c r="J305" i="39" s="1"/>
  <c r="K145" i="39"/>
  <c r="K310" i="39" s="1"/>
  <c r="J145" i="39"/>
  <c r="J310" i="39" s="1"/>
  <c r="D145" i="39"/>
  <c r="C145" i="39"/>
  <c r="B163" i="39"/>
  <c r="D6" i="49"/>
  <c r="C6" i="49"/>
  <c r="L146" i="39"/>
  <c r="D107" i="39"/>
  <c r="E12" i="48"/>
  <c r="J142" i="39"/>
  <c r="J307" i="39" s="1"/>
  <c r="K141" i="39"/>
  <c r="K306" i="39" s="1"/>
  <c r="E12" i="58"/>
  <c r="D6" i="40"/>
  <c r="D7" i="58"/>
  <c r="C158" i="39"/>
  <c r="C162" i="39"/>
  <c r="E7" i="42"/>
  <c r="E6" i="40"/>
  <c r="L142" i="39"/>
  <c r="L307" i="39" s="1"/>
  <c r="K143" i="39"/>
  <c r="K308" i="39" s="1"/>
  <c r="J144" i="39"/>
  <c r="J309" i="39" s="1"/>
  <c r="C106" i="39"/>
  <c r="D106" i="39"/>
  <c r="E6" i="42"/>
  <c r="D6" i="42"/>
  <c r="E10" i="42"/>
  <c r="D10" i="42"/>
  <c r="D10" i="40"/>
  <c r="E10" i="40"/>
  <c r="D102" i="39"/>
  <c r="D11" i="42"/>
  <c r="E7" i="40"/>
  <c r="D7" i="40"/>
  <c r="E11" i="42"/>
  <c r="D7" i="42"/>
  <c r="C134" i="39"/>
  <c r="C6" i="36"/>
  <c r="E11" i="40"/>
  <c r="D11" i="40"/>
  <c r="E8" i="42"/>
  <c r="D8" i="42"/>
  <c r="E12" i="42"/>
  <c r="D12" i="42"/>
  <c r="D104" i="39"/>
  <c r="D6" i="41"/>
  <c r="D9" i="42"/>
  <c r="D12" i="40"/>
  <c r="C132" i="39"/>
  <c r="D7" i="41"/>
  <c r="D9" i="41"/>
  <c r="D11" i="41"/>
  <c r="E12" i="40"/>
  <c r="D6" i="31"/>
  <c r="C22" i="39"/>
  <c r="K140" i="39"/>
  <c r="K305" i="39" s="1"/>
  <c r="K142" i="39"/>
  <c r="K307" i="39" s="1"/>
  <c r="K144" i="39"/>
  <c r="K309" i="39" s="1"/>
  <c r="D6" i="28"/>
  <c r="C6" i="28"/>
  <c r="E8" i="58"/>
  <c r="D8" i="58"/>
  <c r="C140" i="39"/>
  <c r="L141" i="39"/>
  <c r="L306" i="39" s="1"/>
  <c r="C142" i="39"/>
  <c r="L143" i="39"/>
  <c r="L308" i="39" s="1"/>
  <c r="C144" i="39"/>
  <c r="L145" i="39"/>
  <c r="L310" i="39" s="1"/>
  <c r="K146" i="39"/>
  <c r="J146" i="39"/>
  <c r="D146" i="39"/>
  <c r="D6" i="32"/>
  <c r="D140" i="39"/>
  <c r="D144" i="39"/>
  <c r="C146" i="39"/>
  <c r="D12" i="58"/>
  <c r="J10" i="39"/>
  <c r="J382" i="39" s="1"/>
  <c r="C159" i="39"/>
  <c r="C161" i="39"/>
  <c r="C163" i="39"/>
  <c r="D11" i="58"/>
  <c r="C10" i="39"/>
  <c r="C6" i="52"/>
  <c r="B12" i="39"/>
  <c r="C6" i="32"/>
  <c r="N399" i="39" l="1"/>
  <c r="L401" i="39"/>
  <c r="K398" i="39"/>
  <c r="Q17" i="39"/>
  <c r="R17" i="39"/>
  <c r="S17" i="39"/>
  <c r="K400" i="39"/>
  <c r="K409" i="39" s="1"/>
  <c r="P137" i="39"/>
  <c r="Q137" i="39"/>
  <c r="I419" i="39"/>
  <c r="N404" i="39"/>
  <c r="N413" i="39" s="1"/>
  <c r="L404" i="39"/>
  <c r="L413" i="39" s="1"/>
  <c r="M404" i="39"/>
  <c r="K404" i="39"/>
  <c r="K413" i="39" s="1"/>
  <c r="M402" i="39"/>
  <c r="M411" i="39" s="1"/>
  <c r="K402" i="39"/>
  <c r="K411" i="39" s="1"/>
  <c r="M401" i="39"/>
  <c r="M410" i="39" s="1"/>
  <c r="L400" i="39"/>
  <c r="L409" i="39" s="1"/>
  <c r="M399" i="39"/>
  <c r="M408" i="39" s="1"/>
  <c r="L398" i="39"/>
  <c r="L407" i="39" s="1"/>
  <c r="H423" i="39"/>
  <c r="H417" i="39"/>
  <c r="H422" i="39"/>
  <c r="H418" i="39"/>
  <c r="H420" i="39"/>
  <c r="H421" i="39"/>
  <c r="G417" i="39"/>
  <c r="G422" i="39"/>
  <c r="G420" i="39"/>
  <c r="G421" i="39"/>
  <c r="G418" i="39"/>
  <c r="G423" i="39"/>
  <c r="I421" i="39"/>
  <c r="I418" i="39"/>
  <c r="I420" i="39"/>
  <c r="I417" i="39"/>
  <c r="I422" i="39"/>
  <c r="I423" i="39"/>
  <c r="F420" i="39"/>
  <c r="F418" i="39"/>
  <c r="F423" i="39"/>
  <c r="F422" i="39"/>
  <c r="F417" i="39"/>
  <c r="F421" i="39"/>
  <c r="G419" i="39"/>
  <c r="F419" i="39"/>
  <c r="H419" i="39"/>
  <c r="N398" i="39"/>
  <c r="N407" i="39" s="1"/>
  <c r="K399" i="39"/>
  <c r="K408" i="39" s="1"/>
  <c r="N400" i="39"/>
  <c r="N409" i="39" s="1"/>
  <c r="L399" i="39"/>
  <c r="L408" i="39" s="1"/>
  <c r="R404" i="39"/>
  <c r="R413" i="39" s="1"/>
  <c r="P404" i="39"/>
  <c r="P413" i="39" s="1"/>
  <c r="N401" i="39"/>
  <c r="N410" i="39" s="1"/>
  <c r="W11" i="39"/>
  <c r="W219" i="80" s="1"/>
  <c r="W221" i="80" s="1"/>
  <c r="R11" i="39"/>
  <c r="Q11" i="39"/>
  <c r="O11" i="39"/>
  <c r="V11" i="39"/>
  <c r="V219" i="80" s="1"/>
  <c r="V221" i="80" s="1"/>
  <c r="Z11" i="39"/>
  <c r="Z219" i="80" s="1"/>
  <c r="Z221" i="80" s="1"/>
  <c r="Y11" i="39"/>
  <c r="Y219" i="80" s="1"/>
  <c r="Y221" i="80" s="1"/>
  <c r="U11" i="39"/>
  <c r="U219" i="80" s="1"/>
  <c r="U221" i="80" s="1"/>
  <c r="X11" i="39"/>
  <c r="X219" i="80" s="1"/>
  <c r="X221" i="80" s="1"/>
  <c r="T11" i="39"/>
  <c r="T219" i="80" s="1"/>
  <c r="T221" i="80" s="1"/>
  <c r="S11" i="39"/>
  <c r="S219" i="80" s="1"/>
  <c r="S221" i="80" s="1"/>
  <c r="Q404" i="39"/>
  <c r="Q413" i="39" s="1"/>
  <c r="L402" i="39"/>
  <c r="L411" i="39" s="1"/>
  <c r="M398" i="39"/>
  <c r="M407" i="39" s="1"/>
  <c r="O400" i="39"/>
  <c r="Y400" i="39"/>
  <c r="M400" i="39"/>
  <c r="O404" i="39"/>
  <c r="O413" i="39" s="1"/>
  <c r="P399" i="39"/>
  <c r="P408" i="39" s="1"/>
  <c r="O399" i="39"/>
  <c r="O408" i="39" s="1"/>
  <c r="Q399" i="39"/>
  <c r="Q398" i="39"/>
  <c r="Q407" i="39" s="1"/>
  <c r="Y398" i="39"/>
  <c r="Y407" i="39" s="1"/>
  <c r="T398" i="39"/>
  <c r="T407" i="39" s="1"/>
  <c r="R398" i="39"/>
  <c r="R407" i="39" s="1"/>
  <c r="AB398" i="39"/>
  <c r="AB407" i="39" s="1"/>
  <c r="AA398" i="39"/>
  <c r="AA407" i="39" s="1"/>
  <c r="Z398" i="39"/>
  <c r="V398" i="39"/>
  <c r="W398" i="39"/>
  <c r="W407" i="39" s="1"/>
  <c r="S398" i="39"/>
  <c r="S407" i="39" s="1"/>
  <c r="AD398" i="39"/>
  <c r="AD407" i="39" s="1"/>
  <c r="P398" i="39"/>
  <c r="P407" i="39" s="1"/>
  <c r="U398" i="39"/>
  <c r="U407" i="39" s="1"/>
  <c r="X398" i="39"/>
  <c r="X407" i="39" s="1"/>
  <c r="AC398" i="39"/>
  <c r="AE398" i="39"/>
  <c r="AE407" i="39" s="1"/>
  <c r="O398" i="39"/>
  <c r="O407" i="39" s="1"/>
  <c r="Q401" i="39"/>
  <c r="Q410" i="39" s="1"/>
  <c r="K401" i="39"/>
  <c r="K410" i="39" s="1"/>
  <c r="P401" i="39"/>
  <c r="P410" i="39" s="1"/>
  <c r="O401" i="39"/>
  <c r="O410" i="39" s="1"/>
  <c r="X400" i="39"/>
  <c r="T400" i="39"/>
  <c r="V400" i="39"/>
  <c r="Q400" i="39"/>
  <c r="AB400" i="39"/>
  <c r="AD400" i="39"/>
  <c r="S400" i="39"/>
  <c r="W400" i="39"/>
  <c r="AA400" i="39"/>
  <c r="R400" i="39"/>
  <c r="U400" i="39"/>
  <c r="Z400" i="39"/>
  <c r="AE400" i="39"/>
  <c r="AC400" i="39"/>
  <c r="P400" i="39"/>
  <c r="P402" i="39"/>
  <c r="P411" i="39" s="1"/>
  <c r="N402" i="39"/>
  <c r="N411" i="39" s="1"/>
  <c r="O411" i="39"/>
  <c r="I408" i="39"/>
  <c r="J408" i="39"/>
  <c r="N408" i="39"/>
  <c r="J407" i="39"/>
  <c r="I407" i="39"/>
  <c r="K407" i="39"/>
  <c r="I410" i="39"/>
  <c r="J410" i="39"/>
  <c r="L410" i="39"/>
  <c r="I409" i="39"/>
  <c r="J409" i="39"/>
  <c r="S413" i="39"/>
  <c r="I413" i="39"/>
  <c r="M413" i="39"/>
  <c r="J205" i="39"/>
  <c r="J404" i="39"/>
  <c r="I412" i="39"/>
  <c r="F412" i="39"/>
  <c r="F414" i="39" s="1"/>
  <c r="J412" i="39"/>
  <c r="R203" i="39"/>
  <c r="R402" i="39"/>
  <c r="I411" i="39"/>
  <c r="J411" i="39"/>
  <c r="S203" i="39"/>
  <c r="S402" i="39"/>
  <c r="Q203" i="39"/>
  <c r="Q402" i="39"/>
  <c r="P174" i="103"/>
  <c r="Q174" i="103"/>
  <c r="L174" i="103"/>
  <c r="N174" i="103"/>
  <c r="R174" i="103"/>
  <c r="O174" i="103"/>
  <c r="M174" i="103"/>
  <c r="AE173" i="103"/>
  <c r="X173" i="103"/>
  <c r="U173" i="103"/>
  <c r="AF173" i="103"/>
  <c r="S173" i="103"/>
  <c r="AC173" i="103"/>
  <c r="O173" i="103"/>
  <c r="AA173" i="103"/>
  <c r="N173" i="103"/>
  <c r="Q173" i="103"/>
  <c r="W173" i="103"/>
  <c r="V173" i="103"/>
  <c r="Y173" i="103"/>
  <c r="L173" i="103"/>
  <c r="AD173" i="103"/>
  <c r="P173" i="103"/>
  <c r="T173" i="103"/>
  <c r="R173" i="103"/>
  <c r="AB173" i="103"/>
  <c r="Z173" i="103"/>
  <c r="M173" i="103"/>
  <c r="P176" i="103"/>
  <c r="Q176" i="103"/>
  <c r="R176" i="103"/>
  <c r="N176" i="103"/>
  <c r="L176" i="103"/>
  <c r="O176" i="103"/>
  <c r="M176" i="103"/>
  <c r="O177" i="103"/>
  <c r="P177" i="103"/>
  <c r="S177" i="103"/>
  <c r="N177" i="103"/>
  <c r="Q177" i="103"/>
  <c r="L177" i="103"/>
  <c r="R177" i="103"/>
  <c r="T177" i="103"/>
  <c r="M177" i="103"/>
  <c r="S175" i="103"/>
  <c r="V175" i="103"/>
  <c r="AF175" i="103"/>
  <c r="AA175" i="103"/>
  <c r="AD175" i="103"/>
  <c r="O175" i="103"/>
  <c r="W175" i="103"/>
  <c r="L175" i="103"/>
  <c r="M175" i="103"/>
  <c r="AE175" i="103"/>
  <c r="Q175" i="103"/>
  <c r="T175" i="103"/>
  <c r="U175" i="103"/>
  <c r="P175" i="103"/>
  <c r="Y175" i="103"/>
  <c r="R175" i="103"/>
  <c r="AB175" i="103"/>
  <c r="AC175" i="103"/>
  <c r="N175" i="103"/>
  <c r="X175" i="103"/>
  <c r="Z175" i="103"/>
  <c r="N179" i="103"/>
  <c r="M179" i="103"/>
  <c r="P179" i="103"/>
  <c r="Q179" i="103"/>
  <c r="R179" i="103"/>
  <c r="T179" i="103"/>
  <c r="L179" i="103"/>
  <c r="O179" i="103"/>
  <c r="S179" i="103"/>
  <c r="L234" i="39"/>
  <c r="K234" i="39"/>
  <c r="D16" i="114"/>
  <c r="D15" i="114"/>
  <c r="AF399" i="39"/>
  <c r="AG399" i="39"/>
  <c r="AH399" i="39"/>
  <c r="AI399" i="39"/>
  <c r="AH401" i="39"/>
  <c r="AI401" i="39"/>
  <c r="AG401" i="39"/>
  <c r="AF401" i="39"/>
  <c r="P234" i="39"/>
  <c r="Q225" i="39"/>
  <c r="K205" i="39"/>
  <c r="M234" i="39"/>
  <c r="G213" i="39"/>
  <c r="G215" i="39"/>
  <c r="N232" i="39"/>
  <c r="S232" i="39"/>
  <c r="R225" i="39"/>
  <c r="P17" i="39"/>
  <c r="P171" i="80" s="1"/>
  <c r="M17" i="39"/>
  <c r="M171" i="80" s="1"/>
  <c r="N17" i="39"/>
  <c r="N171" i="80" s="1"/>
  <c r="L17" i="39"/>
  <c r="L171" i="80" s="1"/>
  <c r="O17" i="39"/>
  <c r="O171" i="80" s="1"/>
  <c r="G250" i="80"/>
  <c r="F221" i="80"/>
  <c r="F250" i="80"/>
  <c r="O234" i="39"/>
  <c r="F341" i="39"/>
  <c r="F340" i="39"/>
  <c r="F339" i="39"/>
  <c r="F335" i="39"/>
  <c r="F338" i="39"/>
  <c r="F336" i="39"/>
  <c r="F337" i="39"/>
  <c r="H340" i="39"/>
  <c r="H341" i="39"/>
  <c r="H339" i="39"/>
  <c r="H336" i="39"/>
  <c r="H338" i="39"/>
  <c r="H337" i="39"/>
  <c r="H335" i="39"/>
  <c r="I341" i="39"/>
  <c r="I339" i="39"/>
  <c r="I340" i="39"/>
  <c r="I338" i="39"/>
  <c r="I335" i="39"/>
  <c r="I337" i="39"/>
  <c r="I336" i="39"/>
  <c r="G339" i="39"/>
  <c r="G340" i="39"/>
  <c r="G341" i="39"/>
  <c r="G336" i="39"/>
  <c r="G337" i="39"/>
  <c r="G335" i="39"/>
  <c r="G338" i="39"/>
  <c r="M137" i="39"/>
  <c r="N137" i="39"/>
  <c r="L137" i="39"/>
  <c r="K137" i="39"/>
  <c r="E12" i="114"/>
  <c r="E16" i="114"/>
  <c r="E15" i="114"/>
  <c r="E14" i="114"/>
  <c r="E13" i="114"/>
  <c r="M361" i="39"/>
  <c r="M228" i="39"/>
  <c r="M355" i="39"/>
  <c r="M232" i="39"/>
  <c r="M223" i="39"/>
  <c r="AE190" i="39"/>
  <c r="AE189" i="39"/>
  <c r="AE192" i="39"/>
  <c r="AE191" i="39"/>
  <c r="AE195" i="39"/>
  <c r="AE193" i="39"/>
  <c r="F34" i="75"/>
  <c r="G221" i="80"/>
  <c r="I221" i="80"/>
  <c r="I250" i="80"/>
  <c r="H221" i="80"/>
  <c r="H250" i="80"/>
  <c r="F63" i="80"/>
  <c r="F369" i="39"/>
  <c r="G369" i="39"/>
  <c r="I369" i="39"/>
  <c r="H63" i="80"/>
  <c r="G63" i="80"/>
  <c r="H369" i="39"/>
  <c r="I63" i="80"/>
  <c r="L219" i="80"/>
  <c r="C56" i="39"/>
  <c r="C50" i="39"/>
  <c r="F11" i="74"/>
  <c r="E134" i="116" s="1"/>
  <c r="W202" i="39"/>
  <c r="L360" i="39"/>
  <c r="I357" i="39"/>
  <c r="G355" i="39"/>
  <c r="W356" i="39"/>
  <c r="H158" i="103"/>
  <c r="C23" i="39"/>
  <c r="F8" i="74"/>
  <c r="E131" i="116" s="1"/>
  <c r="AD158" i="80"/>
  <c r="O360" i="39"/>
  <c r="AA358" i="39"/>
  <c r="AB355" i="39"/>
  <c r="W355" i="39"/>
  <c r="G159" i="103"/>
  <c r="C8" i="39"/>
  <c r="W359" i="39"/>
  <c r="K359" i="39"/>
  <c r="AB359" i="39"/>
  <c r="AB360" i="39"/>
  <c r="V360" i="39"/>
  <c r="J360" i="39"/>
  <c r="AA357" i="39"/>
  <c r="H357" i="39"/>
  <c r="Y357" i="39"/>
  <c r="I358" i="39"/>
  <c r="X358" i="39"/>
  <c r="J355" i="39"/>
  <c r="Z356" i="39"/>
  <c r="V356" i="39"/>
  <c r="AB356" i="39"/>
  <c r="G158" i="103"/>
  <c r="C59" i="39"/>
  <c r="D155" i="39"/>
  <c r="F12" i="75"/>
  <c r="F14" i="75"/>
  <c r="C58" i="39"/>
  <c r="J158" i="80"/>
  <c r="K43" i="103"/>
  <c r="K181" i="39"/>
  <c r="AD219" i="80"/>
  <c r="AD221" i="80" s="1"/>
  <c r="AC219" i="80"/>
  <c r="AC221" i="80" s="1"/>
  <c r="T202" i="39"/>
  <c r="N202" i="39"/>
  <c r="AA202" i="39"/>
  <c r="Q200" i="39"/>
  <c r="M200" i="39"/>
  <c r="P158" i="80"/>
  <c r="K158" i="80"/>
  <c r="Y171" i="80"/>
  <c r="U171" i="80"/>
  <c r="K182" i="39"/>
  <c r="I359" i="39"/>
  <c r="AC360" i="39"/>
  <c r="F360" i="39"/>
  <c r="W360" i="39"/>
  <c r="R360" i="39"/>
  <c r="F358" i="39"/>
  <c r="W358" i="39"/>
  <c r="AD355" i="39"/>
  <c r="F355" i="39"/>
  <c r="I355" i="39"/>
  <c r="K356" i="39"/>
  <c r="AD356" i="39"/>
  <c r="I159" i="103"/>
  <c r="C151" i="39"/>
  <c r="AB219" i="80"/>
  <c r="AB221" i="80" s="1"/>
  <c r="N200" i="39"/>
  <c r="S171" i="80"/>
  <c r="K358" i="39"/>
  <c r="C51" i="39"/>
  <c r="J264" i="39"/>
  <c r="J311" i="39" s="1"/>
  <c r="F20" i="74"/>
  <c r="E143" i="116" s="1"/>
  <c r="G212" i="39"/>
  <c r="Q202" i="39"/>
  <c r="O200" i="39"/>
  <c r="AD359" i="39"/>
  <c r="M360" i="39"/>
  <c r="H155" i="103"/>
  <c r="D153" i="39"/>
  <c r="V200" i="39"/>
  <c r="X171" i="80"/>
  <c r="C57" i="39"/>
  <c r="F10" i="74"/>
  <c r="E133" i="116" s="1"/>
  <c r="I202" i="39"/>
  <c r="AB202" i="39"/>
  <c r="Z200" i="39"/>
  <c r="X158" i="80"/>
  <c r="V171" i="80"/>
  <c r="AC171" i="80"/>
  <c r="G360" i="39"/>
  <c r="Y358" i="39"/>
  <c r="K355" i="39"/>
  <c r="Z355" i="39"/>
  <c r="H356" i="39"/>
  <c r="I157" i="103"/>
  <c r="P219" i="80"/>
  <c r="C7" i="39"/>
  <c r="C62" i="39"/>
  <c r="C9" i="39"/>
  <c r="J37" i="19"/>
  <c r="M202" i="39"/>
  <c r="Z202" i="39"/>
  <c r="X200" i="39"/>
  <c r="L200" i="39"/>
  <c r="AC200" i="39"/>
  <c r="O158" i="80"/>
  <c r="AD171" i="80"/>
  <c r="AC359" i="39"/>
  <c r="AE359" i="39"/>
  <c r="K360" i="39"/>
  <c r="AE360" i="39"/>
  <c r="Q360" i="39"/>
  <c r="AB357" i="39"/>
  <c r="W357" i="39"/>
  <c r="J358" i="39"/>
  <c r="V358" i="39"/>
  <c r="H355" i="39"/>
  <c r="Y355" i="39"/>
  <c r="I356" i="39"/>
  <c r="AA356" i="39"/>
  <c r="AC356" i="39"/>
  <c r="G155" i="103"/>
  <c r="H157" i="103"/>
  <c r="I158" i="103"/>
  <c r="C154" i="39"/>
  <c r="C17" i="39"/>
  <c r="C137" i="39"/>
  <c r="K45" i="103"/>
  <c r="AD202" i="39"/>
  <c r="W171" i="80"/>
  <c r="X359" i="39"/>
  <c r="N360" i="39"/>
  <c r="K357" i="39"/>
  <c r="Z357" i="39"/>
  <c r="H358" i="39"/>
  <c r="J356" i="39"/>
  <c r="K42" i="103"/>
  <c r="K41" i="103"/>
  <c r="K57" i="103" s="1"/>
  <c r="AA219" i="80"/>
  <c r="AA221" i="80" s="1"/>
  <c r="AA200" i="39"/>
  <c r="R171" i="80"/>
  <c r="G359" i="39"/>
  <c r="T360" i="39"/>
  <c r="G358" i="39"/>
  <c r="AE356" i="39"/>
  <c r="C47" i="39"/>
  <c r="Y202" i="39"/>
  <c r="Z158" i="80"/>
  <c r="C48" i="39"/>
  <c r="M20" i="19"/>
  <c r="R202" i="39"/>
  <c r="U200" i="39"/>
  <c r="Z171" i="80"/>
  <c r="J359" i="39"/>
  <c r="AD360" i="39"/>
  <c r="Z360" i="39"/>
  <c r="H361" i="39"/>
  <c r="AD357" i="39"/>
  <c r="AE358" i="39"/>
  <c r="AE355" i="39"/>
  <c r="C53" i="39"/>
  <c r="F13" i="75"/>
  <c r="C149" i="39"/>
  <c r="C11" i="39"/>
  <c r="C153" i="39"/>
  <c r="J182" i="39"/>
  <c r="J368" i="39" s="1"/>
  <c r="K39" i="103"/>
  <c r="K44" i="103"/>
  <c r="AE219" i="80"/>
  <c r="AE221" i="80" s="1"/>
  <c r="U202" i="39"/>
  <c r="V202" i="39"/>
  <c r="Y200" i="39"/>
  <c r="T200" i="39"/>
  <c r="Y158" i="80"/>
  <c r="AA158" i="80"/>
  <c r="W158" i="80"/>
  <c r="T171" i="80"/>
  <c r="F359" i="39"/>
  <c r="Z359" i="39"/>
  <c r="H359" i="39"/>
  <c r="S360" i="39"/>
  <c r="H360" i="39"/>
  <c r="Y360" i="39"/>
  <c r="I361" i="39"/>
  <c r="G361" i="39"/>
  <c r="AC357" i="39"/>
  <c r="J357" i="39"/>
  <c r="AD358" i="39"/>
  <c r="AB358" i="39"/>
  <c r="AA355" i="39"/>
  <c r="AC355" i="39"/>
  <c r="G356" i="39"/>
  <c r="X356" i="39"/>
  <c r="I156" i="103"/>
  <c r="C150" i="39"/>
  <c r="X202" i="39"/>
  <c r="S200" i="39"/>
  <c r="V158" i="80"/>
  <c r="AE171" i="80"/>
  <c r="V359" i="39"/>
  <c r="X360" i="39"/>
  <c r="G357" i="39"/>
  <c r="AC358" i="39"/>
  <c r="F356" i="39"/>
  <c r="D151" i="39"/>
  <c r="C152" i="39"/>
  <c r="AD200" i="39"/>
  <c r="AB158" i="80"/>
  <c r="AA171" i="80"/>
  <c r="J361" i="39"/>
  <c r="AE357" i="39"/>
  <c r="G157" i="103"/>
  <c r="C61" i="39"/>
  <c r="C49" i="39"/>
  <c r="J219" i="80"/>
  <c r="I200" i="39"/>
  <c r="L202" i="39"/>
  <c r="S202" i="39"/>
  <c r="W200" i="39"/>
  <c r="Q171" i="80"/>
  <c r="D154" i="39"/>
  <c r="J202" i="39"/>
  <c r="P200" i="39"/>
  <c r="AC158" i="80"/>
  <c r="AA359" i="39"/>
  <c r="I360" i="39"/>
  <c r="X357" i="39"/>
  <c r="G156" i="103"/>
  <c r="F19" i="74"/>
  <c r="E142" i="116" s="1"/>
  <c r="C155" i="39"/>
  <c r="C52" i="39"/>
  <c r="F27" i="74"/>
  <c r="E150" i="116" s="1"/>
  <c r="C60" i="39"/>
  <c r="J181" i="39"/>
  <c r="K40" i="103"/>
  <c r="J200" i="39"/>
  <c r="G210" i="39"/>
  <c r="K219" i="80"/>
  <c r="K221" i="80" s="1"/>
  <c r="O202" i="39"/>
  <c r="AC202" i="39"/>
  <c r="P202" i="39"/>
  <c r="R200" i="39"/>
  <c r="AB200" i="39"/>
  <c r="AE158" i="80"/>
  <c r="AB171" i="80"/>
  <c r="Y359" i="39"/>
  <c r="AA360" i="39"/>
  <c r="P360" i="39"/>
  <c r="U360" i="39"/>
  <c r="F361" i="39"/>
  <c r="V357" i="39"/>
  <c r="F357" i="39"/>
  <c r="Z358" i="39"/>
  <c r="X355" i="39"/>
  <c r="V355" i="39"/>
  <c r="Y356" i="39"/>
  <c r="I155" i="103"/>
  <c r="H156" i="103"/>
  <c r="H159" i="103"/>
  <c r="K183" i="39"/>
  <c r="J183" i="39"/>
  <c r="C24" i="39"/>
  <c r="AA228" i="39"/>
  <c r="S228" i="39"/>
  <c r="Q228" i="39"/>
  <c r="P228" i="39"/>
  <c r="W228" i="39"/>
  <c r="N228" i="39"/>
  <c r="AE228" i="39"/>
  <c r="Z228" i="39"/>
  <c r="R228" i="39"/>
  <c r="Y228" i="39"/>
  <c r="X228" i="39"/>
  <c r="V228" i="39"/>
  <c r="AC228" i="39"/>
  <c r="U228" i="39"/>
  <c r="AB228" i="39"/>
  <c r="T228" i="39"/>
  <c r="L228" i="39"/>
  <c r="O228" i="39"/>
  <c r="K228" i="39"/>
  <c r="AD228" i="39"/>
  <c r="N234" i="39"/>
  <c r="P231" i="39"/>
  <c r="N231" i="39"/>
  <c r="Q231" i="39"/>
  <c r="K231" i="39"/>
  <c r="O231" i="39"/>
  <c r="M231" i="39"/>
  <c r="L231" i="39"/>
  <c r="P229" i="39"/>
  <c r="N229" i="39"/>
  <c r="K229" i="39"/>
  <c r="L229" i="39"/>
  <c r="O229" i="39"/>
  <c r="M229" i="39"/>
  <c r="Q229" i="39"/>
  <c r="R234" i="39"/>
  <c r="S234" i="39"/>
  <c r="AC230" i="39"/>
  <c r="U230" i="39"/>
  <c r="M230" i="39"/>
  <c r="AA230" i="39"/>
  <c r="R230" i="39"/>
  <c r="Y230" i="39"/>
  <c r="P230" i="39"/>
  <c r="AB230" i="39"/>
  <c r="T230" i="39"/>
  <c r="L230" i="39"/>
  <c r="S230" i="39"/>
  <c r="K230" i="39"/>
  <c r="Z230" i="39"/>
  <c r="W230" i="39"/>
  <c r="O230" i="39"/>
  <c r="AD230" i="39"/>
  <c r="V230" i="39"/>
  <c r="N230" i="39"/>
  <c r="AE230" i="39"/>
  <c r="Q230" i="39"/>
  <c r="X230" i="39"/>
  <c r="O232" i="39"/>
  <c r="R232" i="39"/>
  <c r="K232" i="39"/>
  <c r="L232" i="39"/>
  <c r="Q232" i="39"/>
  <c r="P232" i="39"/>
  <c r="Q234" i="39"/>
  <c r="AE361" i="39"/>
  <c r="AD361" i="39"/>
  <c r="K361" i="39"/>
  <c r="AB361" i="39"/>
  <c r="W361" i="39"/>
  <c r="AC361" i="39"/>
  <c r="X361" i="39"/>
  <c r="Y361" i="39"/>
  <c r="Z361" i="39"/>
  <c r="AA361" i="39"/>
  <c r="K219" i="39"/>
  <c r="K221" i="39"/>
  <c r="K159" i="80"/>
  <c r="G214" i="39"/>
  <c r="N220" i="39"/>
  <c r="K220" i="39"/>
  <c r="Q220" i="39"/>
  <c r="P220" i="39"/>
  <c r="M220" i="39"/>
  <c r="O220" i="39"/>
  <c r="L220" i="39"/>
  <c r="X219" i="39"/>
  <c r="P219" i="39"/>
  <c r="W219" i="39"/>
  <c r="O219" i="39"/>
  <c r="AB219" i="39"/>
  <c r="L219" i="39"/>
  <c r="S219" i="39"/>
  <c r="Z219" i="39"/>
  <c r="R219" i="39"/>
  <c r="Q219" i="39"/>
  <c r="AE219" i="39"/>
  <c r="AD219" i="39"/>
  <c r="V219" i="39"/>
  <c r="N219" i="39"/>
  <c r="AC219" i="39"/>
  <c r="U219" i="39"/>
  <c r="M219" i="39"/>
  <c r="T219" i="39"/>
  <c r="AA219" i="39"/>
  <c r="Y219" i="39"/>
  <c r="M222" i="39"/>
  <c r="L222" i="39"/>
  <c r="K222" i="39"/>
  <c r="N222" i="39"/>
  <c r="Q222" i="39"/>
  <c r="P222" i="39"/>
  <c r="O222" i="39"/>
  <c r="X221" i="39"/>
  <c r="P221" i="39"/>
  <c r="W221" i="39"/>
  <c r="O221" i="39"/>
  <c r="T221" i="39"/>
  <c r="AA221" i="39"/>
  <c r="Q221" i="39"/>
  <c r="AD221" i="39"/>
  <c r="V221" i="39"/>
  <c r="N221" i="39"/>
  <c r="AC221" i="39"/>
  <c r="U221" i="39"/>
  <c r="M221" i="39"/>
  <c r="AB221" i="39"/>
  <c r="L221" i="39"/>
  <c r="S221" i="39"/>
  <c r="Z221" i="39"/>
  <c r="R221" i="39"/>
  <c r="Y221" i="39"/>
  <c r="AE221" i="39"/>
  <c r="N225" i="39"/>
  <c r="K225" i="39"/>
  <c r="M225" i="39"/>
  <c r="S225" i="39"/>
  <c r="P225" i="39"/>
  <c r="O225" i="39"/>
  <c r="L225" i="39"/>
  <c r="N223" i="39"/>
  <c r="K223" i="39"/>
  <c r="O223" i="39"/>
  <c r="L223" i="39"/>
  <c r="S223" i="39"/>
  <c r="R223" i="39"/>
  <c r="Q223" i="39"/>
  <c r="P223" i="39"/>
  <c r="G211" i="39"/>
  <c r="J150" i="103"/>
  <c r="I204" i="39"/>
  <c r="J204" i="39"/>
  <c r="K150" i="103"/>
  <c r="G209" i="39"/>
  <c r="L205" i="39"/>
  <c r="M151" i="103"/>
  <c r="P151" i="103"/>
  <c r="O205" i="39"/>
  <c r="K151" i="103"/>
  <c r="M205" i="39"/>
  <c r="N151" i="103"/>
  <c r="Q151" i="103"/>
  <c r="P205" i="39"/>
  <c r="L151" i="103"/>
  <c r="O151" i="103"/>
  <c r="N205" i="39"/>
  <c r="J151" i="103"/>
  <c r="I205" i="39"/>
  <c r="S205" i="39"/>
  <c r="T151" i="103"/>
  <c r="R151" i="103"/>
  <c r="Q205" i="39"/>
  <c r="S151" i="103"/>
  <c r="R205" i="39"/>
  <c r="M149" i="103"/>
  <c r="L203" i="39"/>
  <c r="Y203" i="39"/>
  <c r="Z149" i="103"/>
  <c r="K203" i="39"/>
  <c r="L149" i="103"/>
  <c r="U149" i="103"/>
  <c r="T203" i="39"/>
  <c r="V203" i="39"/>
  <c r="W149" i="103"/>
  <c r="T149" i="103"/>
  <c r="AC149" i="103"/>
  <c r="AB203" i="39"/>
  <c r="V149" i="103"/>
  <c r="U203" i="39"/>
  <c r="P149" i="103"/>
  <c r="S149" i="103"/>
  <c r="Z203" i="39"/>
  <c r="AA149" i="103"/>
  <c r="AC203" i="39"/>
  <c r="AD149" i="103"/>
  <c r="X149" i="103"/>
  <c r="W203" i="39"/>
  <c r="AB149" i="103"/>
  <c r="AA203" i="39"/>
  <c r="I203" i="39"/>
  <c r="J149" i="103"/>
  <c r="J203" i="39"/>
  <c r="K149" i="103"/>
  <c r="O149" i="103"/>
  <c r="N203" i="39"/>
  <c r="AE149" i="103"/>
  <c r="AD203" i="39"/>
  <c r="AF149" i="103"/>
  <c r="M203" i="39"/>
  <c r="N149" i="103"/>
  <c r="P203" i="39"/>
  <c r="Q149" i="103"/>
  <c r="R149" i="103"/>
  <c r="X203" i="39"/>
  <c r="Y149" i="103"/>
  <c r="Y148" i="103"/>
  <c r="X201" i="39"/>
  <c r="AC148" i="103"/>
  <c r="AB201" i="39"/>
  <c r="N201" i="39"/>
  <c r="O148" i="103"/>
  <c r="Q201" i="39"/>
  <c r="R148" i="103"/>
  <c r="Z148" i="103"/>
  <c r="Y201" i="39"/>
  <c r="J201" i="39"/>
  <c r="K148" i="103"/>
  <c r="AD201" i="39"/>
  <c r="AE148" i="103"/>
  <c r="K201" i="39"/>
  <c r="L148" i="103"/>
  <c r="N148" i="103"/>
  <c r="M201" i="39"/>
  <c r="Z201" i="39"/>
  <c r="AA148" i="103"/>
  <c r="P148" i="103"/>
  <c r="O201" i="39"/>
  <c r="S201" i="39"/>
  <c r="T148" i="103"/>
  <c r="V148" i="103"/>
  <c r="U201" i="39"/>
  <c r="J148" i="103"/>
  <c r="I201" i="39"/>
  <c r="X148" i="103"/>
  <c r="W201" i="39"/>
  <c r="AA201" i="39"/>
  <c r="AB148" i="103"/>
  <c r="AD148" i="103"/>
  <c r="AC201" i="39"/>
  <c r="W148" i="103"/>
  <c r="V201" i="39"/>
  <c r="AF148" i="103"/>
  <c r="M148" i="103"/>
  <c r="L201" i="39"/>
  <c r="R201" i="39"/>
  <c r="S148" i="103"/>
  <c r="P201" i="39"/>
  <c r="Q148" i="103"/>
  <c r="U148" i="103"/>
  <c r="T201" i="39"/>
  <c r="K202" i="39"/>
  <c r="K200" i="39"/>
  <c r="S147" i="103"/>
  <c r="R199" i="39"/>
  <c r="L199" i="39"/>
  <c r="M147" i="103"/>
  <c r="AD199" i="39"/>
  <c r="AE147" i="103"/>
  <c r="R147" i="103"/>
  <c r="Q199" i="39"/>
  <c r="U147" i="103"/>
  <c r="T199" i="39"/>
  <c r="Q147" i="103"/>
  <c r="P199" i="39"/>
  <c r="Y199" i="39"/>
  <c r="Z147" i="103"/>
  <c r="N147" i="103"/>
  <c r="M199" i="39"/>
  <c r="Z199" i="39"/>
  <c r="AA147" i="103"/>
  <c r="V147" i="103"/>
  <c r="U199" i="39"/>
  <c r="X147" i="103"/>
  <c r="W199" i="39"/>
  <c r="AB199" i="39"/>
  <c r="AC147" i="103"/>
  <c r="L147" i="103"/>
  <c r="K199" i="39"/>
  <c r="AD147" i="103"/>
  <c r="AC199" i="39"/>
  <c r="AF147" i="103"/>
  <c r="Y147" i="103"/>
  <c r="X199" i="39"/>
  <c r="J147" i="103"/>
  <c r="I199" i="39"/>
  <c r="T147" i="103"/>
  <c r="S199" i="39"/>
  <c r="N199" i="39"/>
  <c r="O147" i="103"/>
  <c r="J199" i="39"/>
  <c r="K147" i="103"/>
  <c r="P147" i="103"/>
  <c r="O199" i="39"/>
  <c r="AA199" i="39"/>
  <c r="AB147" i="103"/>
  <c r="V199" i="39"/>
  <c r="W147" i="103"/>
  <c r="G167" i="103"/>
  <c r="I167" i="103"/>
  <c r="H167" i="103"/>
  <c r="H56" i="103"/>
  <c r="G56" i="103"/>
  <c r="I56" i="103"/>
  <c r="N162" i="80"/>
  <c r="L162" i="80"/>
  <c r="K162" i="80"/>
  <c r="M162" i="80"/>
  <c r="J162" i="80"/>
  <c r="T359" i="39"/>
  <c r="T356" i="39"/>
  <c r="R361" i="39"/>
  <c r="P361" i="39"/>
  <c r="O355" i="39"/>
  <c r="U357" i="39"/>
  <c r="P355" i="39"/>
  <c r="O357" i="39"/>
  <c r="L357" i="39"/>
  <c r="T361" i="39"/>
  <c r="O361" i="39"/>
  <c r="N359" i="39"/>
  <c r="U356" i="39"/>
  <c r="L358" i="39"/>
  <c r="N357" i="39"/>
  <c r="P357" i="39"/>
  <c r="O358" i="39"/>
  <c r="Q361" i="39"/>
  <c r="L359" i="39"/>
  <c r="R356" i="39"/>
  <c r="R358" i="39"/>
  <c r="M358" i="39"/>
  <c r="R359" i="39"/>
  <c r="P358" i="39"/>
  <c r="V361" i="39"/>
  <c r="R355" i="39"/>
  <c r="P356" i="39"/>
  <c r="N356" i="39"/>
  <c r="S358" i="39"/>
  <c r="Q357" i="39"/>
  <c r="S361" i="39"/>
  <c r="P359" i="39"/>
  <c r="L355" i="39"/>
  <c r="O356" i="39"/>
  <c r="U358" i="39"/>
  <c r="Q358" i="39"/>
  <c r="T357" i="39"/>
  <c r="O359" i="39"/>
  <c r="U355" i="39"/>
  <c r="U359" i="39"/>
  <c r="N355" i="39"/>
  <c r="S359" i="39"/>
  <c r="M359" i="39"/>
  <c r="T355" i="39"/>
  <c r="N358" i="39"/>
  <c r="S357" i="39"/>
  <c r="S356" i="39"/>
  <c r="U361" i="39"/>
  <c r="N361" i="39"/>
  <c r="L356" i="39"/>
  <c r="R357" i="39"/>
  <c r="L361" i="39"/>
  <c r="Q359" i="39"/>
  <c r="Q355" i="39"/>
  <c r="S355" i="39"/>
  <c r="Q356" i="39"/>
  <c r="M356" i="39"/>
  <c r="T358" i="39"/>
  <c r="M357" i="39"/>
  <c r="T4" i="114"/>
  <c r="Z4" i="114"/>
  <c r="K4" i="114"/>
  <c r="K13" i="114" s="1"/>
  <c r="Q4" i="114"/>
  <c r="AD4" i="114"/>
  <c r="N4" i="114"/>
  <c r="AC4" i="114"/>
  <c r="S4" i="114"/>
  <c r="P4" i="114"/>
  <c r="AA4" i="114"/>
  <c r="AE4" i="114"/>
  <c r="Y4" i="114"/>
  <c r="V4" i="114"/>
  <c r="L4" i="114"/>
  <c r="W4" i="114"/>
  <c r="M4" i="114"/>
  <c r="R4" i="114"/>
  <c r="X4" i="114"/>
  <c r="O4" i="114"/>
  <c r="AB4" i="114"/>
  <c r="U4" i="114"/>
  <c r="C98" i="39"/>
  <c r="C71" i="39"/>
  <c r="C70" i="39"/>
  <c r="C97" i="39"/>
  <c r="D95" i="39"/>
  <c r="D68" i="39"/>
  <c r="C92" i="39"/>
  <c r="C65" i="39"/>
  <c r="D94" i="39"/>
  <c r="D67" i="39"/>
  <c r="D93" i="39"/>
  <c r="D66" i="39"/>
  <c r="D92" i="39"/>
  <c r="D65" i="39"/>
  <c r="C94" i="39"/>
  <c r="C67" i="39"/>
  <c r="C66" i="39"/>
  <c r="C93" i="39"/>
  <c r="C69" i="39"/>
  <c r="C96" i="39"/>
  <c r="D71" i="39"/>
  <c r="D98" i="39"/>
  <c r="C95" i="39"/>
  <c r="C68" i="39"/>
  <c r="D97" i="39"/>
  <c r="D70" i="39"/>
  <c r="D96" i="39"/>
  <c r="D69" i="39"/>
  <c r="Q97" i="39"/>
  <c r="L61" i="39"/>
  <c r="X97" i="39"/>
  <c r="P97" i="39"/>
  <c r="AC97" i="39"/>
  <c r="K61" i="39"/>
  <c r="AC61" i="39"/>
  <c r="Y97" i="39"/>
  <c r="R97" i="39"/>
  <c r="N97" i="39"/>
  <c r="Q61" i="39"/>
  <c r="P61" i="39"/>
  <c r="P403" i="39" s="1"/>
  <c r="V97" i="39"/>
  <c r="Z61" i="39"/>
  <c r="X61" i="39"/>
  <c r="AA97" i="39"/>
  <c r="L97" i="39"/>
  <c r="AD97" i="39"/>
  <c r="V61" i="39"/>
  <c r="U97" i="39"/>
  <c r="Y61" i="39"/>
  <c r="M61" i="39"/>
  <c r="E17" i="114"/>
  <c r="T97" i="39"/>
  <c r="AA61" i="39"/>
  <c r="W61" i="39"/>
  <c r="O97" i="39"/>
  <c r="AB97" i="39"/>
  <c r="S61" i="39"/>
  <c r="W97" i="39"/>
  <c r="AD61" i="39"/>
  <c r="R61" i="39"/>
  <c r="Z97" i="39"/>
  <c r="O61" i="39"/>
  <c r="AB61" i="39"/>
  <c r="N61" i="39"/>
  <c r="AE61" i="39"/>
  <c r="S97" i="39"/>
  <c r="AE97" i="39"/>
  <c r="M97" i="39"/>
  <c r="G206" i="39"/>
  <c r="O89" i="80"/>
  <c r="AA89" i="80"/>
  <c r="Z89" i="80"/>
  <c r="P89" i="80"/>
  <c r="AC89" i="80"/>
  <c r="V89" i="80"/>
  <c r="W89" i="80"/>
  <c r="X89" i="80"/>
  <c r="AE89" i="80"/>
  <c r="AD89" i="80"/>
  <c r="AB89" i="80"/>
  <c r="Y89" i="80"/>
  <c r="F206" i="39"/>
  <c r="H206" i="39"/>
  <c r="L254" i="39"/>
  <c r="U254" i="39"/>
  <c r="X254" i="39"/>
  <c r="Q254" i="39"/>
  <c r="AB254" i="39"/>
  <c r="Y254" i="39"/>
  <c r="T254" i="39"/>
  <c r="Z254" i="39"/>
  <c r="R254" i="39"/>
  <c r="AA254" i="39"/>
  <c r="AD254" i="39"/>
  <c r="AE254" i="39"/>
  <c r="AC254" i="39"/>
  <c r="S254" i="39"/>
  <c r="V254" i="39"/>
  <c r="W254" i="39"/>
  <c r="R12" i="39"/>
  <c r="U12" i="39"/>
  <c r="S12" i="39"/>
  <c r="Q12" i="39"/>
  <c r="T12" i="39"/>
  <c r="O254" i="39"/>
  <c r="P254" i="39"/>
  <c r="M12" i="75"/>
  <c r="D152" i="39"/>
  <c r="M14" i="75"/>
  <c r="D150" i="39"/>
  <c r="M13" i="75"/>
  <c r="D149" i="39"/>
  <c r="K17" i="39"/>
  <c r="L12" i="39"/>
  <c r="F9" i="74"/>
  <c r="E132" i="116" s="1"/>
  <c r="F9" i="75"/>
  <c r="K254" i="39"/>
  <c r="L108" i="39"/>
  <c r="J108" i="39"/>
  <c r="K108" i="39"/>
  <c r="F27" i="75"/>
  <c r="J89" i="80"/>
  <c r="G67" i="80"/>
  <c r="F67" i="80"/>
  <c r="H67" i="80"/>
  <c r="D49" i="39"/>
  <c r="J37" i="74"/>
  <c r="I173" i="116" s="1"/>
  <c r="N367" i="39"/>
  <c r="D64" i="51"/>
  <c r="D66" i="51"/>
  <c r="D69" i="51"/>
  <c r="D65" i="51"/>
  <c r="D67" i="51"/>
  <c r="D70" i="51"/>
  <c r="D68" i="51"/>
  <c r="D41" i="51"/>
  <c r="D158" i="39"/>
  <c r="D163" i="39"/>
  <c r="D164" i="39"/>
  <c r="D161" i="39"/>
  <c r="D159" i="39"/>
  <c r="D162" i="39"/>
  <c r="J38" i="74"/>
  <c r="I174" i="116" s="1"/>
  <c r="J36" i="74"/>
  <c r="I172" i="116" s="1"/>
  <c r="J35" i="74"/>
  <c r="I171" i="116" s="1"/>
  <c r="J39" i="74"/>
  <c r="I175" i="116" s="1"/>
  <c r="J34" i="74"/>
  <c r="I170" i="116" s="1"/>
  <c r="J40" i="74"/>
  <c r="I176" i="116" s="1"/>
  <c r="F38" i="74"/>
  <c r="E163" i="116" s="1"/>
  <c r="F39" i="74"/>
  <c r="E164" i="116" s="1"/>
  <c r="F34" i="74"/>
  <c r="E159" i="116" s="1"/>
  <c r="F35" i="74"/>
  <c r="E160" i="116" s="1"/>
  <c r="F40" i="74"/>
  <c r="E165" i="116" s="1"/>
  <c r="F37" i="74"/>
  <c r="E162" i="116" s="1"/>
  <c r="F36" i="74"/>
  <c r="E161" i="116" s="1"/>
  <c r="M29" i="74"/>
  <c r="M162" i="116" s="1"/>
  <c r="M26" i="74"/>
  <c r="M159" i="116" s="1"/>
  <c r="M27" i="74"/>
  <c r="M160" i="116" s="1"/>
  <c r="M28" i="74"/>
  <c r="M161" i="116" s="1"/>
  <c r="M20" i="74"/>
  <c r="M143" i="116" s="1"/>
  <c r="F20" i="75"/>
  <c r="F19" i="75"/>
  <c r="M11" i="19"/>
  <c r="M11" i="75"/>
  <c r="M11" i="74"/>
  <c r="M134" i="116" s="1"/>
  <c r="M10" i="19"/>
  <c r="M10" i="75"/>
  <c r="M10" i="74"/>
  <c r="M133" i="116" s="1"/>
  <c r="M12" i="19"/>
  <c r="M12" i="74"/>
  <c r="M135" i="116" s="1"/>
  <c r="M13" i="19"/>
  <c r="M13" i="74"/>
  <c r="M136" i="116" s="1"/>
  <c r="M14" i="19"/>
  <c r="M14" i="74"/>
  <c r="M137" i="116" s="1"/>
  <c r="M9" i="19"/>
  <c r="M9" i="75"/>
  <c r="M9" i="74"/>
  <c r="M132" i="116" s="1"/>
  <c r="M8" i="19"/>
  <c r="M8" i="74"/>
  <c r="M131" i="116" s="1"/>
  <c r="M8" i="75"/>
  <c r="F14" i="74"/>
  <c r="E137" i="116" s="1"/>
  <c r="F12" i="74"/>
  <c r="E135" i="116" s="1"/>
  <c r="F11" i="75"/>
  <c r="F10" i="75"/>
  <c r="F8" i="75"/>
  <c r="F13" i="74"/>
  <c r="E136" i="116" s="1"/>
  <c r="D134" i="39"/>
  <c r="D135" i="39"/>
  <c r="D132" i="39"/>
  <c r="D136" i="39"/>
  <c r="D131" i="39"/>
  <c r="D51" i="39"/>
  <c r="J34" i="19"/>
  <c r="D48" i="39"/>
  <c r="J40" i="19"/>
  <c r="F40" i="19"/>
  <c r="F37" i="19"/>
  <c r="D53" i="39"/>
  <c r="J36" i="19"/>
  <c r="F34" i="19"/>
  <c r="D50" i="39"/>
  <c r="J38" i="19"/>
  <c r="F39" i="19"/>
  <c r="F38" i="19"/>
  <c r="D52" i="39"/>
  <c r="J35" i="19"/>
  <c r="F36" i="19"/>
  <c r="F35" i="19"/>
  <c r="D47" i="39"/>
  <c r="J39" i="19"/>
  <c r="D137" i="39"/>
  <c r="F27" i="19"/>
  <c r="D62" i="39"/>
  <c r="F10" i="19"/>
  <c r="D61" i="39"/>
  <c r="F9" i="19"/>
  <c r="D60" i="39"/>
  <c r="F8" i="19"/>
  <c r="D59" i="39"/>
  <c r="F12" i="19"/>
  <c r="D58" i="39"/>
  <c r="F11" i="19"/>
  <c r="D57" i="39"/>
  <c r="F14" i="19"/>
  <c r="D56" i="39"/>
  <c r="F13" i="19"/>
  <c r="J367" i="39"/>
  <c r="M367" i="39"/>
  <c r="K367" i="39"/>
  <c r="L367" i="39"/>
  <c r="C34" i="39"/>
  <c r="D30" i="39"/>
  <c r="C32" i="39"/>
  <c r="D32" i="39"/>
  <c r="C35" i="39"/>
  <c r="D31" i="39"/>
  <c r="D29" i="39"/>
  <c r="C31" i="39"/>
  <c r="C30" i="39"/>
  <c r="D34" i="39"/>
  <c r="C33" i="39"/>
  <c r="D35" i="39"/>
  <c r="D33" i="39"/>
  <c r="C29" i="39"/>
  <c r="G151" i="39"/>
  <c r="G409" i="39" s="1"/>
  <c r="G153" i="39"/>
  <c r="G411" i="39" s="1"/>
  <c r="G152" i="39"/>
  <c r="G410" i="39" s="1"/>
  <c r="G154" i="39"/>
  <c r="G412" i="39" s="1"/>
  <c r="H150" i="39"/>
  <c r="H408" i="39" s="1"/>
  <c r="D24" i="39"/>
  <c r="M29" i="19"/>
  <c r="M28" i="19"/>
  <c r="D23" i="39"/>
  <c r="D9" i="39"/>
  <c r="D16" i="39"/>
  <c r="D11" i="39"/>
  <c r="M26" i="19"/>
  <c r="D13" i="39"/>
  <c r="F26" i="19"/>
  <c r="C13" i="39"/>
  <c r="F20" i="19"/>
  <c r="D17" i="39"/>
  <c r="M27" i="19"/>
  <c r="D8" i="39"/>
  <c r="C16" i="39"/>
  <c r="D22" i="39"/>
  <c r="D12" i="39"/>
  <c r="F19" i="19"/>
  <c r="C12" i="39"/>
  <c r="Q219" i="80" l="1"/>
  <c r="Q221" i="80" s="1"/>
  <c r="R219" i="80"/>
  <c r="R221" i="80" s="1"/>
  <c r="O219" i="80"/>
  <c r="P250" i="80" s="1"/>
  <c r="R244" i="39"/>
  <c r="Q264" i="39"/>
  <c r="Q311" i="39" s="1"/>
  <c r="R409" i="39"/>
  <c r="R429" i="39" s="1"/>
  <c r="K420" i="39"/>
  <c r="K421" i="39"/>
  <c r="K417" i="39"/>
  <c r="K418" i="39"/>
  <c r="K423" i="39"/>
  <c r="J417" i="39"/>
  <c r="J422" i="39"/>
  <c r="J423" i="39"/>
  <c r="J421" i="39"/>
  <c r="J420" i="39"/>
  <c r="J418" i="39"/>
  <c r="K419" i="39"/>
  <c r="J419" i="39"/>
  <c r="P409" i="39"/>
  <c r="S409" i="39"/>
  <c r="M409" i="39"/>
  <c r="AC409" i="39"/>
  <c r="AD409" i="39"/>
  <c r="Y409" i="39"/>
  <c r="AB409" i="39"/>
  <c r="O409" i="39"/>
  <c r="Z409" i="39"/>
  <c r="Q409" i="39"/>
  <c r="U409" i="39"/>
  <c r="V409" i="39"/>
  <c r="T409" i="39"/>
  <c r="AA409" i="39"/>
  <c r="X409" i="39"/>
  <c r="AB403" i="39"/>
  <c r="AB412" i="39" s="1"/>
  <c r="Q403" i="39"/>
  <c r="Q412" i="39" s="1"/>
  <c r="R403" i="39"/>
  <c r="R412" i="39" s="1"/>
  <c r="L403" i="39"/>
  <c r="L412" i="39" s="1"/>
  <c r="L414" i="39" s="1"/>
  <c r="AD403" i="39"/>
  <c r="AD412" i="39" s="1"/>
  <c r="F424" i="39"/>
  <c r="O403" i="39"/>
  <c r="O412" i="39" s="1"/>
  <c r="X403" i="39"/>
  <c r="X412" i="39" s="1"/>
  <c r="Y403" i="39"/>
  <c r="Y412" i="39" s="1"/>
  <c r="H424" i="39"/>
  <c r="I414" i="39"/>
  <c r="Q408" i="39"/>
  <c r="AC407" i="39"/>
  <c r="V407" i="39"/>
  <c r="Z407" i="39"/>
  <c r="W409" i="39"/>
  <c r="I424" i="39"/>
  <c r="AE409" i="39"/>
  <c r="V403" i="39"/>
  <c r="V412" i="39" s="1"/>
  <c r="W403" i="39"/>
  <c r="W412" i="39" s="1"/>
  <c r="AA403" i="39"/>
  <c r="AA412" i="39" s="1"/>
  <c r="AC403" i="39"/>
  <c r="AC412" i="39" s="1"/>
  <c r="M403" i="39"/>
  <c r="M412" i="39" s="1"/>
  <c r="Z403" i="39"/>
  <c r="G424" i="39"/>
  <c r="AE403" i="39"/>
  <c r="AE412" i="39" s="1"/>
  <c r="S403" i="39"/>
  <c r="S412" i="39" s="1"/>
  <c r="N403" i="39"/>
  <c r="N412" i="39" s="1"/>
  <c r="N414" i="39" s="1"/>
  <c r="R427" i="39"/>
  <c r="S427" i="39"/>
  <c r="T427" i="39"/>
  <c r="U427" i="39"/>
  <c r="R433" i="39"/>
  <c r="S433" i="39"/>
  <c r="J413" i="39"/>
  <c r="J414" i="39" s="1"/>
  <c r="L178" i="103"/>
  <c r="K403" i="39"/>
  <c r="K422" i="39" s="1"/>
  <c r="P412" i="39"/>
  <c r="G414" i="39"/>
  <c r="Q411" i="39"/>
  <c r="S411" i="39"/>
  <c r="R411" i="39"/>
  <c r="R238" i="39"/>
  <c r="P178" i="103"/>
  <c r="O178" i="103"/>
  <c r="Q178" i="103"/>
  <c r="M178" i="103"/>
  <c r="N178" i="103"/>
  <c r="S178" i="103"/>
  <c r="T178" i="103"/>
  <c r="R178" i="103"/>
  <c r="H213" i="39"/>
  <c r="H215" i="39"/>
  <c r="J340" i="39"/>
  <c r="J339" i="39"/>
  <c r="J341" i="39"/>
  <c r="J337" i="39"/>
  <c r="J335" i="39"/>
  <c r="J336" i="39"/>
  <c r="J338" i="39"/>
  <c r="K340" i="39"/>
  <c r="K335" i="39"/>
  <c r="K339" i="39"/>
  <c r="K341" i="39"/>
  <c r="K336" i="39"/>
  <c r="K337" i="39"/>
  <c r="K338" i="39"/>
  <c r="L264" i="39"/>
  <c r="X16" i="114"/>
  <c r="T16" i="114"/>
  <c r="S16" i="114"/>
  <c r="D17" i="114"/>
  <c r="AE17" i="114" s="1"/>
  <c r="W15" i="114"/>
  <c r="AC16" i="114"/>
  <c r="Z15" i="114"/>
  <c r="AC15" i="114"/>
  <c r="AB15" i="114"/>
  <c r="U20" i="114"/>
  <c r="U19" i="114"/>
  <c r="U22" i="114"/>
  <c r="U12" i="114"/>
  <c r="U21" i="114"/>
  <c r="U13" i="114"/>
  <c r="V22" i="114"/>
  <c r="V13" i="114"/>
  <c r="V21" i="114"/>
  <c r="V20" i="114"/>
  <c r="AD22" i="114"/>
  <c r="AD12" i="114"/>
  <c r="AD15" i="114"/>
  <c r="AD13" i="114"/>
  <c r="AD14" i="114"/>
  <c r="AD21" i="114"/>
  <c r="AB12" i="114"/>
  <c r="AB13" i="114"/>
  <c r="AB20" i="114"/>
  <c r="AB22" i="114"/>
  <c r="AB21" i="114"/>
  <c r="Y21" i="114"/>
  <c r="Y20" i="114"/>
  <c r="Y22" i="114"/>
  <c r="Q12" i="114"/>
  <c r="Q13" i="114"/>
  <c r="Q21" i="114"/>
  <c r="Q18" i="114"/>
  <c r="Q20" i="114"/>
  <c r="Q17" i="114"/>
  <c r="Q16" i="114"/>
  <c r="Q15" i="114"/>
  <c r="Q22" i="114"/>
  <c r="Q19" i="114"/>
  <c r="U15" i="114"/>
  <c r="O12" i="114"/>
  <c r="O21" i="114"/>
  <c r="O18" i="114"/>
  <c r="O15" i="114"/>
  <c r="O19" i="114"/>
  <c r="O16" i="114"/>
  <c r="O14" i="114"/>
  <c r="O13" i="114"/>
  <c r="O17" i="114"/>
  <c r="O20" i="114"/>
  <c r="O22" i="114"/>
  <c r="AA12" i="114"/>
  <c r="AA20" i="114"/>
  <c r="AA22" i="114"/>
  <c r="AA21" i="114"/>
  <c r="V15" i="114"/>
  <c r="T19" i="114"/>
  <c r="T20" i="114"/>
  <c r="T22" i="114"/>
  <c r="T12" i="114"/>
  <c r="T21" i="114"/>
  <c r="T18" i="114"/>
  <c r="T13" i="114"/>
  <c r="AB16" i="114"/>
  <c r="AE16" i="114"/>
  <c r="AE22" i="114"/>
  <c r="AE15" i="114"/>
  <c r="AE14" i="114"/>
  <c r="AE13" i="114"/>
  <c r="AE12" i="114"/>
  <c r="X21" i="114"/>
  <c r="X20" i="114"/>
  <c r="X22" i="114"/>
  <c r="P19" i="114"/>
  <c r="P12" i="114"/>
  <c r="P15" i="114"/>
  <c r="P16" i="114"/>
  <c r="P14" i="114"/>
  <c r="P21" i="114"/>
  <c r="P18" i="114"/>
  <c r="P13" i="114"/>
  <c r="P17" i="114"/>
  <c r="P20" i="114"/>
  <c r="P22" i="114"/>
  <c r="M20" i="114"/>
  <c r="M12" i="114"/>
  <c r="M22" i="114"/>
  <c r="M19" i="114"/>
  <c r="M21" i="114"/>
  <c r="M18" i="114"/>
  <c r="M13" i="114"/>
  <c r="M17" i="114"/>
  <c r="M16" i="114"/>
  <c r="M15" i="114"/>
  <c r="M14" i="114"/>
  <c r="S17" i="114"/>
  <c r="S18" i="114"/>
  <c r="S22" i="114"/>
  <c r="S20" i="114"/>
  <c r="S19" i="114"/>
  <c r="S12" i="114"/>
  <c r="S21" i="114"/>
  <c r="S13" i="114"/>
  <c r="S15" i="114"/>
  <c r="X15" i="114"/>
  <c r="K17" i="114"/>
  <c r="K16" i="114"/>
  <c r="K15" i="114"/>
  <c r="K14" i="114"/>
  <c r="K22" i="114"/>
  <c r="K20" i="114"/>
  <c r="K18" i="114"/>
  <c r="K19" i="114"/>
  <c r="K12" i="114"/>
  <c r="K21" i="114"/>
  <c r="R21" i="114"/>
  <c r="R18" i="114"/>
  <c r="R13" i="114"/>
  <c r="R17" i="114"/>
  <c r="R22" i="114"/>
  <c r="R16" i="114"/>
  <c r="R20" i="114"/>
  <c r="R12" i="114"/>
  <c r="R19" i="114"/>
  <c r="W21" i="114"/>
  <c r="W20" i="114"/>
  <c r="W22" i="114"/>
  <c r="AC20" i="114"/>
  <c r="AC22" i="114"/>
  <c r="AC12" i="114"/>
  <c r="AC14" i="114"/>
  <c r="AC13" i="114"/>
  <c r="AC21" i="114"/>
  <c r="AA15" i="114"/>
  <c r="Y15" i="114"/>
  <c r="AA16" i="114"/>
  <c r="Z21" i="114"/>
  <c r="Z22" i="114"/>
  <c r="Z20" i="114"/>
  <c r="L14" i="114"/>
  <c r="L20" i="114"/>
  <c r="L19" i="114"/>
  <c r="L17" i="114"/>
  <c r="L15" i="114"/>
  <c r="L22" i="114"/>
  <c r="L12" i="114"/>
  <c r="L21" i="114"/>
  <c r="L18" i="114"/>
  <c r="L13" i="114"/>
  <c r="L16" i="114"/>
  <c r="N22" i="114"/>
  <c r="N12" i="114"/>
  <c r="N21" i="114"/>
  <c r="N18" i="114"/>
  <c r="N20" i="114"/>
  <c r="N19" i="114"/>
  <c r="N13" i="114"/>
  <c r="N17" i="114"/>
  <c r="N16" i="114"/>
  <c r="N15" i="114"/>
  <c r="N14" i="114"/>
  <c r="T15" i="114"/>
  <c r="R15" i="114"/>
  <c r="W16" i="114"/>
  <c r="U16" i="114"/>
  <c r="W13" i="114"/>
  <c r="AA13" i="114"/>
  <c r="Z13" i="114"/>
  <c r="Y13" i="114"/>
  <c r="X13" i="114"/>
  <c r="Y16" i="114"/>
  <c r="V16" i="114"/>
  <c r="Z14" i="114"/>
  <c r="W14" i="114"/>
  <c r="R14" i="114"/>
  <c r="X14" i="114"/>
  <c r="V14" i="114"/>
  <c r="Y14" i="114"/>
  <c r="U14" i="114"/>
  <c r="Q14" i="114"/>
  <c r="AB14" i="114"/>
  <c r="T14" i="114"/>
  <c r="AA14" i="114"/>
  <c r="S14" i="114"/>
  <c r="Z16" i="114"/>
  <c r="AD16" i="114"/>
  <c r="V12" i="114"/>
  <c r="Z12" i="114"/>
  <c r="Y12" i="114"/>
  <c r="W12" i="114"/>
  <c r="X12" i="114"/>
  <c r="M264" i="39"/>
  <c r="M362" i="39"/>
  <c r="AE200" i="39"/>
  <c r="AE202" i="39"/>
  <c r="AE199" i="39"/>
  <c r="AE201" i="39"/>
  <c r="AE203" i="39"/>
  <c r="AE194" i="39"/>
  <c r="F350" i="39"/>
  <c r="I166" i="103"/>
  <c r="I165" i="103" s="1"/>
  <c r="I168" i="103" s="1"/>
  <c r="J221" i="80"/>
  <c r="J250" i="80"/>
  <c r="P221" i="80"/>
  <c r="L221" i="80"/>
  <c r="L250" i="80"/>
  <c r="K250" i="80"/>
  <c r="H166" i="103"/>
  <c r="H165" i="103" s="1"/>
  <c r="H168" i="103" s="1"/>
  <c r="G166" i="103"/>
  <c r="G165" i="103" s="1"/>
  <c r="G168" i="103" s="1"/>
  <c r="F351" i="39"/>
  <c r="H345" i="39"/>
  <c r="F349" i="39"/>
  <c r="F348" i="39"/>
  <c r="H346" i="39"/>
  <c r="F347" i="39"/>
  <c r="Y48" i="103"/>
  <c r="M47" i="103"/>
  <c r="P48" i="103"/>
  <c r="Q48" i="103"/>
  <c r="Q52" i="103"/>
  <c r="G347" i="39"/>
  <c r="G346" i="39"/>
  <c r="H350" i="39"/>
  <c r="X48" i="103"/>
  <c r="Z48" i="103"/>
  <c r="N49" i="103"/>
  <c r="O49" i="103"/>
  <c r="H349" i="39"/>
  <c r="G348" i="39"/>
  <c r="I347" i="39"/>
  <c r="S48" i="103"/>
  <c r="P52" i="103"/>
  <c r="R48" i="103"/>
  <c r="L48" i="103"/>
  <c r="S52" i="103"/>
  <c r="L47" i="103"/>
  <c r="P49" i="103"/>
  <c r="T48" i="103"/>
  <c r="I348" i="39"/>
  <c r="K233" i="39"/>
  <c r="L52" i="103"/>
  <c r="O48" i="103"/>
  <c r="M48" i="103"/>
  <c r="V48" i="103"/>
  <c r="N47" i="103"/>
  <c r="O47" i="103"/>
  <c r="L49" i="103"/>
  <c r="M52" i="103"/>
  <c r="G351" i="39"/>
  <c r="H348" i="39"/>
  <c r="I346" i="39"/>
  <c r="H347" i="39"/>
  <c r="AB48" i="103"/>
  <c r="R52" i="103"/>
  <c r="AF48" i="103"/>
  <c r="W48" i="103"/>
  <c r="U48" i="103"/>
  <c r="AD48" i="103"/>
  <c r="R47" i="103"/>
  <c r="M49" i="103"/>
  <c r="R49" i="103"/>
  <c r="N52" i="103"/>
  <c r="K369" i="39"/>
  <c r="H351" i="39"/>
  <c r="AA48" i="103"/>
  <c r="I349" i="39"/>
  <c r="N48" i="103"/>
  <c r="Q49" i="103"/>
  <c r="AE48" i="103"/>
  <c r="AC48" i="103"/>
  <c r="T52" i="103"/>
  <c r="P47" i="103"/>
  <c r="Q47" i="103"/>
  <c r="O52" i="103"/>
  <c r="I351" i="39"/>
  <c r="F346" i="39"/>
  <c r="F345" i="39"/>
  <c r="I345" i="39"/>
  <c r="G349" i="39"/>
  <c r="G350" i="39"/>
  <c r="I350" i="39"/>
  <c r="G345" i="39"/>
  <c r="J369" i="39"/>
  <c r="M156" i="103"/>
  <c r="AC157" i="103"/>
  <c r="N159" i="103"/>
  <c r="M159" i="103"/>
  <c r="L156" i="103"/>
  <c r="AA157" i="103"/>
  <c r="X155" i="103"/>
  <c r="H211" i="39"/>
  <c r="V46" i="103"/>
  <c r="O46" i="103"/>
  <c r="H210" i="39"/>
  <c r="H212" i="39"/>
  <c r="Q158" i="80"/>
  <c r="D21" i="114"/>
  <c r="D22" i="114"/>
  <c r="W155" i="103"/>
  <c r="O155" i="103"/>
  <c r="Z155" i="103"/>
  <c r="AE155" i="103"/>
  <c r="AE156" i="103"/>
  <c r="O156" i="103"/>
  <c r="R157" i="103"/>
  <c r="S157" i="103"/>
  <c r="Z157" i="103"/>
  <c r="R50" i="103"/>
  <c r="P50" i="103"/>
  <c r="AE46" i="103"/>
  <c r="AD46" i="103"/>
  <c r="X46" i="103"/>
  <c r="Y155" i="103"/>
  <c r="R155" i="103"/>
  <c r="L158" i="80"/>
  <c r="D20" i="114"/>
  <c r="K155" i="103"/>
  <c r="AC155" i="103"/>
  <c r="Y157" i="103"/>
  <c r="H209" i="39"/>
  <c r="N50" i="103"/>
  <c r="K171" i="80"/>
  <c r="U156" i="103"/>
  <c r="AE157" i="103"/>
  <c r="O50" i="103"/>
  <c r="AD155" i="103"/>
  <c r="Q155" i="103"/>
  <c r="W156" i="103"/>
  <c r="P157" i="103"/>
  <c r="M157" i="103"/>
  <c r="L159" i="103"/>
  <c r="L46" i="103"/>
  <c r="U158" i="80"/>
  <c r="D18" i="114"/>
  <c r="AB155" i="103"/>
  <c r="M155" i="103"/>
  <c r="Q156" i="103"/>
  <c r="AA156" i="103"/>
  <c r="K156" i="103"/>
  <c r="Q157" i="103"/>
  <c r="W157" i="103"/>
  <c r="J159" i="103"/>
  <c r="Q159" i="103"/>
  <c r="P159" i="103"/>
  <c r="K158" i="103"/>
  <c r="L50" i="103"/>
  <c r="P46" i="103"/>
  <c r="Y46" i="103"/>
  <c r="R46" i="103"/>
  <c r="T50" i="103"/>
  <c r="AA46" i="103"/>
  <c r="D19" i="114"/>
  <c r="AB156" i="103"/>
  <c r="R159" i="103"/>
  <c r="Q50" i="103"/>
  <c r="Q43" i="103" s="1"/>
  <c r="AF46" i="103"/>
  <c r="T157" i="103"/>
  <c r="S158" i="80"/>
  <c r="T155" i="103"/>
  <c r="J156" i="103"/>
  <c r="AC156" i="103"/>
  <c r="X157" i="103"/>
  <c r="T159" i="103"/>
  <c r="Q46" i="103"/>
  <c r="R158" i="80"/>
  <c r="P155" i="103"/>
  <c r="J155" i="103"/>
  <c r="U155" i="103"/>
  <c r="S155" i="103"/>
  <c r="AD156" i="103"/>
  <c r="V156" i="103"/>
  <c r="N156" i="103"/>
  <c r="Z156" i="103"/>
  <c r="Y156" i="103"/>
  <c r="V157" i="103"/>
  <c r="U157" i="103"/>
  <c r="J158" i="103"/>
  <c r="M50" i="103"/>
  <c r="M43" i="103" s="1"/>
  <c r="S50" i="103"/>
  <c r="M46" i="103"/>
  <c r="Z46" i="103"/>
  <c r="T46" i="103"/>
  <c r="N155" i="103"/>
  <c r="AC46" i="103"/>
  <c r="T156" i="103"/>
  <c r="R156" i="103"/>
  <c r="J157" i="103"/>
  <c r="L157" i="103"/>
  <c r="K159" i="103"/>
  <c r="N46" i="103"/>
  <c r="T158" i="80"/>
  <c r="J63" i="80"/>
  <c r="X156" i="103"/>
  <c r="P156" i="103"/>
  <c r="AB157" i="103"/>
  <c r="V155" i="103"/>
  <c r="O157" i="103"/>
  <c r="W46" i="103"/>
  <c r="AA155" i="103"/>
  <c r="S156" i="103"/>
  <c r="N157" i="103"/>
  <c r="K157" i="103"/>
  <c r="AD157" i="103"/>
  <c r="S159" i="103"/>
  <c r="O159" i="103"/>
  <c r="H214" i="39"/>
  <c r="U46" i="103"/>
  <c r="S46" i="103"/>
  <c r="AB46" i="103"/>
  <c r="K63" i="80"/>
  <c r="O244" i="39"/>
  <c r="K244" i="39"/>
  <c r="Q244" i="39"/>
  <c r="S244" i="39"/>
  <c r="P244" i="39"/>
  <c r="E18" i="114"/>
  <c r="E21" i="114"/>
  <c r="E22" i="114"/>
  <c r="E19" i="114"/>
  <c r="E20" i="114"/>
  <c r="P241" i="39"/>
  <c r="K241" i="39"/>
  <c r="Q241" i="39"/>
  <c r="L241" i="39"/>
  <c r="O241" i="39"/>
  <c r="P240" i="39"/>
  <c r="W240" i="39"/>
  <c r="X240" i="39"/>
  <c r="Z240" i="39"/>
  <c r="R240" i="39"/>
  <c r="Q240" i="39"/>
  <c r="K240" i="39"/>
  <c r="AA240" i="39"/>
  <c r="Y240" i="39"/>
  <c r="AE240" i="39"/>
  <c r="S240" i="39"/>
  <c r="AB240" i="39"/>
  <c r="O240" i="39"/>
  <c r="L240" i="39"/>
  <c r="U240" i="39"/>
  <c r="AD240" i="39"/>
  <c r="V240" i="39"/>
  <c r="T240" i="39"/>
  <c r="AC240" i="39"/>
  <c r="K239" i="39"/>
  <c r="Q239" i="39"/>
  <c r="O239" i="39"/>
  <c r="P239" i="39"/>
  <c r="L239" i="39"/>
  <c r="W238" i="39"/>
  <c r="P238" i="39"/>
  <c r="O238" i="39"/>
  <c r="X238" i="39"/>
  <c r="Q238" i="39"/>
  <c r="AD238" i="39"/>
  <c r="Y238" i="39"/>
  <c r="S238" i="39"/>
  <c r="U238" i="39"/>
  <c r="AC238" i="39"/>
  <c r="K238" i="39"/>
  <c r="T238" i="39"/>
  <c r="AA238" i="39"/>
  <c r="AB238" i="39"/>
  <c r="Z238" i="39"/>
  <c r="V238" i="39"/>
  <c r="AE238" i="39"/>
  <c r="L233" i="39"/>
  <c r="Q233" i="39"/>
  <c r="P233" i="39"/>
  <c r="S233" i="39"/>
  <c r="R233" i="39"/>
  <c r="N233" i="39"/>
  <c r="M233" i="39"/>
  <c r="O233" i="39"/>
  <c r="K362" i="39"/>
  <c r="R242" i="39"/>
  <c r="S242" i="39"/>
  <c r="Q242" i="39"/>
  <c r="O242" i="39"/>
  <c r="K242" i="39"/>
  <c r="N264" i="39"/>
  <c r="P264" i="39"/>
  <c r="R264" i="39"/>
  <c r="K264" i="39"/>
  <c r="O264" i="39"/>
  <c r="S264" i="39"/>
  <c r="M224" i="39"/>
  <c r="L224" i="39"/>
  <c r="S224" i="39"/>
  <c r="K224" i="39"/>
  <c r="R224" i="39"/>
  <c r="Q224" i="39"/>
  <c r="P224" i="39"/>
  <c r="O224" i="39"/>
  <c r="N224" i="39"/>
  <c r="AF150" i="103"/>
  <c r="Y150" i="103"/>
  <c r="X204" i="39"/>
  <c r="O150" i="103"/>
  <c r="O167" i="103" s="1"/>
  <c r="N204" i="39"/>
  <c r="M204" i="39"/>
  <c r="N150" i="103"/>
  <c r="N167" i="103" s="1"/>
  <c r="L150" i="103"/>
  <c r="L167" i="103" s="1"/>
  <c r="K204" i="39"/>
  <c r="AC150" i="103"/>
  <c r="AB204" i="39"/>
  <c r="Z150" i="103"/>
  <c r="Y204" i="39"/>
  <c r="T150" i="103"/>
  <c r="T167" i="103" s="1"/>
  <c r="S204" i="39"/>
  <c r="AD150" i="103"/>
  <c r="AC204" i="39"/>
  <c r="Z204" i="39"/>
  <c r="AA150" i="103"/>
  <c r="P150" i="103"/>
  <c r="P167" i="103" s="1"/>
  <c r="O204" i="39"/>
  <c r="W204" i="39"/>
  <c r="X150" i="103"/>
  <c r="Q150" i="103"/>
  <c r="Q167" i="103" s="1"/>
  <c r="P204" i="39"/>
  <c r="W150" i="103"/>
  <c r="V204" i="39"/>
  <c r="R150" i="103"/>
  <c r="R167" i="103" s="1"/>
  <c r="Q204" i="39"/>
  <c r="AD204" i="39"/>
  <c r="AE150" i="103"/>
  <c r="R204" i="39"/>
  <c r="S150" i="103"/>
  <c r="S167" i="103" s="1"/>
  <c r="AA204" i="39"/>
  <c r="AB150" i="103"/>
  <c r="M150" i="103"/>
  <c r="M167" i="103" s="1"/>
  <c r="L204" i="39"/>
  <c r="L155" i="103"/>
  <c r="K167" i="103"/>
  <c r="J167" i="103"/>
  <c r="T362" i="39"/>
  <c r="R362" i="39"/>
  <c r="U362" i="39"/>
  <c r="V362" i="39"/>
  <c r="P362" i="39"/>
  <c r="Q362" i="39"/>
  <c r="O362" i="39"/>
  <c r="S362" i="39"/>
  <c r="Q89" i="80"/>
  <c r="S89" i="80"/>
  <c r="L89" i="80"/>
  <c r="U89" i="80"/>
  <c r="T89" i="80"/>
  <c r="R89" i="80"/>
  <c r="I206" i="39"/>
  <c r="J206" i="39"/>
  <c r="K60" i="103"/>
  <c r="AA255" i="39"/>
  <c r="R255" i="39"/>
  <c r="AC255" i="39"/>
  <c r="AB255" i="39"/>
  <c r="Y255" i="39"/>
  <c r="U255" i="39"/>
  <c r="W255" i="39"/>
  <c r="Z255" i="39"/>
  <c r="Q255" i="39"/>
  <c r="O255" i="39"/>
  <c r="V255" i="39"/>
  <c r="AD255" i="39"/>
  <c r="T255" i="39"/>
  <c r="X255" i="39"/>
  <c r="P255" i="39"/>
  <c r="AE255" i="39"/>
  <c r="S255" i="39"/>
  <c r="K89" i="80"/>
  <c r="N362" i="39"/>
  <c r="L362" i="39"/>
  <c r="F362" i="39"/>
  <c r="H362" i="39"/>
  <c r="H342" i="39"/>
  <c r="G342" i="39"/>
  <c r="F342" i="39"/>
  <c r="H153" i="39"/>
  <c r="H411" i="39" s="1"/>
  <c r="H152" i="39"/>
  <c r="H410" i="39" s="1"/>
  <c r="H154" i="39"/>
  <c r="H412" i="39" s="1"/>
  <c r="H151" i="39"/>
  <c r="H409" i="39" s="1"/>
  <c r="H149" i="39"/>
  <c r="H407" i="39" s="1"/>
  <c r="M414" i="39" l="1"/>
  <c r="O221" i="80"/>
  <c r="S429" i="39"/>
  <c r="T429" i="39"/>
  <c r="P414" i="39"/>
  <c r="U429" i="39"/>
  <c r="AC429" i="39"/>
  <c r="O414" i="39"/>
  <c r="V429" i="39"/>
  <c r="AB429" i="39"/>
  <c r="AD429" i="39"/>
  <c r="W429" i="39"/>
  <c r="AA429" i="39"/>
  <c r="Z429" i="39"/>
  <c r="Q414" i="39"/>
  <c r="J424" i="39"/>
  <c r="AA427" i="39"/>
  <c r="Y427" i="39"/>
  <c r="AD427" i="39"/>
  <c r="Z427" i="39"/>
  <c r="AC427" i="39"/>
  <c r="X427" i="39"/>
  <c r="W427" i="39"/>
  <c r="AB427" i="39"/>
  <c r="V427" i="39"/>
  <c r="X429" i="39"/>
  <c r="AE429" i="39"/>
  <c r="H414" i="39"/>
  <c r="AE427" i="39"/>
  <c r="Y429" i="39"/>
  <c r="Z412" i="39"/>
  <c r="K412" i="39"/>
  <c r="K414" i="39" s="1"/>
  <c r="K424" i="39"/>
  <c r="R432" i="39"/>
  <c r="S432" i="39"/>
  <c r="R431" i="39"/>
  <c r="S431" i="39"/>
  <c r="S185" i="39"/>
  <c r="R185" i="39"/>
  <c r="P185" i="39"/>
  <c r="L311" i="39"/>
  <c r="Q185" i="39"/>
  <c r="I213" i="39"/>
  <c r="O311" i="39"/>
  <c r="O185" i="39"/>
  <c r="S311" i="39"/>
  <c r="S312" i="39" s="1"/>
  <c r="Q312" i="39"/>
  <c r="K311" i="39"/>
  <c r="R311" i="39"/>
  <c r="P311" i="39"/>
  <c r="P312" i="39" s="1"/>
  <c r="L185" i="39"/>
  <c r="AC17" i="114"/>
  <c r="V17" i="114"/>
  <c r="AD17" i="114"/>
  <c r="AB17" i="114"/>
  <c r="Y17" i="114"/>
  <c r="U17" i="114"/>
  <c r="Z17" i="114"/>
  <c r="W17" i="114"/>
  <c r="AA17" i="114"/>
  <c r="X17" i="114"/>
  <c r="T17" i="114"/>
  <c r="T11" i="114" s="1"/>
  <c r="Q11" i="114"/>
  <c r="Q172" i="39" s="1"/>
  <c r="S11" i="114"/>
  <c r="S172" i="39" s="1"/>
  <c r="L11" i="114"/>
  <c r="L172" i="39" s="1"/>
  <c r="K11" i="114"/>
  <c r="K172" i="39" s="1"/>
  <c r="P11" i="114"/>
  <c r="P172" i="39" s="1"/>
  <c r="N11" i="114"/>
  <c r="N172" i="39" s="1"/>
  <c r="O11" i="114"/>
  <c r="O172" i="39" s="1"/>
  <c r="R11" i="114"/>
  <c r="R172" i="39" s="1"/>
  <c r="M11" i="114"/>
  <c r="M172" i="39" s="1"/>
  <c r="AE21" i="114"/>
  <c r="Z19" i="114"/>
  <c r="Y19" i="114"/>
  <c r="AE19" i="114"/>
  <c r="X19" i="114"/>
  <c r="W19" i="114"/>
  <c r="AD19" i="114"/>
  <c r="V19" i="114"/>
  <c r="AC19" i="114"/>
  <c r="AB19" i="114"/>
  <c r="AA19" i="114"/>
  <c r="AD20" i="114"/>
  <c r="AE20" i="114"/>
  <c r="AD18" i="114"/>
  <c r="V18" i="114"/>
  <c r="AE18" i="114"/>
  <c r="AC18" i="114"/>
  <c r="U18" i="114"/>
  <c r="AB18" i="114"/>
  <c r="AA18" i="114"/>
  <c r="Z18" i="114"/>
  <c r="Y18" i="114"/>
  <c r="X18" i="114"/>
  <c r="W18" i="114"/>
  <c r="AF155" i="103"/>
  <c r="AF157" i="103"/>
  <c r="AF156" i="103"/>
  <c r="AE204" i="39"/>
  <c r="AE196" i="39"/>
  <c r="F58" i="80"/>
  <c r="K166" i="103"/>
  <c r="K165" i="103" s="1"/>
  <c r="K168" i="103" s="1"/>
  <c r="J166" i="103"/>
  <c r="J165" i="103" s="1"/>
  <c r="J168" i="103" s="1"/>
  <c r="H57" i="80"/>
  <c r="F57" i="80"/>
  <c r="F53" i="80"/>
  <c r="H55" i="80"/>
  <c r="H53" i="80"/>
  <c r="F54" i="80"/>
  <c r="H58" i="80"/>
  <c r="F55" i="80"/>
  <c r="G53" i="80"/>
  <c r="G56" i="80"/>
  <c r="G54" i="80"/>
  <c r="H54" i="80"/>
  <c r="F59" i="80"/>
  <c r="G58" i="80"/>
  <c r="G57" i="80"/>
  <c r="G55" i="80"/>
  <c r="G59" i="80"/>
  <c r="H59" i="80"/>
  <c r="H56" i="80"/>
  <c r="F56" i="80"/>
  <c r="I55" i="80"/>
  <c r="I59" i="80"/>
  <c r="P51" i="103"/>
  <c r="J350" i="39"/>
  <c r="N51" i="103"/>
  <c r="S51" i="103"/>
  <c r="M51" i="103"/>
  <c r="L40" i="103"/>
  <c r="Q51" i="103"/>
  <c r="L51" i="103"/>
  <c r="L42" i="103"/>
  <c r="L41" i="103"/>
  <c r="L57" i="103" s="1"/>
  <c r="J347" i="39"/>
  <c r="O51" i="103"/>
  <c r="J351" i="39"/>
  <c r="R51" i="103"/>
  <c r="T51" i="103"/>
  <c r="T64" i="103" s="1"/>
  <c r="K235" i="39"/>
  <c r="J346" i="39"/>
  <c r="I214" i="39"/>
  <c r="J349" i="39"/>
  <c r="J348" i="39"/>
  <c r="M235" i="39"/>
  <c r="Q235" i="39"/>
  <c r="I215" i="39"/>
  <c r="L43" i="103"/>
  <c r="L58" i="103" s="1"/>
  <c r="J345" i="39"/>
  <c r="L235" i="39"/>
  <c r="AF39" i="103"/>
  <c r="X39" i="103"/>
  <c r="L45" i="103"/>
  <c r="L60" i="103" s="1"/>
  <c r="P235" i="39"/>
  <c r="W158" i="103"/>
  <c r="P158" i="103"/>
  <c r="P166" i="103" s="1"/>
  <c r="P165" i="103" s="1"/>
  <c r="P168" i="103" s="1"/>
  <c r="Z158" i="103"/>
  <c r="O158" i="103"/>
  <c r="O166" i="103" s="1"/>
  <c r="O165" i="103" s="1"/>
  <c r="O168" i="103" s="1"/>
  <c r="L39" i="103"/>
  <c r="Z39" i="103"/>
  <c r="Y39" i="103"/>
  <c r="M40" i="103"/>
  <c r="P40" i="103"/>
  <c r="AE41" i="103"/>
  <c r="AE57" i="103" s="1"/>
  <c r="P41" i="103"/>
  <c r="P57" i="103" s="1"/>
  <c r="AF41" i="103"/>
  <c r="AF57" i="103" s="1"/>
  <c r="R41" i="103"/>
  <c r="R57" i="103" s="1"/>
  <c r="X41" i="103"/>
  <c r="X57" i="103" s="1"/>
  <c r="M42" i="103"/>
  <c r="Q42" i="103"/>
  <c r="R45" i="103"/>
  <c r="R60" i="103" s="1"/>
  <c r="N235" i="39"/>
  <c r="R158" i="103"/>
  <c r="R166" i="103" s="1"/>
  <c r="R165" i="103" s="1"/>
  <c r="R168" i="103" s="1"/>
  <c r="R43" i="103"/>
  <c r="R58" i="103" s="1"/>
  <c r="T39" i="103"/>
  <c r="Q40" i="103"/>
  <c r="R42" i="103"/>
  <c r="I209" i="39"/>
  <c r="AB158" i="103"/>
  <c r="AC158" i="103"/>
  <c r="Y158" i="103"/>
  <c r="Q58" i="103"/>
  <c r="P43" i="103"/>
  <c r="P58" i="103" s="1"/>
  <c r="T43" i="103"/>
  <c r="T58" i="103" s="1"/>
  <c r="W39" i="103"/>
  <c r="AB39" i="103"/>
  <c r="AD39" i="103"/>
  <c r="M39" i="103"/>
  <c r="P39" i="103"/>
  <c r="AD41" i="103"/>
  <c r="AD57" i="103" s="1"/>
  <c r="V41" i="103"/>
  <c r="V57" i="103" s="1"/>
  <c r="AC41" i="103"/>
  <c r="AC57" i="103" s="1"/>
  <c r="Z41" i="103"/>
  <c r="Z57" i="103" s="1"/>
  <c r="S41" i="103"/>
  <c r="S57" i="103" s="1"/>
  <c r="Q41" i="103"/>
  <c r="Q57" i="103" s="1"/>
  <c r="P42" i="103"/>
  <c r="AE158" i="103"/>
  <c r="S43" i="103"/>
  <c r="S58" i="103" s="1"/>
  <c r="M158" i="103"/>
  <c r="M166" i="103" s="1"/>
  <c r="M165" i="103" s="1"/>
  <c r="M168" i="103" s="1"/>
  <c r="T158" i="103"/>
  <c r="T166" i="103" s="1"/>
  <c r="T165" i="103" s="1"/>
  <c r="T168" i="103" s="1"/>
  <c r="U39" i="103"/>
  <c r="T41" i="103"/>
  <c r="T57" i="103" s="1"/>
  <c r="Q45" i="103"/>
  <c r="Q60" i="103" s="1"/>
  <c r="P45" i="103"/>
  <c r="P60" i="103" s="1"/>
  <c r="I211" i="39"/>
  <c r="S158" i="103"/>
  <c r="S166" i="103" s="1"/>
  <c r="S165" i="103" s="1"/>
  <c r="S168" i="103" s="1"/>
  <c r="AA158" i="103"/>
  <c r="M58" i="103"/>
  <c r="I212" i="39"/>
  <c r="I210" i="39"/>
  <c r="AC39" i="103"/>
  <c r="R39" i="103"/>
  <c r="W41" i="103"/>
  <c r="W57" i="103" s="1"/>
  <c r="Y41" i="103"/>
  <c r="Y57" i="103" s="1"/>
  <c r="X158" i="103"/>
  <c r="N158" i="103"/>
  <c r="N166" i="103" s="1"/>
  <c r="N165" i="103" s="1"/>
  <c r="N168" i="103" s="1"/>
  <c r="O235" i="39"/>
  <c r="Q158" i="103"/>
  <c r="Q166" i="103" s="1"/>
  <c r="Q165" i="103" s="1"/>
  <c r="Q168" i="103" s="1"/>
  <c r="AD158" i="103"/>
  <c r="L158" i="103"/>
  <c r="L166" i="103" s="1"/>
  <c r="L165" i="103" s="1"/>
  <c r="L168" i="103" s="1"/>
  <c r="K342" i="39"/>
  <c r="AA39" i="103"/>
  <c r="S39" i="103"/>
  <c r="V39" i="103"/>
  <c r="AE39" i="103"/>
  <c r="Q39" i="103"/>
  <c r="R40" i="103"/>
  <c r="U41" i="103"/>
  <c r="U57" i="103" s="1"/>
  <c r="M41" i="103"/>
  <c r="M57" i="103" s="1"/>
  <c r="AB41" i="103"/>
  <c r="AB57" i="103" s="1"/>
  <c r="AA41" i="103"/>
  <c r="AA57" i="103" s="1"/>
  <c r="T45" i="103"/>
  <c r="T60" i="103" s="1"/>
  <c r="M45" i="103"/>
  <c r="M60" i="103" s="1"/>
  <c r="S45" i="103"/>
  <c r="S60" i="103" s="1"/>
  <c r="K185" i="39"/>
  <c r="Q243" i="39"/>
  <c r="O243" i="39"/>
  <c r="R243" i="39"/>
  <c r="L243" i="39"/>
  <c r="P243" i="39"/>
  <c r="S243" i="39"/>
  <c r="K243" i="39"/>
  <c r="K368" i="39" s="1"/>
  <c r="Q206" i="39"/>
  <c r="O206" i="39"/>
  <c r="L206" i="39"/>
  <c r="M206" i="39"/>
  <c r="S206" i="39"/>
  <c r="R206" i="39"/>
  <c r="P206" i="39"/>
  <c r="N206" i="39"/>
  <c r="K206" i="39"/>
  <c r="W362" i="39"/>
  <c r="G362" i="39"/>
  <c r="Q186" i="39" l="1"/>
  <c r="R312" i="39"/>
  <c r="J215" i="39"/>
  <c r="J213" i="39"/>
  <c r="O186" i="39"/>
  <c r="O312" i="39"/>
  <c r="L186" i="39"/>
  <c r="U11" i="114"/>
  <c r="AA11" i="114"/>
  <c r="Y11" i="114"/>
  <c r="W11" i="114"/>
  <c r="AE11" i="114"/>
  <c r="X11" i="114"/>
  <c r="AB11" i="114"/>
  <c r="V11" i="114"/>
  <c r="AD11" i="114"/>
  <c r="Z11" i="114"/>
  <c r="AC11" i="114"/>
  <c r="AF158" i="103"/>
  <c r="I54" i="80"/>
  <c r="J214" i="39"/>
  <c r="J59" i="80"/>
  <c r="L56" i="103"/>
  <c r="L44" i="103"/>
  <c r="L59" i="103" s="1"/>
  <c r="M56" i="103"/>
  <c r="Q56" i="103"/>
  <c r="T44" i="103"/>
  <c r="T59" i="103" s="1"/>
  <c r="J212" i="39"/>
  <c r="P56" i="103"/>
  <c r="S44" i="103"/>
  <c r="S59" i="103" s="1"/>
  <c r="J211" i="39"/>
  <c r="P44" i="103"/>
  <c r="P59" i="103" s="1"/>
  <c r="Q44" i="103"/>
  <c r="Q59" i="103" s="1"/>
  <c r="R44" i="103"/>
  <c r="R59" i="103" s="1"/>
  <c r="R56" i="103"/>
  <c r="J209" i="39"/>
  <c r="J210" i="39"/>
  <c r="M44" i="103"/>
  <c r="M59" i="103" s="1"/>
  <c r="K186" i="39"/>
  <c r="X362" i="39"/>
  <c r="F245" i="39"/>
  <c r="L100" i="80" l="1"/>
  <c r="L122" i="80" s="1"/>
  <c r="K100" i="80"/>
  <c r="K122" i="80" s="1"/>
  <c r="D5" i="128"/>
  <c r="O100" i="80"/>
  <c r="O122" i="80" s="1"/>
  <c r="B5" i="128"/>
  <c r="K215" i="39"/>
  <c r="K101" i="80"/>
  <c r="K214" i="39"/>
  <c r="J54" i="80"/>
  <c r="I53" i="80"/>
  <c r="I56" i="80"/>
  <c r="I58" i="80"/>
  <c r="I57" i="80"/>
  <c r="K213" i="39"/>
  <c r="K212" i="39"/>
  <c r="K210" i="39"/>
  <c r="K209" i="39"/>
  <c r="K211" i="39"/>
  <c r="K389" i="39"/>
  <c r="F222" i="80"/>
  <c r="Y362" i="39"/>
  <c r="G10" i="103"/>
  <c r="G12" i="103"/>
  <c r="G11" i="103"/>
  <c r="G27" i="103" s="1"/>
  <c r="G14" i="103"/>
  <c r="G29" i="103" s="1"/>
  <c r="G13" i="103"/>
  <c r="G28" i="103" s="1"/>
  <c r="G15" i="103"/>
  <c r="G30" i="103" s="1"/>
  <c r="F118" i="39"/>
  <c r="F255" i="39"/>
  <c r="G245" i="39"/>
  <c r="L215" i="39" l="1"/>
  <c r="F243" i="80"/>
  <c r="F244" i="80" s="1"/>
  <c r="F225" i="80"/>
  <c r="F92" i="80" s="1"/>
  <c r="L209" i="39"/>
  <c r="L214" i="39"/>
  <c r="J53" i="80"/>
  <c r="J55" i="80"/>
  <c r="J58" i="80"/>
  <c r="L212" i="39"/>
  <c r="L210" i="39"/>
  <c r="L211" i="39"/>
  <c r="L213" i="39"/>
  <c r="G222" i="80"/>
  <c r="Z362" i="39"/>
  <c r="H12" i="103"/>
  <c r="G9" i="103"/>
  <c r="G26" i="103" s="1"/>
  <c r="H10" i="103"/>
  <c r="H11" i="103"/>
  <c r="H27" i="103" s="1"/>
  <c r="H14" i="103"/>
  <c r="H29" i="103" s="1"/>
  <c r="H13" i="103"/>
  <c r="H28" i="103" s="1"/>
  <c r="H15" i="103"/>
  <c r="H30" i="103" s="1"/>
  <c r="F216" i="39"/>
  <c r="H245" i="39"/>
  <c r="G255" i="39"/>
  <c r="F352" i="39"/>
  <c r="F312" i="39"/>
  <c r="G118" i="39"/>
  <c r="G243" i="80" l="1"/>
  <c r="G244" i="80" s="1"/>
  <c r="G225" i="80"/>
  <c r="G92" i="80" s="1"/>
  <c r="F370" i="39"/>
  <c r="M214" i="39"/>
  <c r="M215" i="39"/>
  <c r="J56" i="80"/>
  <c r="J57" i="80"/>
  <c r="M210" i="39"/>
  <c r="M213" i="39"/>
  <c r="M211" i="39"/>
  <c r="M212" i="39"/>
  <c r="M209" i="39"/>
  <c r="F366" i="39"/>
  <c r="J57" i="103"/>
  <c r="J60" i="103"/>
  <c r="H222" i="80"/>
  <c r="AA362" i="39"/>
  <c r="I10" i="103"/>
  <c r="I12" i="103"/>
  <c r="H9" i="103"/>
  <c r="H26" i="103" s="1"/>
  <c r="I11" i="103"/>
  <c r="I27" i="103" s="1"/>
  <c r="I14" i="103"/>
  <c r="I29" i="103" s="1"/>
  <c r="I13" i="103"/>
  <c r="I28" i="103" s="1"/>
  <c r="I15" i="103"/>
  <c r="I30" i="103" s="1"/>
  <c r="G216" i="39"/>
  <c r="G352" i="39"/>
  <c r="G312" i="39"/>
  <c r="H255" i="39"/>
  <c r="H118" i="39"/>
  <c r="H243" i="80" l="1"/>
  <c r="H244" i="80" s="1"/>
  <c r="H225" i="80"/>
  <c r="H92" i="80" s="1"/>
  <c r="F372" i="39"/>
  <c r="G370" i="39"/>
  <c r="N215" i="39"/>
  <c r="N214" i="39"/>
  <c r="K312" i="39"/>
  <c r="N209" i="39"/>
  <c r="N211" i="39"/>
  <c r="N213" i="39"/>
  <c r="N212" i="39"/>
  <c r="N210" i="39"/>
  <c r="G366" i="39"/>
  <c r="J59" i="103"/>
  <c r="J58" i="103"/>
  <c r="J56" i="103"/>
  <c r="AB362" i="39"/>
  <c r="J10" i="103"/>
  <c r="J12" i="103"/>
  <c r="I9" i="103"/>
  <c r="I26" i="103" s="1"/>
  <c r="J11" i="103"/>
  <c r="J27" i="103" s="1"/>
  <c r="J14" i="103"/>
  <c r="J29" i="103" s="1"/>
  <c r="K58" i="103"/>
  <c r="J13" i="103"/>
  <c r="J28" i="103" s="1"/>
  <c r="J15" i="103"/>
  <c r="J30" i="103" s="1"/>
  <c r="H216" i="39"/>
  <c r="H352" i="39"/>
  <c r="H312" i="39"/>
  <c r="O213" i="39" l="1"/>
  <c r="G372" i="39"/>
  <c r="H370" i="39"/>
  <c r="O215" i="39"/>
  <c r="O214" i="39"/>
  <c r="L312" i="39"/>
  <c r="O212" i="39"/>
  <c r="O211" i="39"/>
  <c r="O210" i="39"/>
  <c r="O209" i="39"/>
  <c r="H366" i="39"/>
  <c r="F381" i="39"/>
  <c r="K59" i="103"/>
  <c r="AC362" i="39"/>
  <c r="K12" i="103"/>
  <c r="K10" i="103"/>
  <c r="J9" i="103"/>
  <c r="J26" i="103" s="1"/>
  <c r="K11" i="103"/>
  <c r="K27" i="103" s="1"/>
  <c r="K14" i="103"/>
  <c r="K29" i="103" s="1"/>
  <c r="K13" i="103"/>
  <c r="K28" i="103" s="1"/>
  <c r="K15" i="103"/>
  <c r="K30" i="103" s="1"/>
  <c r="G265" i="39"/>
  <c r="H265" i="39"/>
  <c r="I265" i="39"/>
  <c r="J265" i="39"/>
  <c r="F265" i="39"/>
  <c r="I255" i="39"/>
  <c r="I245" i="39"/>
  <c r="I216" i="39"/>
  <c r="H372" i="39" l="1"/>
  <c r="P215" i="39"/>
  <c r="C37" i="51" s="1"/>
  <c r="P214" i="39"/>
  <c r="C36" i="51" s="1"/>
  <c r="P210" i="39"/>
  <c r="C32" i="51" s="1"/>
  <c r="P213" i="39"/>
  <c r="C35" i="51" s="1"/>
  <c r="H160" i="80"/>
  <c r="P209" i="39"/>
  <c r="C31" i="51" s="1"/>
  <c r="F160" i="80"/>
  <c r="P212" i="39"/>
  <c r="C34" i="51" s="1"/>
  <c r="G160" i="80"/>
  <c r="P211" i="39"/>
  <c r="C33" i="51" s="1"/>
  <c r="J160" i="80"/>
  <c r="I160" i="80"/>
  <c r="G381" i="39"/>
  <c r="I222" i="80"/>
  <c r="AD362" i="39"/>
  <c r="K9" i="103"/>
  <c r="K26" i="103" s="1"/>
  <c r="L19" i="103"/>
  <c r="L17" i="103"/>
  <c r="L18" i="103"/>
  <c r="L32" i="103" s="1"/>
  <c r="L21" i="103"/>
  <c r="L34" i="103" s="1"/>
  <c r="L63" i="103"/>
  <c r="L20" i="103"/>
  <c r="L33" i="103" s="1"/>
  <c r="L22" i="103"/>
  <c r="L35" i="103" s="1"/>
  <c r="I362" i="39"/>
  <c r="I342" i="39"/>
  <c r="I118" i="39"/>
  <c r="J216" i="39"/>
  <c r="Q213" i="39" l="1"/>
  <c r="D35" i="51" s="1"/>
  <c r="H35" i="51" s="1"/>
  <c r="H68" i="51" s="1"/>
  <c r="I243" i="80"/>
  <c r="I244" i="80" s="1"/>
  <c r="I225" i="80"/>
  <c r="I92" i="80" s="1"/>
  <c r="Q215" i="39"/>
  <c r="D37" i="51" s="1"/>
  <c r="Q214" i="39"/>
  <c r="D36" i="51" s="1"/>
  <c r="G36" i="51" s="1"/>
  <c r="G69" i="51" s="1"/>
  <c r="Q209" i="39"/>
  <c r="Q210" i="39"/>
  <c r="D32" i="51" s="1"/>
  <c r="Q211" i="39"/>
  <c r="Q212" i="39"/>
  <c r="D34" i="51" s="1"/>
  <c r="H381" i="39"/>
  <c r="K348" i="39"/>
  <c r="K346" i="39"/>
  <c r="K349" i="39"/>
  <c r="AE362" i="39"/>
  <c r="L62" i="103"/>
  <c r="M17" i="103"/>
  <c r="M19" i="103"/>
  <c r="L16" i="103"/>
  <c r="L31" i="103" s="1"/>
  <c r="M62" i="103"/>
  <c r="M18" i="103"/>
  <c r="M32" i="103" s="1"/>
  <c r="L64" i="103"/>
  <c r="M21" i="103"/>
  <c r="M34" i="103" s="1"/>
  <c r="M63" i="103"/>
  <c r="M20" i="103"/>
  <c r="M33" i="103" s="1"/>
  <c r="L65" i="103"/>
  <c r="M22" i="103"/>
  <c r="M35" i="103" s="1"/>
  <c r="I312" i="39"/>
  <c r="I352" i="39"/>
  <c r="K216" i="39"/>
  <c r="J245" i="39"/>
  <c r="D31" i="51" l="1"/>
  <c r="G31" i="51" s="1"/>
  <c r="G64" i="51" s="1"/>
  <c r="D33" i="51"/>
  <c r="F33" i="51" s="1"/>
  <c r="F66" i="51" s="1"/>
  <c r="G35" i="51"/>
  <c r="G68" i="51" s="1"/>
  <c r="F35" i="51"/>
  <c r="F68" i="51" s="1"/>
  <c r="F36" i="51"/>
  <c r="F69" i="51" s="1"/>
  <c r="H36" i="51"/>
  <c r="H69" i="51" s="1"/>
  <c r="H34" i="51"/>
  <c r="H67" i="51" s="1"/>
  <c r="G34" i="51"/>
  <c r="G67" i="51" s="1"/>
  <c r="F34" i="51"/>
  <c r="F67" i="51" s="1"/>
  <c r="G37" i="51"/>
  <c r="G70" i="51" s="1"/>
  <c r="H37" i="51"/>
  <c r="H70" i="51" s="1"/>
  <c r="F37" i="51"/>
  <c r="F70" i="51" s="1"/>
  <c r="H32" i="51"/>
  <c r="H65" i="51" s="1"/>
  <c r="F32" i="51"/>
  <c r="F65" i="51" s="1"/>
  <c r="G32" i="51"/>
  <c r="G65" i="51" s="1"/>
  <c r="I370" i="39"/>
  <c r="R215" i="39"/>
  <c r="E37" i="51" s="1"/>
  <c r="N37" i="51" s="1"/>
  <c r="N70" i="51" s="1"/>
  <c r="R214" i="39"/>
  <c r="E36" i="51" s="1"/>
  <c r="N36" i="51" s="1"/>
  <c r="N69" i="51" s="1"/>
  <c r="K56" i="80"/>
  <c r="K57" i="80"/>
  <c r="K54" i="80"/>
  <c r="R210" i="39"/>
  <c r="E32" i="51" s="1"/>
  <c r="R212" i="39"/>
  <c r="E34" i="51" s="1"/>
  <c r="R209" i="39"/>
  <c r="E31" i="51" s="1"/>
  <c r="R211" i="39"/>
  <c r="E33" i="51" s="1"/>
  <c r="R213" i="39"/>
  <c r="S213" i="39" s="1"/>
  <c r="K56" i="103"/>
  <c r="K347" i="39"/>
  <c r="K350" i="39"/>
  <c r="J222" i="80"/>
  <c r="N17" i="103"/>
  <c r="M16" i="103"/>
  <c r="M31" i="103" s="1"/>
  <c r="N19" i="103"/>
  <c r="L61" i="103"/>
  <c r="N18" i="103"/>
  <c r="N32" i="103" s="1"/>
  <c r="N64" i="103"/>
  <c r="N21" i="103"/>
  <c r="N34" i="103" s="1"/>
  <c r="M64" i="103"/>
  <c r="N20" i="103"/>
  <c r="N33" i="103" s="1"/>
  <c r="M65" i="103"/>
  <c r="N22" i="103"/>
  <c r="N35" i="103" s="1"/>
  <c r="K62" i="80"/>
  <c r="K157" i="80"/>
  <c r="K265" i="39"/>
  <c r="K90" i="80"/>
  <c r="J342" i="39"/>
  <c r="I366" i="39"/>
  <c r="J312" i="39"/>
  <c r="J118" i="39"/>
  <c r="L216" i="39"/>
  <c r="J255" i="39"/>
  <c r="K245" i="39"/>
  <c r="G33" i="51" l="1"/>
  <c r="G66" i="51" s="1"/>
  <c r="J32" i="51"/>
  <c r="J65" i="51" s="1"/>
  <c r="O32" i="51"/>
  <c r="O65" i="51" s="1"/>
  <c r="P32" i="51"/>
  <c r="P65" i="51" s="1"/>
  <c r="M32" i="51"/>
  <c r="M65" i="51" s="1"/>
  <c r="N32" i="51"/>
  <c r="N65" i="51" s="1"/>
  <c r="I32" i="51"/>
  <c r="I65" i="51" s="1"/>
  <c r="K32" i="51"/>
  <c r="K65" i="51" s="1"/>
  <c r="Q32" i="51"/>
  <c r="Q65" i="51" s="1"/>
  <c r="L32" i="51"/>
  <c r="L65" i="51" s="1"/>
  <c r="J31" i="51"/>
  <c r="J64" i="51" s="1"/>
  <c r="I31" i="51"/>
  <c r="I64" i="51" s="1"/>
  <c r="Q31" i="51"/>
  <c r="Q64" i="51" s="1"/>
  <c r="M31" i="51"/>
  <c r="M64" i="51" s="1"/>
  <c r="O31" i="51"/>
  <c r="O64" i="51" s="1"/>
  <c r="P31" i="51"/>
  <c r="P64" i="51" s="1"/>
  <c r="L31" i="51"/>
  <c r="L64" i="51" s="1"/>
  <c r="K31" i="51"/>
  <c r="K64" i="51" s="1"/>
  <c r="L33" i="51"/>
  <c r="L66" i="51" s="1"/>
  <c r="O33" i="51"/>
  <c r="O66" i="51" s="1"/>
  <c r="Q33" i="51"/>
  <c r="Q66" i="51" s="1"/>
  <c r="M33" i="51"/>
  <c r="M66" i="51" s="1"/>
  <c r="K33" i="51"/>
  <c r="K66" i="51" s="1"/>
  <c r="P33" i="51"/>
  <c r="P66" i="51" s="1"/>
  <c r="I33" i="51"/>
  <c r="I66" i="51" s="1"/>
  <c r="J33" i="51"/>
  <c r="J66" i="51" s="1"/>
  <c r="L34" i="51"/>
  <c r="L67" i="51" s="1"/>
  <c r="O34" i="51"/>
  <c r="O67" i="51" s="1"/>
  <c r="K34" i="51"/>
  <c r="K67" i="51" s="1"/>
  <c r="P34" i="51"/>
  <c r="P67" i="51" s="1"/>
  <c r="N34" i="51"/>
  <c r="N67" i="51" s="1"/>
  <c r="J34" i="51"/>
  <c r="J67" i="51" s="1"/>
  <c r="I34" i="51"/>
  <c r="I67" i="51" s="1"/>
  <c r="M34" i="51"/>
  <c r="M67" i="51" s="1"/>
  <c r="Q34" i="51"/>
  <c r="Q67" i="51" s="1"/>
  <c r="E35" i="51"/>
  <c r="H31" i="51"/>
  <c r="H64" i="51" s="1"/>
  <c r="F31" i="51"/>
  <c r="F64" i="51" s="1"/>
  <c r="N31" i="51"/>
  <c r="N64" i="51" s="1"/>
  <c r="N33" i="51"/>
  <c r="N66" i="51" s="1"/>
  <c r="H33" i="51"/>
  <c r="H66" i="51" s="1"/>
  <c r="O36" i="51"/>
  <c r="O69" i="51" s="1"/>
  <c r="L36" i="51"/>
  <c r="L69" i="51" s="1"/>
  <c r="P36" i="51"/>
  <c r="P69" i="51" s="1"/>
  <c r="K36" i="51"/>
  <c r="K69" i="51" s="1"/>
  <c r="I36" i="51"/>
  <c r="I69" i="51" s="1"/>
  <c r="J36" i="51"/>
  <c r="J69" i="51" s="1"/>
  <c r="Q36" i="51"/>
  <c r="Q69" i="51" s="1"/>
  <c r="M36" i="51"/>
  <c r="M69" i="51" s="1"/>
  <c r="I37" i="51"/>
  <c r="I70" i="51" s="1"/>
  <c r="L37" i="51"/>
  <c r="L70" i="51" s="1"/>
  <c r="P37" i="51"/>
  <c r="P70" i="51" s="1"/>
  <c r="J37" i="51"/>
  <c r="J70" i="51" s="1"/>
  <c r="M37" i="51"/>
  <c r="M70" i="51" s="1"/>
  <c r="O37" i="51"/>
  <c r="O70" i="51" s="1"/>
  <c r="Q37" i="51"/>
  <c r="Q70" i="51" s="1"/>
  <c r="K37" i="51"/>
  <c r="K70" i="51" s="1"/>
  <c r="J243" i="80"/>
  <c r="J244" i="80" s="1"/>
  <c r="J225" i="80"/>
  <c r="J92" i="80" s="1"/>
  <c r="I372" i="39"/>
  <c r="J370" i="39"/>
  <c r="S215" i="39"/>
  <c r="S214" i="39"/>
  <c r="K55" i="80"/>
  <c r="K58" i="80"/>
  <c r="S212" i="39"/>
  <c r="S209" i="39"/>
  <c r="T20" i="103"/>
  <c r="S211" i="39"/>
  <c r="S210" i="39"/>
  <c r="K160" i="80"/>
  <c r="K351" i="39"/>
  <c r="K345" i="39"/>
  <c r="K222" i="80"/>
  <c r="K225" i="80" s="1"/>
  <c r="N16" i="103"/>
  <c r="N31" i="103" s="1"/>
  <c r="O19" i="103"/>
  <c r="O17" i="103"/>
  <c r="M61" i="103"/>
  <c r="N62" i="103"/>
  <c r="O18" i="103"/>
  <c r="O32" i="103" s="1"/>
  <c r="O64" i="103"/>
  <c r="O21" i="103"/>
  <c r="O34" i="103" s="1"/>
  <c r="N63" i="103"/>
  <c r="O63" i="103"/>
  <c r="O20" i="103"/>
  <c r="O33" i="103" s="1"/>
  <c r="O22" i="103"/>
  <c r="O35" i="103" s="1"/>
  <c r="L62" i="80"/>
  <c r="L90" i="80"/>
  <c r="L265" i="39"/>
  <c r="O65" i="103"/>
  <c r="K88" i="80"/>
  <c r="N65" i="103"/>
  <c r="J362" i="39"/>
  <c r="J352" i="39"/>
  <c r="K255" i="39"/>
  <c r="L245" i="39"/>
  <c r="K118" i="39"/>
  <c r="M216" i="39"/>
  <c r="K35" i="51" l="1"/>
  <c r="K68" i="51" s="1"/>
  <c r="P35" i="51"/>
  <c r="P68" i="51" s="1"/>
  <c r="O35" i="51"/>
  <c r="O68" i="51" s="1"/>
  <c r="J35" i="51"/>
  <c r="J68" i="51" s="1"/>
  <c r="M35" i="51"/>
  <c r="M68" i="51" s="1"/>
  <c r="N35" i="51"/>
  <c r="N68" i="51" s="1"/>
  <c r="Q35" i="51"/>
  <c r="Q68" i="51" s="1"/>
  <c r="L35" i="51"/>
  <c r="L68" i="51" s="1"/>
  <c r="I35" i="51"/>
  <c r="I68" i="51" s="1"/>
  <c r="K165" i="80"/>
  <c r="K167" i="80" s="1"/>
  <c r="K92" i="80"/>
  <c r="K243" i="80"/>
  <c r="K244" i="80" s="1"/>
  <c r="K53" i="80"/>
  <c r="K59" i="80"/>
  <c r="T213" i="39"/>
  <c r="T209" i="39"/>
  <c r="T210" i="39"/>
  <c r="T211" i="39"/>
  <c r="T212" i="39"/>
  <c r="I381" i="39"/>
  <c r="I384" i="39" s="1"/>
  <c r="L157" i="80"/>
  <c r="L160" i="80"/>
  <c r="K352" i="39"/>
  <c r="L222" i="80"/>
  <c r="L225" i="80" s="1"/>
  <c r="P17" i="103"/>
  <c r="P19" i="103"/>
  <c r="N61" i="103"/>
  <c r="O16" i="103"/>
  <c r="O31" i="103" s="1"/>
  <c r="P18" i="103"/>
  <c r="P32" i="103" s="1"/>
  <c r="O62" i="103"/>
  <c r="P64" i="103"/>
  <c r="P21" i="103"/>
  <c r="P34" i="103" s="1"/>
  <c r="P63" i="103"/>
  <c r="P20" i="103"/>
  <c r="P33" i="103" s="1"/>
  <c r="M265" i="39"/>
  <c r="N265" i="39"/>
  <c r="P65" i="103"/>
  <c r="L88" i="80"/>
  <c r="P22" i="103"/>
  <c r="N216" i="39"/>
  <c r="J366" i="39"/>
  <c r="J372" i="39" s="1"/>
  <c r="L255" i="39"/>
  <c r="L118" i="39"/>
  <c r="P35" i="103" l="1"/>
  <c r="K166" i="80"/>
  <c r="L165" i="80"/>
  <c r="L167" i="80" s="1"/>
  <c r="L92" i="80"/>
  <c r="L243" i="80"/>
  <c r="L244" i="80" s="1"/>
  <c r="U211" i="39"/>
  <c r="U210" i="39"/>
  <c r="U209" i="39"/>
  <c r="U212" i="39"/>
  <c r="U213" i="39"/>
  <c r="M160" i="80"/>
  <c r="N160" i="80"/>
  <c r="K375" i="39"/>
  <c r="K366" i="39"/>
  <c r="P16" i="103"/>
  <c r="P31" i="103" s="1"/>
  <c r="Q19" i="103"/>
  <c r="O61" i="103"/>
  <c r="Q17" i="103"/>
  <c r="P62" i="103"/>
  <c r="Q62" i="103"/>
  <c r="Q18" i="103"/>
  <c r="Q32" i="103" s="1"/>
  <c r="Q64" i="103"/>
  <c r="Q21" i="103"/>
  <c r="Q34" i="103" s="1"/>
  <c r="Q63" i="103"/>
  <c r="Q20" i="103"/>
  <c r="Q33" i="103" s="1"/>
  <c r="Q65" i="103"/>
  <c r="O62" i="80"/>
  <c r="O90" i="80"/>
  <c r="O265" i="39"/>
  <c r="Q22" i="103"/>
  <c r="Q35" i="103" s="1"/>
  <c r="O216" i="39"/>
  <c r="L166" i="80" l="1"/>
  <c r="V209" i="39"/>
  <c r="V213" i="39"/>
  <c r="V211" i="39"/>
  <c r="V210" i="39"/>
  <c r="V212" i="39"/>
  <c r="O160" i="80"/>
  <c r="O157" i="80"/>
  <c r="K97" i="80"/>
  <c r="O245" i="39"/>
  <c r="P61" i="103"/>
  <c r="R17" i="103"/>
  <c r="R19" i="103"/>
  <c r="Q16" i="103"/>
  <c r="Q31" i="103" s="1"/>
  <c r="R62" i="103"/>
  <c r="R18" i="103"/>
  <c r="R32" i="103" s="1"/>
  <c r="R64" i="103"/>
  <c r="R21" i="103"/>
  <c r="R34" i="103" s="1"/>
  <c r="R63" i="103"/>
  <c r="R20" i="103"/>
  <c r="R33" i="103" s="1"/>
  <c r="R22" i="103"/>
  <c r="R35" i="103" s="1"/>
  <c r="P90" i="80"/>
  <c r="P62" i="80"/>
  <c r="P265" i="39"/>
  <c r="O88" i="80"/>
  <c r="P216" i="39"/>
  <c r="O165" i="80" l="1"/>
  <c r="O167" i="80" s="1"/>
  <c r="W213" i="39"/>
  <c r="W211" i="39"/>
  <c r="W210" i="39"/>
  <c r="W209" i="39"/>
  <c r="W212" i="39"/>
  <c r="J381" i="39"/>
  <c r="J384" i="39" s="1"/>
  <c r="P160" i="80"/>
  <c r="P157" i="80"/>
  <c r="O222" i="80"/>
  <c r="S19" i="103"/>
  <c r="P245" i="39"/>
  <c r="Q61" i="103"/>
  <c r="R61" i="103"/>
  <c r="R16" i="103"/>
  <c r="R31" i="103" s="1"/>
  <c r="S17" i="103"/>
  <c r="S62" i="103"/>
  <c r="S18" i="103"/>
  <c r="S32" i="103" s="1"/>
  <c r="S64" i="103"/>
  <c r="S21" i="103"/>
  <c r="S34" i="103" s="1"/>
  <c r="S63" i="103"/>
  <c r="S20" i="103"/>
  <c r="S33" i="103" s="1"/>
  <c r="S65" i="103"/>
  <c r="P186" i="39"/>
  <c r="P88" i="80"/>
  <c r="R65" i="103"/>
  <c r="S22" i="103"/>
  <c r="S35" i="103" s="1"/>
  <c r="Q245" i="39"/>
  <c r="Q216" i="39"/>
  <c r="P100" i="80" l="1"/>
  <c r="P122" i="80" s="1"/>
  <c r="C5" i="128"/>
  <c r="P165" i="80"/>
  <c r="P167" i="80" s="1"/>
  <c r="O225" i="80"/>
  <c r="O92" i="80" s="1"/>
  <c r="O243" i="80"/>
  <c r="O244" i="80" s="1"/>
  <c r="O166" i="80"/>
  <c r="X210" i="39"/>
  <c r="X211" i="39"/>
  <c r="X212" i="39"/>
  <c r="X213" i="39"/>
  <c r="X209" i="39"/>
  <c r="P222" i="80"/>
  <c r="Q222" i="80"/>
  <c r="Q243" i="80" s="1"/>
  <c r="Q244" i="80" s="1"/>
  <c r="T19" i="103"/>
  <c r="S16" i="103"/>
  <c r="S31" i="103" s="1"/>
  <c r="T17" i="103"/>
  <c r="T62" i="103"/>
  <c r="T18" i="103"/>
  <c r="T32" i="103" s="1"/>
  <c r="T21" i="103"/>
  <c r="T34" i="103" s="1"/>
  <c r="T33" i="103"/>
  <c r="T22" i="103"/>
  <c r="T35" i="103" s="1"/>
  <c r="Q90" i="80"/>
  <c r="Q62" i="80"/>
  <c r="Q265" i="39"/>
  <c r="R265" i="39"/>
  <c r="R62" i="80"/>
  <c r="R90" i="80"/>
  <c r="T65" i="103"/>
  <c r="R216" i="39"/>
  <c r="P225" i="80" l="1"/>
  <c r="P92" i="80" s="1"/>
  <c r="P243" i="80"/>
  <c r="P244" i="80" s="1"/>
  <c r="P166" i="80"/>
  <c r="Y213" i="39"/>
  <c r="Y212" i="39"/>
  <c r="Y209" i="39"/>
  <c r="Y210" i="39"/>
  <c r="Y211" i="39"/>
  <c r="Q157" i="80"/>
  <c r="Q160" i="80"/>
  <c r="R160" i="80"/>
  <c r="R157" i="80"/>
  <c r="Q225" i="80"/>
  <c r="U17" i="103"/>
  <c r="U19" i="103"/>
  <c r="T16" i="103"/>
  <c r="T31" i="103" s="1"/>
  <c r="U62" i="103"/>
  <c r="U18" i="103"/>
  <c r="U32" i="103" s="1"/>
  <c r="T63" i="103"/>
  <c r="U20" i="103"/>
  <c r="U33" i="103" s="1"/>
  <c r="Q100" i="80"/>
  <c r="Q88" i="80"/>
  <c r="S265" i="39"/>
  <c r="S62" i="80"/>
  <c r="S90" i="80"/>
  <c r="R186" i="39"/>
  <c r="R88" i="80"/>
  <c r="S216" i="39"/>
  <c r="R100" i="80" l="1"/>
  <c r="R122" i="80" s="1"/>
  <c r="E5" i="128"/>
  <c r="Q122" i="80"/>
  <c r="R165" i="80"/>
  <c r="R167" i="80" s="1"/>
  <c r="Q165" i="80"/>
  <c r="Q167" i="80" s="1"/>
  <c r="Z209" i="39"/>
  <c r="Z211" i="39"/>
  <c r="Z213" i="39"/>
  <c r="Z212" i="39"/>
  <c r="Z210" i="39"/>
  <c r="Q92" i="80"/>
  <c r="S157" i="80"/>
  <c r="S160" i="80"/>
  <c r="V17" i="103"/>
  <c r="U16" i="103"/>
  <c r="U31" i="103" s="1"/>
  <c r="V19" i="103"/>
  <c r="V62" i="103"/>
  <c r="V18" i="103"/>
  <c r="V32" i="103" s="1"/>
  <c r="V20" i="103"/>
  <c r="V33" i="103" s="1"/>
  <c r="S186" i="39"/>
  <c r="S88" i="80"/>
  <c r="S100" i="80" l="1"/>
  <c r="S122" i="80" s="1"/>
  <c r="F5" i="128"/>
  <c r="S165" i="80"/>
  <c r="S166" i="80" s="1"/>
  <c r="Q166" i="80"/>
  <c r="R166" i="80"/>
  <c r="AA213" i="39"/>
  <c r="AA211" i="39"/>
  <c r="AA209" i="39"/>
  <c r="AA210" i="39"/>
  <c r="AA212" i="39"/>
  <c r="W17" i="103"/>
  <c r="W19" i="103"/>
  <c r="V16" i="103"/>
  <c r="V31" i="103" s="1"/>
  <c r="W62" i="103"/>
  <c r="W18" i="103"/>
  <c r="W32" i="103" s="1"/>
  <c r="W20" i="103"/>
  <c r="W33" i="103" s="1"/>
  <c r="S167" i="80" l="1"/>
  <c r="AB212" i="39"/>
  <c r="AB209" i="39"/>
  <c r="AB211" i="39"/>
  <c r="AB213" i="39"/>
  <c r="AB210" i="39"/>
  <c r="X19" i="103"/>
  <c r="X17" i="103"/>
  <c r="W16" i="103"/>
  <c r="W31" i="103" s="1"/>
  <c r="X62" i="103"/>
  <c r="X18" i="103"/>
  <c r="X32" i="103" s="1"/>
  <c r="X20" i="103"/>
  <c r="X33" i="103" s="1"/>
  <c r="AC211" i="39" l="1"/>
  <c r="AC209" i="39"/>
  <c r="AC210" i="39"/>
  <c r="AC213" i="39"/>
  <c r="AC212" i="39"/>
  <c r="Y17" i="103"/>
  <c r="X16" i="103"/>
  <c r="X31" i="103" s="1"/>
  <c r="Y19" i="103"/>
  <c r="Y18" i="103"/>
  <c r="Y32" i="103" s="1"/>
  <c r="Y20" i="103"/>
  <c r="Y33" i="103" s="1"/>
  <c r="AD212" i="39" l="1"/>
  <c r="AD209" i="39"/>
  <c r="AD210" i="39"/>
  <c r="AD213" i="39"/>
  <c r="AD211" i="39"/>
  <c r="Y16" i="103"/>
  <c r="Y31" i="103" s="1"/>
  <c r="Z17" i="103"/>
  <c r="Z19" i="103"/>
  <c r="Z18" i="103"/>
  <c r="Z32" i="103" s="1"/>
  <c r="Y62" i="103"/>
  <c r="Z20" i="103"/>
  <c r="Z33" i="103" s="1"/>
  <c r="AE210" i="39" l="1"/>
  <c r="AE209" i="39"/>
  <c r="AE211" i="39"/>
  <c r="AE212" i="39"/>
  <c r="AE213" i="39"/>
  <c r="Z16" i="103"/>
  <c r="Z31" i="103" s="1"/>
  <c r="AA17" i="103"/>
  <c r="AA19" i="103"/>
  <c r="AA62" i="103"/>
  <c r="Z62" i="103"/>
  <c r="AA18" i="103"/>
  <c r="AA32" i="103" s="1"/>
  <c r="AA20" i="103"/>
  <c r="AA33" i="103" s="1"/>
  <c r="I67" i="80"/>
  <c r="AB17" i="103" l="1"/>
  <c r="AA16" i="103"/>
  <c r="AA31" i="103" s="1"/>
  <c r="AB19" i="103"/>
  <c r="AB62" i="103"/>
  <c r="AB18" i="103"/>
  <c r="AB32" i="103" s="1"/>
  <c r="AB20" i="103"/>
  <c r="AB33" i="103" s="1"/>
  <c r="J67" i="80"/>
  <c r="AC19" i="103" l="1"/>
  <c r="AC17" i="103"/>
  <c r="AB16" i="103"/>
  <c r="AB31" i="103" s="1"/>
  <c r="AC62" i="103"/>
  <c r="AC18" i="103"/>
  <c r="AC32" i="103" s="1"/>
  <c r="AC20" i="103"/>
  <c r="AC33" i="103" s="1"/>
  <c r="F13" i="39"/>
  <c r="F159" i="80" s="1"/>
  <c r="H13" i="39"/>
  <c r="H159" i="80" s="1"/>
  <c r="J13" i="39"/>
  <c r="J159" i="80" s="1"/>
  <c r="G13" i="39"/>
  <c r="G159" i="80" s="1"/>
  <c r="I13" i="39"/>
  <c r="I159" i="80" s="1"/>
  <c r="H62" i="80" l="1"/>
  <c r="I62" i="80"/>
  <c r="G62" i="80"/>
  <c r="F62" i="80"/>
  <c r="AD17" i="103"/>
  <c r="AC16" i="103"/>
  <c r="AC31" i="103" s="1"/>
  <c r="AD19" i="103"/>
  <c r="AD62" i="103"/>
  <c r="AD18" i="103"/>
  <c r="AD32" i="103" s="1"/>
  <c r="AD20" i="103"/>
  <c r="AD33" i="103" s="1"/>
  <c r="J185" i="39"/>
  <c r="J62" i="80"/>
  <c r="I185" i="39"/>
  <c r="H185" i="39"/>
  <c r="H90" i="80"/>
  <c r="J90" i="80"/>
  <c r="G90" i="80"/>
  <c r="G185" i="39"/>
  <c r="F185" i="39"/>
  <c r="F90" i="80"/>
  <c r="I90" i="80"/>
  <c r="F157" i="80" l="1"/>
  <c r="F165" i="80" s="1"/>
  <c r="G157" i="80"/>
  <c r="G165" i="80" s="1"/>
  <c r="H157" i="80"/>
  <c r="J157" i="80"/>
  <c r="I157" i="80"/>
  <c r="AD16" i="103"/>
  <c r="AD31" i="103" s="1"/>
  <c r="AF19" i="103"/>
  <c r="AE19" i="103"/>
  <c r="AF17" i="103"/>
  <c r="AE17" i="103"/>
  <c r="AF18" i="103"/>
  <c r="AF32" i="103" s="1"/>
  <c r="AE18" i="103"/>
  <c r="AE32" i="103" s="1"/>
  <c r="AF20" i="103"/>
  <c r="AF33" i="103" s="1"/>
  <c r="AE20" i="103"/>
  <c r="AE33" i="103" s="1"/>
  <c r="H88" i="80"/>
  <c r="F88" i="80"/>
  <c r="J88" i="80"/>
  <c r="G88" i="80"/>
  <c r="I88" i="80"/>
  <c r="H165" i="80" l="1"/>
  <c r="H167" i="80" s="1"/>
  <c r="I165" i="80"/>
  <c r="I167" i="80" s="1"/>
  <c r="J165" i="80"/>
  <c r="J166" i="80" s="1"/>
  <c r="G167" i="80"/>
  <c r="F167" i="80"/>
  <c r="G166" i="80"/>
  <c r="F166" i="80"/>
  <c r="AF16" i="103"/>
  <c r="AF31" i="103" s="1"/>
  <c r="AE16" i="103"/>
  <c r="AE31" i="103" s="1"/>
  <c r="AE62" i="103"/>
  <c r="I103" i="80"/>
  <c r="I125" i="80" s="1"/>
  <c r="F17" i="39"/>
  <c r="H17" i="39"/>
  <c r="G17" i="39"/>
  <c r="I166" i="80" l="1"/>
  <c r="J167" i="80"/>
  <c r="H166" i="80"/>
  <c r="F171" i="80"/>
  <c r="G171" i="80"/>
  <c r="H171" i="80"/>
  <c r="G186" i="39"/>
  <c r="H186" i="39"/>
  <c r="F186" i="39"/>
  <c r="AF62" i="103"/>
  <c r="I17" i="39"/>
  <c r="J17" i="39"/>
  <c r="H100" i="80" l="1"/>
  <c r="H101" i="80"/>
  <c r="G100" i="80"/>
  <c r="G101" i="80"/>
  <c r="F100" i="80"/>
  <c r="F101" i="80"/>
  <c r="I171" i="80"/>
  <c r="J171" i="80"/>
  <c r="G389" i="39"/>
  <c r="F389" i="39"/>
  <c r="H389" i="39"/>
  <c r="G102" i="80"/>
  <c r="H102" i="80"/>
  <c r="F102" i="80"/>
  <c r="J186" i="39"/>
  <c r="I186" i="39"/>
  <c r="F99" i="80"/>
  <c r="F97" i="80"/>
  <c r="F96" i="80"/>
  <c r="G99" i="80"/>
  <c r="G97" i="80"/>
  <c r="G96" i="80"/>
  <c r="H99" i="80"/>
  <c r="H97" i="80"/>
  <c r="H96" i="80"/>
  <c r="F122" i="80" l="1"/>
  <c r="J101" i="80"/>
  <c r="J100" i="80"/>
  <c r="G122" i="80"/>
  <c r="I100" i="80"/>
  <c r="I101" i="80"/>
  <c r="H122" i="80"/>
  <c r="I389" i="39"/>
  <c r="J389" i="39"/>
  <c r="J97" i="80"/>
  <c r="J99" i="80"/>
  <c r="J102" i="80"/>
  <c r="I96" i="80"/>
  <c r="I99" i="80"/>
  <c r="I102" i="80"/>
  <c r="J96" i="80"/>
  <c r="I97" i="80"/>
  <c r="J122" i="80" l="1"/>
  <c r="I122" i="80"/>
  <c r="K376" i="39"/>
  <c r="I98" i="80" l="1"/>
  <c r="H98" i="80"/>
  <c r="G98" i="80"/>
  <c r="F98" i="80"/>
  <c r="F103" i="80"/>
  <c r="F125" i="80" s="1"/>
  <c r="H103" i="80"/>
  <c r="H125" i="80" s="1"/>
  <c r="G103" i="80"/>
  <c r="G125" i="80" s="1"/>
  <c r="J103" i="80"/>
  <c r="J125" i="80" s="1"/>
  <c r="G387" i="39"/>
  <c r="I387" i="39"/>
  <c r="F387" i="39"/>
  <c r="J387" i="39"/>
  <c r="H384" i="39"/>
  <c r="H387" i="39"/>
  <c r="G388" i="39"/>
  <c r="G384" i="39"/>
  <c r="I388" i="39"/>
  <c r="J98" i="80" l="1"/>
  <c r="J388" i="39"/>
  <c r="I390" i="39"/>
  <c r="F388" i="39"/>
  <c r="F384" i="39"/>
  <c r="H388" i="39"/>
  <c r="H390" i="39"/>
  <c r="G390" i="39"/>
  <c r="I394" i="39" l="1"/>
  <c r="H394" i="39"/>
  <c r="G394" i="39"/>
  <c r="I52" i="80"/>
  <c r="I151" i="80" s="1"/>
  <c r="G52" i="80"/>
  <c r="G151" i="80" s="1"/>
  <c r="H52" i="80"/>
  <c r="H151" i="80" s="1"/>
  <c r="H61" i="80"/>
  <c r="I61" i="80"/>
  <c r="G61" i="80"/>
  <c r="K377" i="39"/>
  <c r="J390" i="39"/>
  <c r="I66" i="80"/>
  <c r="G66" i="80"/>
  <c r="H66" i="80"/>
  <c r="I60" i="80"/>
  <c r="G104" i="80"/>
  <c r="G60" i="80"/>
  <c r="H60" i="80"/>
  <c r="F390" i="39"/>
  <c r="G393" i="39"/>
  <c r="H104" i="80"/>
  <c r="H393" i="39"/>
  <c r="I104" i="80"/>
  <c r="I393" i="39"/>
  <c r="I126" i="80" l="1"/>
  <c r="G126" i="80"/>
  <c r="H126" i="80"/>
  <c r="J394" i="39"/>
  <c r="F394" i="39"/>
  <c r="F52" i="80"/>
  <c r="F151" i="80" s="1"/>
  <c r="J52" i="80"/>
  <c r="J151" i="80" s="1"/>
  <c r="F61" i="80"/>
  <c r="K378" i="39"/>
  <c r="J61" i="80"/>
  <c r="G65" i="80"/>
  <c r="I65" i="80"/>
  <c r="H65" i="80"/>
  <c r="J66" i="80"/>
  <c r="J393" i="39"/>
  <c r="J104" i="80"/>
  <c r="J60" i="80"/>
  <c r="F104" i="80"/>
  <c r="F393" i="39"/>
  <c r="F60" i="80"/>
  <c r="H64" i="80"/>
  <c r="G64" i="80"/>
  <c r="I64" i="80"/>
  <c r="F126" i="80" l="1"/>
  <c r="J126" i="80"/>
  <c r="J65" i="80"/>
  <c r="F65" i="80"/>
  <c r="F66" i="80"/>
  <c r="J64" i="80"/>
  <c r="F64" i="80"/>
  <c r="K103" i="80" l="1"/>
  <c r="K125" i="80" s="1"/>
  <c r="L103" i="80" l="1"/>
  <c r="L125" i="80" s="1"/>
  <c r="K66" i="80" l="1"/>
  <c r="M103" i="80" l="1"/>
  <c r="M125" i="80" s="1"/>
  <c r="L66" i="80" l="1"/>
  <c r="N103" i="80" l="1"/>
  <c r="N125" i="80" s="1"/>
  <c r="O66" i="80" l="1"/>
  <c r="P66" i="80" l="1"/>
  <c r="Q66" i="80" l="1"/>
  <c r="R66" i="80" l="1"/>
  <c r="S66" i="80" l="1"/>
  <c r="K67" i="80" l="1"/>
  <c r="K99" i="80"/>
  <c r="L67" i="80" l="1"/>
  <c r="L389" i="39"/>
  <c r="L99" i="80"/>
  <c r="L181" i="39" l="1"/>
  <c r="L182" i="39"/>
  <c r="L368" i="39" s="1"/>
  <c r="L183" i="39"/>
  <c r="L420" i="39" l="1"/>
  <c r="L421" i="39"/>
  <c r="L422" i="39"/>
  <c r="L417" i="39"/>
  <c r="L418" i="39"/>
  <c r="L423" i="39"/>
  <c r="L419" i="39"/>
  <c r="L341" i="39"/>
  <c r="L340" i="39"/>
  <c r="L339" i="39"/>
  <c r="L335" i="39"/>
  <c r="L336" i="39"/>
  <c r="L337" i="39"/>
  <c r="L338" i="39"/>
  <c r="L369" i="39"/>
  <c r="L101" i="80" s="1"/>
  <c r="L63" i="80"/>
  <c r="L325" i="39"/>
  <c r="L329" i="39"/>
  <c r="L326" i="39"/>
  <c r="L330" i="39"/>
  <c r="L327" i="39"/>
  <c r="L331" i="39"/>
  <c r="L328" i="39"/>
  <c r="L424" i="39" l="1"/>
  <c r="L345" i="39"/>
  <c r="L342" i="39"/>
  <c r="L349" i="39"/>
  <c r="L346" i="39"/>
  <c r="L351" i="39"/>
  <c r="L348" i="39"/>
  <c r="L347" i="39"/>
  <c r="L350" i="39"/>
  <c r="L332" i="39"/>
  <c r="L352" i="39" l="1"/>
  <c r="L57" i="80"/>
  <c r="L56" i="80"/>
  <c r="L53" i="80"/>
  <c r="L59" i="80"/>
  <c r="L55" i="80"/>
  <c r="L366" i="39" l="1"/>
  <c r="L375" i="39"/>
  <c r="L54" i="80"/>
  <c r="L58" i="80"/>
  <c r="L97" i="80" l="1"/>
  <c r="O182" i="39" l="1"/>
  <c r="T172" i="39"/>
  <c r="O368" i="39" l="1"/>
  <c r="W172" i="39"/>
  <c r="U172" i="39"/>
  <c r="V172" i="39"/>
  <c r="AB172" i="39" l="1"/>
  <c r="AA172" i="39"/>
  <c r="X172" i="39"/>
  <c r="Y172" i="39"/>
  <c r="Z172" i="39"/>
  <c r="L150" i="80" l="1"/>
  <c r="L143" i="80"/>
  <c r="AC172" i="39"/>
  <c r="AD172" i="39"/>
  <c r="K150" i="80" l="1"/>
  <c r="K143" i="80"/>
  <c r="AE172" i="39"/>
  <c r="J150" i="80" l="1"/>
  <c r="J143" i="80"/>
  <c r="J149" i="80"/>
  <c r="J144" i="80"/>
  <c r="J132" i="80"/>
  <c r="J177" i="80"/>
  <c r="J184" i="80" l="1"/>
  <c r="J192" i="80" s="1"/>
  <c r="J183" i="80"/>
  <c r="J191" i="80" s="1"/>
  <c r="J182" i="80"/>
  <c r="J190" i="80" s="1"/>
  <c r="J185" i="80"/>
  <c r="J193" i="80" s="1"/>
  <c r="J180" i="80"/>
  <c r="J188" i="80" s="1"/>
  <c r="J181" i="80"/>
  <c r="J189" i="80" s="1"/>
  <c r="I150" i="80"/>
  <c r="I143" i="80"/>
  <c r="I132" i="80"/>
  <c r="I177" i="80"/>
  <c r="I149" i="80"/>
  <c r="I144" i="80"/>
  <c r="H177" i="80" l="1"/>
  <c r="H180" i="80" s="1"/>
  <c r="H188" i="80" s="1"/>
  <c r="H132" i="80"/>
  <c r="H144" i="80"/>
  <c r="H149" i="80"/>
  <c r="J195" i="80"/>
  <c r="J196" i="80" s="1"/>
  <c r="H150" i="80"/>
  <c r="H143" i="80"/>
  <c r="I182" i="80"/>
  <c r="I190" i="80" s="1"/>
  <c r="I180" i="80"/>
  <c r="I188" i="80" s="1"/>
  <c r="I184" i="80"/>
  <c r="I192" i="80" s="1"/>
  <c r="I183" i="80"/>
  <c r="I191" i="80" s="1"/>
  <c r="I181" i="80"/>
  <c r="I189" i="80" s="1"/>
  <c r="I185" i="80"/>
  <c r="I193" i="80" s="1"/>
  <c r="H185" i="80" l="1"/>
  <c r="H193" i="80" s="1"/>
  <c r="H182" i="80"/>
  <c r="H190" i="80" s="1"/>
  <c r="H183" i="80"/>
  <c r="H191" i="80" s="1"/>
  <c r="H181" i="80"/>
  <c r="H189" i="80" s="1"/>
  <c r="H184" i="80"/>
  <c r="H192" i="80" s="1"/>
  <c r="I195" i="80"/>
  <c r="I196" i="80" s="1"/>
  <c r="G132" i="80"/>
  <c r="G177" i="80"/>
  <c r="G150" i="80"/>
  <c r="G143" i="80"/>
  <c r="G149" i="80"/>
  <c r="G144" i="80"/>
  <c r="H195" i="80" l="1"/>
  <c r="H196" i="80" s="1"/>
  <c r="F177" i="80"/>
  <c r="F132" i="80"/>
  <c r="F143" i="80"/>
  <c r="F150" i="80"/>
  <c r="F144" i="80"/>
  <c r="F149" i="80"/>
  <c r="G180" i="80"/>
  <c r="G188" i="80" s="1"/>
  <c r="G183" i="80"/>
  <c r="G191" i="80" s="1"/>
  <c r="G182" i="80"/>
  <c r="G190" i="80" s="1"/>
  <c r="G181" i="80"/>
  <c r="G189" i="80" s="1"/>
  <c r="G184" i="80"/>
  <c r="G192" i="80" s="1"/>
  <c r="G185" i="80"/>
  <c r="G193" i="80" s="1"/>
  <c r="F180" i="80" l="1"/>
  <c r="F188" i="80" s="1"/>
  <c r="F184" i="80"/>
  <c r="F192" i="80" s="1"/>
  <c r="F182" i="80"/>
  <c r="F190" i="80" s="1"/>
  <c r="F181" i="80"/>
  <c r="F189" i="80" s="1"/>
  <c r="F185" i="80"/>
  <c r="F193" i="80" s="1"/>
  <c r="F183" i="80"/>
  <c r="F191" i="80" s="1"/>
  <c r="G195" i="80"/>
  <c r="G196" i="80" s="1"/>
  <c r="F195" i="80" l="1"/>
  <c r="F196" i="80" s="1"/>
  <c r="U62" i="39" l="1"/>
  <c r="U404" i="39" s="1"/>
  <c r="X62" i="39"/>
  <c r="X404" i="39" s="1"/>
  <c r="AE62" i="39"/>
  <c r="AE404" i="39" s="1"/>
  <c r="V62" i="39"/>
  <c r="V404" i="39" s="1"/>
  <c r="Z62" i="39"/>
  <c r="Z404" i="39" s="1"/>
  <c r="AD62" i="39"/>
  <c r="AD404" i="39" s="1"/>
  <c r="W62" i="39"/>
  <c r="W404" i="39" s="1"/>
  <c r="Y62" i="39"/>
  <c r="Y404" i="39" s="1"/>
  <c r="AB62" i="39"/>
  <c r="AB404" i="39" s="1"/>
  <c r="AC62" i="39"/>
  <c r="AC404" i="39" s="1"/>
  <c r="AA62" i="39"/>
  <c r="AA404" i="39" s="1"/>
  <c r="T62" i="39"/>
  <c r="T404" i="39" s="1"/>
  <c r="Y413" i="39" l="1"/>
  <c r="AD413" i="39"/>
  <c r="AE413" i="39"/>
  <c r="Z413" i="39"/>
  <c r="T413" i="39"/>
  <c r="V413" i="39"/>
  <c r="X413" i="39"/>
  <c r="W413" i="39"/>
  <c r="AA413" i="39"/>
  <c r="AC413" i="39"/>
  <c r="AB413" i="39"/>
  <c r="U413" i="39"/>
  <c r="AC179" i="103"/>
  <c r="AE179" i="103"/>
  <c r="X179" i="103"/>
  <c r="U179" i="103"/>
  <c r="Y179" i="103"/>
  <c r="W179" i="103"/>
  <c r="V179" i="103"/>
  <c r="Z179" i="103"/>
  <c r="AA179" i="103"/>
  <c r="AD179" i="103"/>
  <c r="AB179" i="103"/>
  <c r="AF179" i="103"/>
  <c r="Y205" i="39"/>
  <c r="Z159" i="103" s="1"/>
  <c r="Z166" i="103" s="1"/>
  <c r="AC205" i="39"/>
  <c r="AC206" i="39" s="1"/>
  <c r="AD205" i="39"/>
  <c r="AE159" i="103" s="1"/>
  <c r="AE166" i="103" s="1"/>
  <c r="W151" i="103"/>
  <c r="W167" i="103" s="1"/>
  <c r="AE205" i="39"/>
  <c r="AF159" i="103" s="1"/>
  <c r="AF166" i="103" s="1"/>
  <c r="U225" i="39"/>
  <c r="AC151" i="103"/>
  <c r="AC167" i="103" s="1"/>
  <c r="AB205" i="39"/>
  <c r="Z225" i="39"/>
  <c r="X225" i="39"/>
  <c r="AC225" i="39"/>
  <c r="AD225" i="39"/>
  <c r="Y225" i="39"/>
  <c r="V225" i="39"/>
  <c r="U151" i="103"/>
  <c r="U167" i="103" s="1"/>
  <c r="T205" i="39"/>
  <c r="AB225" i="39"/>
  <c r="AA225" i="39"/>
  <c r="AE225" i="39"/>
  <c r="W225" i="39"/>
  <c r="T225" i="39"/>
  <c r="T234" i="39"/>
  <c r="U234" i="39"/>
  <c r="V234" i="39"/>
  <c r="AA234" i="39"/>
  <c r="AD234" i="39"/>
  <c r="X234" i="39"/>
  <c r="Y234" i="39"/>
  <c r="AB234" i="39"/>
  <c r="AE234" i="39"/>
  <c r="W234" i="39"/>
  <c r="AC234" i="39"/>
  <c r="Z234" i="39"/>
  <c r="X205" i="39"/>
  <c r="Y151" i="103"/>
  <c r="Y167" i="103" s="1"/>
  <c r="Z205" i="39"/>
  <c r="AA151" i="103"/>
  <c r="AA167" i="103" s="1"/>
  <c r="U205" i="39"/>
  <c r="V151" i="103"/>
  <c r="V167" i="103" s="1"/>
  <c r="AB151" i="103"/>
  <c r="AB167" i="103" s="1"/>
  <c r="AA205" i="39"/>
  <c r="W205" i="39"/>
  <c r="X151" i="103"/>
  <c r="X167" i="103" s="1"/>
  <c r="Z151" i="103"/>
  <c r="Z167" i="103" s="1"/>
  <c r="AE151" i="103"/>
  <c r="AE167" i="103" s="1"/>
  <c r="V205" i="39"/>
  <c r="AF151" i="103"/>
  <c r="AF167" i="103" s="1"/>
  <c r="AD151" i="103"/>
  <c r="AD167" i="103" s="1"/>
  <c r="T433" i="39" l="1"/>
  <c r="X433" i="39"/>
  <c r="U433" i="39"/>
  <c r="V433" i="39"/>
  <c r="Z433" i="39"/>
  <c r="AD433" i="39"/>
  <c r="AA433" i="39"/>
  <c r="W433" i="39"/>
  <c r="AB433" i="39"/>
  <c r="AE433" i="39"/>
  <c r="AC433" i="39"/>
  <c r="Y433" i="39"/>
  <c r="Y206" i="39"/>
  <c r="AD206" i="39"/>
  <c r="AE206" i="39"/>
  <c r="AD159" i="103"/>
  <c r="AD166" i="103" s="1"/>
  <c r="AD165" i="103" s="1"/>
  <c r="AD168" i="103" s="1"/>
  <c r="AB206" i="39"/>
  <c r="AC159" i="103"/>
  <c r="AC166" i="103" s="1"/>
  <c r="AC165" i="103" s="1"/>
  <c r="AC168" i="103" s="1"/>
  <c r="AF165" i="103"/>
  <c r="AF168" i="103" s="1"/>
  <c r="Z165" i="103"/>
  <c r="Z168" i="103" s="1"/>
  <c r="Y52" i="103"/>
  <c r="Y65" i="103" s="1"/>
  <c r="X244" i="39"/>
  <c r="X264" i="39"/>
  <c r="U159" i="103"/>
  <c r="U166" i="103" s="1"/>
  <c r="U165" i="103" s="1"/>
  <c r="U168" i="103" s="1"/>
  <c r="T215" i="39"/>
  <c r="X206" i="39"/>
  <c r="Y159" i="103"/>
  <c r="Y166" i="103" s="1"/>
  <c r="Y165" i="103" s="1"/>
  <c r="Y168" i="103" s="1"/>
  <c r="U52" i="103"/>
  <c r="U65" i="103" s="1"/>
  <c r="T244" i="39"/>
  <c r="T264" i="39"/>
  <c r="W159" i="103"/>
  <c r="W166" i="103" s="1"/>
  <c r="W165" i="103" s="1"/>
  <c r="W168" i="103" s="1"/>
  <c r="V206" i="39"/>
  <c r="X52" i="103"/>
  <c r="X65" i="103" s="1"/>
  <c r="W244" i="39"/>
  <c r="W264" i="39"/>
  <c r="AE52" i="103"/>
  <c r="AE65" i="103" s="1"/>
  <c r="AD244" i="39"/>
  <c r="AD264" i="39"/>
  <c r="AE165" i="103"/>
  <c r="AE168" i="103" s="1"/>
  <c r="X159" i="103"/>
  <c r="X166" i="103" s="1"/>
  <c r="X165" i="103" s="1"/>
  <c r="X168" i="103" s="1"/>
  <c r="W206" i="39"/>
  <c r="V159" i="103"/>
  <c r="V166" i="103" s="1"/>
  <c r="V165" i="103" s="1"/>
  <c r="V168" i="103" s="1"/>
  <c r="AF52" i="103"/>
  <c r="AF65" i="103" s="1"/>
  <c r="AE244" i="39"/>
  <c r="AE264" i="39"/>
  <c r="AB52" i="103"/>
  <c r="AB65" i="103" s="1"/>
  <c r="AA244" i="39"/>
  <c r="AA264" i="39"/>
  <c r="AB159" i="103"/>
  <c r="AB166" i="103" s="1"/>
  <c r="AB165" i="103" s="1"/>
  <c r="AB168" i="103" s="1"/>
  <c r="AA206" i="39"/>
  <c r="AA52" i="103"/>
  <c r="AA65" i="103" s="1"/>
  <c r="Z244" i="39"/>
  <c r="Z264" i="39"/>
  <c r="W52" i="103"/>
  <c r="W65" i="103" s="1"/>
  <c r="V264" i="39"/>
  <c r="V244" i="39"/>
  <c r="AD52" i="103"/>
  <c r="AD65" i="103" s="1"/>
  <c r="AC244" i="39"/>
  <c r="AC264" i="39"/>
  <c r="AC52" i="103"/>
  <c r="AC65" i="103" s="1"/>
  <c r="AB244" i="39"/>
  <c r="AB264" i="39"/>
  <c r="V52" i="103"/>
  <c r="V65" i="103" s="1"/>
  <c r="U244" i="39"/>
  <c r="U264" i="39"/>
  <c r="Z206" i="39"/>
  <c r="AA159" i="103"/>
  <c r="AA166" i="103" s="1"/>
  <c r="AA165" i="103" s="1"/>
  <c r="AA168" i="103" s="1"/>
  <c r="Z52" i="103"/>
  <c r="Z65" i="103" s="1"/>
  <c r="Y244" i="39"/>
  <c r="Y264" i="39"/>
  <c r="AA311" i="39" l="1"/>
  <c r="AA312" i="39" s="1"/>
  <c r="X311" i="39"/>
  <c r="X312" i="39" s="1"/>
  <c r="AB311" i="39"/>
  <c r="AB312" i="39" s="1"/>
  <c r="Z311" i="39"/>
  <c r="Z312" i="39" s="1"/>
  <c r="AC311" i="39"/>
  <c r="AC312" i="39" s="1"/>
  <c r="AE311" i="39"/>
  <c r="AE312" i="39" s="1"/>
  <c r="AD311" i="39"/>
  <c r="AD312" i="39" s="1"/>
  <c r="T311" i="39"/>
  <c r="T312" i="39" s="1"/>
  <c r="U311" i="39"/>
  <c r="U312" i="39" s="1"/>
  <c r="W311" i="39"/>
  <c r="W312" i="39" s="1"/>
  <c r="V311" i="39"/>
  <c r="V312" i="39" s="1"/>
  <c r="Y311" i="39"/>
  <c r="Y312" i="39" s="1"/>
  <c r="AD90" i="80"/>
  <c r="AD62" i="80"/>
  <c r="AD185" i="39"/>
  <c r="AD265" i="39"/>
  <c r="AD160" i="80" s="1"/>
  <c r="AB90" i="80"/>
  <c r="AB62" i="80"/>
  <c r="AB265" i="39"/>
  <c r="AB160" i="80" s="1"/>
  <c r="AB185" i="39"/>
  <c r="AA90" i="80"/>
  <c r="AA62" i="80"/>
  <c r="AA185" i="39"/>
  <c r="AA265" i="39"/>
  <c r="AA160" i="80" s="1"/>
  <c r="AE45" i="103"/>
  <c r="AE60" i="103" s="1"/>
  <c r="X90" i="80"/>
  <c r="X62" i="80"/>
  <c r="X185" i="39"/>
  <c r="X265" i="39"/>
  <c r="X160" i="80" s="1"/>
  <c r="AB45" i="103"/>
  <c r="AB60" i="103" s="1"/>
  <c r="Y45" i="103"/>
  <c r="Y60" i="103" s="1"/>
  <c r="W45" i="103"/>
  <c r="W60" i="103" s="1"/>
  <c r="Z90" i="80"/>
  <c r="Z62" i="80"/>
  <c r="Z265" i="39"/>
  <c r="Z160" i="80" s="1"/>
  <c r="Z185" i="39"/>
  <c r="V90" i="80"/>
  <c r="V62" i="80"/>
  <c r="V265" i="39"/>
  <c r="V160" i="80" s="1"/>
  <c r="V185" i="39"/>
  <c r="AA45" i="103"/>
  <c r="AA60" i="103" s="1"/>
  <c r="W62" i="80"/>
  <c r="W90" i="80"/>
  <c r="W265" i="39"/>
  <c r="W160" i="80" s="1"/>
  <c r="W185" i="39"/>
  <c r="AC45" i="103"/>
  <c r="AC60" i="103" s="1"/>
  <c r="AC90" i="80"/>
  <c r="AC62" i="80"/>
  <c r="AC185" i="39"/>
  <c r="AC265" i="39"/>
  <c r="AC160" i="80" s="1"/>
  <c r="AE90" i="80"/>
  <c r="AE62" i="80"/>
  <c r="AE185" i="39"/>
  <c r="AE265" i="39"/>
  <c r="AE160" i="80" s="1"/>
  <c r="X45" i="103"/>
  <c r="X60" i="103" s="1"/>
  <c r="T62" i="80"/>
  <c r="T90" i="80"/>
  <c r="T265" i="39"/>
  <c r="T160" i="80" s="1"/>
  <c r="T185" i="39"/>
  <c r="U215" i="39"/>
  <c r="U22" i="103"/>
  <c r="U35" i="103" s="1"/>
  <c r="U90" i="80"/>
  <c r="U62" i="80"/>
  <c r="U265" i="39"/>
  <c r="U160" i="80" s="1"/>
  <c r="U185" i="39"/>
  <c r="Y90" i="80"/>
  <c r="Y62" i="80"/>
  <c r="Y185" i="39"/>
  <c r="Y265" i="39"/>
  <c r="Y160" i="80" s="1"/>
  <c r="AD45" i="103"/>
  <c r="AD60" i="103" s="1"/>
  <c r="U45" i="103"/>
  <c r="U60" i="103" s="1"/>
  <c r="V45" i="103"/>
  <c r="V60" i="103" s="1"/>
  <c r="AF45" i="103"/>
  <c r="AF60" i="103" s="1"/>
  <c r="Z45" i="103"/>
  <c r="Z60" i="103" s="1"/>
  <c r="AE66" i="80" l="1"/>
  <c r="V88" i="80"/>
  <c r="V157" i="80"/>
  <c r="V186" i="39"/>
  <c r="U88" i="80"/>
  <c r="U157" i="80"/>
  <c r="U186" i="39"/>
  <c r="W88" i="80"/>
  <c r="W186" i="39"/>
  <c r="W157" i="80"/>
  <c r="T66" i="80"/>
  <c r="V66" i="80"/>
  <c r="U66" i="80"/>
  <c r="AC88" i="80"/>
  <c r="AC186" i="39"/>
  <c r="AC100" i="80" s="1"/>
  <c r="AC157" i="80"/>
  <c r="AC66" i="80"/>
  <c r="W66" i="80"/>
  <c r="Z88" i="80"/>
  <c r="Z186" i="39"/>
  <c r="Z157" i="80"/>
  <c r="AB88" i="80"/>
  <c r="AB186" i="39"/>
  <c r="AB100" i="80" s="1"/>
  <c r="AB157" i="80"/>
  <c r="AD88" i="80"/>
  <c r="AD186" i="39"/>
  <c r="AD100" i="80" s="1"/>
  <c r="AD157" i="80"/>
  <c r="V215" i="39"/>
  <c r="V22" i="103"/>
  <c r="V35" i="103" s="1"/>
  <c r="X88" i="80"/>
  <c r="X186" i="39"/>
  <c r="X157" i="80"/>
  <c r="AD66" i="80"/>
  <c r="Y88" i="80"/>
  <c r="Y157" i="80"/>
  <c r="Y186" i="39"/>
  <c r="Z66" i="80"/>
  <c r="X66" i="80"/>
  <c r="AA88" i="80"/>
  <c r="AA186" i="39"/>
  <c r="AA100" i="80" s="1"/>
  <c r="AA157" i="80"/>
  <c r="AB66" i="80"/>
  <c r="Y66" i="80"/>
  <c r="T157" i="80"/>
  <c r="T88" i="80"/>
  <c r="T186" i="39"/>
  <c r="AE88" i="80"/>
  <c r="AE186" i="39"/>
  <c r="AE100" i="80" s="1"/>
  <c r="AE157" i="80"/>
  <c r="AA66" i="80"/>
  <c r="U100" i="80" l="1"/>
  <c r="U122" i="80" s="1"/>
  <c r="H5" i="128"/>
  <c r="X100" i="80"/>
  <c r="X122" i="80" s="1"/>
  <c r="K5" i="128"/>
  <c r="V100" i="80"/>
  <c r="V122" i="80" s="1"/>
  <c r="I5" i="128"/>
  <c r="Z100" i="80"/>
  <c r="Z122" i="80" s="1"/>
  <c r="M5" i="128"/>
  <c r="T100" i="80"/>
  <c r="T122" i="80" s="1"/>
  <c r="G5" i="128"/>
  <c r="Y100" i="80"/>
  <c r="Y122" i="80" s="1"/>
  <c r="L5" i="128"/>
  <c r="W100" i="80"/>
  <c r="W122" i="80" s="1"/>
  <c r="J5" i="128"/>
  <c r="AA122" i="80"/>
  <c r="AC122" i="80"/>
  <c r="AB122" i="80"/>
  <c r="AD122" i="80"/>
  <c r="AE122" i="80"/>
  <c r="U165" i="80"/>
  <c r="U166" i="80" s="1"/>
  <c r="AB165" i="80"/>
  <c r="AB166" i="80" s="1"/>
  <c r="Z165" i="80"/>
  <c r="Z166" i="80" s="1"/>
  <c r="W165" i="80"/>
  <c r="W166" i="80" s="1"/>
  <c r="AA165" i="80"/>
  <c r="AA166" i="80" s="1"/>
  <c r="X165" i="80"/>
  <c r="X166" i="80" s="1"/>
  <c r="AE165" i="80"/>
  <c r="AE166" i="80" s="1"/>
  <c r="Y165" i="80"/>
  <c r="Y166" i="80" s="1"/>
  <c r="AD165" i="80"/>
  <c r="AD166" i="80" s="1"/>
  <c r="T165" i="80"/>
  <c r="T166" i="80" s="1"/>
  <c r="W22" i="103"/>
  <c r="W35" i="103" s="1"/>
  <c r="W215" i="39"/>
  <c r="AC165" i="80"/>
  <c r="AC166" i="80" s="1"/>
  <c r="V165" i="80"/>
  <c r="V166" i="80" s="1"/>
  <c r="Y167" i="80" l="1"/>
  <c r="X22" i="103"/>
  <c r="X35" i="103" s="1"/>
  <c r="X215" i="39"/>
  <c r="V167" i="80"/>
  <c r="T167" i="80"/>
  <c r="X167" i="80"/>
  <c r="U167" i="80"/>
  <c r="AD167" i="80"/>
  <c r="AB167" i="80"/>
  <c r="AC167" i="80"/>
  <c r="AE167" i="80"/>
  <c r="AA167" i="80"/>
  <c r="W167" i="80"/>
  <c r="Z167" i="80"/>
  <c r="Y215" i="39" l="1"/>
  <c r="Y22" i="103"/>
  <c r="Y35" i="103" s="1"/>
  <c r="Z215" i="39" l="1"/>
  <c r="Z22" i="103"/>
  <c r="Z35" i="103" s="1"/>
  <c r="AA22" i="103" l="1"/>
  <c r="AA35" i="103" s="1"/>
  <c r="AA215" i="39"/>
  <c r="AB215" i="39" l="1"/>
  <c r="AB22" i="103"/>
  <c r="AB35" i="103" s="1"/>
  <c r="AC22" i="103" l="1"/>
  <c r="AC35" i="103" s="1"/>
  <c r="AC215" i="39"/>
  <c r="AD215" i="39" l="1"/>
  <c r="AD22" i="103"/>
  <c r="AD35" i="103" s="1"/>
  <c r="AE22" i="103" l="1"/>
  <c r="AE35" i="103" s="1"/>
  <c r="AE215" i="39"/>
  <c r="AF22" i="103" l="1"/>
  <c r="AF35" i="103" s="1"/>
  <c r="M24" i="39" l="1"/>
  <c r="M183" i="39" s="1"/>
  <c r="M369" i="39" s="1"/>
  <c r="N146" i="39"/>
  <c r="M146" i="39"/>
  <c r="N145" i="39"/>
  <c r="M145" i="39"/>
  <c r="N144" i="39"/>
  <c r="M144" i="39"/>
  <c r="N143" i="39"/>
  <c r="M143" i="39"/>
  <c r="N142" i="39"/>
  <c r="M142" i="39"/>
  <c r="N141" i="39"/>
  <c r="M141" i="39"/>
  <c r="N140" i="39"/>
  <c r="M140" i="39"/>
  <c r="N10" i="39"/>
  <c r="N382" i="39" s="1"/>
  <c r="M10" i="39"/>
  <c r="M382" i="39" s="1"/>
  <c r="N117" i="39"/>
  <c r="M117" i="39"/>
  <c r="N116" i="39"/>
  <c r="M116" i="39"/>
  <c r="N115" i="39"/>
  <c r="M115" i="39"/>
  <c r="N114" i="39"/>
  <c r="M114" i="39"/>
  <c r="N113" i="39"/>
  <c r="M113" i="39"/>
  <c r="N112" i="39"/>
  <c r="M112" i="39"/>
  <c r="N111" i="39"/>
  <c r="M111" i="39"/>
  <c r="N107" i="39"/>
  <c r="N244" i="39" s="1"/>
  <c r="N106" i="39"/>
  <c r="N243" i="39" s="1"/>
  <c r="N105" i="39"/>
  <c r="N242" i="39" s="1"/>
  <c r="N104" i="39"/>
  <c r="N241" i="39" s="1"/>
  <c r="N103" i="39"/>
  <c r="N240" i="39" s="1"/>
  <c r="N102" i="39"/>
  <c r="N239" i="39" s="1"/>
  <c r="N101" i="39"/>
  <c r="M107" i="39"/>
  <c r="M244" i="39" s="1"/>
  <c r="M106" i="39"/>
  <c r="M243" i="39" s="1"/>
  <c r="M104" i="39"/>
  <c r="M241" i="39" s="1"/>
  <c r="M103" i="39"/>
  <c r="M240" i="39" s="1"/>
  <c r="N41" i="103" s="1"/>
  <c r="M102" i="39"/>
  <c r="M239" i="39" s="1"/>
  <c r="M101" i="39"/>
  <c r="N306" i="39" l="1"/>
  <c r="N308" i="39"/>
  <c r="N310" i="39"/>
  <c r="M305" i="39"/>
  <c r="M307" i="39"/>
  <c r="M309" i="39"/>
  <c r="N305" i="39"/>
  <c r="N307" i="39"/>
  <c r="N309" i="39"/>
  <c r="M306" i="39"/>
  <c r="M308" i="39"/>
  <c r="M310" i="39"/>
  <c r="D48" i="51"/>
  <c r="Q48" i="51" s="1"/>
  <c r="Q77" i="51" s="1"/>
  <c r="C49" i="51"/>
  <c r="F49" i="51" s="1"/>
  <c r="F78" i="51" s="1"/>
  <c r="D49" i="51"/>
  <c r="I49" i="51" s="1"/>
  <c r="I78" i="51" s="1"/>
  <c r="C46" i="51"/>
  <c r="F46" i="51" s="1"/>
  <c r="F75" i="51" s="1"/>
  <c r="D46" i="51"/>
  <c r="N46" i="51" s="1"/>
  <c r="N75" i="51" s="1"/>
  <c r="D50" i="51"/>
  <c r="P50" i="51" s="1"/>
  <c r="P79" i="51" s="1"/>
  <c r="C47" i="51"/>
  <c r="G47" i="51" s="1"/>
  <c r="G76" i="51" s="1"/>
  <c r="C51" i="51"/>
  <c r="H51" i="51" s="1"/>
  <c r="H80" i="51" s="1"/>
  <c r="D47" i="51"/>
  <c r="M47" i="51" s="1"/>
  <c r="M76" i="51" s="1"/>
  <c r="D51" i="51"/>
  <c r="Q51" i="51" s="1"/>
  <c r="Q80" i="51" s="1"/>
  <c r="C50" i="51"/>
  <c r="F50" i="51" s="1"/>
  <c r="F79" i="51" s="1"/>
  <c r="C48" i="51"/>
  <c r="H48" i="51" s="1"/>
  <c r="H77" i="51" s="1"/>
  <c r="M254" i="39"/>
  <c r="N254" i="39"/>
  <c r="M15" i="39"/>
  <c r="M161" i="80" s="1"/>
  <c r="N15" i="39"/>
  <c r="N43" i="103"/>
  <c r="N58" i="103" s="1"/>
  <c r="O41" i="103"/>
  <c r="O57" i="103" s="1"/>
  <c r="N45" i="103"/>
  <c r="N60" i="103" s="1"/>
  <c r="N108" i="39"/>
  <c r="N238" i="39"/>
  <c r="M67" i="80"/>
  <c r="D45" i="51"/>
  <c r="C45" i="51"/>
  <c r="M6" i="49"/>
  <c r="M23" i="39" s="1"/>
  <c r="M182" i="39" s="1"/>
  <c r="O42" i="103"/>
  <c r="O45" i="103"/>
  <c r="O60" i="103" s="1"/>
  <c r="O40" i="103"/>
  <c r="N57" i="103"/>
  <c r="N42" i="103"/>
  <c r="O43" i="103"/>
  <c r="O58" i="103" s="1"/>
  <c r="N40" i="103"/>
  <c r="N44" i="103"/>
  <c r="N59" i="103" s="1"/>
  <c r="N118" i="39"/>
  <c r="O6" i="52"/>
  <c r="N24" i="39"/>
  <c r="N183" i="39" s="1"/>
  <c r="N369" i="39" s="1"/>
  <c r="M108" i="39"/>
  <c r="M238" i="39"/>
  <c r="M118" i="39"/>
  <c r="O44" i="103"/>
  <c r="O59" i="103" s="1"/>
  <c r="N6" i="29"/>
  <c r="N9" i="39" s="1"/>
  <c r="M6" i="29"/>
  <c r="M9" i="39" s="1"/>
  <c r="O12" i="68"/>
  <c r="N35" i="39" s="1"/>
  <c r="N12" i="68"/>
  <c r="M35" i="39" s="1"/>
  <c r="O11" i="68"/>
  <c r="N34" i="39" s="1"/>
  <c r="N11" i="68"/>
  <c r="M34" i="39" s="1"/>
  <c r="O10" i="68"/>
  <c r="N33" i="39" s="1"/>
  <c r="N10" i="68"/>
  <c r="M33" i="39" s="1"/>
  <c r="O9" i="68"/>
  <c r="N32" i="39" s="1"/>
  <c r="N321" i="39" s="1"/>
  <c r="N9" i="68"/>
  <c r="M32" i="39" s="1"/>
  <c r="M321" i="39" s="1"/>
  <c r="O8" i="68"/>
  <c r="N31" i="39" s="1"/>
  <c r="N320" i="39" s="1"/>
  <c r="N8" i="68"/>
  <c r="M31" i="39" s="1"/>
  <c r="M320" i="39" s="1"/>
  <c r="O7" i="68"/>
  <c r="N30" i="39" s="1"/>
  <c r="N319" i="39" s="1"/>
  <c r="N7" i="68"/>
  <c r="M30" i="39" s="1"/>
  <c r="M319" i="39" s="1"/>
  <c r="O6" i="68"/>
  <c r="N29" i="39" s="1"/>
  <c r="N318" i="39" s="1"/>
  <c r="N6" i="68"/>
  <c r="M29" i="39" s="1"/>
  <c r="M318" i="39" s="1"/>
  <c r="N311" i="39" l="1"/>
  <c r="M311" i="39"/>
  <c r="M90" i="80"/>
  <c r="N62" i="80"/>
  <c r="N255" i="39"/>
  <c r="D58" i="51"/>
  <c r="O58" i="51" s="1"/>
  <c r="C55" i="51"/>
  <c r="F55" i="51" s="1"/>
  <c r="C59" i="51"/>
  <c r="H59" i="51" s="1"/>
  <c r="C54" i="51"/>
  <c r="G54" i="51" s="1"/>
  <c r="D59" i="51"/>
  <c r="O59" i="51" s="1"/>
  <c r="C60" i="51"/>
  <c r="G60" i="51" s="1"/>
  <c r="D60" i="51"/>
  <c r="M60" i="51" s="1"/>
  <c r="D54" i="51"/>
  <c r="K54" i="51" s="1"/>
  <c r="D55" i="51"/>
  <c r="L55" i="51" s="1"/>
  <c r="C56" i="51"/>
  <c r="H56" i="51" s="1"/>
  <c r="D56" i="51"/>
  <c r="K56" i="51" s="1"/>
  <c r="C57" i="51"/>
  <c r="F57" i="51" s="1"/>
  <c r="D57" i="51"/>
  <c r="P57" i="51" s="1"/>
  <c r="C58" i="51"/>
  <c r="F58" i="51" s="1"/>
  <c r="N161" i="80"/>
  <c r="I46" i="51"/>
  <c r="I75" i="51" s="1"/>
  <c r="O46" i="51"/>
  <c r="O75" i="51" s="1"/>
  <c r="K46" i="51"/>
  <c r="K75" i="51" s="1"/>
  <c r="M48" i="51"/>
  <c r="M77" i="51" s="1"/>
  <c r="M46" i="51"/>
  <c r="M75" i="51" s="1"/>
  <c r="J48" i="51"/>
  <c r="J77" i="51" s="1"/>
  <c r="O47" i="51"/>
  <c r="O76" i="51" s="1"/>
  <c r="L51" i="51"/>
  <c r="L80" i="51" s="1"/>
  <c r="I48" i="51"/>
  <c r="I77" i="51" s="1"/>
  <c r="K48" i="51"/>
  <c r="K77" i="51" s="1"/>
  <c r="N47" i="51"/>
  <c r="N76" i="51" s="1"/>
  <c r="O48" i="51"/>
  <c r="O77" i="51" s="1"/>
  <c r="N48" i="51"/>
  <c r="N77" i="51" s="1"/>
  <c r="P48" i="51"/>
  <c r="P77" i="51" s="1"/>
  <c r="I47" i="51"/>
  <c r="I76" i="51" s="1"/>
  <c r="Q46" i="51"/>
  <c r="Q75" i="51" s="1"/>
  <c r="Q50" i="51"/>
  <c r="Q79" i="51" s="1"/>
  <c r="L46" i="51"/>
  <c r="L75" i="51" s="1"/>
  <c r="J46" i="51"/>
  <c r="J75" i="51" s="1"/>
  <c r="P46" i="51"/>
  <c r="P75" i="51" s="1"/>
  <c r="Q47" i="51"/>
  <c r="Q76" i="51" s="1"/>
  <c r="L47" i="51"/>
  <c r="L76" i="51" s="1"/>
  <c r="I50" i="51"/>
  <c r="I79" i="51" s="1"/>
  <c r="L48" i="51"/>
  <c r="L77" i="51" s="1"/>
  <c r="K47" i="51"/>
  <c r="K76" i="51" s="1"/>
  <c r="P47" i="51"/>
  <c r="P76" i="51" s="1"/>
  <c r="J47" i="51"/>
  <c r="J76" i="51" s="1"/>
  <c r="G49" i="51"/>
  <c r="G78" i="51" s="1"/>
  <c r="N50" i="51"/>
  <c r="N79" i="51" s="1"/>
  <c r="J50" i="51"/>
  <c r="J79" i="51" s="1"/>
  <c r="K50" i="51"/>
  <c r="K79" i="51" s="1"/>
  <c r="H47" i="51"/>
  <c r="H76" i="51" s="1"/>
  <c r="L50" i="51"/>
  <c r="L79" i="51" s="1"/>
  <c r="H49" i="51"/>
  <c r="H78" i="51" s="1"/>
  <c r="O50" i="51"/>
  <c r="O79" i="51" s="1"/>
  <c r="M50" i="51"/>
  <c r="M79" i="51" s="1"/>
  <c r="M51" i="51"/>
  <c r="M80" i="51" s="1"/>
  <c r="P51" i="51"/>
  <c r="P80" i="51" s="1"/>
  <c r="K51" i="51"/>
  <c r="K80" i="51" s="1"/>
  <c r="J51" i="51"/>
  <c r="J80" i="51" s="1"/>
  <c r="I51" i="51"/>
  <c r="I80" i="51" s="1"/>
  <c r="K49" i="51"/>
  <c r="K78" i="51" s="1"/>
  <c r="N49" i="51"/>
  <c r="N78" i="51" s="1"/>
  <c r="G51" i="51"/>
  <c r="G80" i="51" s="1"/>
  <c r="O51" i="51"/>
  <c r="O80" i="51" s="1"/>
  <c r="L49" i="51"/>
  <c r="L78" i="51" s="1"/>
  <c r="N51" i="51"/>
  <c r="N80" i="51" s="1"/>
  <c r="F48" i="51"/>
  <c r="F77" i="51" s="1"/>
  <c r="Q49" i="51"/>
  <c r="Q78" i="51" s="1"/>
  <c r="G46" i="51"/>
  <c r="G75" i="51" s="1"/>
  <c r="H50" i="51"/>
  <c r="H79" i="51" s="1"/>
  <c r="H46" i="51"/>
  <c r="H75" i="51" s="1"/>
  <c r="P49" i="51"/>
  <c r="P78" i="51" s="1"/>
  <c r="G48" i="51"/>
  <c r="G77" i="51" s="1"/>
  <c r="F51" i="51"/>
  <c r="F80" i="51" s="1"/>
  <c r="J49" i="51"/>
  <c r="J78" i="51" s="1"/>
  <c r="G50" i="51"/>
  <c r="G79" i="51" s="1"/>
  <c r="O49" i="51"/>
  <c r="O78" i="51" s="1"/>
  <c r="F47" i="51"/>
  <c r="F76" i="51" s="1"/>
  <c r="M49" i="51"/>
  <c r="M78" i="51" s="1"/>
  <c r="M255" i="39"/>
  <c r="M62" i="80"/>
  <c r="N90" i="80"/>
  <c r="N67" i="80"/>
  <c r="Q45" i="51"/>
  <c r="Q74" i="51" s="1"/>
  <c r="M45" i="51"/>
  <c r="M74" i="51" s="1"/>
  <c r="I45" i="51"/>
  <c r="I74" i="51" s="1"/>
  <c r="O45" i="51"/>
  <c r="O74" i="51" s="1"/>
  <c r="P45" i="51"/>
  <c r="P74" i="51" s="1"/>
  <c r="L45" i="51"/>
  <c r="L74" i="51" s="1"/>
  <c r="N45" i="51"/>
  <c r="N74" i="51" s="1"/>
  <c r="K45" i="51"/>
  <c r="K74" i="51" s="1"/>
  <c r="J45" i="51"/>
  <c r="J74" i="51" s="1"/>
  <c r="M6" i="32"/>
  <c r="M12" i="39" s="1"/>
  <c r="P6" i="52"/>
  <c r="O24" i="39"/>
  <c r="O183" i="39" s="1"/>
  <c r="O369" i="39" s="1"/>
  <c r="N6" i="32"/>
  <c r="N12" i="39" s="1"/>
  <c r="O39" i="103"/>
  <c r="O56" i="103" s="1"/>
  <c r="N245" i="39"/>
  <c r="N222" i="80" s="1"/>
  <c r="M6" i="22"/>
  <c r="M6" i="31"/>
  <c r="M11" i="39" s="1"/>
  <c r="M368" i="39"/>
  <c r="N6" i="31"/>
  <c r="N11" i="39" s="1"/>
  <c r="N39" i="103"/>
  <c r="N56" i="103" s="1"/>
  <c r="M245" i="39"/>
  <c r="M222" i="80" s="1"/>
  <c r="N6" i="49"/>
  <c r="N23" i="39" s="1"/>
  <c r="N182" i="39" s="1"/>
  <c r="P6" i="22"/>
  <c r="P7" i="39" s="1"/>
  <c r="Q7" i="39"/>
  <c r="O6" i="22"/>
  <c r="N6" i="22"/>
  <c r="N7" i="39" s="1"/>
  <c r="G45" i="51"/>
  <c r="G74" i="51" s="1"/>
  <c r="F45" i="51"/>
  <c r="F74" i="51" s="1"/>
  <c r="H45" i="51"/>
  <c r="H74" i="51" s="1"/>
  <c r="N312" i="39" l="1"/>
  <c r="O7" i="39"/>
  <c r="R9" i="22"/>
  <c r="R6" i="22" s="1"/>
  <c r="R7" i="39" s="1"/>
  <c r="D40" i="51" s="1"/>
  <c r="D42" i="51" s="1"/>
  <c r="O101" i="80"/>
  <c r="J58" i="51"/>
  <c r="M66" i="80"/>
  <c r="N66" i="80"/>
  <c r="G55" i="51"/>
  <c r="N58" i="51"/>
  <c r="Q55" i="51"/>
  <c r="N55" i="51"/>
  <c r="M55" i="51"/>
  <c r="M58" i="51"/>
  <c r="O55" i="51"/>
  <c r="K58" i="51"/>
  <c r="J55" i="51"/>
  <c r="I58" i="51"/>
  <c r="F56" i="51"/>
  <c r="P58" i="51"/>
  <c r="I55" i="51"/>
  <c r="K55" i="51"/>
  <c r="L58" i="51"/>
  <c r="P55" i="51"/>
  <c r="G59" i="51"/>
  <c r="N56" i="51"/>
  <c r="G56" i="51"/>
  <c r="H55" i="51"/>
  <c r="F59" i="51"/>
  <c r="F54" i="51"/>
  <c r="L56" i="51"/>
  <c r="H54" i="51"/>
  <c r="I56" i="51"/>
  <c r="G57" i="51"/>
  <c r="M57" i="51"/>
  <c r="K59" i="51"/>
  <c r="F60" i="51"/>
  <c r="O57" i="51"/>
  <c r="M59" i="51"/>
  <c r="H57" i="51"/>
  <c r="Q59" i="51"/>
  <c r="M54" i="51"/>
  <c r="I57" i="51"/>
  <c r="K57" i="51"/>
  <c r="H58" i="51"/>
  <c r="N57" i="51"/>
  <c r="J59" i="51"/>
  <c r="Q58" i="51"/>
  <c r="H60" i="51"/>
  <c r="P59" i="51"/>
  <c r="P54" i="51"/>
  <c r="G58" i="51"/>
  <c r="J57" i="51"/>
  <c r="L59" i="51"/>
  <c r="L54" i="51"/>
  <c r="J60" i="51"/>
  <c r="L60" i="51"/>
  <c r="I54" i="51"/>
  <c r="Q57" i="51"/>
  <c r="N59" i="51"/>
  <c r="O54" i="51"/>
  <c r="N60" i="51"/>
  <c r="Q54" i="51"/>
  <c r="N54" i="51"/>
  <c r="I60" i="51"/>
  <c r="I59" i="51"/>
  <c r="J54" i="51"/>
  <c r="L57" i="51"/>
  <c r="O60" i="51"/>
  <c r="O56" i="51"/>
  <c r="K60" i="51"/>
  <c r="P60" i="51"/>
  <c r="M56" i="51"/>
  <c r="J56" i="51"/>
  <c r="Q60" i="51"/>
  <c r="P56" i="51"/>
  <c r="Q56" i="51"/>
  <c r="E76" i="51"/>
  <c r="K105" i="51"/>
  <c r="E77" i="51"/>
  <c r="Q105" i="51"/>
  <c r="I105" i="51"/>
  <c r="E79" i="51"/>
  <c r="H105" i="51"/>
  <c r="E78" i="51"/>
  <c r="E80" i="51"/>
  <c r="N105" i="51"/>
  <c r="E75" i="51"/>
  <c r="J105" i="51"/>
  <c r="L105" i="51"/>
  <c r="M105" i="51"/>
  <c r="G105" i="51"/>
  <c r="P105" i="51"/>
  <c r="O105" i="51"/>
  <c r="M312" i="39"/>
  <c r="N368" i="39"/>
  <c r="N219" i="80"/>
  <c r="N221" i="80" s="1"/>
  <c r="N185" i="39"/>
  <c r="Q6" i="52"/>
  <c r="P24" i="39"/>
  <c r="M89" i="80"/>
  <c r="M158" i="80"/>
  <c r="M7" i="39"/>
  <c r="N158" i="80"/>
  <c r="N89" i="80"/>
  <c r="N181" i="39"/>
  <c r="M243" i="80"/>
  <c r="M244" i="80" s="1"/>
  <c r="M219" i="80"/>
  <c r="M221" i="80" s="1"/>
  <c r="M185" i="39"/>
  <c r="N243" i="80"/>
  <c r="N244" i="80" s="1"/>
  <c r="F105" i="51"/>
  <c r="E74" i="51"/>
  <c r="N418" i="39" l="1"/>
  <c r="N423" i="39"/>
  <c r="N420" i="39"/>
  <c r="N421" i="39"/>
  <c r="N417" i="39"/>
  <c r="N422" i="39"/>
  <c r="N419" i="39"/>
  <c r="S9" i="22"/>
  <c r="D9" i="22"/>
  <c r="D6" i="22" s="1"/>
  <c r="O181" i="39"/>
  <c r="O330" i="39" s="1"/>
  <c r="N339" i="39"/>
  <c r="N349" i="39" s="1"/>
  <c r="N57" i="80" s="1"/>
  <c r="N340" i="39"/>
  <c r="N350" i="39" s="1"/>
  <c r="N58" i="80" s="1"/>
  <c r="N336" i="39"/>
  <c r="N346" i="39" s="1"/>
  <c r="N54" i="80" s="1"/>
  <c r="N338" i="39"/>
  <c r="N348" i="39" s="1"/>
  <c r="N56" i="80" s="1"/>
  <c r="N341" i="39"/>
  <c r="N351" i="39" s="1"/>
  <c r="N337" i="39"/>
  <c r="N347" i="39" s="1"/>
  <c r="N55" i="80" s="1"/>
  <c r="N335" i="39"/>
  <c r="E105" i="51"/>
  <c r="N186" i="39"/>
  <c r="M225" i="80"/>
  <c r="M92" i="80" s="1"/>
  <c r="M250" i="80"/>
  <c r="R6" i="52"/>
  <c r="Q24" i="39"/>
  <c r="M181" i="39"/>
  <c r="N63" i="80"/>
  <c r="N331" i="39"/>
  <c r="N329" i="39"/>
  <c r="N326" i="39"/>
  <c r="N327" i="39"/>
  <c r="N328" i="39"/>
  <c r="N330" i="39"/>
  <c r="N325" i="39"/>
  <c r="M42" i="51"/>
  <c r="Q42" i="51"/>
  <c r="F42" i="51"/>
  <c r="K42" i="51"/>
  <c r="I42" i="51"/>
  <c r="O42" i="51"/>
  <c r="N42" i="51"/>
  <c r="L42" i="51"/>
  <c r="J42" i="51"/>
  <c r="H42" i="51"/>
  <c r="G42" i="51"/>
  <c r="P42" i="51"/>
  <c r="N157" i="80"/>
  <c r="N88" i="80"/>
  <c r="M186" i="39"/>
  <c r="M88" i="80"/>
  <c r="M157" i="80"/>
  <c r="M165" i="80" s="1"/>
  <c r="M167" i="80" s="1"/>
  <c r="O250" i="80"/>
  <c r="N225" i="80"/>
  <c r="N92" i="80" s="1"/>
  <c r="N250" i="80"/>
  <c r="O329" i="39" l="1"/>
  <c r="O326" i="39"/>
  <c r="O63" i="80"/>
  <c r="O328" i="39"/>
  <c r="O337" i="39"/>
  <c r="O347" i="39" s="1"/>
  <c r="O55" i="80" s="1"/>
  <c r="O327" i="39"/>
  <c r="O331" i="39"/>
  <c r="N100" i="80"/>
  <c r="N122" i="80" s="1"/>
  <c r="B2" i="128"/>
  <c r="O417" i="39"/>
  <c r="O422" i="39"/>
  <c r="O420" i="39"/>
  <c r="O418" i="39"/>
  <c r="O423" i="39"/>
  <c r="O421" i="39"/>
  <c r="O419" i="39"/>
  <c r="M418" i="39"/>
  <c r="M423" i="39"/>
  <c r="M422" i="39"/>
  <c r="M420" i="39"/>
  <c r="M417" i="39"/>
  <c r="M421" i="39"/>
  <c r="M419" i="39"/>
  <c r="O338" i="39"/>
  <c r="O348" i="39" s="1"/>
  <c r="O56" i="80" s="1"/>
  <c r="O340" i="39"/>
  <c r="O350" i="39" s="1"/>
  <c r="O58" i="80" s="1"/>
  <c r="O325" i="39"/>
  <c r="M19" i="74"/>
  <c r="M142" i="116" s="1"/>
  <c r="M19" i="19"/>
  <c r="M19" i="75"/>
  <c r="D7" i="39"/>
  <c r="T9" i="22"/>
  <c r="S6" i="22"/>
  <c r="O339" i="39"/>
  <c r="O349" i="39" s="1"/>
  <c r="O57" i="80" s="1"/>
  <c r="O341" i="39"/>
  <c r="O351" i="39" s="1"/>
  <c r="O335" i="39"/>
  <c r="O345" i="39" s="1"/>
  <c r="O336" i="39"/>
  <c r="O346" i="39" s="1"/>
  <c r="O54" i="80" s="1"/>
  <c r="N424" i="39"/>
  <c r="M100" i="80"/>
  <c r="M101" i="80"/>
  <c r="N101" i="80"/>
  <c r="M340" i="39"/>
  <c r="M350" i="39" s="1"/>
  <c r="M58" i="80" s="1"/>
  <c r="M336" i="39"/>
  <c r="M346" i="39" s="1"/>
  <c r="M54" i="80" s="1"/>
  <c r="M337" i="39"/>
  <c r="M347" i="39" s="1"/>
  <c r="M55" i="80" s="1"/>
  <c r="M341" i="39"/>
  <c r="M351" i="39" s="1"/>
  <c r="M339" i="39"/>
  <c r="M349" i="39" s="1"/>
  <c r="M57" i="80" s="1"/>
  <c r="M335" i="39"/>
  <c r="M338" i="39"/>
  <c r="M348" i="39" s="1"/>
  <c r="M56" i="80" s="1"/>
  <c r="N59" i="80"/>
  <c r="N165" i="80"/>
  <c r="N166" i="80" s="1"/>
  <c r="H84" i="51"/>
  <c r="H86" i="51"/>
  <c r="H89" i="51"/>
  <c r="H85" i="51"/>
  <c r="H88" i="51"/>
  <c r="H87" i="51"/>
  <c r="H83" i="51"/>
  <c r="Q86" i="51"/>
  <c r="Q84" i="51"/>
  <c r="Q88" i="51"/>
  <c r="Q89" i="51"/>
  <c r="Q87" i="51"/>
  <c r="Q85" i="51"/>
  <c r="Q83" i="51"/>
  <c r="N99" i="80"/>
  <c r="N389" i="39"/>
  <c r="J84" i="51"/>
  <c r="J87" i="51"/>
  <c r="J88" i="51"/>
  <c r="J89" i="51"/>
  <c r="J86" i="51"/>
  <c r="J85" i="51"/>
  <c r="J83" i="51"/>
  <c r="M84" i="51"/>
  <c r="M87" i="51"/>
  <c r="M88" i="51"/>
  <c r="M89" i="51"/>
  <c r="M86" i="51"/>
  <c r="M83" i="51"/>
  <c r="M85" i="51"/>
  <c r="L88" i="51"/>
  <c r="L89" i="51"/>
  <c r="L84" i="51"/>
  <c r="L87" i="51"/>
  <c r="L86" i="51"/>
  <c r="L83" i="51"/>
  <c r="L85" i="51"/>
  <c r="N345" i="39"/>
  <c r="N342" i="39"/>
  <c r="N86" i="51"/>
  <c r="N89" i="51"/>
  <c r="N84" i="51"/>
  <c r="N87" i="51"/>
  <c r="N88" i="51"/>
  <c r="N85" i="51"/>
  <c r="N83" i="51"/>
  <c r="O87" i="51"/>
  <c r="O88" i="51"/>
  <c r="O89" i="51"/>
  <c r="O84" i="51"/>
  <c r="O86" i="51"/>
  <c r="O83" i="51"/>
  <c r="O85" i="51"/>
  <c r="N332" i="39"/>
  <c r="M63" i="80"/>
  <c r="M331" i="39"/>
  <c r="M328" i="39"/>
  <c r="M326" i="39"/>
  <c r="M329" i="39"/>
  <c r="M330" i="39"/>
  <c r="M327" i="39"/>
  <c r="M325" i="39"/>
  <c r="S7" i="52"/>
  <c r="S6" i="52" s="1"/>
  <c r="R24" i="39"/>
  <c r="I88" i="51"/>
  <c r="I89" i="51"/>
  <c r="I86" i="51"/>
  <c r="I87" i="51"/>
  <c r="I84" i="51"/>
  <c r="I83" i="51"/>
  <c r="I85" i="51"/>
  <c r="M166" i="80"/>
  <c r="P86" i="51"/>
  <c r="P87" i="51"/>
  <c r="P84" i="51"/>
  <c r="P89" i="51"/>
  <c r="P88" i="51"/>
  <c r="P83" i="51"/>
  <c r="P85" i="51"/>
  <c r="K85" i="51"/>
  <c r="K89" i="51"/>
  <c r="K88" i="51"/>
  <c r="K87" i="51"/>
  <c r="K86" i="51"/>
  <c r="K84" i="51"/>
  <c r="K83" i="51"/>
  <c r="M99" i="80"/>
  <c r="M389" i="39"/>
  <c r="G89" i="51"/>
  <c r="G86" i="51"/>
  <c r="G84" i="51"/>
  <c r="G83" i="51"/>
  <c r="G85" i="51"/>
  <c r="G88" i="51"/>
  <c r="G87" i="51"/>
  <c r="F85" i="51"/>
  <c r="F89" i="51"/>
  <c r="F84" i="51"/>
  <c r="F86" i="51"/>
  <c r="F83" i="51"/>
  <c r="F88" i="51"/>
  <c r="F87" i="51"/>
  <c r="O332" i="39" l="1"/>
  <c r="S7" i="39"/>
  <c r="U9" i="22"/>
  <c r="T6" i="22"/>
  <c r="O342" i="39"/>
  <c r="O424" i="39"/>
  <c r="M424" i="39"/>
  <c r="O59" i="80"/>
  <c r="M122" i="80"/>
  <c r="O143" i="80"/>
  <c r="N150" i="80"/>
  <c r="M59" i="80"/>
  <c r="N167" i="80"/>
  <c r="N106" i="51"/>
  <c r="G106" i="51"/>
  <c r="P106" i="51"/>
  <c r="E87" i="51"/>
  <c r="E88" i="51"/>
  <c r="K106" i="51"/>
  <c r="Q106" i="51"/>
  <c r="M342" i="39"/>
  <c r="O352" i="39"/>
  <c r="O53" i="80"/>
  <c r="N352" i="39"/>
  <c r="N53" i="80"/>
  <c r="M150" i="80"/>
  <c r="E84" i="51"/>
  <c r="T7" i="52"/>
  <c r="T6" i="52" s="1"/>
  <c r="S24" i="39"/>
  <c r="E86" i="51"/>
  <c r="E89" i="51"/>
  <c r="M345" i="39"/>
  <c r="M332" i="39"/>
  <c r="L106" i="51"/>
  <c r="E85" i="51"/>
  <c r="O106" i="51"/>
  <c r="J106" i="51"/>
  <c r="F106" i="51"/>
  <c r="E83" i="51"/>
  <c r="I106" i="51"/>
  <c r="M106" i="51"/>
  <c r="H106" i="51"/>
  <c r="T7" i="39" l="1"/>
  <c r="V9" i="22"/>
  <c r="U6" i="22"/>
  <c r="E106" i="51"/>
  <c r="N375" i="39"/>
  <c r="N366" i="39"/>
  <c r="U7" i="52"/>
  <c r="U6" i="52" s="1"/>
  <c r="T24" i="39"/>
  <c r="O366" i="39"/>
  <c r="O375" i="39"/>
  <c r="M352" i="39"/>
  <c r="M53" i="80"/>
  <c r="U7" i="39" l="1"/>
  <c r="W9" i="22"/>
  <c r="V6" i="22"/>
  <c r="N97" i="80"/>
  <c r="M366" i="39"/>
  <c r="M375" i="39"/>
  <c r="O97" i="80"/>
  <c r="V7" i="52"/>
  <c r="V6" i="52" s="1"/>
  <c r="U24" i="39"/>
  <c r="X9" i="22" l="1"/>
  <c r="W6" i="22"/>
  <c r="V7" i="39"/>
  <c r="W7" i="52"/>
  <c r="W6" i="52" s="1"/>
  <c r="V24" i="39"/>
  <c r="M97" i="80"/>
  <c r="W7" i="39" l="1"/>
  <c r="Y9" i="22"/>
  <c r="X6" i="22"/>
  <c r="X7" i="52"/>
  <c r="X6" i="52" s="1"/>
  <c r="W24" i="39"/>
  <c r="Z9" i="22" l="1"/>
  <c r="Y6" i="22"/>
  <c r="X7" i="39"/>
  <c r="Y7" i="52"/>
  <c r="Y6" i="52" s="1"/>
  <c r="X24" i="39"/>
  <c r="Y7" i="39" l="1"/>
  <c r="AA9" i="22"/>
  <c r="Z6" i="22"/>
  <c r="Z7" i="52"/>
  <c r="Z6" i="52" s="1"/>
  <c r="Y24" i="39"/>
  <c r="Z7" i="39" l="1"/>
  <c r="AB9" i="22"/>
  <c r="AA6" i="22"/>
  <c r="AA7" i="39" s="1"/>
  <c r="AA7" i="52"/>
  <c r="AA6" i="52" s="1"/>
  <c r="Z24" i="39"/>
  <c r="AC9" i="22" l="1"/>
  <c r="AB6" i="22"/>
  <c r="AB7" i="39" s="1"/>
  <c r="AB7" i="52"/>
  <c r="AB6" i="52" s="1"/>
  <c r="AA24" i="39"/>
  <c r="AD9" i="22" l="1"/>
  <c r="AD6" i="22" s="1"/>
  <c r="AD7" i="39" s="1"/>
  <c r="AC6" i="22"/>
  <c r="AC7" i="39" s="1"/>
  <c r="AC7" i="52"/>
  <c r="AC6" i="52" s="1"/>
  <c r="AB24" i="39"/>
  <c r="AD7" i="52" l="1"/>
  <c r="AD6" i="52" s="1"/>
  <c r="AC24" i="39"/>
  <c r="AE7" i="52" l="1"/>
  <c r="AD24" i="39"/>
  <c r="AE6" i="52" l="1"/>
  <c r="AE24" i="39" s="1"/>
  <c r="O67" i="80" l="1"/>
  <c r="O99" i="80"/>
  <c r="O389" i="39"/>
  <c r="S7" i="42" l="1"/>
  <c r="R93" i="39" s="1"/>
  <c r="R399" i="39" s="1"/>
  <c r="R408" i="39" l="1"/>
  <c r="S174" i="103"/>
  <c r="R229" i="39"/>
  <c r="R239" i="39" s="1"/>
  <c r="T7" i="42"/>
  <c r="S93" i="39" s="1"/>
  <c r="S399" i="39" s="1"/>
  <c r="X39" i="42"/>
  <c r="Y39" i="42" s="1"/>
  <c r="Z39" i="42" s="1"/>
  <c r="AA39" i="42" s="1"/>
  <c r="AB39" i="42" s="1"/>
  <c r="AC39" i="42" s="1"/>
  <c r="AD39" i="42" s="1"/>
  <c r="AE39" i="42" s="1"/>
  <c r="AF39" i="42" s="1"/>
  <c r="R220" i="39"/>
  <c r="S408" i="39" l="1"/>
  <c r="R428" i="39"/>
  <c r="T174" i="103"/>
  <c r="S220" i="39"/>
  <c r="S47" i="103"/>
  <c r="S40" i="103" s="1"/>
  <c r="S229" i="39"/>
  <c r="U7" i="42"/>
  <c r="T93" i="39" s="1"/>
  <c r="T399" i="39" s="1"/>
  <c r="T408" i="39" l="1"/>
  <c r="T428" i="39" s="1"/>
  <c r="S428" i="39"/>
  <c r="U174" i="103"/>
  <c r="T47" i="103"/>
  <c r="S239" i="39"/>
  <c r="T220" i="39"/>
  <c r="T229" i="39"/>
  <c r="V7" i="42"/>
  <c r="U93" i="39" s="1"/>
  <c r="U399" i="39" s="1"/>
  <c r="U408" i="39" l="1"/>
  <c r="U428" i="39" s="1"/>
  <c r="V174" i="103"/>
  <c r="T40" i="103"/>
  <c r="U229" i="39"/>
  <c r="W7" i="42"/>
  <c r="V93" i="39" s="1"/>
  <c r="V399" i="39" s="1"/>
  <c r="U47" i="103"/>
  <c r="T239" i="39"/>
  <c r="U220" i="39"/>
  <c r="V408" i="39" l="1"/>
  <c r="W174" i="103"/>
  <c r="V220" i="39"/>
  <c r="X7" i="42"/>
  <c r="W93" i="39" s="1"/>
  <c r="W399" i="39" s="1"/>
  <c r="U40" i="103"/>
  <c r="V47" i="103"/>
  <c r="U239" i="39"/>
  <c r="V229" i="39"/>
  <c r="V428" i="39" l="1"/>
  <c r="W408" i="39"/>
  <c r="X174" i="103"/>
  <c r="W229" i="39"/>
  <c r="X47" i="103" s="1"/>
  <c r="W220" i="39"/>
  <c r="V40" i="103"/>
  <c r="W47" i="103"/>
  <c r="V239" i="39"/>
  <c r="Y7" i="42"/>
  <c r="X93" i="39" s="1"/>
  <c r="X399" i="39" s="1"/>
  <c r="X408" i="39" l="1"/>
  <c r="X428" i="39" s="1"/>
  <c r="W428" i="39"/>
  <c r="W239" i="39"/>
  <c r="X40" i="103" s="1"/>
  <c r="Y174" i="103"/>
  <c r="Z7" i="42"/>
  <c r="Y93" i="39" s="1"/>
  <c r="Y399" i="39" s="1"/>
  <c r="X220" i="39"/>
  <c r="X229" i="39"/>
  <c r="W40" i="103"/>
  <c r="Y408" i="39" l="1"/>
  <c r="Z174" i="103"/>
  <c r="Y229" i="39"/>
  <c r="Y239" i="39" s="1"/>
  <c r="Y220" i="39"/>
  <c r="Y47" i="103"/>
  <c r="X239" i="39"/>
  <c r="AA7" i="42"/>
  <c r="Z93" i="39" s="1"/>
  <c r="Z399" i="39" s="1"/>
  <c r="Y428" i="39" l="1"/>
  <c r="Z408" i="39"/>
  <c r="Z428" i="39" s="1"/>
  <c r="AA174" i="103"/>
  <c r="Z47" i="103"/>
  <c r="Z40" i="103" s="1"/>
  <c r="Z220" i="39"/>
  <c r="Z229" i="39"/>
  <c r="Y40" i="103"/>
  <c r="AB7" i="42"/>
  <c r="AA93" i="39" s="1"/>
  <c r="AA399" i="39" s="1"/>
  <c r="AA408" i="39" l="1"/>
  <c r="AA428" i="39" s="1"/>
  <c r="AB174" i="103"/>
  <c r="AA220" i="39"/>
  <c r="AC7" i="42"/>
  <c r="AB93" i="39" s="1"/>
  <c r="AB399" i="39" s="1"/>
  <c r="AA47" i="103"/>
  <c r="Z239" i="39"/>
  <c r="AA229" i="39"/>
  <c r="AB408" i="39" l="1"/>
  <c r="AB428" i="39" s="1"/>
  <c r="AC174" i="103"/>
  <c r="AA239" i="39"/>
  <c r="AB47" i="103"/>
  <c r="AB220" i="39"/>
  <c r="AB229" i="39"/>
  <c r="AD7" i="42"/>
  <c r="AC93" i="39" s="1"/>
  <c r="AC399" i="39" s="1"/>
  <c r="AA40" i="103"/>
  <c r="AC408" i="39" l="1"/>
  <c r="AC428" i="39" s="1"/>
  <c r="AD174" i="103"/>
  <c r="AC229" i="39"/>
  <c r="AD47" i="103" s="1"/>
  <c r="AE7" i="42"/>
  <c r="AD93" i="39" s="1"/>
  <c r="AD399" i="39" s="1"/>
  <c r="AC220" i="39"/>
  <c r="AB40" i="103"/>
  <c r="AC47" i="103"/>
  <c r="AB239" i="39"/>
  <c r="AD408" i="39" l="1"/>
  <c r="AD428" i="39" s="1"/>
  <c r="AE174" i="103"/>
  <c r="AC239" i="39"/>
  <c r="AD40" i="103" s="1"/>
  <c r="AF7" i="42"/>
  <c r="AE93" i="39" s="1"/>
  <c r="AE399" i="39" s="1"/>
  <c r="AD220" i="39"/>
  <c r="AC40" i="103"/>
  <c r="AD229" i="39"/>
  <c r="AE408" i="39" l="1"/>
  <c r="AE428" i="39" s="1"/>
  <c r="AF174" i="103"/>
  <c r="AE220" i="39"/>
  <c r="AH400" i="39"/>
  <c r="AF400" i="39"/>
  <c r="AI400" i="39"/>
  <c r="AG400" i="39"/>
  <c r="AE229" i="39"/>
  <c r="AE47" i="103"/>
  <c r="AD239" i="39"/>
  <c r="AE40" i="103" l="1"/>
  <c r="AF47" i="103"/>
  <c r="AE239" i="39"/>
  <c r="AF40" i="103" l="1"/>
  <c r="X41" i="42" l="1"/>
  <c r="Y41" i="42" s="1"/>
  <c r="Z41" i="42" s="1"/>
  <c r="AA41" i="42" s="1"/>
  <c r="AB41" i="42" s="1"/>
  <c r="AC41" i="42" s="1"/>
  <c r="AD41" i="42" s="1"/>
  <c r="AE41" i="42" s="1"/>
  <c r="AF41" i="42" s="1"/>
  <c r="X42" i="42"/>
  <c r="Y42" i="42" s="1"/>
  <c r="Z42" i="42" s="1"/>
  <c r="AA42" i="42" s="1"/>
  <c r="AB42" i="42" s="1"/>
  <c r="AC42" i="42" s="1"/>
  <c r="AD42" i="42" s="1"/>
  <c r="AE42" i="42" s="1"/>
  <c r="AF42" i="42" s="1"/>
  <c r="X67" i="42"/>
  <c r="Y67" i="42" s="1"/>
  <c r="Z67" i="42" s="1"/>
  <c r="AA67" i="42" s="1"/>
  <c r="AB67" i="42" s="1"/>
  <c r="AC67" i="42" s="1"/>
  <c r="AD67" i="42" s="1"/>
  <c r="AE67" i="42" s="1"/>
  <c r="AF67" i="42" s="1"/>
  <c r="X68" i="42"/>
  <c r="Y68" i="42" s="1"/>
  <c r="Z68" i="42" s="1"/>
  <c r="AA68" i="42" s="1"/>
  <c r="AB68" i="42" s="1"/>
  <c r="AC68" i="42" s="1"/>
  <c r="AD68" i="42" s="1"/>
  <c r="AE68" i="42" s="1"/>
  <c r="AF68" i="42" s="1"/>
  <c r="T9" i="42"/>
  <c r="S95" i="39" s="1"/>
  <c r="S401" i="39" s="1"/>
  <c r="S9" i="42"/>
  <c r="R95" i="39" s="1"/>
  <c r="R401" i="39" s="1"/>
  <c r="R410" i="39" l="1"/>
  <c r="S410" i="39"/>
  <c r="S414" i="39" s="1"/>
  <c r="T176" i="103"/>
  <c r="S176" i="103"/>
  <c r="S222" i="39"/>
  <c r="R222" i="39"/>
  <c r="S231" i="39"/>
  <c r="R231" i="39"/>
  <c r="R430" i="39" l="1"/>
  <c r="S430" i="39"/>
  <c r="R414" i="39"/>
  <c r="U9" i="42"/>
  <c r="T95" i="39" s="1"/>
  <c r="T401" i="39" s="1"/>
  <c r="R235" i="39"/>
  <c r="S49" i="103"/>
  <c r="S61" i="103" s="1"/>
  <c r="R241" i="39"/>
  <c r="T49" i="103"/>
  <c r="T61" i="103" s="1"/>
  <c r="S235" i="39"/>
  <c r="S241" i="39"/>
  <c r="T410" i="39" l="1"/>
  <c r="R434" i="39"/>
  <c r="S434" i="39"/>
  <c r="U176" i="103"/>
  <c r="T222" i="39"/>
  <c r="T231" i="39"/>
  <c r="S42" i="103"/>
  <c r="S56" i="103" s="1"/>
  <c r="R245" i="39"/>
  <c r="R222" i="80" s="1"/>
  <c r="T42" i="103"/>
  <c r="T56" i="103" s="1"/>
  <c r="S245" i="39"/>
  <c r="S222" i="80" s="1"/>
  <c r="V9" i="42"/>
  <c r="U95" i="39" s="1"/>
  <c r="U401" i="39" s="1"/>
  <c r="U410" i="39" l="1"/>
  <c r="U430" i="39" s="1"/>
  <c r="T430" i="39"/>
  <c r="V176" i="103"/>
  <c r="W9" i="42"/>
  <c r="V95" i="39" s="1"/>
  <c r="V401" i="39" s="1"/>
  <c r="X91" i="42"/>
  <c r="U222" i="39"/>
  <c r="R225" i="80"/>
  <c r="R92" i="80" s="1"/>
  <c r="R243" i="80"/>
  <c r="R244" i="80" s="1"/>
  <c r="U49" i="103"/>
  <c r="U61" i="103" s="1"/>
  <c r="T241" i="39"/>
  <c r="U231" i="39"/>
  <c r="S243" i="80"/>
  <c r="S244" i="80" s="1"/>
  <c r="S225" i="80"/>
  <c r="S92" i="80" s="1"/>
  <c r="S35" i="75" l="1"/>
  <c r="S31" i="75" s="1"/>
  <c r="E110" i="116"/>
  <c r="S49" i="74"/>
  <c r="S45" i="74" s="1"/>
  <c r="V410" i="39"/>
  <c r="W176" i="103"/>
  <c r="V222" i="39"/>
  <c r="T35" i="75"/>
  <c r="T31" i="75" s="1"/>
  <c r="T49" i="74"/>
  <c r="T45" i="74" s="1"/>
  <c r="F110" i="116"/>
  <c r="V231" i="39"/>
  <c r="X9" i="42"/>
  <c r="W95" i="39" s="1"/>
  <c r="W401" i="39" s="1"/>
  <c r="Y91" i="42"/>
  <c r="U42" i="103"/>
  <c r="U56" i="103" s="1"/>
  <c r="V49" i="103"/>
  <c r="V61" i="103" s="1"/>
  <c r="U241" i="39"/>
  <c r="V430" i="39" l="1"/>
  <c r="W410" i="39"/>
  <c r="X176" i="103"/>
  <c r="V241" i="39"/>
  <c r="W49" i="103"/>
  <c r="W61" i="103" s="1"/>
  <c r="V42" i="103"/>
  <c r="V56" i="103" s="1"/>
  <c r="Y9" i="42"/>
  <c r="X95" i="39" s="1"/>
  <c r="X401" i="39" s="1"/>
  <c r="Z91" i="42"/>
  <c r="W231" i="39"/>
  <c r="W222" i="39"/>
  <c r="W430" i="39" l="1"/>
  <c r="X410" i="39"/>
  <c r="Y176" i="103"/>
  <c r="W42" i="103"/>
  <c r="W56" i="103" s="1"/>
  <c r="X222" i="39"/>
  <c r="X49" i="103"/>
  <c r="X61" i="103" s="1"/>
  <c r="W241" i="39"/>
  <c r="X231" i="39"/>
  <c r="Z9" i="42"/>
  <c r="Y95" i="39" s="1"/>
  <c r="Y401" i="39" s="1"/>
  <c r="AA91" i="42"/>
  <c r="X430" i="39" l="1"/>
  <c r="Y410" i="39"/>
  <c r="Y430" i="39" s="1"/>
  <c r="Z176" i="103"/>
  <c r="Y222" i="39"/>
  <c r="X42" i="103"/>
  <c r="X56" i="103" s="1"/>
  <c r="AA9" i="42"/>
  <c r="Z95" i="39" s="1"/>
  <c r="Z401" i="39" s="1"/>
  <c r="AB91" i="42"/>
  <c r="Y231" i="39"/>
  <c r="Y49" i="103"/>
  <c r="Y61" i="103" s="1"/>
  <c r="X241" i="39"/>
  <c r="Z410" i="39" l="1"/>
  <c r="AA176" i="103"/>
  <c r="Z49" i="103"/>
  <c r="Z61" i="103" s="1"/>
  <c r="Y241" i="39"/>
  <c r="AC91" i="42"/>
  <c r="AB9" i="42"/>
  <c r="AA95" i="39" s="1"/>
  <c r="AA401" i="39" s="1"/>
  <c r="Z222" i="39"/>
  <c r="Y42" i="103"/>
  <c r="Y56" i="103" s="1"/>
  <c r="Z231" i="39"/>
  <c r="AA410" i="39" l="1"/>
  <c r="AA430" i="39" s="1"/>
  <c r="Z430" i="39"/>
  <c r="AB176" i="103"/>
  <c r="AA222" i="39"/>
  <c r="AC9" i="42"/>
  <c r="AB95" i="39" s="1"/>
  <c r="AB401" i="39" s="1"/>
  <c r="AD91" i="42"/>
  <c r="Z42" i="103"/>
  <c r="Z56" i="103" s="1"/>
  <c r="AA49" i="103"/>
  <c r="AA61" i="103" s="1"/>
  <c r="Z241" i="39"/>
  <c r="AA231" i="39"/>
  <c r="AB410" i="39" l="1"/>
  <c r="AB430" i="39" s="1"/>
  <c r="AC176" i="103"/>
  <c r="AD9" i="42"/>
  <c r="AC95" i="39" s="1"/>
  <c r="AC401" i="39" s="1"/>
  <c r="AE91" i="42"/>
  <c r="AB222" i="39"/>
  <c r="AB49" i="103"/>
  <c r="AB61" i="103" s="1"/>
  <c r="AA241" i="39"/>
  <c r="AA42" i="103"/>
  <c r="AA56" i="103" s="1"/>
  <c r="AB231" i="39"/>
  <c r="AC410" i="39" l="1"/>
  <c r="AC430" i="39" s="1"/>
  <c r="AD176" i="103"/>
  <c r="AB42" i="103"/>
  <c r="AB56" i="103" s="1"/>
  <c r="AE9" i="42"/>
  <c r="AD95" i="39" s="1"/>
  <c r="AD401" i="39" s="1"/>
  <c r="AF91" i="42"/>
  <c r="AF9" i="42" s="1"/>
  <c r="AE95" i="39" s="1"/>
  <c r="AE401" i="39" s="1"/>
  <c r="AC222" i="39"/>
  <c r="AC49" i="103"/>
  <c r="AC61" i="103" s="1"/>
  <c r="AB241" i="39"/>
  <c r="AC231" i="39"/>
  <c r="AE410" i="39" l="1"/>
  <c r="AD410" i="39"/>
  <c r="AD430" i="39" s="1"/>
  <c r="AF176" i="103"/>
  <c r="AE176" i="103"/>
  <c r="AH402" i="39"/>
  <c r="AF402" i="39"/>
  <c r="AI402" i="39"/>
  <c r="AG402" i="39"/>
  <c r="AD231" i="39"/>
  <c r="AD241" i="39" s="1"/>
  <c r="AE222" i="39"/>
  <c r="AC241" i="39"/>
  <c r="AD49" i="103"/>
  <c r="AD61" i="103" s="1"/>
  <c r="AC42" i="103"/>
  <c r="AC56" i="103" s="1"/>
  <c r="AD222" i="39"/>
  <c r="AE231" i="39"/>
  <c r="AE430" i="39" l="1"/>
  <c r="AE49" i="103"/>
  <c r="AE61" i="103" s="1"/>
  <c r="AE241" i="39"/>
  <c r="AF49" i="103"/>
  <c r="AF61" i="103" s="1"/>
  <c r="AD42" i="103"/>
  <c r="AD56" i="103" s="1"/>
  <c r="AE42" i="103" l="1"/>
  <c r="AE56" i="103" s="1"/>
  <c r="AF42" i="103"/>
  <c r="AF56" i="103" s="1"/>
  <c r="X93" i="42" l="1"/>
  <c r="Y93" i="42" s="1"/>
  <c r="Z93" i="42" s="1"/>
  <c r="AA93" i="42" s="1"/>
  <c r="AB93" i="42" s="1"/>
  <c r="AC93" i="42" s="1"/>
  <c r="AD93" i="42" s="1"/>
  <c r="AE93" i="42" s="1"/>
  <c r="AF93" i="42" s="1"/>
  <c r="X94" i="42"/>
  <c r="Y94" i="42" s="1"/>
  <c r="Z94" i="42" s="1"/>
  <c r="AA94" i="42" s="1"/>
  <c r="AB94" i="42" s="1"/>
  <c r="AC94" i="42" s="1"/>
  <c r="AD94" i="42" s="1"/>
  <c r="AE94" i="42" s="1"/>
  <c r="AF94" i="42" s="1"/>
  <c r="W10" i="42"/>
  <c r="V96" i="39" s="1"/>
  <c r="V402" i="39" s="1"/>
  <c r="AF10" i="42"/>
  <c r="AE96" i="39" s="1"/>
  <c r="AE402" i="39" s="1"/>
  <c r="Y10" i="42"/>
  <c r="X96" i="39" s="1"/>
  <c r="X402" i="39" s="1"/>
  <c r="AB10" i="42"/>
  <c r="AA96" i="39" s="1"/>
  <c r="AA402" i="39" s="1"/>
  <c r="AA10" i="42"/>
  <c r="Z96" i="39" s="1"/>
  <c r="Z402" i="39" s="1"/>
  <c r="V10" i="42"/>
  <c r="U96" i="39" s="1"/>
  <c r="U402" i="39" s="1"/>
  <c r="Z10" i="42"/>
  <c r="Y96" i="39" s="1"/>
  <c r="Y402" i="39" s="1"/>
  <c r="AD10" i="42"/>
  <c r="AC96" i="39" s="1"/>
  <c r="AC402" i="39" s="1"/>
  <c r="X10" i="42"/>
  <c r="W96" i="39" s="1"/>
  <c r="W402" i="39" s="1"/>
  <c r="AC10" i="42"/>
  <c r="AB96" i="39" s="1"/>
  <c r="AB402" i="39" s="1"/>
  <c r="AE10" i="42"/>
  <c r="AD96" i="39" s="1"/>
  <c r="AD402" i="39" s="1"/>
  <c r="U10" i="42"/>
  <c r="T96" i="39" s="1"/>
  <c r="T402" i="39" s="1"/>
  <c r="U411" i="39" l="1"/>
  <c r="Z411" i="39"/>
  <c r="Z414" i="39" s="1"/>
  <c r="AA411" i="39"/>
  <c r="AA414" i="39" s="1"/>
  <c r="AD411" i="39"/>
  <c r="AD414" i="39" s="1"/>
  <c r="X411" i="39"/>
  <c r="X414" i="39" s="1"/>
  <c r="AE411" i="39"/>
  <c r="AE414" i="39" s="1"/>
  <c r="T411" i="39"/>
  <c r="V411" i="39"/>
  <c r="V414" i="39" s="1"/>
  <c r="AB411" i="39"/>
  <c r="AB414" i="39" s="1"/>
  <c r="AC411" i="39"/>
  <c r="AC414" i="39" s="1"/>
  <c r="W411" i="39"/>
  <c r="W414" i="39" s="1"/>
  <c r="Y411" i="39"/>
  <c r="Y414" i="39" s="1"/>
  <c r="U177" i="103"/>
  <c r="W177" i="103"/>
  <c r="Z177" i="103"/>
  <c r="V177" i="103"/>
  <c r="Y177" i="103"/>
  <c r="AC177" i="103"/>
  <c r="X177" i="103"/>
  <c r="AD177" i="103"/>
  <c r="AA177" i="103"/>
  <c r="AB177" i="103"/>
  <c r="AE177" i="103"/>
  <c r="AF177" i="103"/>
  <c r="AA223" i="39"/>
  <c r="Y232" i="39"/>
  <c r="Y223" i="39"/>
  <c r="T223" i="39"/>
  <c r="V223" i="39"/>
  <c r="U223" i="39"/>
  <c r="X223" i="39"/>
  <c r="AB223" i="39"/>
  <c r="Z223" i="39"/>
  <c r="AC223" i="39"/>
  <c r="AD223" i="39"/>
  <c r="AE223" i="39"/>
  <c r="AC232" i="39"/>
  <c r="W232" i="39"/>
  <c r="Z232" i="39"/>
  <c r="AD232" i="39"/>
  <c r="V232" i="39"/>
  <c r="W223" i="39"/>
  <c r="T232" i="39"/>
  <c r="X232" i="39"/>
  <c r="AA232" i="39"/>
  <c r="U232" i="39"/>
  <c r="AB232" i="39"/>
  <c r="AE232" i="39"/>
  <c r="Y431" i="39" l="1"/>
  <c r="Z431" i="39"/>
  <c r="U431" i="39"/>
  <c r="AA431" i="39"/>
  <c r="AC431" i="39"/>
  <c r="V431" i="39"/>
  <c r="AD431" i="39"/>
  <c r="W431" i="39"/>
  <c r="T431" i="39"/>
  <c r="AE431" i="39"/>
  <c r="AB431" i="39"/>
  <c r="X431" i="39"/>
  <c r="T242" i="39"/>
  <c r="Z50" i="103"/>
  <c r="Z63" i="103" s="1"/>
  <c r="Y242" i="39"/>
  <c r="Y50" i="103"/>
  <c r="Y63" i="103" s="1"/>
  <c r="X242" i="39"/>
  <c r="AC50" i="103"/>
  <c r="AC63" i="103" s="1"/>
  <c r="AB242" i="39"/>
  <c r="AA242" i="39"/>
  <c r="AB50" i="103"/>
  <c r="AB63" i="103" s="1"/>
  <c r="W50" i="103"/>
  <c r="W63" i="103" s="1"/>
  <c r="V242" i="39"/>
  <c r="AD50" i="103"/>
  <c r="AD63" i="103" s="1"/>
  <c r="AC242" i="39"/>
  <c r="AE242" i="39"/>
  <c r="AF50" i="103"/>
  <c r="AF63" i="103" s="1"/>
  <c r="AE50" i="103"/>
  <c r="AE63" i="103" s="1"/>
  <c r="AD242" i="39"/>
  <c r="U50" i="103"/>
  <c r="U63" i="103" s="1"/>
  <c r="Z242" i="39"/>
  <c r="AA50" i="103"/>
  <c r="AA63" i="103" s="1"/>
  <c r="V50" i="103"/>
  <c r="V63" i="103" s="1"/>
  <c r="U242" i="39"/>
  <c r="X50" i="103"/>
  <c r="X63" i="103" s="1"/>
  <c r="W242" i="39"/>
  <c r="Z43" i="103" l="1"/>
  <c r="Z58" i="103" s="1"/>
  <c r="W43" i="103"/>
  <c r="W58" i="103" s="1"/>
  <c r="Y43" i="103"/>
  <c r="Y58" i="103" s="1"/>
  <c r="V43" i="103"/>
  <c r="V58" i="103" s="1"/>
  <c r="AA43" i="103"/>
  <c r="AA58" i="103" s="1"/>
  <c r="X43" i="103"/>
  <c r="X58" i="103" s="1"/>
  <c r="AE43" i="103"/>
  <c r="AE58" i="103" s="1"/>
  <c r="U43" i="103"/>
  <c r="U58" i="103" s="1"/>
  <c r="AD43" i="103"/>
  <c r="AD58" i="103" s="1"/>
  <c r="AC43" i="103"/>
  <c r="AC58" i="103" s="1"/>
  <c r="AB43" i="103"/>
  <c r="AB58" i="103" s="1"/>
  <c r="AF43" i="103"/>
  <c r="AF58" i="103" s="1"/>
  <c r="U61" i="39" l="1"/>
  <c r="U403" i="39" s="1"/>
  <c r="T61" i="39"/>
  <c r="T403" i="39" s="1"/>
  <c r="T412" i="39" l="1"/>
  <c r="U412" i="39"/>
  <c r="U414" i="39" s="1"/>
  <c r="V178" i="103"/>
  <c r="AD178" i="103"/>
  <c r="Y178" i="103"/>
  <c r="AA178" i="103"/>
  <c r="AB178" i="103"/>
  <c r="U178" i="103"/>
  <c r="AC178" i="103"/>
  <c r="Z178" i="103"/>
  <c r="X178" i="103"/>
  <c r="AE178" i="103"/>
  <c r="AF178" i="103"/>
  <c r="W178" i="103"/>
  <c r="X224" i="39"/>
  <c r="AB224" i="39"/>
  <c r="U150" i="103"/>
  <c r="AE233" i="39"/>
  <c r="Y233" i="39"/>
  <c r="AA233" i="39"/>
  <c r="W233" i="39"/>
  <c r="T204" i="39"/>
  <c r="X233" i="39"/>
  <c r="AC224" i="39"/>
  <c r="AA224" i="39"/>
  <c r="V224" i="39"/>
  <c r="Y224" i="39"/>
  <c r="Z233" i="39"/>
  <c r="AB233" i="39"/>
  <c r="AC233" i="39"/>
  <c r="Z224" i="39"/>
  <c r="AE224" i="39"/>
  <c r="V233" i="39"/>
  <c r="AD233" i="39"/>
  <c r="T233" i="39"/>
  <c r="W224" i="39"/>
  <c r="U233" i="39"/>
  <c r="U224" i="39"/>
  <c r="AD224" i="39"/>
  <c r="U204" i="39"/>
  <c r="V150" i="103"/>
  <c r="T224" i="39"/>
  <c r="T414" i="39" l="1"/>
  <c r="AC432" i="39"/>
  <c r="X432" i="39"/>
  <c r="Y432" i="39"/>
  <c r="AB432" i="39"/>
  <c r="V432" i="39"/>
  <c r="Z432" i="39"/>
  <c r="AD432" i="39"/>
  <c r="AA432" i="39"/>
  <c r="T432" i="39"/>
  <c r="W432" i="39"/>
  <c r="U432" i="39"/>
  <c r="AE432" i="39"/>
  <c r="T206" i="39"/>
  <c r="AC235" i="39"/>
  <c r="AB235" i="39"/>
  <c r="W235" i="39"/>
  <c r="U235" i="39"/>
  <c r="T235" i="39"/>
  <c r="Y235" i="39"/>
  <c r="AE235" i="39"/>
  <c r="Z235" i="39"/>
  <c r="V235" i="39"/>
  <c r="AD235" i="39"/>
  <c r="AA235" i="39"/>
  <c r="X235" i="39"/>
  <c r="V158" i="103"/>
  <c r="U206" i="39"/>
  <c r="X243" i="39"/>
  <c r="X245" i="39" s="1"/>
  <c r="X222" i="80" s="1"/>
  <c r="Y51" i="103"/>
  <c r="Y64" i="103" s="1"/>
  <c r="U158" i="103"/>
  <c r="T214" i="39"/>
  <c r="Z51" i="103"/>
  <c r="Z64" i="103" s="1"/>
  <c r="Y243" i="39"/>
  <c r="Y245" i="39" s="1"/>
  <c r="Y222" i="80" s="1"/>
  <c r="AA51" i="103"/>
  <c r="AA64" i="103" s="1"/>
  <c r="Z243" i="39"/>
  <c r="Z245" i="39" s="1"/>
  <c r="Z222" i="80" s="1"/>
  <c r="Z225" i="80" s="1"/>
  <c r="AA243" i="39"/>
  <c r="AA245" i="39" s="1"/>
  <c r="AA222" i="80" s="1"/>
  <c r="AB51" i="103"/>
  <c r="AB64" i="103" s="1"/>
  <c r="V243" i="39"/>
  <c r="V245" i="39" s="1"/>
  <c r="V222" i="80" s="1"/>
  <c r="W51" i="103"/>
  <c r="W64" i="103" s="1"/>
  <c r="AC243" i="39"/>
  <c r="AC245" i="39" s="1"/>
  <c r="AC222" i="80" s="1"/>
  <c r="AD51" i="103"/>
  <c r="AD64" i="103" s="1"/>
  <c r="U243" i="39"/>
  <c r="U245" i="39" s="1"/>
  <c r="U222" i="80" s="1"/>
  <c r="V51" i="103"/>
  <c r="V64" i="103" s="1"/>
  <c r="U51" i="103"/>
  <c r="U64" i="103" s="1"/>
  <c r="T243" i="39"/>
  <c r="T245" i="39" s="1"/>
  <c r="T222" i="80" s="1"/>
  <c r="AE51" i="103"/>
  <c r="AE64" i="103" s="1"/>
  <c r="AD243" i="39"/>
  <c r="AD245" i="39" s="1"/>
  <c r="AD222" i="80" s="1"/>
  <c r="AB243" i="39"/>
  <c r="AB245" i="39" s="1"/>
  <c r="AB222" i="80" s="1"/>
  <c r="AC51" i="103"/>
  <c r="AC64" i="103" s="1"/>
  <c r="X51" i="103"/>
  <c r="X64" i="103" s="1"/>
  <c r="W243" i="39"/>
  <c r="W245" i="39" s="1"/>
  <c r="W222" i="80" s="1"/>
  <c r="AF51" i="103"/>
  <c r="AF64" i="103" s="1"/>
  <c r="AE243" i="39"/>
  <c r="AE245" i="39" s="1"/>
  <c r="AE222" i="80" s="1"/>
  <c r="AD434" i="39" l="1"/>
  <c r="Z434" i="39"/>
  <c r="V434" i="39"/>
  <c r="AE434" i="39"/>
  <c r="AB434" i="39"/>
  <c r="U434" i="39"/>
  <c r="Y434" i="39"/>
  <c r="W434" i="39"/>
  <c r="X434" i="39"/>
  <c r="T434" i="39"/>
  <c r="AC434" i="39"/>
  <c r="AA434" i="39"/>
  <c r="T216" i="39"/>
  <c r="W243" i="80"/>
  <c r="W244" i="80" s="1"/>
  <c r="W225" i="80"/>
  <c r="W92" i="80" s="1"/>
  <c r="Z92" i="80"/>
  <c r="W49" i="74" s="1"/>
  <c r="W45" i="74" s="1"/>
  <c r="Z243" i="80"/>
  <c r="Z244" i="80" s="1"/>
  <c r="U243" i="80"/>
  <c r="U244" i="80" s="1"/>
  <c r="U225" i="80"/>
  <c r="U92" i="80" s="1"/>
  <c r="AE243" i="80"/>
  <c r="AE244" i="80" s="1"/>
  <c r="AE225" i="80"/>
  <c r="AE92" i="80" s="1"/>
  <c r="AB243" i="80"/>
  <c r="AB244" i="80" s="1"/>
  <c r="AB225" i="80"/>
  <c r="AB92" i="80" s="1"/>
  <c r="AC243" i="80"/>
  <c r="AC244" i="80" s="1"/>
  <c r="AC225" i="80"/>
  <c r="AC92" i="80" s="1"/>
  <c r="AA225" i="80"/>
  <c r="AA92" i="80" s="1"/>
  <c r="AA243" i="80"/>
  <c r="AA244" i="80" s="1"/>
  <c r="Y225" i="80"/>
  <c r="Y92" i="80" s="1"/>
  <c r="Y243" i="80"/>
  <c r="Y244" i="80" s="1"/>
  <c r="X225" i="80"/>
  <c r="X92" i="80" s="1"/>
  <c r="X243" i="80"/>
  <c r="X244" i="80" s="1"/>
  <c r="AD225" i="80"/>
  <c r="AD92" i="80" s="1"/>
  <c r="AD243" i="80"/>
  <c r="AD244" i="80" s="1"/>
  <c r="V243" i="80"/>
  <c r="V244" i="80" s="1"/>
  <c r="V225" i="80"/>
  <c r="V92" i="80" s="1"/>
  <c r="T243" i="80"/>
  <c r="T244" i="80" s="1"/>
  <c r="T225" i="80"/>
  <c r="T92" i="80" s="1"/>
  <c r="V44" i="103"/>
  <c r="V59" i="103" s="1"/>
  <c r="W44" i="103"/>
  <c r="W59" i="103" s="1"/>
  <c r="AB44" i="103"/>
  <c r="AB59" i="103" s="1"/>
  <c r="AF44" i="103"/>
  <c r="AF59" i="103" s="1"/>
  <c r="U44" i="103"/>
  <c r="U59" i="103" s="1"/>
  <c r="Z44" i="103"/>
  <c r="Z59" i="103" s="1"/>
  <c r="AC44" i="103"/>
  <c r="AC59" i="103" s="1"/>
  <c r="AD44" i="103"/>
  <c r="AD59" i="103" s="1"/>
  <c r="X44" i="103"/>
  <c r="X59" i="103" s="1"/>
  <c r="AE44" i="103"/>
  <c r="AE59" i="103" s="1"/>
  <c r="AA44" i="103"/>
  <c r="AA59" i="103" s="1"/>
  <c r="U21" i="103"/>
  <c r="U34" i="103" s="1"/>
  <c r="U214" i="39"/>
  <c r="Y44" i="103"/>
  <c r="Y59" i="103" s="1"/>
  <c r="U49" i="74" l="1"/>
  <c r="U45" i="74" s="1"/>
  <c r="G110" i="116"/>
  <c r="U35" i="75"/>
  <c r="U31" i="75" s="1"/>
  <c r="U216" i="39"/>
  <c r="V49" i="74"/>
  <c r="V45" i="74" s="1"/>
  <c r="H110" i="116"/>
  <c r="V35" i="75"/>
  <c r="V31" i="75" s="1"/>
  <c r="X49" i="74"/>
  <c r="X45" i="74" s="1"/>
  <c r="J110" i="116"/>
  <c r="X35" i="75"/>
  <c r="X31" i="75" s="1"/>
  <c r="W35" i="75"/>
  <c r="W31" i="75" s="1"/>
  <c r="I110" i="116"/>
  <c r="V214" i="39"/>
  <c r="V21" i="103"/>
  <c r="V34" i="103" s="1"/>
  <c r="V216" i="39" l="1"/>
  <c r="W21" i="103"/>
  <c r="W34" i="103" s="1"/>
  <c r="W214" i="39"/>
  <c r="W216" i="39" l="1"/>
  <c r="X21" i="103"/>
  <c r="X34" i="103" s="1"/>
  <c r="X214" i="39"/>
  <c r="X216" i="39" l="1"/>
  <c r="Y21" i="103"/>
  <c r="Y34" i="103" s="1"/>
  <c r="Y214" i="39"/>
  <c r="Y216" i="39" l="1"/>
  <c r="Z21" i="103"/>
  <c r="Z34" i="103" s="1"/>
  <c r="Z214" i="39"/>
  <c r="Z216" i="39" l="1"/>
  <c r="AA214" i="39"/>
  <c r="AA21" i="103"/>
  <c r="AA34" i="103" s="1"/>
  <c r="AA216" i="39" l="1"/>
  <c r="AB21" i="103"/>
  <c r="AB34" i="103" s="1"/>
  <c r="AB214" i="39"/>
  <c r="AB216" i="39" l="1"/>
  <c r="AC214" i="39"/>
  <c r="AC21" i="103"/>
  <c r="AC34" i="103" s="1"/>
  <c r="AC216" i="39" l="1"/>
  <c r="AD21" i="103"/>
  <c r="AD34" i="103" s="1"/>
  <c r="AD214" i="39"/>
  <c r="AD216" i="39" l="1"/>
  <c r="AE21" i="103"/>
  <c r="AE34" i="103" s="1"/>
  <c r="AE214" i="39"/>
  <c r="AF21" i="103" l="1"/>
  <c r="AF34" i="103" s="1"/>
  <c r="AE216" i="39"/>
  <c r="N119" i="80"/>
  <c r="M119" i="80"/>
  <c r="O119" i="80"/>
  <c r="O133" i="80"/>
  <c r="O123" i="80"/>
  <c r="N123" i="80"/>
  <c r="M123" i="80"/>
  <c r="N121" i="80"/>
  <c r="M121" i="80"/>
  <c r="O136" i="80"/>
  <c r="O134" i="80"/>
  <c r="AE142" i="80"/>
  <c r="V124" i="116" s="1"/>
  <c r="AD142" i="80"/>
  <c r="AC142" i="80"/>
  <c r="AB142" i="80"/>
  <c r="AA142" i="80"/>
  <c r="Z142" i="80"/>
  <c r="U124" i="116" s="1"/>
  <c r="J120" i="80"/>
  <c r="G137" i="103"/>
  <c r="Y142" i="80"/>
  <c r="J118" i="80"/>
  <c r="H137" i="103"/>
  <c r="X142" i="80"/>
  <c r="G141" i="103"/>
  <c r="F139" i="80"/>
  <c r="F120" i="80"/>
  <c r="G120" i="80"/>
  <c r="F124" i="80"/>
  <c r="G124" i="80"/>
  <c r="G140" i="103"/>
  <c r="F136" i="80"/>
  <c r="F137" i="80"/>
  <c r="F142" i="80"/>
  <c r="F134" i="80"/>
  <c r="F133" i="80"/>
  <c r="F138" i="80"/>
  <c r="G139" i="103"/>
  <c r="F135" i="80"/>
  <c r="F123" i="80"/>
  <c r="G123" i="80"/>
  <c r="F141" i="80"/>
  <c r="F118" i="80"/>
  <c r="G118" i="80"/>
  <c r="F119" i="80"/>
  <c r="G119" i="80"/>
  <c r="F121" i="80"/>
  <c r="G121" i="80"/>
  <c r="F140" i="80"/>
  <c r="G138" i="103"/>
  <c r="J124" i="80"/>
  <c r="I137" i="103"/>
  <c r="W142" i="80"/>
  <c r="G141" i="80"/>
  <c r="H120" i="80"/>
  <c r="H141" i="103"/>
  <c r="H118" i="80"/>
  <c r="G137" i="80"/>
  <c r="H139" i="103"/>
  <c r="H124" i="80"/>
  <c r="G133" i="80"/>
  <c r="G136" i="80"/>
  <c r="H140" i="103"/>
  <c r="G139" i="80"/>
  <c r="H138" i="103"/>
  <c r="H119" i="80"/>
  <c r="H123" i="80"/>
  <c r="G138" i="80"/>
  <c r="G134" i="80"/>
  <c r="G140" i="80"/>
  <c r="G142" i="80"/>
  <c r="G135" i="80"/>
  <c r="H121" i="80"/>
  <c r="J121" i="80"/>
  <c r="I121" i="80"/>
  <c r="K121" i="80"/>
  <c r="J137" i="103"/>
  <c r="I118" i="80"/>
  <c r="I124" i="80"/>
  <c r="I120" i="80"/>
  <c r="J123" i="80"/>
  <c r="I123" i="80"/>
  <c r="V142" i="80"/>
  <c r="I141" i="103"/>
  <c r="H135" i="80"/>
  <c r="H140" i="80"/>
  <c r="I140" i="103"/>
  <c r="H134" i="80"/>
  <c r="I139" i="103"/>
  <c r="H141" i="80"/>
  <c r="H138" i="80"/>
  <c r="I138" i="103"/>
  <c r="H136" i="80"/>
  <c r="I119" i="80"/>
  <c r="H139" i="80"/>
  <c r="H133" i="80"/>
  <c r="H142" i="80"/>
  <c r="H137" i="80"/>
  <c r="K137" i="103"/>
  <c r="U142" i="80"/>
  <c r="I142" i="80"/>
  <c r="I134" i="80"/>
  <c r="I139" i="80"/>
  <c r="I138" i="80"/>
  <c r="I136" i="80"/>
  <c r="I141" i="80"/>
  <c r="J119" i="80"/>
  <c r="J139" i="103"/>
  <c r="I140" i="80"/>
  <c r="J140" i="103"/>
  <c r="I137" i="80"/>
  <c r="J138" i="103"/>
  <c r="I135" i="80"/>
  <c r="I133" i="80"/>
  <c r="J141" i="103"/>
  <c r="K119" i="80"/>
  <c r="L119" i="80"/>
  <c r="K123" i="80"/>
  <c r="L123" i="80"/>
  <c r="T142" i="80"/>
  <c r="S142" i="80"/>
  <c r="R142" i="80"/>
  <c r="J141" i="80"/>
  <c r="J136" i="80"/>
  <c r="J134" i="80"/>
  <c r="K141" i="103"/>
  <c r="J137" i="80"/>
  <c r="J135" i="80"/>
  <c r="K138" i="103"/>
  <c r="J140" i="80"/>
  <c r="K139" i="103"/>
  <c r="J133" i="80"/>
  <c r="J142" i="80"/>
  <c r="J138" i="80"/>
  <c r="K140" i="103"/>
  <c r="J139" i="80"/>
  <c r="Q142" i="80"/>
  <c r="P142" i="80"/>
  <c r="K136" i="80"/>
  <c r="K137" i="80"/>
  <c r="K142" i="80"/>
  <c r="K133" i="80"/>
  <c r="K138" i="80"/>
  <c r="K135" i="80"/>
  <c r="K139" i="80"/>
  <c r="L121" i="80"/>
  <c r="K134" i="80"/>
  <c r="L142" i="80"/>
  <c r="L133" i="80"/>
  <c r="L134" i="80"/>
  <c r="L139" i="80"/>
  <c r="L136" i="80"/>
  <c r="L138" i="80"/>
  <c r="L135" i="80"/>
  <c r="L137" i="80"/>
  <c r="O142" i="80"/>
  <c r="M133" i="80"/>
  <c r="M139" i="80"/>
  <c r="M143" i="80"/>
  <c r="M135" i="80"/>
  <c r="M138" i="80"/>
  <c r="M136" i="80"/>
  <c r="M134" i="80"/>
  <c r="M137" i="80"/>
  <c r="M142" i="80"/>
  <c r="O322" i="39"/>
  <c r="N133" i="80"/>
  <c r="N139" i="80"/>
  <c r="N135" i="80"/>
  <c r="N137" i="80"/>
  <c r="N143" i="80"/>
  <c r="N136" i="80"/>
  <c r="N138" i="80"/>
  <c r="N134" i="80"/>
  <c r="N142" i="80"/>
  <c r="O121" i="80"/>
  <c r="O135" i="80"/>
  <c r="O139" i="80"/>
  <c r="O137" i="80"/>
  <c r="O138" i="80"/>
  <c r="O150" i="80"/>
  <c r="H143" i="103" l="1"/>
  <c r="J143" i="103"/>
  <c r="I143" i="103"/>
  <c r="G143" i="103"/>
  <c r="K143" i="103"/>
  <c r="V237" i="80"/>
  <c r="J232" i="80"/>
  <c r="Q124" i="116"/>
  <c r="J231" i="80"/>
  <c r="I127" i="80"/>
  <c r="G127" i="80"/>
  <c r="F127" i="80"/>
  <c r="H127" i="80"/>
  <c r="J127" i="80"/>
  <c r="S124" i="116"/>
  <c r="H234" i="80"/>
  <c r="T124" i="116"/>
  <c r="H237" i="80"/>
  <c r="R124" i="116"/>
  <c r="O234" i="80"/>
  <c r="R237" i="80"/>
  <c r="Y237" i="80"/>
  <c r="P182" i="39"/>
  <c r="P368" i="39" s="1"/>
  <c r="G237" i="80"/>
  <c r="P183" i="39"/>
  <c r="P369" i="39" s="1"/>
  <c r="AA237" i="80"/>
  <c r="M237" i="80"/>
  <c r="J233" i="80"/>
  <c r="P181" i="39"/>
  <c r="C2" i="128" s="1"/>
  <c r="I234" i="80"/>
  <c r="H235" i="80"/>
  <c r="I237" i="80"/>
  <c r="W237" i="80"/>
  <c r="L237" i="80"/>
  <c r="U237" i="80"/>
  <c r="I231" i="80"/>
  <c r="N237" i="80"/>
  <c r="G236" i="80"/>
  <c r="Z237" i="80"/>
  <c r="I232" i="80"/>
  <c r="I236" i="80"/>
  <c r="H233" i="80"/>
  <c r="O237" i="80"/>
  <c r="J237" i="80"/>
  <c r="AC237" i="80"/>
  <c r="AE237" i="80"/>
  <c r="J234" i="80"/>
  <c r="M235" i="80"/>
  <c r="G234" i="80"/>
  <c r="G235" i="80"/>
  <c r="G231" i="80"/>
  <c r="N235" i="80"/>
  <c r="L235" i="80"/>
  <c r="J235" i="80"/>
  <c r="K237" i="80"/>
  <c r="J236" i="80"/>
  <c r="AD237" i="80"/>
  <c r="S237" i="80"/>
  <c r="T237" i="80"/>
  <c r="O235" i="80"/>
  <c r="I235" i="80"/>
  <c r="AB237" i="80"/>
  <c r="X237" i="80"/>
  <c r="Q237" i="80"/>
  <c r="K235" i="80"/>
  <c r="K232" i="80"/>
  <c r="K234" i="80"/>
  <c r="H236" i="80"/>
  <c r="H238" i="80"/>
  <c r="H231" i="80"/>
  <c r="P237" i="80"/>
  <c r="M232" i="80"/>
  <c r="H232" i="80"/>
  <c r="G233" i="80"/>
  <c r="G232" i="80"/>
  <c r="N232" i="80"/>
  <c r="M234" i="80"/>
  <c r="L234" i="80"/>
  <c r="I238" i="80"/>
  <c r="J238" i="80"/>
  <c r="N234" i="80"/>
  <c r="O232" i="80"/>
  <c r="L232" i="80"/>
  <c r="G238" i="80"/>
  <c r="I233" i="80"/>
  <c r="P418" i="39" l="1"/>
  <c r="P420" i="39"/>
  <c r="P417" i="39"/>
  <c r="P422" i="39"/>
  <c r="P421" i="39"/>
  <c r="P423" i="39"/>
  <c r="P419" i="39"/>
  <c r="P335" i="39"/>
  <c r="Q183" i="39"/>
  <c r="Q369" i="39" s="1"/>
  <c r="Q181" i="39"/>
  <c r="D2" i="128" s="1"/>
  <c r="Q182" i="39"/>
  <c r="Q368" i="39" s="1"/>
  <c r="P101" i="80"/>
  <c r="P123" i="80" s="1"/>
  <c r="P235" i="80" s="1"/>
  <c r="P331" i="39"/>
  <c r="P327" i="39"/>
  <c r="P325" i="39"/>
  <c r="P339" i="39"/>
  <c r="P329" i="39"/>
  <c r="P326" i="39"/>
  <c r="P63" i="80"/>
  <c r="P338" i="39"/>
  <c r="P328" i="39"/>
  <c r="P340" i="39"/>
  <c r="P330" i="39"/>
  <c r="P336" i="39"/>
  <c r="P341" i="39"/>
  <c r="P351" i="39" s="1"/>
  <c r="P337" i="39"/>
  <c r="C102" i="51" l="1"/>
  <c r="F102" i="51" s="1"/>
  <c r="F109" i="51" s="1"/>
  <c r="C101" i="51"/>
  <c r="Q421" i="39"/>
  <c r="Q423" i="39"/>
  <c r="Q418" i="39"/>
  <c r="Q417" i="39"/>
  <c r="Q422" i="39"/>
  <c r="Q420" i="39"/>
  <c r="Q419" i="39"/>
  <c r="P345" i="39"/>
  <c r="P424" i="39"/>
  <c r="Q329" i="39"/>
  <c r="Q101" i="80"/>
  <c r="Q123" i="80" s="1"/>
  <c r="Q235" i="80" s="1"/>
  <c r="Q340" i="39"/>
  <c r="Q338" i="39"/>
  <c r="Q341" i="39"/>
  <c r="Q337" i="39"/>
  <c r="Q331" i="39"/>
  <c r="Q327" i="39"/>
  <c r="Q325" i="39"/>
  <c r="Q330" i="39"/>
  <c r="Q63" i="80"/>
  <c r="Q150" i="80" s="1"/>
  <c r="Q328" i="39"/>
  <c r="Q326" i="39"/>
  <c r="Q336" i="39"/>
  <c r="Q339" i="39"/>
  <c r="Q349" i="39" s="1"/>
  <c r="Q335" i="39"/>
  <c r="P346" i="39"/>
  <c r="P349" i="39"/>
  <c r="P348" i="39"/>
  <c r="P347" i="39"/>
  <c r="P350" i="39"/>
  <c r="P342" i="39"/>
  <c r="P332" i="39"/>
  <c r="P143" i="80"/>
  <c r="P150" i="80"/>
  <c r="Q143" i="80" l="1"/>
  <c r="H102" i="51"/>
  <c r="H109" i="51" s="1"/>
  <c r="G102" i="51"/>
  <c r="G109" i="51" s="1"/>
  <c r="G101" i="51"/>
  <c r="G108" i="51" s="1"/>
  <c r="H101" i="51"/>
  <c r="H108" i="51" s="1"/>
  <c r="F101" i="51"/>
  <c r="F108" i="51" s="1"/>
  <c r="Q424" i="39"/>
  <c r="Q347" i="39"/>
  <c r="Q348" i="39"/>
  <c r="Q346" i="39"/>
  <c r="Q350" i="39"/>
  <c r="Q345" i="39"/>
  <c r="Q351" i="39"/>
  <c r="Q342" i="39"/>
  <c r="Q332" i="39"/>
  <c r="P352" i="39"/>
  <c r="P375" i="39" s="1"/>
  <c r="Q352" i="39" l="1"/>
  <c r="Q375" i="39" s="1"/>
  <c r="P366" i="39"/>
  <c r="P97" i="80" s="1"/>
  <c r="Q366" i="39" l="1"/>
  <c r="P54" i="80"/>
  <c r="P58" i="80"/>
  <c r="P59" i="80"/>
  <c r="P55" i="80"/>
  <c r="P53" i="80"/>
  <c r="P56" i="80"/>
  <c r="P57" i="80"/>
  <c r="P119" i="80"/>
  <c r="Q97" i="80" l="1"/>
  <c r="Q119" i="80" s="1"/>
  <c r="Q232" i="80" s="1"/>
  <c r="P137" i="80"/>
  <c r="P136" i="80"/>
  <c r="P133" i="80"/>
  <c r="P135" i="80"/>
  <c r="P139" i="80"/>
  <c r="P138" i="80"/>
  <c r="P134" i="80"/>
  <c r="P232" i="80"/>
  <c r="P382" i="39" l="1"/>
  <c r="C8" i="128" s="1"/>
  <c r="P99" i="80" l="1"/>
  <c r="P67" i="80"/>
  <c r="P389" i="39"/>
  <c r="P121" i="80" l="1"/>
  <c r="P234" i="80" l="1"/>
  <c r="Q382" i="39" l="1"/>
  <c r="Q58" i="80"/>
  <c r="Q138" i="80" s="1"/>
  <c r="Q59" i="80"/>
  <c r="Q57" i="80"/>
  <c r="Q53" i="80"/>
  <c r="Q133" i="80" s="1"/>
  <c r="Q55" i="80"/>
  <c r="Q135" i="80" s="1"/>
  <c r="Q54" i="80"/>
  <c r="Q134" i="80" s="1"/>
  <c r="Q56" i="80"/>
  <c r="Q136" i="80" s="1"/>
  <c r="Q99" i="80" l="1"/>
  <c r="Q121" i="80" s="1"/>
  <c r="Q234" i="80" s="1"/>
  <c r="D8" i="128"/>
  <c r="Q137" i="80"/>
  <c r="Q139" i="80"/>
  <c r="Q67" i="80"/>
  <c r="Q389" i="39"/>
  <c r="R26" i="39" l="1"/>
  <c r="S14" i="97"/>
  <c r="R14" i="97" s="1"/>
  <c r="R7" i="97" s="1"/>
  <c r="Q316" i="39" s="1"/>
  <c r="R11" i="97" l="1"/>
  <c r="Q320" i="39" s="1"/>
  <c r="R10" i="97"/>
  <c r="Q319" i="39" s="1"/>
  <c r="R6" i="97"/>
  <c r="Q315" i="39" s="1"/>
  <c r="Q26" i="39"/>
  <c r="Q14" i="97"/>
  <c r="Q9" i="97" s="1"/>
  <c r="P318" i="39" s="1"/>
  <c r="R9" i="97"/>
  <c r="Q318" i="39" s="1"/>
  <c r="R12" i="97"/>
  <c r="Q321" i="39" s="1"/>
  <c r="R8" i="97"/>
  <c r="Q317" i="39" s="1"/>
  <c r="R272" i="39"/>
  <c r="R181" i="39"/>
  <c r="S26" i="39"/>
  <c r="R183" i="39"/>
  <c r="R369" i="39" s="1"/>
  <c r="D102" i="51" s="1"/>
  <c r="S75" i="103"/>
  <c r="R268" i="39"/>
  <c r="R182" i="39"/>
  <c r="R368" i="39" s="1"/>
  <c r="D101" i="51" s="1"/>
  <c r="S73" i="103"/>
  <c r="S71" i="103"/>
  <c r="S70" i="103"/>
  <c r="S100" i="103" s="1"/>
  <c r="R80" i="80"/>
  <c r="S69" i="103"/>
  <c r="R273" i="39"/>
  <c r="R270" i="39"/>
  <c r="S72" i="103"/>
  <c r="S102" i="103" s="1"/>
  <c r="R114" i="80"/>
  <c r="R274" i="39"/>
  <c r="R271" i="39"/>
  <c r="R84" i="80"/>
  <c r="S74" i="103"/>
  <c r="R111" i="80"/>
  <c r="R269" i="39"/>
  <c r="T14" i="97"/>
  <c r="R315" i="39"/>
  <c r="R319" i="39"/>
  <c r="R316" i="39"/>
  <c r="R320" i="39"/>
  <c r="R317" i="39"/>
  <c r="R321" i="39"/>
  <c r="R318" i="39"/>
  <c r="Q12" i="97"/>
  <c r="P321" i="39" s="1"/>
  <c r="Q8" i="97" l="1"/>
  <c r="P317" i="39" s="1"/>
  <c r="Q7" i="97"/>
  <c r="P316" i="39" s="1"/>
  <c r="R439" i="39" a="1"/>
  <c r="R439" i="39" s="1"/>
  <c r="E2" i="128"/>
  <c r="Q11" i="97"/>
  <c r="P320" i="39" s="1"/>
  <c r="Q6" i="97"/>
  <c r="P315" i="39" s="1"/>
  <c r="Q10" i="97"/>
  <c r="P319" i="39" s="1"/>
  <c r="P14" i="97"/>
  <c r="O14" i="97" s="1"/>
  <c r="N14" i="97" s="1"/>
  <c r="M14" i="97" s="1"/>
  <c r="L14" i="97" s="1"/>
  <c r="R325" i="39"/>
  <c r="Q101" i="51"/>
  <c r="Q108" i="51" s="1"/>
  <c r="M101" i="51"/>
  <c r="M108" i="51" s="1"/>
  <c r="K101" i="51"/>
  <c r="K108" i="51" s="1"/>
  <c r="L101" i="51"/>
  <c r="L108" i="51" s="1"/>
  <c r="E101" i="51"/>
  <c r="E108" i="51" s="1"/>
  <c r="I101" i="51"/>
  <c r="I108" i="51" s="1"/>
  <c r="N101" i="51"/>
  <c r="N108" i="51" s="1"/>
  <c r="J101" i="51"/>
  <c r="J108" i="51" s="1"/>
  <c r="P101" i="51"/>
  <c r="P108" i="51" s="1"/>
  <c r="O101" i="51"/>
  <c r="O108" i="51" s="1"/>
  <c r="Q322" i="39"/>
  <c r="J102" i="51"/>
  <c r="J109" i="51" s="1"/>
  <c r="E102" i="51"/>
  <c r="E109" i="51" s="1"/>
  <c r="K102" i="51"/>
  <c r="K109" i="51" s="1"/>
  <c r="M102" i="51"/>
  <c r="M109" i="51" s="1"/>
  <c r="I102" i="51"/>
  <c r="I109" i="51" s="1"/>
  <c r="Q102" i="51"/>
  <c r="Q109" i="51" s="1"/>
  <c r="N102" i="51"/>
  <c r="N109" i="51" s="1"/>
  <c r="O102" i="51"/>
  <c r="O109" i="51" s="1"/>
  <c r="P102" i="51"/>
  <c r="P109" i="51" s="1"/>
  <c r="L102" i="51"/>
  <c r="L109" i="51" s="1"/>
  <c r="R442" i="39" a="1"/>
  <c r="R442" i="39" s="1"/>
  <c r="R443" i="39" a="1"/>
  <c r="R443" i="39" s="1"/>
  <c r="R438" i="39" a="1"/>
  <c r="R438" i="39" s="1"/>
  <c r="P26" i="39"/>
  <c r="Q77" i="80"/>
  <c r="Q74" i="80"/>
  <c r="Q269" i="39"/>
  <c r="Q108" i="80"/>
  <c r="Q114" i="80"/>
  <c r="Q274" i="39"/>
  <c r="Q270" i="39"/>
  <c r="Q75" i="80"/>
  <c r="Q81" i="80"/>
  <c r="R72" i="103"/>
  <c r="R102" i="103" s="1"/>
  <c r="Q112" i="80"/>
  <c r="Q85" i="80"/>
  <c r="Q76" i="80"/>
  <c r="Q72" i="80"/>
  <c r="Q73" i="80"/>
  <c r="R73" i="103"/>
  <c r="Q80" i="80"/>
  <c r="Q84" i="80"/>
  <c r="R71" i="103"/>
  <c r="Q268" i="39"/>
  <c r="Q111" i="80"/>
  <c r="Q110" i="80"/>
  <c r="Q272" i="39"/>
  <c r="R74" i="103"/>
  <c r="R70" i="103"/>
  <c r="R100" i="103" s="1"/>
  <c r="Q273" i="39"/>
  <c r="Q271" i="39"/>
  <c r="R69" i="103"/>
  <c r="R75" i="103"/>
  <c r="Q71" i="80"/>
  <c r="R441" i="39" a="1"/>
  <c r="R441" i="39" s="1"/>
  <c r="R440" i="39" a="1"/>
  <c r="R440" i="39" s="1"/>
  <c r="R437" i="39" a="1"/>
  <c r="R437" i="39" s="1"/>
  <c r="R418" i="39"/>
  <c r="R421" i="39"/>
  <c r="R417" i="39"/>
  <c r="R422" i="39"/>
  <c r="R423" i="39"/>
  <c r="R420" i="39"/>
  <c r="R419" i="39"/>
  <c r="R335" i="39"/>
  <c r="R345" i="39" s="1"/>
  <c r="R329" i="39"/>
  <c r="R341" i="39"/>
  <c r="R331" i="39"/>
  <c r="R340" i="39"/>
  <c r="R330" i="39"/>
  <c r="R328" i="39"/>
  <c r="R339" i="39"/>
  <c r="R326" i="39"/>
  <c r="R337" i="39"/>
  <c r="R336" i="39"/>
  <c r="R63" i="80"/>
  <c r="R338" i="39"/>
  <c r="R327" i="39"/>
  <c r="S87" i="103"/>
  <c r="S101" i="103"/>
  <c r="S117" i="103" s="1"/>
  <c r="S133" i="103" s="1"/>
  <c r="S103" i="103"/>
  <c r="S118" i="103" s="1"/>
  <c r="S134" i="103" s="1"/>
  <c r="S88" i="103"/>
  <c r="S105" i="103"/>
  <c r="S120" i="103" s="1"/>
  <c r="S136" i="103" s="1"/>
  <c r="S90" i="103"/>
  <c r="S104" i="103"/>
  <c r="S119" i="103" s="1"/>
  <c r="S135" i="103" s="1"/>
  <c r="S89" i="103"/>
  <c r="S99" i="103"/>
  <c r="S116" i="103" s="1"/>
  <c r="S132" i="103" s="1"/>
  <c r="S86" i="103"/>
  <c r="R101" i="80"/>
  <c r="S272" i="39"/>
  <c r="T70" i="103"/>
  <c r="T100" i="103" s="1"/>
  <c r="S111" i="80"/>
  <c r="T72" i="103"/>
  <c r="T102" i="103" s="1"/>
  <c r="T75" i="103"/>
  <c r="T73" i="103"/>
  <c r="T74" i="103"/>
  <c r="S84" i="80"/>
  <c r="S270" i="39"/>
  <c r="T71" i="103"/>
  <c r="S80" i="80"/>
  <c r="S183" i="39"/>
  <c r="S369" i="39" s="1"/>
  <c r="T69" i="103"/>
  <c r="S114" i="80"/>
  <c r="S182" i="39"/>
  <c r="S368" i="39" s="1"/>
  <c r="T26" i="39"/>
  <c r="S181" i="39"/>
  <c r="F2" i="128" s="1"/>
  <c r="S268" i="39"/>
  <c r="S269" i="39"/>
  <c r="S271" i="39"/>
  <c r="S273" i="39"/>
  <c r="S274" i="39"/>
  <c r="R322" i="39"/>
  <c r="T8" i="97"/>
  <c r="S317" i="39" s="1"/>
  <c r="T12" i="97"/>
  <c r="S321" i="39" s="1"/>
  <c r="U14" i="97"/>
  <c r="T9" i="97"/>
  <c r="S318" i="39" s="1"/>
  <c r="T6" i="97"/>
  <c r="S315" i="39" s="1"/>
  <c r="T10" i="97"/>
  <c r="S319" i="39" s="1"/>
  <c r="T7" i="97"/>
  <c r="S316" i="39" s="1"/>
  <c r="T11" i="97"/>
  <c r="S320" i="39" s="1"/>
  <c r="P322" i="39" l="1"/>
  <c r="R347" i="39"/>
  <c r="R346" i="39"/>
  <c r="R348" i="39"/>
  <c r="R351" i="39"/>
  <c r="R350" i="39"/>
  <c r="R349" i="39"/>
  <c r="S437" i="39" a="1"/>
  <c r="S437" i="39" s="1"/>
  <c r="S442" i="39" a="1"/>
  <c r="S442" i="39" s="1"/>
  <c r="S439" i="39" a="1"/>
  <c r="S439" i="39" s="1"/>
  <c r="S438" i="39" a="1"/>
  <c r="S438" i="39" s="1"/>
  <c r="S448" i="39" s="1"/>
  <c r="S440" i="39" a="1"/>
  <c r="S440" i="39" s="1"/>
  <c r="S441" i="39" a="1"/>
  <c r="S441" i="39" s="1"/>
  <c r="S443" i="39" a="1"/>
  <c r="S443" i="39" s="1"/>
  <c r="R99" i="103"/>
  <c r="R116" i="103" s="1"/>
  <c r="R132" i="103" s="1"/>
  <c r="R86" i="103"/>
  <c r="R101" i="103"/>
  <c r="R117" i="103" s="1"/>
  <c r="R133" i="103" s="1"/>
  <c r="R87" i="103"/>
  <c r="R89" i="103"/>
  <c r="R104" i="103"/>
  <c r="R119" i="103" s="1"/>
  <c r="R135" i="103" s="1"/>
  <c r="R103" i="103"/>
  <c r="R118" i="103" s="1"/>
  <c r="R134" i="103" s="1"/>
  <c r="R88" i="103"/>
  <c r="P271" i="39"/>
  <c r="P273" i="39"/>
  <c r="P84" i="80"/>
  <c r="P75" i="80"/>
  <c r="P72" i="80"/>
  <c r="Q75" i="103"/>
  <c r="P269" i="39"/>
  <c r="P112" i="80"/>
  <c r="P80" i="80"/>
  <c r="P274" i="39"/>
  <c r="P270" i="39"/>
  <c r="Q71" i="103"/>
  <c r="P272" i="39"/>
  <c r="Q69" i="103"/>
  <c r="Q72" i="103"/>
  <c r="Q102" i="103" s="1"/>
  <c r="P73" i="80"/>
  <c r="Q74" i="103"/>
  <c r="P85" i="80"/>
  <c r="Q73" i="103"/>
  <c r="P114" i="80"/>
  <c r="P71" i="80"/>
  <c r="P108" i="80"/>
  <c r="P77" i="80"/>
  <c r="P110" i="80"/>
  <c r="P111" i="80"/>
  <c r="Q70" i="103"/>
  <c r="Q100" i="103" s="1"/>
  <c r="P81" i="80"/>
  <c r="O26" i="39"/>
  <c r="P74" i="80"/>
  <c r="P76" i="80"/>
  <c r="P268" i="39"/>
  <c r="R90" i="103"/>
  <c r="R105" i="103"/>
  <c r="R120" i="103" s="1"/>
  <c r="R136" i="103" s="1"/>
  <c r="R450" i="39"/>
  <c r="R452" i="39"/>
  <c r="R447" i="39"/>
  <c r="R451" i="39"/>
  <c r="R448" i="39"/>
  <c r="S420" i="39"/>
  <c r="S422" i="39"/>
  <c r="S417" i="39"/>
  <c r="S418" i="39"/>
  <c r="S423" i="39"/>
  <c r="S421" i="39"/>
  <c r="S419" i="39"/>
  <c r="R453" i="39"/>
  <c r="R449" i="39"/>
  <c r="R444" i="39"/>
  <c r="R424" i="39"/>
  <c r="S142" i="103"/>
  <c r="R342" i="39"/>
  <c r="R332" i="39"/>
  <c r="R143" i="80"/>
  <c r="R150" i="80"/>
  <c r="R81" i="80"/>
  <c r="S101" i="80"/>
  <c r="S112" i="80" s="1"/>
  <c r="T99" i="103"/>
  <c r="T116" i="103" s="1"/>
  <c r="T132" i="103" s="1"/>
  <c r="T86" i="103"/>
  <c r="T90" i="103"/>
  <c r="T105" i="103"/>
  <c r="T120" i="103" s="1"/>
  <c r="T136" i="103" s="1"/>
  <c r="T101" i="103"/>
  <c r="T117" i="103" s="1"/>
  <c r="T133" i="103" s="1"/>
  <c r="T87" i="103"/>
  <c r="S63" i="80"/>
  <c r="S336" i="39"/>
  <c r="S326" i="39"/>
  <c r="S346" i="39" s="1"/>
  <c r="S337" i="39"/>
  <c r="S327" i="39"/>
  <c r="S347" i="39" s="1"/>
  <c r="S338" i="39"/>
  <c r="S328" i="39"/>
  <c r="S348" i="39" s="1"/>
  <c r="S339" i="39"/>
  <c r="S340" i="39"/>
  <c r="S329" i="39"/>
  <c r="S349" i="39" s="1"/>
  <c r="S330" i="39"/>
  <c r="S350" i="39" s="1"/>
  <c r="S325" i="39"/>
  <c r="S331" i="39"/>
  <c r="S351" i="39" s="1"/>
  <c r="S341" i="39"/>
  <c r="S335" i="39"/>
  <c r="T271" i="39"/>
  <c r="T181" i="39"/>
  <c r="G2" i="128" s="1"/>
  <c r="U74" i="103"/>
  <c r="U73" i="103"/>
  <c r="T273" i="39"/>
  <c r="T182" i="39"/>
  <c r="T368" i="39" s="1"/>
  <c r="U69" i="103"/>
  <c r="U26" i="39"/>
  <c r="T274" i="39"/>
  <c r="U72" i="103"/>
  <c r="U102" i="103" s="1"/>
  <c r="U75" i="103"/>
  <c r="T114" i="80"/>
  <c r="T183" i="39"/>
  <c r="T369" i="39" s="1"/>
  <c r="T270" i="39"/>
  <c r="T84" i="80"/>
  <c r="T272" i="39"/>
  <c r="T80" i="80"/>
  <c r="T111" i="80"/>
  <c r="T269" i="39"/>
  <c r="T268" i="39"/>
  <c r="U71" i="103"/>
  <c r="U70" i="103"/>
  <c r="U100" i="103" s="1"/>
  <c r="R123" i="80"/>
  <c r="R235" i="80" s="1"/>
  <c r="R112" i="80"/>
  <c r="T89" i="103"/>
  <c r="T104" i="103"/>
  <c r="T119" i="103" s="1"/>
  <c r="T135" i="103" s="1"/>
  <c r="T88" i="103"/>
  <c r="T103" i="103"/>
  <c r="T118" i="103" s="1"/>
  <c r="T134" i="103" s="1"/>
  <c r="S322" i="39"/>
  <c r="S370" i="39" s="1"/>
  <c r="S102" i="80" s="1"/>
  <c r="U6" i="97"/>
  <c r="T315" i="39" s="1"/>
  <c r="U10" i="97"/>
  <c r="T319" i="39" s="1"/>
  <c r="V14" i="97"/>
  <c r="U7" i="97"/>
  <c r="T316" i="39" s="1"/>
  <c r="U11" i="97"/>
  <c r="T320" i="39" s="1"/>
  <c r="U8" i="97"/>
  <c r="T317" i="39" s="1"/>
  <c r="U12" i="97"/>
  <c r="T321" i="39" s="1"/>
  <c r="U9" i="97"/>
  <c r="T318" i="39" s="1"/>
  <c r="R352" i="39" l="1"/>
  <c r="R375" i="39" s="1"/>
  <c r="Q104" i="103"/>
  <c r="Q119" i="103" s="1"/>
  <c r="Q135" i="103" s="1"/>
  <c r="Q89" i="103"/>
  <c r="R142" i="103"/>
  <c r="Q99" i="103"/>
  <c r="Q116" i="103" s="1"/>
  <c r="Q132" i="103" s="1"/>
  <c r="Q86" i="103"/>
  <c r="Q90" i="103"/>
  <c r="Q105" i="103"/>
  <c r="Q120" i="103" s="1"/>
  <c r="Q136" i="103" s="1"/>
  <c r="O269" i="39"/>
  <c r="O274" i="39"/>
  <c r="O268" i="39"/>
  <c r="P75" i="103"/>
  <c r="O76" i="80"/>
  <c r="O270" i="39"/>
  <c r="O85" i="80"/>
  <c r="O72" i="80"/>
  <c r="O110" i="80"/>
  <c r="O273" i="39"/>
  <c r="O73" i="80"/>
  <c r="O84" i="80"/>
  <c r="P74" i="103"/>
  <c r="O111" i="80"/>
  <c r="P69" i="103"/>
  <c r="P72" i="103"/>
  <c r="P102" i="103" s="1"/>
  <c r="P73" i="103"/>
  <c r="O75" i="80"/>
  <c r="O74" i="80"/>
  <c r="O108" i="80"/>
  <c r="O81" i="80"/>
  <c r="N26" i="39"/>
  <c r="P71" i="103"/>
  <c r="O71" i="80"/>
  <c r="O112" i="80"/>
  <c r="O271" i="39"/>
  <c r="O77" i="80"/>
  <c r="O80" i="80"/>
  <c r="P70" i="103"/>
  <c r="P100" i="103" s="1"/>
  <c r="O272" i="39"/>
  <c r="O114" i="80"/>
  <c r="Q87" i="103"/>
  <c r="Q101" i="103"/>
  <c r="Q117" i="103" s="1"/>
  <c r="Q133" i="103" s="1"/>
  <c r="T443" i="39" a="1"/>
  <c r="T443" i="39" s="1"/>
  <c r="T439" i="39" a="1"/>
  <c r="T439" i="39" s="1"/>
  <c r="T449" i="39" s="1"/>
  <c r="T438" i="39" a="1"/>
  <c r="T438" i="39" s="1"/>
  <c r="T442" i="39" a="1"/>
  <c r="T442" i="39" s="1"/>
  <c r="T440" i="39" a="1"/>
  <c r="T440" i="39" s="1"/>
  <c r="T437" i="39" a="1"/>
  <c r="T437" i="39" s="1"/>
  <c r="T441" i="39" a="1"/>
  <c r="T441" i="39" s="1"/>
  <c r="Q88" i="103"/>
  <c r="Q103" i="103"/>
  <c r="Q118" i="103" s="1"/>
  <c r="Q134" i="103" s="1"/>
  <c r="R454" i="39"/>
  <c r="T421" i="39"/>
  <c r="T417" i="39"/>
  <c r="T420" i="39"/>
  <c r="T422" i="39"/>
  <c r="T418" i="39"/>
  <c r="T423" i="39"/>
  <c r="T419" i="39"/>
  <c r="S453" i="39"/>
  <c r="S447" i="39"/>
  <c r="S451" i="39"/>
  <c r="S452" i="39"/>
  <c r="S450" i="39"/>
  <c r="S449" i="39"/>
  <c r="S424" i="39"/>
  <c r="S444" i="39"/>
  <c r="T142" i="103"/>
  <c r="S123" i="80"/>
  <c r="S235" i="80" s="1"/>
  <c r="U271" i="39"/>
  <c r="V69" i="103"/>
  <c r="U273" i="39"/>
  <c r="V70" i="103"/>
  <c r="V100" i="103" s="1"/>
  <c r="V71" i="103"/>
  <c r="U274" i="39"/>
  <c r="V75" i="103"/>
  <c r="U111" i="80"/>
  <c r="V26" i="39"/>
  <c r="V72" i="103"/>
  <c r="V102" i="103" s="1"/>
  <c r="U270" i="39"/>
  <c r="U114" i="80"/>
  <c r="U269" i="39"/>
  <c r="U272" i="39"/>
  <c r="V74" i="103"/>
  <c r="U181" i="39"/>
  <c r="H2" i="128" s="1"/>
  <c r="U183" i="39"/>
  <c r="U369" i="39" s="1"/>
  <c r="U84" i="80"/>
  <c r="U268" i="39"/>
  <c r="U182" i="39"/>
  <c r="U368" i="39" s="1"/>
  <c r="V73" i="103"/>
  <c r="U80" i="80"/>
  <c r="S342" i="39"/>
  <c r="U86" i="103"/>
  <c r="U99" i="103"/>
  <c r="U116" i="103" s="1"/>
  <c r="U132" i="103" s="1"/>
  <c r="U87" i="103"/>
  <c r="U101" i="103"/>
  <c r="U117" i="103" s="1"/>
  <c r="U133" i="103" s="1"/>
  <c r="T101" i="80"/>
  <c r="S345" i="39"/>
  <c r="S352" i="39" s="1"/>
  <c r="S366" i="39" s="1"/>
  <c r="S97" i="80" s="1"/>
  <c r="S332" i="39"/>
  <c r="U88" i="103"/>
  <c r="U103" i="103"/>
  <c r="U118" i="103" s="1"/>
  <c r="U134" i="103" s="1"/>
  <c r="U105" i="103"/>
  <c r="U120" i="103" s="1"/>
  <c r="U136" i="103" s="1"/>
  <c r="U90" i="103"/>
  <c r="U104" i="103"/>
  <c r="U119" i="103" s="1"/>
  <c r="U135" i="103" s="1"/>
  <c r="U89" i="103"/>
  <c r="T330" i="39"/>
  <c r="T350" i="39" s="1"/>
  <c r="T340" i="39"/>
  <c r="T331" i="39"/>
  <c r="T351" i="39" s="1"/>
  <c r="T325" i="39"/>
  <c r="T335" i="39"/>
  <c r="T63" i="80"/>
  <c r="T341" i="39"/>
  <c r="T326" i="39"/>
  <c r="T346" i="39" s="1"/>
  <c r="T336" i="39"/>
  <c r="T337" i="39"/>
  <c r="T339" i="39"/>
  <c r="T327" i="39"/>
  <c r="T347" i="39" s="1"/>
  <c r="T328" i="39"/>
  <c r="T348" i="39" s="1"/>
  <c r="T338" i="39"/>
  <c r="T329" i="39"/>
  <c r="T349" i="39" s="1"/>
  <c r="S150" i="80"/>
  <c r="S81" i="80"/>
  <c r="S143" i="80"/>
  <c r="V8" i="97"/>
  <c r="U317" i="39" s="1"/>
  <c r="V12" i="97"/>
  <c r="U321" i="39" s="1"/>
  <c r="V9" i="97"/>
  <c r="U318" i="39" s="1"/>
  <c r="W14" i="97"/>
  <c r="V6" i="97"/>
  <c r="U315" i="39" s="1"/>
  <c r="V10" i="97"/>
  <c r="U319" i="39" s="1"/>
  <c r="V7" i="97"/>
  <c r="U316" i="39" s="1"/>
  <c r="V11" i="97"/>
  <c r="U320" i="39" s="1"/>
  <c r="S113" i="80"/>
  <c r="S124" i="80"/>
  <c r="T322" i="39"/>
  <c r="T370" i="39" s="1"/>
  <c r="T102" i="80" s="1"/>
  <c r="R366" i="39" l="1"/>
  <c r="P88" i="103"/>
  <c r="P103" i="103"/>
  <c r="P118" i="103" s="1"/>
  <c r="P134" i="103" s="1"/>
  <c r="U437" i="39" a="1"/>
  <c r="U437" i="39" s="1"/>
  <c r="U447" i="39" s="1"/>
  <c r="U443" i="39" a="1"/>
  <c r="U443" i="39" s="1"/>
  <c r="U439" i="39" a="1"/>
  <c r="U439" i="39" s="1"/>
  <c r="U449" i="39" s="1"/>
  <c r="U438" i="39" a="1"/>
  <c r="U438" i="39" s="1"/>
  <c r="U448" i="39" s="1"/>
  <c r="U440" i="39" a="1"/>
  <c r="U440" i="39" s="1"/>
  <c r="U442" i="39" a="1"/>
  <c r="U442" i="39" s="1"/>
  <c r="U441" i="39" a="1"/>
  <c r="U441" i="39" s="1"/>
  <c r="P87" i="103"/>
  <c r="P101" i="103"/>
  <c r="P117" i="103" s="1"/>
  <c r="P133" i="103" s="1"/>
  <c r="P86" i="103"/>
  <c r="P99" i="103"/>
  <c r="P116" i="103" s="1"/>
  <c r="P132" i="103" s="1"/>
  <c r="N268" i="39"/>
  <c r="O73" i="103"/>
  <c r="N112" i="80"/>
  <c r="O74" i="103"/>
  <c r="N110" i="80"/>
  <c r="N72" i="80"/>
  <c r="N80" i="80"/>
  <c r="N77" i="80"/>
  <c r="N274" i="39"/>
  <c r="N273" i="39"/>
  <c r="O70" i="103"/>
  <c r="O100" i="103" s="1"/>
  <c r="N73" i="80"/>
  <c r="N76" i="80"/>
  <c r="N81" i="80"/>
  <c r="N270" i="39"/>
  <c r="N74" i="80"/>
  <c r="N84" i="80"/>
  <c r="M26" i="39"/>
  <c r="N85" i="80"/>
  <c r="N315" i="39"/>
  <c r="O72" i="103"/>
  <c r="O102" i="103" s="1"/>
  <c r="N108" i="80"/>
  <c r="N111" i="80"/>
  <c r="N271" i="39"/>
  <c r="N272" i="39"/>
  <c r="O71" i="103"/>
  <c r="N114" i="80"/>
  <c r="O75" i="103"/>
  <c r="N269" i="39"/>
  <c r="N71" i="80"/>
  <c r="N75" i="80"/>
  <c r="O69" i="103"/>
  <c r="P89" i="103"/>
  <c r="P104" i="103"/>
  <c r="P119" i="103" s="1"/>
  <c r="P135" i="103" s="1"/>
  <c r="Q142" i="103"/>
  <c r="P90" i="103"/>
  <c r="P105" i="103"/>
  <c r="P120" i="103" s="1"/>
  <c r="P136" i="103" s="1"/>
  <c r="S454" i="39"/>
  <c r="T453" i="39"/>
  <c r="T448" i="39"/>
  <c r="U418" i="39"/>
  <c r="U423" i="39"/>
  <c r="U421" i="39"/>
  <c r="U417" i="39"/>
  <c r="U420" i="39"/>
  <c r="U422" i="39"/>
  <c r="U419" i="39"/>
  <c r="T451" i="39"/>
  <c r="T452" i="39"/>
  <c r="T450" i="39"/>
  <c r="T447" i="39"/>
  <c r="T444" i="39"/>
  <c r="T424" i="39"/>
  <c r="U142" i="103"/>
  <c r="S375" i="39"/>
  <c r="U325" i="39"/>
  <c r="U326" i="39"/>
  <c r="U346" i="39" s="1"/>
  <c r="U341" i="39"/>
  <c r="U327" i="39"/>
  <c r="U347" i="39" s="1"/>
  <c r="U335" i="39"/>
  <c r="U337" i="39"/>
  <c r="U328" i="39"/>
  <c r="U348" i="39" s="1"/>
  <c r="U336" i="39"/>
  <c r="U329" i="39"/>
  <c r="U349" i="39" s="1"/>
  <c r="U330" i="39"/>
  <c r="U350" i="39" s="1"/>
  <c r="U338" i="39"/>
  <c r="U331" i="39"/>
  <c r="U351" i="39" s="1"/>
  <c r="U63" i="80"/>
  <c r="U339" i="39"/>
  <c r="U340" i="39"/>
  <c r="V89" i="103"/>
  <c r="V104" i="103"/>
  <c r="V119" i="103" s="1"/>
  <c r="V135" i="103" s="1"/>
  <c r="V90" i="103"/>
  <c r="V105" i="103"/>
  <c r="V120" i="103" s="1"/>
  <c r="V136" i="103" s="1"/>
  <c r="T123" i="80"/>
  <c r="T235" i="80" s="1"/>
  <c r="T112" i="80"/>
  <c r="V103" i="103"/>
  <c r="V118" i="103" s="1"/>
  <c r="V134" i="103" s="1"/>
  <c r="V88" i="103"/>
  <c r="V101" i="103"/>
  <c r="V117" i="103" s="1"/>
  <c r="V133" i="103" s="1"/>
  <c r="V87" i="103"/>
  <c r="T81" i="80"/>
  <c r="T143" i="80"/>
  <c r="T150" i="80"/>
  <c r="T342" i="39"/>
  <c r="V86" i="103"/>
  <c r="V99" i="103"/>
  <c r="V116" i="103" s="1"/>
  <c r="V132" i="103" s="1"/>
  <c r="T332" i="39"/>
  <c r="T345" i="39"/>
  <c r="T352" i="39" s="1"/>
  <c r="U101" i="80"/>
  <c r="W71" i="103"/>
  <c r="W26" i="39"/>
  <c r="V270" i="39"/>
  <c r="V80" i="80"/>
  <c r="W72" i="103"/>
  <c r="W102" i="103" s="1"/>
  <c r="V181" i="39"/>
  <c r="I2" i="128" s="1"/>
  <c r="V183" i="39"/>
  <c r="V369" i="39" s="1"/>
  <c r="W69" i="103"/>
  <c r="V269" i="39"/>
  <c r="V182" i="39"/>
  <c r="V368" i="39" s="1"/>
  <c r="V111" i="80"/>
  <c r="V268" i="39"/>
  <c r="W74" i="103"/>
  <c r="V271" i="39"/>
  <c r="W73" i="103"/>
  <c r="W75" i="103"/>
  <c r="V273" i="39"/>
  <c r="V84" i="80"/>
  <c r="W70" i="103"/>
  <c r="W100" i="103" s="1"/>
  <c r="V274" i="39"/>
  <c r="V114" i="80"/>
  <c r="V272" i="39"/>
  <c r="U322" i="39"/>
  <c r="U370" i="39" s="1"/>
  <c r="U102" i="80" s="1"/>
  <c r="S108" i="80"/>
  <c r="S119" i="80"/>
  <c r="W7" i="97"/>
  <c r="V316" i="39" s="1"/>
  <c r="W11" i="97"/>
  <c r="V320" i="39" s="1"/>
  <c r="W8" i="97"/>
  <c r="V317" i="39" s="1"/>
  <c r="W12" i="97"/>
  <c r="V321" i="39" s="1"/>
  <c r="W9" i="97"/>
  <c r="V318" i="39" s="1"/>
  <c r="X14" i="97"/>
  <c r="W6" i="97"/>
  <c r="V315" i="39" s="1"/>
  <c r="W10" i="97"/>
  <c r="V319" i="39" s="1"/>
  <c r="T124" i="80"/>
  <c r="T236" i="80" s="1"/>
  <c r="T113" i="80"/>
  <c r="N322" i="39" l="1"/>
  <c r="R97" i="80"/>
  <c r="R119" i="80" s="1"/>
  <c r="R232" i="80" s="1"/>
  <c r="O87" i="103"/>
  <c r="O101" i="103"/>
  <c r="O117" i="103" s="1"/>
  <c r="O133" i="103" s="1"/>
  <c r="M272" i="39"/>
  <c r="M73" i="80"/>
  <c r="M71" i="80"/>
  <c r="M72" i="80"/>
  <c r="M274" i="39"/>
  <c r="M75" i="80"/>
  <c r="M77" i="80"/>
  <c r="M112" i="80"/>
  <c r="M269" i="39"/>
  <c r="M74" i="80"/>
  <c r="M85" i="80"/>
  <c r="N73" i="103"/>
  <c r="M80" i="80"/>
  <c r="M111" i="80"/>
  <c r="N71" i="103"/>
  <c r="M110" i="80"/>
  <c r="M268" i="39"/>
  <c r="M271" i="39"/>
  <c r="M108" i="80"/>
  <c r="M81" i="80"/>
  <c r="M315" i="39"/>
  <c r="N72" i="103"/>
  <c r="N102" i="103" s="1"/>
  <c r="N75" i="103"/>
  <c r="M273" i="39"/>
  <c r="M270" i="39"/>
  <c r="L26" i="39"/>
  <c r="M76" i="80"/>
  <c r="N74" i="103"/>
  <c r="N70" i="103"/>
  <c r="N100" i="103" s="1"/>
  <c r="M114" i="80"/>
  <c r="N69" i="103"/>
  <c r="M84" i="80"/>
  <c r="O88" i="103"/>
  <c r="O103" i="103"/>
  <c r="O118" i="103" s="1"/>
  <c r="O134" i="103" s="1"/>
  <c r="O86" i="103"/>
  <c r="O99" i="103"/>
  <c r="O116" i="103" s="1"/>
  <c r="O132" i="103" s="1"/>
  <c r="P142" i="103"/>
  <c r="V437" i="39" a="1"/>
  <c r="V437" i="39" s="1"/>
  <c r="V438" i="39" a="1"/>
  <c r="V438" i="39" s="1"/>
  <c r="V448" i="39" s="1"/>
  <c r="V439" i="39" a="1"/>
  <c r="V439" i="39" s="1"/>
  <c r="V442" i="39" a="1"/>
  <c r="V442" i="39" s="1"/>
  <c r="V441" i="39" a="1"/>
  <c r="V441" i="39" s="1"/>
  <c r="V440" i="39" a="1"/>
  <c r="V440" i="39" s="1"/>
  <c r="V443" i="39" a="1"/>
  <c r="V443" i="39" s="1"/>
  <c r="T454" i="39"/>
  <c r="O90" i="103"/>
  <c r="O105" i="103"/>
  <c r="O120" i="103" s="1"/>
  <c r="O136" i="103" s="1"/>
  <c r="O89" i="103"/>
  <c r="O104" i="103"/>
  <c r="O119" i="103" s="1"/>
  <c r="O135" i="103" s="1"/>
  <c r="U453" i="39"/>
  <c r="V421" i="39"/>
  <c r="V418" i="39"/>
  <c r="V423" i="39"/>
  <c r="V420" i="39"/>
  <c r="V417" i="39"/>
  <c r="V422" i="39"/>
  <c r="V419" i="39"/>
  <c r="U451" i="39"/>
  <c r="U450" i="39"/>
  <c r="U452" i="39"/>
  <c r="U444" i="39"/>
  <c r="U424" i="39"/>
  <c r="V142" i="103"/>
  <c r="W87" i="103"/>
  <c r="W101" i="103"/>
  <c r="W117" i="103" s="1"/>
  <c r="W133" i="103" s="1"/>
  <c r="W90" i="103"/>
  <c r="W105" i="103"/>
  <c r="W120" i="103" s="1"/>
  <c r="W136" i="103" s="1"/>
  <c r="W86" i="103"/>
  <c r="W99" i="103"/>
  <c r="W116" i="103" s="1"/>
  <c r="W132" i="103" s="1"/>
  <c r="U123" i="80"/>
  <c r="U235" i="80" s="1"/>
  <c r="U112" i="80"/>
  <c r="W88" i="103"/>
  <c r="W103" i="103"/>
  <c r="W118" i="103" s="1"/>
  <c r="W134" i="103" s="1"/>
  <c r="V101" i="80"/>
  <c r="T366" i="39"/>
  <c r="T97" i="80" s="1"/>
  <c r="T375" i="39"/>
  <c r="U81" i="80"/>
  <c r="U143" i="80"/>
  <c r="U150" i="80"/>
  <c r="U342" i="39"/>
  <c r="V328" i="39"/>
  <c r="V348" i="39" s="1"/>
  <c r="V335" i="39"/>
  <c r="V329" i="39"/>
  <c r="V349" i="39" s="1"/>
  <c r="V337" i="39"/>
  <c r="V330" i="39"/>
  <c r="V350" i="39" s="1"/>
  <c r="V63" i="80"/>
  <c r="V340" i="39"/>
  <c r="V331" i="39"/>
  <c r="V351" i="39" s="1"/>
  <c r="V336" i="39"/>
  <c r="V325" i="39"/>
  <c r="V338" i="39"/>
  <c r="V326" i="39"/>
  <c r="V346" i="39" s="1"/>
  <c r="V339" i="39"/>
  <c r="V327" i="39"/>
  <c r="V347" i="39" s="1"/>
  <c r="V341" i="39"/>
  <c r="W89" i="103"/>
  <c r="W104" i="103"/>
  <c r="W119" i="103" s="1"/>
  <c r="W135" i="103" s="1"/>
  <c r="U332" i="39"/>
  <c r="U345" i="39"/>
  <c r="U352" i="39" s="1"/>
  <c r="W270" i="39"/>
  <c r="X75" i="103"/>
  <c r="W111" i="80"/>
  <c r="W274" i="39"/>
  <c r="W183" i="39"/>
  <c r="W369" i="39" s="1"/>
  <c r="W272" i="39"/>
  <c r="X73" i="103"/>
  <c r="X26" i="39"/>
  <c r="W273" i="39"/>
  <c r="W114" i="80"/>
  <c r="W181" i="39"/>
  <c r="J2" i="128" s="1"/>
  <c r="W182" i="39"/>
  <c r="W368" i="39" s="1"/>
  <c r="W80" i="80"/>
  <c r="W269" i="39"/>
  <c r="X74" i="103"/>
  <c r="X69" i="103"/>
  <c r="W268" i="39"/>
  <c r="X71" i="103"/>
  <c r="W84" i="80"/>
  <c r="W271" i="39"/>
  <c r="X70" i="103"/>
  <c r="X100" i="103" s="1"/>
  <c r="X72" i="103"/>
  <c r="X102" i="103" s="1"/>
  <c r="V322" i="39"/>
  <c r="V370" i="39" s="1"/>
  <c r="V102" i="80" s="1"/>
  <c r="X8" i="97"/>
  <c r="W317" i="39" s="1"/>
  <c r="X12" i="97"/>
  <c r="W321" i="39" s="1"/>
  <c r="X9" i="97"/>
  <c r="W318" i="39" s="1"/>
  <c r="X6" i="97"/>
  <c r="W315" i="39" s="1"/>
  <c r="X10" i="97"/>
  <c r="W319" i="39" s="1"/>
  <c r="Y14" i="97"/>
  <c r="X7" i="97"/>
  <c r="W316" i="39" s="1"/>
  <c r="X11" i="97"/>
  <c r="W320" i="39" s="1"/>
  <c r="U113" i="80"/>
  <c r="U124" i="80"/>
  <c r="U236" i="80" s="1"/>
  <c r="M322" i="39" l="1"/>
  <c r="S232" i="80"/>
  <c r="R108" i="80"/>
  <c r="N86" i="103"/>
  <c r="N99" i="103"/>
  <c r="N116" i="103" s="1"/>
  <c r="N132" i="103" s="1"/>
  <c r="N90" i="103"/>
  <c r="N105" i="103"/>
  <c r="N120" i="103" s="1"/>
  <c r="N136" i="103" s="1"/>
  <c r="N87" i="103"/>
  <c r="N101" i="103"/>
  <c r="N117" i="103" s="1"/>
  <c r="N133" i="103" s="1"/>
  <c r="W443" i="39" a="1"/>
  <c r="W443" i="39" s="1"/>
  <c r="W440" i="39" a="1"/>
  <c r="W440" i="39" s="1"/>
  <c r="W450" i="39" s="1"/>
  <c r="W437" i="39" a="1"/>
  <c r="W437" i="39" s="1"/>
  <c r="W439" i="39" a="1"/>
  <c r="W439" i="39" s="1"/>
  <c r="W449" i="39" s="1"/>
  <c r="W442" i="39" a="1"/>
  <c r="W442" i="39" s="1"/>
  <c r="W438" i="39" a="1"/>
  <c r="W438" i="39" s="1"/>
  <c r="W441" i="39" a="1"/>
  <c r="W441" i="39" s="1"/>
  <c r="O142" i="103"/>
  <c r="K26" i="39"/>
  <c r="L75" i="80"/>
  <c r="L274" i="39"/>
  <c r="L108" i="80"/>
  <c r="L73" i="80"/>
  <c r="L268" i="39"/>
  <c r="L71" i="80"/>
  <c r="L273" i="39"/>
  <c r="L85" i="80"/>
  <c r="M73" i="103"/>
  <c r="L271" i="39"/>
  <c r="M75" i="103"/>
  <c r="L84" i="80"/>
  <c r="L77" i="80"/>
  <c r="L111" i="80"/>
  <c r="L315" i="39"/>
  <c r="L270" i="39"/>
  <c r="L272" i="39"/>
  <c r="M71" i="103"/>
  <c r="L74" i="80"/>
  <c r="M74" i="103"/>
  <c r="L81" i="80"/>
  <c r="M72" i="103"/>
  <c r="M102" i="103" s="1"/>
  <c r="L269" i="39"/>
  <c r="M70" i="103"/>
  <c r="M100" i="103" s="1"/>
  <c r="L76" i="80"/>
  <c r="M69" i="103"/>
  <c r="L114" i="80"/>
  <c r="L112" i="80"/>
  <c r="L110" i="80"/>
  <c r="L72" i="80"/>
  <c r="L80" i="80"/>
  <c r="N89" i="103"/>
  <c r="N104" i="103"/>
  <c r="N119" i="103" s="1"/>
  <c r="N135" i="103" s="1"/>
  <c r="N88" i="103"/>
  <c r="N103" i="103"/>
  <c r="N118" i="103" s="1"/>
  <c r="N134" i="103" s="1"/>
  <c r="U454" i="39"/>
  <c r="V447" i="39"/>
  <c r="V453" i="39"/>
  <c r="V451" i="39"/>
  <c r="V450" i="39"/>
  <c r="W417" i="39"/>
  <c r="W422" i="39"/>
  <c r="W421" i="39"/>
  <c r="W418" i="39"/>
  <c r="W423" i="39"/>
  <c r="W420" i="39"/>
  <c r="W419" i="39"/>
  <c r="V452" i="39"/>
  <c r="V449" i="39"/>
  <c r="V424" i="39"/>
  <c r="V444" i="39"/>
  <c r="W142" i="103"/>
  <c r="W101" i="80"/>
  <c r="V345" i="39"/>
  <c r="V332" i="39"/>
  <c r="V342" i="39"/>
  <c r="T108" i="80"/>
  <c r="T119" i="80"/>
  <c r="T232" i="80" s="1"/>
  <c r="W326" i="39"/>
  <c r="W346" i="39" s="1"/>
  <c r="W338" i="39"/>
  <c r="W327" i="39"/>
  <c r="W347" i="39" s="1"/>
  <c r="W339" i="39"/>
  <c r="W328" i="39"/>
  <c r="W348" i="39" s="1"/>
  <c r="W340" i="39"/>
  <c r="W329" i="39"/>
  <c r="W349" i="39" s="1"/>
  <c r="W63" i="80"/>
  <c r="W341" i="39"/>
  <c r="W330" i="39"/>
  <c r="W350" i="39" s="1"/>
  <c r="W335" i="39"/>
  <c r="W331" i="39"/>
  <c r="W351" i="39" s="1"/>
  <c r="W336" i="39"/>
  <c r="W325" i="39"/>
  <c r="W337" i="39"/>
  <c r="V123" i="80"/>
  <c r="V235" i="80" s="1"/>
  <c r="V112" i="80"/>
  <c r="X87" i="103"/>
  <c r="X101" i="103"/>
  <c r="X117" i="103" s="1"/>
  <c r="X133" i="103" s="1"/>
  <c r="X90" i="103"/>
  <c r="X105" i="103"/>
  <c r="X120" i="103" s="1"/>
  <c r="X136" i="103" s="1"/>
  <c r="V143" i="80"/>
  <c r="V150" i="80"/>
  <c r="V81" i="80"/>
  <c r="X86" i="103"/>
  <c r="X99" i="103"/>
  <c r="X116" i="103" s="1"/>
  <c r="X132" i="103" s="1"/>
  <c r="X268" i="39"/>
  <c r="Y75" i="103"/>
  <c r="X270" i="39"/>
  <c r="Y73" i="103"/>
  <c r="X114" i="80"/>
  <c r="X272" i="39"/>
  <c r="Y71" i="103"/>
  <c r="X181" i="39"/>
  <c r="K2" i="128" s="1"/>
  <c r="X271" i="39"/>
  <c r="Y70" i="103"/>
  <c r="Y100" i="103" s="1"/>
  <c r="X273" i="39"/>
  <c r="X182" i="39"/>
  <c r="X368" i="39" s="1"/>
  <c r="Y74" i="103"/>
  <c r="X274" i="39"/>
  <c r="X183" i="39"/>
  <c r="X369" i="39" s="1"/>
  <c r="Y26" i="39"/>
  <c r="Y72" i="103"/>
  <c r="Y102" i="103" s="1"/>
  <c r="Y69" i="103"/>
  <c r="X84" i="80"/>
  <c r="X269" i="39"/>
  <c r="X111" i="80"/>
  <c r="X80" i="80"/>
  <c r="U366" i="39"/>
  <c r="U97" i="80" s="1"/>
  <c r="U375" i="39"/>
  <c r="X89" i="103"/>
  <c r="X104" i="103"/>
  <c r="X119" i="103" s="1"/>
  <c r="X135" i="103" s="1"/>
  <c r="X103" i="103"/>
  <c r="X118" i="103" s="1"/>
  <c r="X134" i="103" s="1"/>
  <c r="X88" i="103"/>
  <c r="W322" i="39"/>
  <c r="W370" i="39" s="1"/>
  <c r="W102" i="80" s="1"/>
  <c r="W113" i="80" s="1"/>
  <c r="V113" i="80"/>
  <c r="V124" i="80"/>
  <c r="V236" i="80" s="1"/>
  <c r="Y6" i="97"/>
  <c r="X315" i="39" s="1"/>
  <c r="Y10" i="97"/>
  <c r="X319" i="39" s="1"/>
  <c r="Y7" i="97"/>
  <c r="X316" i="39" s="1"/>
  <c r="Y11" i="97"/>
  <c r="X320" i="39" s="1"/>
  <c r="Y8" i="97"/>
  <c r="X317" i="39" s="1"/>
  <c r="Y12" i="97"/>
  <c r="X321" i="39" s="1"/>
  <c r="Z14" i="97"/>
  <c r="Y9" i="97"/>
  <c r="X318" i="39" s="1"/>
  <c r="L322" i="39" l="1"/>
  <c r="X443" i="39" a="1"/>
  <c r="X443" i="39" s="1"/>
  <c r="X453" i="39" s="1"/>
  <c r="X439" i="39" a="1"/>
  <c r="X439" i="39" s="1"/>
  <c r="X449" i="39" s="1"/>
  <c r="X437" i="39" a="1"/>
  <c r="X437" i="39" s="1"/>
  <c r="X440" i="39" a="1"/>
  <c r="X440" i="39" s="1"/>
  <c r="X450" i="39" s="1"/>
  <c r="X441" i="39" a="1"/>
  <c r="X441" i="39" s="1"/>
  <c r="X451" i="39" s="1"/>
  <c r="X442" i="39" a="1"/>
  <c r="X442" i="39" s="1"/>
  <c r="X452" i="39" s="1"/>
  <c r="X438" i="39" a="1"/>
  <c r="X438" i="39" s="1"/>
  <c r="X448" i="39" s="1"/>
  <c r="K114" i="80"/>
  <c r="L75" i="103"/>
  <c r="K75" i="80"/>
  <c r="K268" i="39"/>
  <c r="X277" i="39" s="1"/>
  <c r="X286" i="39" s="1"/>
  <c r="K274" i="39"/>
  <c r="X283" i="39" s="1"/>
  <c r="X292" i="39" s="1"/>
  <c r="K81" i="80"/>
  <c r="K80" i="80"/>
  <c r="K269" i="39"/>
  <c r="L70" i="103"/>
  <c r="L100" i="103" s="1"/>
  <c r="K272" i="39"/>
  <c r="X281" i="39" s="1"/>
  <c r="X290" i="39" s="1"/>
  <c r="L72" i="103"/>
  <c r="L102" i="103" s="1"/>
  <c r="K74" i="80"/>
  <c r="K77" i="80"/>
  <c r="K270" i="39"/>
  <c r="X279" i="39" s="1"/>
  <c r="X288" i="39" s="1"/>
  <c r="L69" i="103"/>
  <c r="K108" i="80"/>
  <c r="K111" i="80"/>
  <c r="K71" i="80"/>
  <c r="K73" i="80"/>
  <c r="K273" i="39"/>
  <c r="L73" i="103"/>
  <c r="J26" i="39"/>
  <c r="K110" i="80"/>
  <c r="K112" i="80"/>
  <c r="K72" i="80"/>
  <c r="K271" i="39"/>
  <c r="X280" i="39" s="1"/>
  <c r="X289" i="39" s="1"/>
  <c r="K84" i="80"/>
  <c r="L74" i="103"/>
  <c r="K85" i="80"/>
  <c r="K76" i="80"/>
  <c r="L71" i="103"/>
  <c r="M104" i="103"/>
  <c r="M119" i="103" s="1"/>
  <c r="M135" i="103" s="1"/>
  <c r="M89" i="103"/>
  <c r="M90" i="103"/>
  <c r="M105" i="103"/>
  <c r="M120" i="103" s="1"/>
  <c r="M136" i="103" s="1"/>
  <c r="N142" i="103"/>
  <c r="M99" i="103"/>
  <c r="M116" i="103" s="1"/>
  <c r="M132" i="103" s="1"/>
  <c r="M86" i="103"/>
  <c r="M87" i="103"/>
  <c r="M101" i="103"/>
  <c r="M117" i="103" s="1"/>
  <c r="M133" i="103" s="1"/>
  <c r="M88" i="103"/>
  <c r="M103" i="103"/>
  <c r="M118" i="103" s="1"/>
  <c r="M134" i="103" s="1"/>
  <c r="V454" i="39"/>
  <c r="X423" i="39"/>
  <c r="X417" i="39"/>
  <c r="X422" i="39"/>
  <c r="X418" i="39"/>
  <c r="X420" i="39"/>
  <c r="X421" i="39"/>
  <c r="X419" i="39"/>
  <c r="W447" i="39"/>
  <c r="W453" i="39"/>
  <c r="W448" i="39"/>
  <c r="W452" i="39"/>
  <c r="W451" i="39"/>
  <c r="W444" i="39"/>
  <c r="W424" i="39"/>
  <c r="X142" i="103"/>
  <c r="X101" i="80"/>
  <c r="X123" i="80" s="1"/>
  <c r="Y86" i="103"/>
  <c r="Y99" i="103"/>
  <c r="Y116" i="103" s="1"/>
  <c r="Y132" i="103" s="1"/>
  <c r="Y89" i="103"/>
  <c r="Y104" i="103"/>
  <c r="Y119" i="103" s="1"/>
  <c r="Y135" i="103" s="1"/>
  <c r="Y87" i="103"/>
  <c r="Y101" i="103"/>
  <c r="Y117" i="103" s="1"/>
  <c r="Y133" i="103" s="1"/>
  <c r="W345" i="39"/>
  <c r="W332" i="39"/>
  <c r="U119" i="80"/>
  <c r="U232" i="80" s="1"/>
  <c r="U108" i="80"/>
  <c r="Y273" i="39"/>
  <c r="Y182" i="39"/>
  <c r="Y368" i="39" s="1"/>
  <c r="Y274" i="39"/>
  <c r="Y181" i="39"/>
  <c r="L2" i="128" s="1"/>
  <c r="Y84" i="80"/>
  <c r="Z26" i="39"/>
  <c r="Y111" i="80"/>
  <c r="Y80" i="80"/>
  <c r="Y269" i="39"/>
  <c r="Z70" i="103"/>
  <c r="Z100" i="103" s="1"/>
  <c r="Z69" i="103"/>
  <c r="Y268" i="39"/>
  <c r="Z74" i="103"/>
  <c r="Y270" i="39"/>
  <c r="Z73" i="103"/>
  <c r="Y183" i="39"/>
  <c r="Y369" i="39" s="1"/>
  <c r="Z75" i="103"/>
  <c r="Y114" i="80"/>
  <c r="Y271" i="39"/>
  <c r="Y272" i="39"/>
  <c r="Z72" i="103"/>
  <c r="Z102" i="103" s="1"/>
  <c r="Z71" i="103"/>
  <c r="X282" i="39"/>
  <c r="X291" i="39" s="1"/>
  <c r="Y103" i="103"/>
  <c r="Y118" i="103" s="1"/>
  <c r="Y134" i="103" s="1"/>
  <c r="Y88" i="103"/>
  <c r="W342" i="39"/>
  <c r="V352" i="39"/>
  <c r="X328" i="39"/>
  <c r="X348" i="39" s="1"/>
  <c r="X63" i="80"/>
  <c r="X341" i="39"/>
  <c r="X329" i="39"/>
  <c r="X349" i="39" s="1"/>
  <c r="X335" i="39"/>
  <c r="X327" i="39"/>
  <c r="X347" i="39" s="1"/>
  <c r="X330" i="39"/>
  <c r="X350" i="39" s="1"/>
  <c r="X336" i="39"/>
  <c r="X331" i="39"/>
  <c r="X351" i="39" s="1"/>
  <c r="X337" i="39"/>
  <c r="X340" i="39"/>
  <c r="X325" i="39"/>
  <c r="X338" i="39"/>
  <c r="X326" i="39"/>
  <c r="X346" i="39" s="1"/>
  <c r="X339" i="39"/>
  <c r="Y105" i="103"/>
  <c r="Y120" i="103" s="1"/>
  <c r="Y136" i="103" s="1"/>
  <c r="Y90" i="103"/>
  <c r="W150" i="80"/>
  <c r="W81" i="80"/>
  <c r="W143" i="80"/>
  <c r="W112" i="80"/>
  <c r="W123" i="80"/>
  <c r="W235" i="80" s="1"/>
  <c r="W124" i="80"/>
  <c r="W236" i="80" s="1"/>
  <c r="X322" i="39"/>
  <c r="X370" i="39" s="1"/>
  <c r="X102" i="80" s="1"/>
  <c r="AA14" i="97"/>
  <c r="Z8" i="97"/>
  <c r="Y317" i="39" s="1"/>
  <c r="Z12" i="97"/>
  <c r="Y321" i="39" s="1"/>
  <c r="Z9" i="97"/>
  <c r="Y318" i="39" s="1"/>
  <c r="Z6" i="97"/>
  <c r="Y315" i="39" s="1"/>
  <c r="Z10" i="97"/>
  <c r="Y319" i="39" s="1"/>
  <c r="Z7" i="97"/>
  <c r="Y316" i="39" s="1"/>
  <c r="Z11" i="97"/>
  <c r="Y320" i="39" s="1"/>
  <c r="Y277" i="39" l="1"/>
  <c r="Y283" i="39"/>
  <c r="Y282" i="39"/>
  <c r="M142" i="103"/>
  <c r="L101" i="103"/>
  <c r="L117" i="103" s="1"/>
  <c r="L133" i="103" s="1"/>
  <c r="L87" i="103"/>
  <c r="L86" i="103"/>
  <c r="L99" i="103"/>
  <c r="L116" i="103" s="1"/>
  <c r="L132" i="103" s="1"/>
  <c r="O278" i="39"/>
  <c r="O287" i="39" s="1"/>
  <c r="O296" i="39" s="1"/>
  <c r="P107" i="103" s="1"/>
  <c r="P77" i="103" s="1"/>
  <c r="Q278" i="39"/>
  <c r="Q287" i="39" s="1"/>
  <c r="Q296" i="39" s="1"/>
  <c r="R107" i="103" s="1"/>
  <c r="R77" i="103" s="1"/>
  <c r="R278" i="39"/>
  <c r="R287" i="39" s="1"/>
  <c r="R296" i="39" s="1"/>
  <c r="T278" i="39"/>
  <c r="T287" i="39" s="1"/>
  <c r="T296" i="39" s="1"/>
  <c r="L278" i="39"/>
  <c r="L287" i="39" s="1"/>
  <c r="L296" i="39" s="1"/>
  <c r="M107" i="103" s="1"/>
  <c r="M77" i="103" s="1"/>
  <c r="S278" i="39"/>
  <c r="S287" i="39" s="1"/>
  <c r="S296" i="39" s="1"/>
  <c r="K278" i="39"/>
  <c r="K287" i="39" s="1"/>
  <c r="K296" i="39" s="1"/>
  <c r="L107" i="103" s="1"/>
  <c r="L77" i="103" s="1"/>
  <c r="P278" i="39"/>
  <c r="P287" i="39" s="1"/>
  <c r="P296" i="39" s="1"/>
  <c r="Q107" i="103" s="1"/>
  <c r="Q77" i="103" s="1"/>
  <c r="M278" i="39"/>
  <c r="M287" i="39" s="1"/>
  <c r="M296" i="39" s="1"/>
  <c r="N107" i="103" s="1"/>
  <c r="N77" i="103" s="1"/>
  <c r="U278" i="39"/>
  <c r="U287" i="39" s="1"/>
  <c r="U296" i="39" s="1"/>
  <c r="N278" i="39"/>
  <c r="N287" i="39" s="1"/>
  <c r="N296" i="39" s="1"/>
  <c r="O107" i="103" s="1"/>
  <c r="O77" i="103" s="1"/>
  <c r="V278" i="39"/>
  <c r="V287" i="39" s="1"/>
  <c r="V296" i="39" s="1"/>
  <c r="W278" i="39"/>
  <c r="W287" i="39" s="1"/>
  <c r="W296" i="39" s="1"/>
  <c r="X107" i="103" s="1"/>
  <c r="X77" i="103" s="1"/>
  <c r="J82" i="80"/>
  <c r="J84" i="80"/>
  <c r="K73" i="103"/>
  <c r="K82" i="103"/>
  <c r="K95" i="103" s="1"/>
  <c r="J114" i="80"/>
  <c r="J77" i="80"/>
  <c r="J71" i="80"/>
  <c r="K74" i="103"/>
  <c r="J110" i="80"/>
  <c r="J83" i="80"/>
  <c r="K70" i="103"/>
  <c r="K100" i="103" s="1"/>
  <c r="J109" i="80"/>
  <c r="K76" i="103"/>
  <c r="J115" i="80"/>
  <c r="J113" i="80"/>
  <c r="J80" i="80"/>
  <c r="K71" i="103"/>
  <c r="J81" i="80"/>
  <c r="J107" i="80"/>
  <c r="J85" i="80"/>
  <c r="K78" i="103"/>
  <c r="K92" i="103" s="1"/>
  <c r="J73" i="80"/>
  <c r="J112" i="80"/>
  <c r="K75" i="103"/>
  <c r="K80" i="103"/>
  <c r="K93" i="103" s="1"/>
  <c r="I26" i="39"/>
  <c r="J75" i="80"/>
  <c r="J72" i="80"/>
  <c r="J74" i="80"/>
  <c r="K79" i="103"/>
  <c r="K69" i="103"/>
  <c r="J111" i="80"/>
  <c r="K81" i="103"/>
  <c r="K94" i="103" s="1"/>
  <c r="J76" i="80"/>
  <c r="J79" i="80"/>
  <c r="J108" i="80"/>
  <c r="K72" i="103"/>
  <c r="K102" i="103" s="1"/>
  <c r="J70" i="80"/>
  <c r="K77" i="103"/>
  <c r="J78" i="80"/>
  <c r="N279" i="39"/>
  <c r="N288" i="39" s="1"/>
  <c r="N297" i="39" s="1"/>
  <c r="O108" i="103" s="1"/>
  <c r="O122" i="103" s="1"/>
  <c r="O138" i="103" s="1"/>
  <c r="T279" i="39"/>
  <c r="T288" i="39" s="1"/>
  <c r="T297" i="39" s="1"/>
  <c r="M279" i="39"/>
  <c r="M288" i="39" s="1"/>
  <c r="M297" i="39" s="1"/>
  <c r="N108" i="103" s="1"/>
  <c r="U279" i="39"/>
  <c r="U288" i="39" s="1"/>
  <c r="U297" i="39" s="1"/>
  <c r="K279" i="39"/>
  <c r="K288" i="39" s="1"/>
  <c r="K297" i="39" s="1"/>
  <c r="L108" i="103" s="1"/>
  <c r="O279" i="39"/>
  <c r="O288" i="39" s="1"/>
  <c r="O297" i="39" s="1"/>
  <c r="P108" i="103" s="1"/>
  <c r="Q279" i="39"/>
  <c r="Q288" i="39" s="1"/>
  <c r="Q297" i="39" s="1"/>
  <c r="R108" i="103" s="1"/>
  <c r="P279" i="39"/>
  <c r="P288" i="39" s="1"/>
  <c r="P297" i="39" s="1"/>
  <c r="Q108" i="103" s="1"/>
  <c r="S279" i="39"/>
  <c r="S288" i="39" s="1"/>
  <c r="S297" i="39" s="1"/>
  <c r="L279" i="39"/>
  <c r="L288" i="39" s="1"/>
  <c r="L297" i="39" s="1"/>
  <c r="M108" i="103" s="1"/>
  <c r="R279" i="39"/>
  <c r="R288" i="39" s="1"/>
  <c r="R297" i="39" s="1"/>
  <c r="V279" i="39"/>
  <c r="V288" i="39" s="1"/>
  <c r="V297" i="39" s="1"/>
  <c r="W279" i="39"/>
  <c r="W288" i="39" s="1"/>
  <c r="W297" i="39" s="1"/>
  <c r="X108" i="103" s="1"/>
  <c r="X122" i="103" s="1"/>
  <c r="X138" i="103" s="1"/>
  <c r="Y438" i="39" a="1"/>
  <c r="Y438" i="39" s="1"/>
  <c r="Y448" i="39" s="1"/>
  <c r="Y440" i="39" a="1"/>
  <c r="Y440" i="39" s="1"/>
  <c r="Y450" i="39" s="1"/>
  <c r="Y441" i="39" a="1"/>
  <c r="Y441" i="39" s="1"/>
  <c r="Y451" i="39" s="1"/>
  <c r="Y437" i="39" a="1"/>
  <c r="Y437" i="39" s="1"/>
  <c r="Y447" i="39" s="1"/>
  <c r="Y439" i="39" a="1"/>
  <c r="Y439" i="39" s="1"/>
  <c r="Y449" i="39" s="1"/>
  <c r="Y442" i="39" a="1"/>
  <c r="Y442" i="39" s="1"/>
  <c r="Y452" i="39" s="1"/>
  <c r="Y443" i="39" a="1"/>
  <c r="Y443" i="39" s="1"/>
  <c r="Y453" i="39" s="1"/>
  <c r="L103" i="103"/>
  <c r="L118" i="103" s="1"/>
  <c r="L134" i="103" s="1"/>
  <c r="L88" i="103"/>
  <c r="M283" i="39"/>
  <c r="M292" i="39" s="1"/>
  <c r="M301" i="39" s="1"/>
  <c r="N112" i="103" s="1"/>
  <c r="Q283" i="39"/>
  <c r="Q292" i="39" s="1"/>
  <c r="Q301" i="39" s="1"/>
  <c r="R112" i="103" s="1"/>
  <c r="S283" i="39"/>
  <c r="S292" i="39" s="1"/>
  <c r="S301" i="39" s="1"/>
  <c r="P283" i="39"/>
  <c r="P292" i="39" s="1"/>
  <c r="P301" i="39" s="1"/>
  <c r="Q112" i="103" s="1"/>
  <c r="U283" i="39"/>
  <c r="U292" i="39" s="1"/>
  <c r="U301" i="39" s="1"/>
  <c r="N283" i="39"/>
  <c r="N292" i="39" s="1"/>
  <c r="N301" i="39" s="1"/>
  <c r="O112" i="103" s="1"/>
  <c r="K283" i="39"/>
  <c r="K292" i="39" s="1"/>
  <c r="K301" i="39" s="1"/>
  <c r="L112" i="103" s="1"/>
  <c r="T283" i="39"/>
  <c r="T292" i="39" s="1"/>
  <c r="T301" i="39" s="1"/>
  <c r="O283" i="39"/>
  <c r="O292" i="39" s="1"/>
  <c r="O301" i="39" s="1"/>
  <c r="P112" i="103" s="1"/>
  <c r="R283" i="39"/>
  <c r="R292" i="39" s="1"/>
  <c r="R301" i="39" s="1"/>
  <c r="L283" i="39"/>
  <c r="L292" i="39" s="1"/>
  <c r="L301" i="39" s="1"/>
  <c r="M112" i="103" s="1"/>
  <c r="V283" i="39"/>
  <c r="V292" i="39" s="1"/>
  <c r="V301" i="39" s="1"/>
  <c r="W283" i="39"/>
  <c r="W292" i="39" s="1"/>
  <c r="W301" i="39" s="1"/>
  <c r="X112" i="103" s="1"/>
  <c r="X82" i="103" s="1"/>
  <c r="X95" i="103" s="1"/>
  <c r="L89" i="103"/>
  <c r="L104" i="103"/>
  <c r="L119" i="103" s="1"/>
  <c r="L135" i="103" s="1"/>
  <c r="U282" i="39"/>
  <c r="U291" i="39" s="1"/>
  <c r="U300" i="39" s="1"/>
  <c r="L282" i="39"/>
  <c r="L291" i="39" s="1"/>
  <c r="L300" i="39" s="1"/>
  <c r="M111" i="103" s="1"/>
  <c r="T282" i="39"/>
  <c r="T291" i="39" s="1"/>
  <c r="T300" i="39" s="1"/>
  <c r="M282" i="39"/>
  <c r="M291" i="39" s="1"/>
  <c r="M300" i="39" s="1"/>
  <c r="N111" i="103" s="1"/>
  <c r="R282" i="39"/>
  <c r="R291" i="39" s="1"/>
  <c r="R300" i="39" s="1"/>
  <c r="N282" i="39"/>
  <c r="N291" i="39" s="1"/>
  <c r="N300" i="39" s="1"/>
  <c r="O111" i="103" s="1"/>
  <c r="S282" i="39"/>
  <c r="S291" i="39" s="1"/>
  <c r="S300" i="39" s="1"/>
  <c r="K282" i="39"/>
  <c r="K291" i="39" s="1"/>
  <c r="K300" i="39" s="1"/>
  <c r="L111" i="103" s="1"/>
  <c r="O282" i="39"/>
  <c r="O291" i="39" s="1"/>
  <c r="O300" i="39" s="1"/>
  <c r="P111" i="103" s="1"/>
  <c r="P282" i="39"/>
  <c r="P291" i="39" s="1"/>
  <c r="P300" i="39" s="1"/>
  <c r="Q111" i="103" s="1"/>
  <c r="Q282" i="39"/>
  <c r="Q291" i="39" s="1"/>
  <c r="Q300" i="39" s="1"/>
  <c r="R111" i="103" s="1"/>
  <c r="V282" i="39"/>
  <c r="V291" i="39" s="1"/>
  <c r="V300" i="39" s="1"/>
  <c r="W282" i="39"/>
  <c r="W291" i="39" s="1"/>
  <c r="W300" i="39" s="1"/>
  <c r="X111" i="103" s="1"/>
  <c r="X81" i="103" s="1"/>
  <c r="X94" i="103" s="1"/>
  <c r="L277" i="39"/>
  <c r="L286" i="39" s="1"/>
  <c r="L295" i="39" s="1"/>
  <c r="P277" i="39"/>
  <c r="P286" i="39" s="1"/>
  <c r="P295" i="39" s="1"/>
  <c r="Q277" i="39"/>
  <c r="Q286" i="39" s="1"/>
  <c r="Q295" i="39" s="1"/>
  <c r="S277" i="39"/>
  <c r="S286" i="39" s="1"/>
  <c r="S295" i="39" s="1"/>
  <c r="O277" i="39"/>
  <c r="O286" i="39" s="1"/>
  <c r="O295" i="39" s="1"/>
  <c r="T277" i="39"/>
  <c r="T286" i="39" s="1"/>
  <c r="T295" i="39" s="1"/>
  <c r="M277" i="39"/>
  <c r="M286" i="39" s="1"/>
  <c r="M295" i="39" s="1"/>
  <c r="R277" i="39"/>
  <c r="R286" i="39" s="1"/>
  <c r="R295" i="39" s="1"/>
  <c r="N277" i="39"/>
  <c r="N286" i="39" s="1"/>
  <c r="N295" i="39" s="1"/>
  <c r="U277" i="39"/>
  <c r="U286" i="39" s="1"/>
  <c r="U295" i="39" s="1"/>
  <c r="K277" i="39"/>
  <c r="K286" i="39" s="1"/>
  <c r="K295" i="39" s="1"/>
  <c r="V277" i="39"/>
  <c r="V286" i="39" s="1"/>
  <c r="V295" i="39" s="1"/>
  <c r="W277" i="39"/>
  <c r="W286" i="39" s="1"/>
  <c r="W295" i="39" s="1"/>
  <c r="Y278" i="39"/>
  <c r="Y287" i="39" s="1"/>
  <c r="X278" i="39"/>
  <c r="X287" i="39" s="1"/>
  <c r="X296" i="39" s="1"/>
  <c r="Y107" i="103" s="1"/>
  <c r="Y77" i="103" s="1"/>
  <c r="M280" i="39"/>
  <c r="M289" i="39" s="1"/>
  <c r="M298" i="39" s="1"/>
  <c r="N109" i="103" s="1"/>
  <c r="N79" i="103" s="1"/>
  <c r="Q280" i="39"/>
  <c r="Q289" i="39" s="1"/>
  <c r="Q298" i="39" s="1"/>
  <c r="R109" i="103" s="1"/>
  <c r="R79" i="103" s="1"/>
  <c r="S280" i="39"/>
  <c r="S289" i="39" s="1"/>
  <c r="S298" i="39" s="1"/>
  <c r="P280" i="39"/>
  <c r="P289" i="39" s="1"/>
  <c r="P298" i="39" s="1"/>
  <c r="Q109" i="103" s="1"/>
  <c r="Q79" i="103" s="1"/>
  <c r="K280" i="39"/>
  <c r="K289" i="39" s="1"/>
  <c r="K298" i="39" s="1"/>
  <c r="L109" i="103" s="1"/>
  <c r="L79" i="103" s="1"/>
  <c r="U280" i="39"/>
  <c r="U289" i="39" s="1"/>
  <c r="U298" i="39" s="1"/>
  <c r="N280" i="39"/>
  <c r="N289" i="39" s="1"/>
  <c r="N298" i="39" s="1"/>
  <c r="O109" i="103" s="1"/>
  <c r="O79" i="103" s="1"/>
  <c r="T280" i="39"/>
  <c r="T289" i="39" s="1"/>
  <c r="T298" i="39" s="1"/>
  <c r="O280" i="39"/>
  <c r="O289" i="39" s="1"/>
  <c r="O298" i="39" s="1"/>
  <c r="P109" i="103" s="1"/>
  <c r="P79" i="103" s="1"/>
  <c r="R280" i="39"/>
  <c r="R289" i="39" s="1"/>
  <c r="R298" i="39" s="1"/>
  <c r="L280" i="39"/>
  <c r="L289" i="39" s="1"/>
  <c r="L298" i="39" s="1"/>
  <c r="M109" i="103" s="1"/>
  <c r="M79" i="103" s="1"/>
  <c r="V280" i="39"/>
  <c r="V289" i="39" s="1"/>
  <c r="V298" i="39" s="1"/>
  <c r="W280" i="39"/>
  <c r="W289" i="39" s="1"/>
  <c r="W298" i="39" s="1"/>
  <c r="K281" i="39"/>
  <c r="K290" i="39" s="1"/>
  <c r="K299" i="39" s="1"/>
  <c r="L110" i="103" s="1"/>
  <c r="V281" i="39"/>
  <c r="V290" i="39" s="1"/>
  <c r="V299" i="39" s="1"/>
  <c r="N281" i="39"/>
  <c r="N290" i="39" s="1"/>
  <c r="N299" i="39" s="1"/>
  <c r="O110" i="103" s="1"/>
  <c r="T281" i="39"/>
  <c r="T290" i="39" s="1"/>
  <c r="T299" i="39" s="1"/>
  <c r="L281" i="39"/>
  <c r="L290" i="39" s="1"/>
  <c r="L299" i="39" s="1"/>
  <c r="M110" i="103" s="1"/>
  <c r="O281" i="39"/>
  <c r="O290" i="39" s="1"/>
  <c r="O299" i="39" s="1"/>
  <c r="P110" i="103" s="1"/>
  <c r="P281" i="39"/>
  <c r="P290" i="39" s="1"/>
  <c r="P299" i="39" s="1"/>
  <c r="Q110" i="103" s="1"/>
  <c r="Q281" i="39"/>
  <c r="Q290" i="39" s="1"/>
  <c r="Q299" i="39" s="1"/>
  <c r="R110" i="103" s="1"/>
  <c r="R123" i="103" s="1"/>
  <c r="R139" i="103" s="1"/>
  <c r="U281" i="39"/>
  <c r="U290" i="39" s="1"/>
  <c r="U299" i="39" s="1"/>
  <c r="S281" i="39"/>
  <c r="S290" i="39" s="1"/>
  <c r="S299" i="39" s="1"/>
  <c r="M281" i="39"/>
  <c r="M290" i="39" s="1"/>
  <c r="M299" i="39" s="1"/>
  <c r="N110" i="103" s="1"/>
  <c r="R281" i="39"/>
  <c r="R290" i="39" s="1"/>
  <c r="R299" i="39" s="1"/>
  <c r="W281" i="39"/>
  <c r="W290" i="39" s="1"/>
  <c r="W299" i="39" s="1"/>
  <c r="X110" i="103" s="1"/>
  <c r="X123" i="103" s="1"/>
  <c r="X139" i="103" s="1"/>
  <c r="L105" i="103"/>
  <c r="L120" i="103" s="1"/>
  <c r="L136" i="103" s="1"/>
  <c r="L90" i="103"/>
  <c r="W454" i="39"/>
  <c r="Y421" i="39"/>
  <c r="Y423" i="39"/>
  <c r="Y417" i="39"/>
  <c r="Y422" i="39"/>
  <c r="Y418" i="39"/>
  <c r="Y420" i="39"/>
  <c r="Y419" i="39"/>
  <c r="X447" i="39"/>
  <c r="X454" i="39" s="1"/>
  <c r="X444" i="39"/>
  <c r="X424" i="39"/>
  <c r="Y142" i="103"/>
  <c r="X301" i="39"/>
  <c r="Y112" i="103" s="1"/>
  <c r="Y125" i="103" s="1"/>
  <c r="Y141" i="103" s="1"/>
  <c r="X300" i="39"/>
  <c r="X58" i="80" s="1"/>
  <c r="X298" i="39"/>
  <c r="Y109" i="103" s="1"/>
  <c r="X297" i="39"/>
  <c r="Y108" i="103" s="1"/>
  <c r="X299" i="39"/>
  <c r="Y110" i="103" s="1"/>
  <c r="Y286" i="39"/>
  <c r="Y291" i="39"/>
  <c r="Y292" i="39"/>
  <c r="X112" i="80"/>
  <c r="Y101" i="80"/>
  <c r="Y123" i="80" s="1"/>
  <c r="Y235" i="80" s="1"/>
  <c r="V375" i="39"/>
  <c r="V366" i="39"/>
  <c r="Y280" i="39"/>
  <c r="Z89" i="103"/>
  <c r="Z104" i="103"/>
  <c r="Z119" i="103" s="1"/>
  <c r="Z135" i="103" s="1"/>
  <c r="W352" i="39"/>
  <c r="X150" i="80"/>
  <c r="X143" i="80"/>
  <c r="X81" i="80"/>
  <c r="Y281" i="39"/>
  <c r="Y290" i="39" s="1"/>
  <c r="Z182" i="39"/>
  <c r="Z368" i="39" s="1"/>
  <c r="Z269" i="39"/>
  <c r="Z278" i="39" s="1"/>
  <c r="Z84" i="80"/>
  <c r="Z268" i="39"/>
  <c r="Z277" i="39" s="1"/>
  <c r="AA75" i="103"/>
  <c r="Z183" i="39"/>
  <c r="Z369" i="39" s="1"/>
  <c r="Z271" i="39"/>
  <c r="Z280" i="39" s="1"/>
  <c r="AA69" i="103"/>
  <c r="AA71" i="103"/>
  <c r="Z273" i="39"/>
  <c r="Z282" i="39" s="1"/>
  <c r="Z270" i="39"/>
  <c r="Z279" i="39" s="1"/>
  <c r="Z114" i="80"/>
  <c r="Z111" i="80"/>
  <c r="Z274" i="39"/>
  <c r="Z283" i="39" s="1"/>
  <c r="AA70" i="103"/>
  <c r="AA100" i="103" s="1"/>
  <c r="AA26" i="39"/>
  <c r="AA73" i="103"/>
  <c r="Z181" i="39"/>
  <c r="M2" i="128" s="1"/>
  <c r="Z272" i="39"/>
  <c r="Z281" i="39" s="1"/>
  <c r="Z80" i="80"/>
  <c r="AA74" i="103"/>
  <c r="AA72" i="103"/>
  <c r="AA102" i="103" s="1"/>
  <c r="Z90" i="103"/>
  <c r="Z105" i="103"/>
  <c r="Z120" i="103" s="1"/>
  <c r="Z136" i="103" s="1"/>
  <c r="Z99" i="103"/>
  <c r="Z116" i="103" s="1"/>
  <c r="Z132" i="103" s="1"/>
  <c r="Z86" i="103"/>
  <c r="X342" i="39"/>
  <c r="Z88" i="103"/>
  <c r="Z103" i="103"/>
  <c r="Z118" i="103" s="1"/>
  <c r="Z134" i="103" s="1"/>
  <c r="Y335" i="39"/>
  <c r="Y326" i="39"/>
  <c r="Y346" i="39" s="1"/>
  <c r="Y325" i="39"/>
  <c r="Y327" i="39"/>
  <c r="Y347" i="39" s="1"/>
  <c r="Y329" i="39"/>
  <c r="Y349" i="39" s="1"/>
  <c r="Y336" i="39"/>
  <c r="Y340" i="39"/>
  <c r="Y330" i="39"/>
  <c r="Y350" i="39" s="1"/>
  <c r="Y337" i="39"/>
  <c r="Y63" i="80"/>
  <c r="Y339" i="39"/>
  <c r="Y341" i="39"/>
  <c r="Y331" i="39"/>
  <c r="Y351" i="39" s="1"/>
  <c r="Y338" i="39"/>
  <c r="Y328" i="39"/>
  <c r="Y348" i="39" s="1"/>
  <c r="X345" i="39"/>
  <c r="X295" i="39" s="1"/>
  <c r="X332" i="39"/>
  <c r="X235" i="80"/>
  <c r="Z101" i="103"/>
  <c r="Z117" i="103" s="1"/>
  <c r="Z133" i="103" s="1"/>
  <c r="Z87" i="103"/>
  <c r="Y279" i="39"/>
  <c r="Y288" i="39" s="1"/>
  <c r="AA6" i="97"/>
  <c r="Z315" i="39" s="1"/>
  <c r="AA10" i="97"/>
  <c r="Z319" i="39" s="1"/>
  <c r="AB14" i="97"/>
  <c r="AA7" i="97"/>
  <c r="Z316" i="39" s="1"/>
  <c r="AA11" i="97"/>
  <c r="Z320" i="39" s="1"/>
  <c r="AA8" i="97"/>
  <c r="Z317" i="39" s="1"/>
  <c r="AA12" i="97"/>
  <c r="Z321" i="39" s="1"/>
  <c r="AA9" i="97"/>
  <c r="Z318" i="39" s="1"/>
  <c r="Y322" i="39"/>
  <c r="Y370" i="39" s="1"/>
  <c r="Y102" i="80" s="1"/>
  <c r="X113" i="80"/>
  <c r="X124" i="80"/>
  <c r="X236" i="80" s="1"/>
  <c r="W59" i="80" l="1"/>
  <c r="W139" i="80" s="1"/>
  <c r="O78" i="103"/>
  <c r="O92" i="103" s="1"/>
  <c r="W54" i="80"/>
  <c r="W134" i="80" s="1"/>
  <c r="X125" i="103"/>
  <c r="X141" i="103" s="1"/>
  <c r="X80" i="103"/>
  <c r="X93" i="103" s="1"/>
  <c r="R80" i="103"/>
  <c r="R93" i="103" s="1"/>
  <c r="W57" i="80"/>
  <c r="W75" i="80" s="1"/>
  <c r="W55" i="80"/>
  <c r="W73" i="80" s="1"/>
  <c r="X78" i="103"/>
  <c r="X92" i="103" s="1"/>
  <c r="X106" i="103"/>
  <c r="X76" i="103" s="1"/>
  <c r="W53" i="80"/>
  <c r="W71" i="80" s="1"/>
  <c r="S110" i="103"/>
  <c r="R57" i="80"/>
  <c r="R53" i="80"/>
  <c r="S106" i="103"/>
  <c r="R302" i="39"/>
  <c r="X124" i="103"/>
  <c r="X140" i="103" s="1"/>
  <c r="Q123" i="103"/>
  <c r="Q139" i="103" s="1"/>
  <c r="Q80" i="103"/>
  <c r="Q93" i="103" s="1"/>
  <c r="W109" i="103"/>
  <c r="W79" i="103" s="1"/>
  <c r="V56" i="80"/>
  <c r="K302" i="39"/>
  <c r="L106" i="103"/>
  <c r="R106" i="103"/>
  <c r="D3" i="128" s="1"/>
  <c r="Q302" i="39"/>
  <c r="L81" i="103"/>
  <c r="L94" i="103" s="1"/>
  <c r="L124" i="103"/>
  <c r="L140" i="103" s="1"/>
  <c r="L125" i="103"/>
  <c r="L141" i="103" s="1"/>
  <c r="L82" i="103"/>
  <c r="L95" i="103" s="1"/>
  <c r="L122" i="103"/>
  <c r="L138" i="103" s="1"/>
  <c r="L78" i="103"/>
  <c r="L92" i="103" s="1"/>
  <c r="K91" i="103"/>
  <c r="S107" i="103"/>
  <c r="S77" i="103" s="1"/>
  <c r="R54" i="80"/>
  <c r="P80" i="103"/>
  <c r="P93" i="103" s="1"/>
  <c r="P123" i="103"/>
  <c r="P139" i="103" s="1"/>
  <c r="T109" i="103"/>
  <c r="T79" i="103" s="1"/>
  <c r="S56" i="80"/>
  <c r="U53" i="80"/>
  <c r="V106" i="103"/>
  <c r="U302" i="39"/>
  <c r="U365" i="39" s="1"/>
  <c r="Q106" i="103"/>
  <c r="P302" i="39"/>
  <c r="T111" i="103"/>
  <c r="S58" i="80"/>
  <c r="O125" i="103"/>
  <c r="O141" i="103" s="1"/>
  <c r="O82" i="103"/>
  <c r="O95" i="103" s="1"/>
  <c r="W108" i="103"/>
  <c r="V55" i="80"/>
  <c r="V108" i="103"/>
  <c r="U55" i="80"/>
  <c r="V107" i="103"/>
  <c r="V77" i="103" s="1"/>
  <c r="U54" i="80"/>
  <c r="Z438" i="39" a="1"/>
  <c r="Z438" i="39" s="1"/>
  <c r="Z448" i="39" s="1"/>
  <c r="Z437" i="39" a="1"/>
  <c r="Z437" i="39" s="1"/>
  <c r="Z447" i="39" s="1"/>
  <c r="Z443" i="39" a="1"/>
  <c r="Z443" i="39" s="1"/>
  <c r="Z453" i="39" s="1"/>
  <c r="Z440" i="39" a="1"/>
  <c r="Z440" i="39" s="1"/>
  <c r="Z450" i="39" s="1"/>
  <c r="Z441" i="39" a="1"/>
  <c r="Z441" i="39" s="1"/>
  <c r="Z451" i="39" s="1"/>
  <c r="Z442" i="39" a="1"/>
  <c r="Z442" i="39" s="1"/>
  <c r="Z452" i="39" s="1"/>
  <c r="Z439" i="39" a="1"/>
  <c r="Z439" i="39" s="1"/>
  <c r="Z449" i="39" s="1"/>
  <c r="M123" i="103"/>
  <c r="M139" i="103" s="1"/>
  <c r="M80" i="103"/>
  <c r="M93" i="103" s="1"/>
  <c r="S109" i="103"/>
  <c r="S79" i="103" s="1"/>
  <c r="R56" i="80"/>
  <c r="O106" i="103"/>
  <c r="N302" i="39"/>
  <c r="M106" i="103"/>
  <c r="L302" i="39"/>
  <c r="O81" i="103"/>
  <c r="O94" i="103" s="1"/>
  <c r="O124" i="103"/>
  <c r="O140" i="103" s="1"/>
  <c r="V112" i="103"/>
  <c r="U59" i="80"/>
  <c r="S108" i="103"/>
  <c r="R55" i="80"/>
  <c r="N78" i="103"/>
  <c r="N92" i="103" s="1"/>
  <c r="N122" i="103"/>
  <c r="N138" i="103" s="1"/>
  <c r="K103" i="103"/>
  <c r="K118" i="103" s="1"/>
  <c r="K134" i="103" s="1"/>
  <c r="K88" i="103"/>
  <c r="M122" i="103"/>
  <c r="M138" i="103" s="1"/>
  <c r="M78" i="103"/>
  <c r="M92" i="103" s="1"/>
  <c r="U108" i="103"/>
  <c r="T55" i="80"/>
  <c r="I108" i="80"/>
  <c r="I109" i="80"/>
  <c r="I79" i="80"/>
  <c r="I82" i="80"/>
  <c r="J79" i="103"/>
  <c r="J72" i="103"/>
  <c r="J102" i="103" s="1"/>
  <c r="J78" i="103"/>
  <c r="J92" i="103" s="1"/>
  <c r="J74" i="103"/>
  <c r="J82" i="103"/>
  <c r="J95" i="103" s="1"/>
  <c r="I74" i="80"/>
  <c r="J69" i="103"/>
  <c r="I78" i="80"/>
  <c r="J80" i="103"/>
  <c r="J93" i="103" s="1"/>
  <c r="H26" i="39"/>
  <c r="I83" i="80"/>
  <c r="I71" i="80"/>
  <c r="I73" i="80"/>
  <c r="I81" i="80"/>
  <c r="I115" i="80"/>
  <c r="J76" i="103"/>
  <c r="I80" i="80"/>
  <c r="I114" i="80"/>
  <c r="J73" i="103"/>
  <c r="J70" i="103"/>
  <c r="J100" i="103" s="1"/>
  <c r="I85" i="80"/>
  <c r="I72" i="80"/>
  <c r="I107" i="80"/>
  <c r="J81" i="103"/>
  <c r="J94" i="103" s="1"/>
  <c r="J75" i="103"/>
  <c r="J71" i="103"/>
  <c r="I77" i="80"/>
  <c r="I70" i="80"/>
  <c r="I76" i="80"/>
  <c r="I112" i="80"/>
  <c r="I84" i="80"/>
  <c r="I110" i="80"/>
  <c r="I113" i="80"/>
  <c r="J77" i="103"/>
  <c r="I111" i="80"/>
  <c r="I75" i="80"/>
  <c r="L142" i="103"/>
  <c r="N80" i="103"/>
  <c r="N93" i="103" s="1"/>
  <c r="N123" i="103"/>
  <c r="N139" i="103" s="1"/>
  <c r="O123" i="103"/>
  <c r="O139" i="103" s="1"/>
  <c r="O80" i="103"/>
  <c r="O93" i="103" s="1"/>
  <c r="U109" i="103"/>
  <c r="U79" i="103" s="1"/>
  <c r="T56" i="80"/>
  <c r="N106" i="103"/>
  <c r="M302" i="39"/>
  <c r="W111" i="103"/>
  <c r="V58" i="80"/>
  <c r="N81" i="103"/>
  <c r="N94" i="103" s="1"/>
  <c r="N124" i="103"/>
  <c r="N140" i="103" s="1"/>
  <c r="M125" i="103"/>
  <c r="M141" i="103" s="1"/>
  <c r="M82" i="103"/>
  <c r="M95" i="103" s="1"/>
  <c r="T112" i="103"/>
  <c r="S59" i="80"/>
  <c r="S55" i="80"/>
  <c r="T108" i="103"/>
  <c r="K101" i="103"/>
  <c r="K117" i="103" s="1"/>
  <c r="K133" i="103" s="1"/>
  <c r="K87" i="103"/>
  <c r="W112" i="103"/>
  <c r="V59" i="80"/>
  <c r="T110" i="103"/>
  <c r="S57" i="80"/>
  <c r="W110" i="103"/>
  <c r="V57" i="80"/>
  <c r="T302" i="39"/>
  <c r="T365" i="39" s="1"/>
  <c r="U106" i="103"/>
  <c r="T53" i="80"/>
  <c r="R81" i="103"/>
  <c r="R94" i="103" s="1"/>
  <c r="R124" i="103"/>
  <c r="R140" i="103" s="1"/>
  <c r="U111" i="103"/>
  <c r="T58" i="80"/>
  <c r="S112" i="103"/>
  <c r="R59" i="80"/>
  <c r="R82" i="103"/>
  <c r="R95" i="103" s="1"/>
  <c r="R125" i="103"/>
  <c r="R141" i="103" s="1"/>
  <c r="Q122" i="103"/>
  <c r="Q138" i="103" s="1"/>
  <c r="Q78" i="103"/>
  <c r="Q92" i="103" s="1"/>
  <c r="K90" i="103"/>
  <c r="K105" i="103"/>
  <c r="K120" i="103" s="1"/>
  <c r="K136" i="103" s="1"/>
  <c r="K89" i="103"/>
  <c r="K104" i="103"/>
  <c r="K119" i="103" s="1"/>
  <c r="K135" i="103" s="1"/>
  <c r="T107" i="103"/>
  <c r="T77" i="103" s="1"/>
  <c r="S54" i="80"/>
  <c r="S111" i="103"/>
  <c r="R58" i="80"/>
  <c r="V110" i="103"/>
  <c r="U57" i="80"/>
  <c r="L123" i="103"/>
  <c r="L139" i="103" s="1"/>
  <c r="L80" i="103"/>
  <c r="L93" i="103" s="1"/>
  <c r="U56" i="80"/>
  <c r="V109" i="103"/>
  <c r="V79" i="103" s="1"/>
  <c r="P106" i="103"/>
  <c r="O302" i="39"/>
  <c r="Q124" i="103"/>
  <c r="Q140" i="103" s="1"/>
  <c r="Q81" i="103"/>
  <c r="Q94" i="103" s="1"/>
  <c r="M81" i="103"/>
  <c r="M94" i="103" s="1"/>
  <c r="M124" i="103"/>
  <c r="M140" i="103" s="1"/>
  <c r="P125" i="103"/>
  <c r="P141" i="103" s="1"/>
  <c r="P82" i="103"/>
  <c r="P95" i="103" s="1"/>
  <c r="N125" i="103"/>
  <c r="N141" i="103" s="1"/>
  <c r="N82" i="103"/>
  <c r="N95" i="103" s="1"/>
  <c r="R78" i="103"/>
  <c r="R92" i="103" s="1"/>
  <c r="R122" i="103"/>
  <c r="R138" i="103" s="1"/>
  <c r="K99" i="103"/>
  <c r="K116" i="103" s="1"/>
  <c r="K132" i="103" s="1"/>
  <c r="K86" i="103"/>
  <c r="T57" i="80"/>
  <c r="U110" i="103"/>
  <c r="Q125" i="103"/>
  <c r="Q141" i="103" s="1"/>
  <c r="Q82" i="103"/>
  <c r="Q95" i="103" s="1"/>
  <c r="W58" i="80"/>
  <c r="W138" i="80" s="1"/>
  <c r="V302" i="39"/>
  <c r="V365" i="39" s="1"/>
  <c r="V96" i="80" s="1"/>
  <c r="V53" i="80"/>
  <c r="W106" i="103"/>
  <c r="S53" i="80"/>
  <c r="S302" i="39"/>
  <c r="S365" i="39" s="1"/>
  <c r="T106" i="103"/>
  <c r="P81" i="103"/>
  <c r="P94" i="103" s="1"/>
  <c r="P124" i="103"/>
  <c r="P140" i="103" s="1"/>
  <c r="U58" i="80"/>
  <c r="V111" i="103"/>
  <c r="T59" i="80"/>
  <c r="U112" i="103"/>
  <c r="P122" i="103"/>
  <c r="P138" i="103" s="1"/>
  <c r="P78" i="103"/>
  <c r="P92" i="103" s="1"/>
  <c r="W107" i="103"/>
  <c r="W77" i="103" s="1"/>
  <c r="V54" i="80"/>
  <c r="U107" i="103"/>
  <c r="U77" i="103" s="1"/>
  <c r="T54" i="80"/>
  <c r="Y454" i="39"/>
  <c r="Z421" i="39"/>
  <c r="Z422" i="39"/>
  <c r="Z420" i="39"/>
  <c r="Z417" i="39"/>
  <c r="Z418" i="39"/>
  <c r="Z423" i="39"/>
  <c r="Z419" i="39"/>
  <c r="X59" i="80"/>
  <c r="X77" i="80" s="1"/>
  <c r="W137" i="80"/>
  <c r="Y424" i="39"/>
  <c r="Y444" i="39"/>
  <c r="Z142" i="103"/>
  <c r="Y111" i="103"/>
  <c r="Y81" i="103" s="1"/>
  <c r="Y94" i="103" s="1"/>
  <c r="W77" i="80"/>
  <c r="Y301" i="39"/>
  <c r="Z112" i="103" s="1"/>
  <c r="Z125" i="103" s="1"/>
  <c r="Z141" i="103" s="1"/>
  <c r="X57" i="80"/>
  <c r="X137" i="80" s="1"/>
  <c r="X55" i="80"/>
  <c r="X73" i="80" s="1"/>
  <c r="X54" i="80"/>
  <c r="X134" i="80" s="1"/>
  <c r="X56" i="80"/>
  <c r="X136" i="80" s="1"/>
  <c r="Y297" i="39"/>
  <c r="Y55" i="80" s="1"/>
  <c r="Y73" i="80" s="1"/>
  <c r="Y300" i="39"/>
  <c r="Z111" i="103" s="1"/>
  <c r="Z81" i="103" s="1"/>
  <c r="Z94" i="103" s="1"/>
  <c r="Y299" i="39"/>
  <c r="Z110" i="103" s="1"/>
  <c r="Y82" i="103"/>
  <c r="Y95" i="103" s="1"/>
  <c r="Y296" i="39"/>
  <c r="Z107" i="103" s="1"/>
  <c r="Z77" i="103" s="1"/>
  <c r="Y106" i="103"/>
  <c r="Y76" i="103" s="1"/>
  <c r="X302" i="39"/>
  <c r="X365" i="39" s="1"/>
  <c r="X96" i="80" s="1"/>
  <c r="X118" i="80" s="1"/>
  <c r="Y79" i="103"/>
  <c r="Y78" i="103"/>
  <c r="Y92" i="103" s="1"/>
  <c r="Y122" i="103"/>
  <c r="Y138" i="103" s="1"/>
  <c r="Y80" i="103"/>
  <c r="Y93" i="103" s="1"/>
  <c r="Y123" i="103"/>
  <c r="Y139" i="103" s="1"/>
  <c r="W302" i="39"/>
  <c r="W365" i="39" s="1"/>
  <c r="W96" i="80" s="1"/>
  <c r="W56" i="80"/>
  <c r="X109" i="103"/>
  <c r="Z290" i="39"/>
  <c r="Z286" i="39"/>
  <c r="Y289" i="39"/>
  <c r="Y298" i="39" s="1"/>
  <c r="Z288" i="39"/>
  <c r="Z291" i="39"/>
  <c r="Z287" i="39"/>
  <c r="Z289" i="39"/>
  <c r="Z292" i="39"/>
  <c r="Y112" i="80"/>
  <c r="Z101" i="80"/>
  <c r="Z112" i="80" s="1"/>
  <c r="X138" i="80"/>
  <c r="X76" i="80"/>
  <c r="X53" i="80"/>
  <c r="X352" i="39"/>
  <c r="AA103" i="103"/>
  <c r="AA118" i="103" s="1"/>
  <c r="AA134" i="103" s="1"/>
  <c r="AA88" i="103"/>
  <c r="W375" i="39"/>
  <c r="W366" i="39"/>
  <c r="Y332" i="39"/>
  <c r="Y345" i="39"/>
  <c r="Y295" i="39" s="1"/>
  <c r="Z106" i="103" s="1"/>
  <c r="Z76" i="103" s="1"/>
  <c r="AA90" i="103"/>
  <c r="AA105" i="103"/>
  <c r="AA120" i="103" s="1"/>
  <c r="AA136" i="103" s="1"/>
  <c r="Y81" i="80"/>
  <c r="Y150" i="80"/>
  <c r="Y143" i="80"/>
  <c r="AA271" i="39"/>
  <c r="AA280" i="39" s="1"/>
  <c r="AB74" i="103"/>
  <c r="AA114" i="80"/>
  <c r="AB71" i="103"/>
  <c r="AA111" i="80"/>
  <c r="AA273" i="39"/>
  <c r="AB75" i="103"/>
  <c r="AA183" i="39"/>
  <c r="AA369" i="39" s="1"/>
  <c r="AA274" i="39"/>
  <c r="AB69" i="103"/>
  <c r="AA181" i="39"/>
  <c r="AA270" i="39"/>
  <c r="AA279" i="39" s="1"/>
  <c r="AB70" i="103"/>
  <c r="AB100" i="103" s="1"/>
  <c r="AB72" i="103"/>
  <c r="AB102" i="103" s="1"/>
  <c r="AB73" i="103"/>
  <c r="AA268" i="39"/>
  <c r="AA277" i="39" s="1"/>
  <c r="AA182" i="39"/>
  <c r="AA368" i="39" s="1"/>
  <c r="AA269" i="39"/>
  <c r="AA278" i="39" s="1"/>
  <c r="AA272" i="39"/>
  <c r="AA281" i="39" s="1"/>
  <c r="AA80" i="80"/>
  <c r="AA84" i="80"/>
  <c r="AB26" i="39"/>
  <c r="Y342" i="39"/>
  <c r="AA104" i="103"/>
  <c r="AA119" i="103" s="1"/>
  <c r="AA135" i="103" s="1"/>
  <c r="AA89" i="103"/>
  <c r="AA101" i="103"/>
  <c r="AA117" i="103" s="1"/>
  <c r="AA133" i="103" s="1"/>
  <c r="AA87" i="103"/>
  <c r="AA99" i="103"/>
  <c r="AA116" i="103" s="1"/>
  <c r="AA132" i="103" s="1"/>
  <c r="AA86" i="103"/>
  <c r="V97" i="80"/>
  <c r="Z340" i="39"/>
  <c r="Z337" i="39"/>
  <c r="Z63" i="80"/>
  <c r="Z336" i="39"/>
  <c r="Z339" i="39"/>
  <c r="Z335" i="39"/>
  <c r="Z325" i="39"/>
  <c r="Z326" i="39"/>
  <c r="Z346" i="39" s="1"/>
  <c r="Z341" i="39"/>
  <c r="Z338" i="39"/>
  <c r="Z329" i="39"/>
  <c r="Z349" i="39" s="1"/>
  <c r="Z328" i="39"/>
  <c r="Z348" i="39" s="1"/>
  <c r="Z331" i="39"/>
  <c r="Z351" i="39" s="1"/>
  <c r="Z330" i="39"/>
  <c r="Z350" i="39" s="1"/>
  <c r="Z327" i="39"/>
  <c r="Z347" i="39" s="1"/>
  <c r="AB8" i="97"/>
  <c r="AA317" i="39" s="1"/>
  <c r="AB12" i="97"/>
  <c r="AA321" i="39" s="1"/>
  <c r="AC14" i="97"/>
  <c r="AB9" i="97"/>
  <c r="AA318" i="39" s="1"/>
  <c r="AB6" i="97"/>
  <c r="AA315" i="39" s="1"/>
  <c r="AB10" i="97"/>
  <c r="AA319" i="39" s="1"/>
  <c r="AB7" i="97"/>
  <c r="AA316" i="39" s="1"/>
  <c r="AB11" i="97"/>
  <c r="AA320" i="39" s="1"/>
  <c r="Z322" i="39"/>
  <c r="Z370" i="39" s="1"/>
  <c r="Z102" i="80" s="1"/>
  <c r="Y113" i="80"/>
  <c r="Y124" i="80"/>
  <c r="Y236" i="80" s="1"/>
  <c r="W72" i="80" l="1"/>
  <c r="W135" i="80"/>
  <c r="W133" i="80"/>
  <c r="W76" i="80"/>
  <c r="V372" i="39"/>
  <c r="I6" i="128" s="1"/>
  <c r="J3" i="128"/>
  <c r="R365" i="39"/>
  <c r="R370" i="39"/>
  <c r="R102" i="80" s="1"/>
  <c r="V72" i="80"/>
  <c r="V134" i="80"/>
  <c r="V75" i="80"/>
  <c r="V137" i="80"/>
  <c r="J86" i="103"/>
  <c r="J99" i="103"/>
  <c r="J116" i="103" s="1"/>
  <c r="J132" i="103" s="1"/>
  <c r="V80" i="103"/>
  <c r="V93" i="103" s="1"/>
  <c r="V123" i="103"/>
  <c r="V139" i="103" s="1"/>
  <c r="U124" i="103"/>
  <c r="U140" i="103" s="1"/>
  <c r="U81" i="103"/>
  <c r="U94" i="103" s="1"/>
  <c r="W80" i="103"/>
  <c r="W93" i="103" s="1"/>
  <c r="W123" i="103"/>
  <c r="W139" i="103" s="1"/>
  <c r="S135" i="80"/>
  <c r="S73" i="80"/>
  <c r="W81" i="103"/>
  <c r="W94" i="103" s="1"/>
  <c r="W124" i="103"/>
  <c r="W140" i="103" s="1"/>
  <c r="U71" i="80"/>
  <c r="U133" i="80"/>
  <c r="L76" i="103"/>
  <c r="L91" i="103" s="1"/>
  <c r="L121" i="103"/>
  <c r="L137" i="103" s="1"/>
  <c r="L143" i="103" s="1"/>
  <c r="T76" i="103"/>
  <c r="T91" i="103" s="1"/>
  <c r="T121" i="103"/>
  <c r="T137" i="103" s="1"/>
  <c r="F3" i="128"/>
  <c r="O365" i="39"/>
  <c r="O370" i="39"/>
  <c r="O102" i="80" s="1"/>
  <c r="O124" i="80" s="1"/>
  <c r="R138" i="80"/>
  <c r="R76" i="80"/>
  <c r="S75" i="80"/>
  <c r="S137" i="80"/>
  <c r="S139" i="80"/>
  <c r="S77" i="80"/>
  <c r="M370" i="39"/>
  <c r="M102" i="80" s="1"/>
  <c r="M365" i="39"/>
  <c r="S74" i="80"/>
  <c r="S136" i="80"/>
  <c r="K365" i="39"/>
  <c r="K370" i="39"/>
  <c r="K102" i="80" s="1"/>
  <c r="E3" i="128"/>
  <c r="S121" i="103"/>
  <c r="S137" i="103" s="1"/>
  <c r="S76" i="103"/>
  <c r="S91" i="103" s="1"/>
  <c r="T76" i="80"/>
  <c r="T138" i="80"/>
  <c r="V125" i="103"/>
  <c r="V141" i="103" s="1"/>
  <c r="V82" i="103"/>
  <c r="V95" i="103" s="1"/>
  <c r="W78" i="103"/>
  <c r="W92" i="103" s="1"/>
  <c r="W122" i="103"/>
  <c r="W138" i="103" s="1"/>
  <c r="R76" i="103"/>
  <c r="R91" i="103" s="1"/>
  <c r="R121" i="103"/>
  <c r="R137" i="103" s="1"/>
  <c r="R143" i="103" s="1"/>
  <c r="S372" i="39"/>
  <c r="S96" i="80"/>
  <c r="P76" i="103"/>
  <c r="P91" i="103" s="1"/>
  <c r="B3" i="128"/>
  <c r="P121" i="103"/>
  <c r="P137" i="103" s="1"/>
  <c r="P143" i="103" s="1"/>
  <c r="S81" i="103"/>
  <c r="S94" i="103" s="1"/>
  <c r="S124" i="103"/>
  <c r="S140" i="103" s="1"/>
  <c r="T80" i="103"/>
  <c r="T93" i="103" s="1"/>
  <c r="T123" i="103"/>
  <c r="T139" i="103" s="1"/>
  <c r="T82" i="103"/>
  <c r="T95" i="103" s="1"/>
  <c r="T125" i="103"/>
  <c r="T141" i="103" s="1"/>
  <c r="N76" i="103"/>
  <c r="N91" i="103" s="1"/>
  <c r="N121" i="103"/>
  <c r="N137" i="103" s="1"/>
  <c r="N143" i="103" s="1"/>
  <c r="J104" i="103"/>
  <c r="J119" i="103" s="1"/>
  <c r="J135" i="103" s="1"/>
  <c r="J89" i="103"/>
  <c r="T135" i="80"/>
  <c r="T73" i="80"/>
  <c r="L365" i="39"/>
  <c r="L370" i="39"/>
  <c r="L102" i="80" s="1"/>
  <c r="U72" i="80"/>
  <c r="U134" i="80"/>
  <c r="S76" i="80"/>
  <c r="S138" i="80"/>
  <c r="V136" i="80"/>
  <c r="V74" i="80"/>
  <c r="R71" i="80"/>
  <c r="R133" i="80"/>
  <c r="U75" i="80"/>
  <c r="U137" i="80"/>
  <c r="H3" i="128"/>
  <c r="V121" i="103"/>
  <c r="V137" i="103" s="1"/>
  <c r="V76" i="103"/>
  <c r="V91" i="103" s="1"/>
  <c r="U82" i="103"/>
  <c r="U95" i="103" s="1"/>
  <c r="U125" i="103"/>
  <c r="U141" i="103" s="1"/>
  <c r="S71" i="80"/>
  <c r="S133" i="80"/>
  <c r="U123" i="103"/>
  <c r="U139" i="103" s="1"/>
  <c r="U80" i="103"/>
  <c r="U93" i="103" s="1"/>
  <c r="S72" i="80"/>
  <c r="S134" i="80"/>
  <c r="T71" i="80"/>
  <c r="T133" i="80"/>
  <c r="T120" i="116" s="1"/>
  <c r="V77" i="80"/>
  <c r="V139" i="80"/>
  <c r="T74" i="80"/>
  <c r="T136" i="80"/>
  <c r="J88" i="103"/>
  <c r="J103" i="103"/>
  <c r="J118" i="103" s="1"/>
  <c r="J134" i="103" s="1"/>
  <c r="U122" i="103"/>
  <c r="U138" i="103" s="1"/>
  <c r="U78" i="103"/>
  <c r="U92" i="103" s="1"/>
  <c r="M76" i="103"/>
  <c r="M91" i="103" s="1"/>
  <c r="M121" i="103"/>
  <c r="M137" i="103" s="1"/>
  <c r="M143" i="103" s="1"/>
  <c r="T124" i="103"/>
  <c r="T140" i="103" s="1"/>
  <c r="T81" i="103"/>
  <c r="T94" i="103" s="1"/>
  <c r="R137" i="80"/>
  <c r="R75" i="80"/>
  <c r="T139" i="80"/>
  <c r="T77" i="80"/>
  <c r="I3" i="128"/>
  <c r="W76" i="103"/>
  <c r="W91" i="103" s="1"/>
  <c r="W121" i="103"/>
  <c r="W137" i="103" s="1"/>
  <c r="T75" i="80"/>
  <c r="T137" i="80"/>
  <c r="U136" i="80"/>
  <c r="U74" i="80"/>
  <c r="U76" i="103"/>
  <c r="U91" i="103" s="1"/>
  <c r="U121" i="103"/>
  <c r="U137" i="103" s="1"/>
  <c r="G3" i="128"/>
  <c r="W125" i="103"/>
  <c r="W141" i="103" s="1"/>
  <c r="W82" i="103"/>
  <c r="W95" i="103" s="1"/>
  <c r="J101" i="103"/>
  <c r="J117" i="103" s="1"/>
  <c r="J133" i="103" s="1"/>
  <c r="J87" i="103"/>
  <c r="I79" i="103"/>
  <c r="H80" i="80"/>
  <c r="H115" i="80"/>
  <c r="I81" i="103"/>
  <c r="I94" i="103" s="1"/>
  <c r="I78" i="103"/>
  <c r="I92" i="103" s="1"/>
  <c r="H73" i="80"/>
  <c r="I71" i="103"/>
  <c r="H71" i="80"/>
  <c r="H81" i="80"/>
  <c r="H110" i="80"/>
  <c r="H107" i="80"/>
  <c r="H72" i="80"/>
  <c r="H109" i="80"/>
  <c r="I73" i="103"/>
  <c r="H85" i="80"/>
  <c r="H75" i="80"/>
  <c r="H84" i="80"/>
  <c r="H82" i="80"/>
  <c r="I69" i="103"/>
  <c r="I77" i="103"/>
  <c r="I70" i="103"/>
  <c r="I100" i="103" s="1"/>
  <c r="I74" i="103"/>
  <c r="H79" i="80"/>
  <c r="H111" i="80"/>
  <c r="H78" i="80"/>
  <c r="H113" i="80"/>
  <c r="I76" i="103"/>
  <c r="I75" i="103"/>
  <c r="H114" i="80"/>
  <c r="H112" i="80"/>
  <c r="I80" i="103"/>
  <c r="I93" i="103" s="1"/>
  <c r="I72" i="103"/>
  <c r="I102" i="103" s="1"/>
  <c r="H108" i="80"/>
  <c r="H83" i="80"/>
  <c r="G26" i="39"/>
  <c r="H77" i="80"/>
  <c r="I82" i="103"/>
  <c r="I95" i="103" s="1"/>
  <c r="H74" i="80"/>
  <c r="H76" i="80"/>
  <c r="H70" i="80"/>
  <c r="R135" i="80"/>
  <c r="R73" i="80"/>
  <c r="N370" i="39"/>
  <c r="N102" i="80" s="1"/>
  <c r="N365" i="39"/>
  <c r="U73" i="80"/>
  <c r="U135" i="80"/>
  <c r="P370" i="39"/>
  <c r="P102" i="80" s="1"/>
  <c r="P365" i="39"/>
  <c r="S80" i="103"/>
  <c r="S93" i="103" s="1"/>
  <c r="S123" i="103"/>
  <c r="S139" i="103" s="1"/>
  <c r="V76" i="80"/>
  <c r="V138" i="80"/>
  <c r="AA443" i="39" a="1"/>
  <c r="AA443" i="39" s="1"/>
  <c r="AA453" i="39" s="1"/>
  <c r="AA437" i="39" a="1"/>
  <c r="AA437" i="39" s="1"/>
  <c r="AA447" i="39" s="1"/>
  <c r="AA439" i="39" a="1"/>
  <c r="AA439" i="39" s="1"/>
  <c r="AA449" i="39" s="1"/>
  <c r="AA441" i="39" a="1"/>
  <c r="AA441" i="39" s="1"/>
  <c r="AA451" i="39" s="1"/>
  <c r="AA438" i="39" a="1"/>
  <c r="AA438" i="39" s="1"/>
  <c r="AA448" i="39" s="1"/>
  <c r="AA440" i="39" a="1"/>
  <c r="AA440" i="39" s="1"/>
  <c r="AA450" i="39" s="1"/>
  <c r="AA442" i="39" a="1"/>
  <c r="AA442" i="39" s="1"/>
  <c r="AA452" i="39" s="1"/>
  <c r="T134" i="80"/>
  <c r="T72" i="80"/>
  <c r="V124" i="103"/>
  <c r="V140" i="103" s="1"/>
  <c r="V81" i="103"/>
  <c r="V94" i="103" s="1"/>
  <c r="V71" i="80"/>
  <c r="V133" i="80"/>
  <c r="R139" i="80"/>
  <c r="R77" i="80"/>
  <c r="T96" i="80"/>
  <c r="T372" i="39"/>
  <c r="J105" i="103"/>
  <c r="J120" i="103" s="1"/>
  <c r="J136" i="103" s="1"/>
  <c r="J90" i="103"/>
  <c r="S122" i="103"/>
  <c r="S138" i="103" s="1"/>
  <c r="S78" i="103"/>
  <c r="S92" i="103" s="1"/>
  <c r="O76" i="103"/>
  <c r="O91" i="103" s="1"/>
  <c r="O121" i="103"/>
  <c r="O137" i="103" s="1"/>
  <c r="O143" i="103" s="1"/>
  <c r="V78" i="103"/>
  <c r="V92" i="103" s="1"/>
  <c r="V122" i="103"/>
  <c r="V138" i="103" s="1"/>
  <c r="Q76" i="103"/>
  <c r="Q91" i="103" s="1"/>
  <c r="Q121" i="103"/>
  <c r="Q137" i="103" s="1"/>
  <c r="Q143" i="103" s="1"/>
  <c r="C3" i="128"/>
  <c r="R72" i="80"/>
  <c r="R134" i="80"/>
  <c r="T122" i="103"/>
  <c r="T138" i="103" s="1"/>
  <c r="T78" i="103"/>
  <c r="T92" i="103" s="1"/>
  <c r="U138" i="80"/>
  <c r="U76" i="80"/>
  <c r="V118" i="80"/>
  <c r="V107" i="80"/>
  <c r="K142" i="103"/>
  <c r="S82" i="103"/>
  <c r="S95" i="103" s="1"/>
  <c r="S125" i="103"/>
  <c r="S141" i="103" s="1"/>
  <c r="J91" i="103"/>
  <c r="U77" i="80"/>
  <c r="U139" i="80"/>
  <c r="R74" i="80"/>
  <c r="R136" i="80"/>
  <c r="V135" i="80"/>
  <c r="V73" i="80"/>
  <c r="U96" i="80"/>
  <c r="U372" i="39"/>
  <c r="Q370" i="39"/>
  <c r="Q102" i="80" s="1"/>
  <c r="Q365" i="39"/>
  <c r="AA420" i="39"/>
  <c r="AA421" i="39"/>
  <c r="AA422" i="39"/>
  <c r="AA418" i="39"/>
  <c r="AA417" i="39"/>
  <c r="AA423" i="39"/>
  <c r="AA419" i="39"/>
  <c r="Z454" i="39"/>
  <c r="X139" i="80"/>
  <c r="K3" i="128"/>
  <c r="Z444" i="39"/>
  <c r="Z424" i="39"/>
  <c r="AA142" i="103"/>
  <c r="Y124" i="103"/>
  <c r="Y140" i="103" s="1"/>
  <c r="X72" i="80"/>
  <c r="X75" i="80"/>
  <c r="X135" i="80"/>
  <c r="Y59" i="80"/>
  <c r="Y77" i="80" s="1"/>
  <c r="Y57" i="80"/>
  <c r="Y75" i="80" s="1"/>
  <c r="Z108" i="103"/>
  <c r="Z122" i="103" s="1"/>
  <c r="Z138" i="103" s="1"/>
  <c r="Y54" i="80"/>
  <c r="Y72" i="80" s="1"/>
  <c r="Z82" i="103"/>
  <c r="Z95" i="103" s="1"/>
  <c r="Z124" i="103"/>
  <c r="Z140" i="103" s="1"/>
  <c r="Y58" i="80"/>
  <c r="Y138" i="80" s="1"/>
  <c r="X74" i="80"/>
  <c r="Z301" i="39"/>
  <c r="Z59" i="80" s="1"/>
  <c r="Y121" i="103"/>
  <c r="Y137" i="103" s="1"/>
  <c r="Y91" i="103"/>
  <c r="X107" i="80"/>
  <c r="Z296" i="39"/>
  <c r="Z54" i="80" s="1"/>
  <c r="Z72" i="80" s="1"/>
  <c r="Z298" i="39"/>
  <c r="AA109" i="103" s="1"/>
  <c r="AA79" i="103" s="1"/>
  <c r="Z297" i="39"/>
  <c r="AA108" i="103" s="1"/>
  <c r="Z300" i="39"/>
  <c r="AA111" i="103" s="1"/>
  <c r="Z299" i="39"/>
  <c r="Z57" i="80" s="1"/>
  <c r="Z75" i="80" s="1"/>
  <c r="AA290" i="39"/>
  <c r="AA288" i="39"/>
  <c r="X79" i="103"/>
  <c r="X91" i="103" s="1"/>
  <c r="X121" i="103"/>
  <c r="X137" i="103" s="1"/>
  <c r="X143" i="103" s="1"/>
  <c r="AA287" i="39"/>
  <c r="Z109" i="103"/>
  <c r="W74" i="80"/>
  <c r="W136" i="80"/>
  <c r="AA289" i="39"/>
  <c r="W118" i="80"/>
  <c r="W107" i="80"/>
  <c r="AA286" i="39"/>
  <c r="Y135" i="80"/>
  <c r="Z123" i="80"/>
  <c r="Z235" i="80" s="1"/>
  <c r="AA101" i="80"/>
  <c r="Z342" i="39"/>
  <c r="AA331" i="39"/>
  <c r="AA351" i="39" s="1"/>
  <c r="AA338" i="39"/>
  <c r="AA341" i="39"/>
  <c r="AA325" i="39"/>
  <c r="AA339" i="39"/>
  <c r="AA340" i="39"/>
  <c r="AA326" i="39"/>
  <c r="AA346" i="39" s="1"/>
  <c r="AA327" i="39"/>
  <c r="AA347" i="39" s="1"/>
  <c r="AA328" i="39"/>
  <c r="AA348" i="39" s="1"/>
  <c r="AA63" i="80"/>
  <c r="AA335" i="39"/>
  <c r="AA330" i="39"/>
  <c r="AA350" i="39" s="1"/>
  <c r="AA337" i="39"/>
  <c r="AA329" i="39"/>
  <c r="AA349" i="39" s="1"/>
  <c r="AA336" i="39"/>
  <c r="Z80" i="103"/>
  <c r="Z93" i="103" s="1"/>
  <c r="Z123" i="103"/>
  <c r="Z139" i="103" s="1"/>
  <c r="V119" i="80"/>
  <c r="V232" i="80" s="1"/>
  <c r="V108" i="80"/>
  <c r="AB271" i="39"/>
  <c r="AB280" i="39" s="1"/>
  <c r="AB111" i="80"/>
  <c r="AC72" i="103"/>
  <c r="AC102" i="103" s="1"/>
  <c r="AB272" i="39"/>
  <c r="AB281" i="39" s="1"/>
  <c r="AB181" i="39"/>
  <c r="AB268" i="39"/>
  <c r="AB277" i="39" s="1"/>
  <c r="AB270" i="39"/>
  <c r="AB279" i="39" s="1"/>
  <c r="AC75" i="103"/>
  <c r="AC69" i="103"/>
  <c r="AB114" i="80"/>
  <c r="AB273" i="39"/>
  <c r="AB282" i="39" s="1"/>
  <c r="AB183" i="39"/>
  <c r="AB369" i="39" s="1"/>
  <c r="AC73" i="103"/>
  <c r="AB274" i="39"/>
  <c r="AB283" i="39" s="1"/>
  <c r="AC26" i="39"/>
  <c r="AC70" i="103"/>
  <c r="AC100" i="103" s="1"/>
  <c r="AC74" i="103"/>
  <c r="AB84" i="80"/>
  <c r="AB182" i="39"/>
  <c r="AB368" i="39" s="1"/>
  <c r="AC71" i="103"/>
  <c r="AB269" i="39"/>
  <c r="AB80" i="80"/>
  <c r="AB101" i="103"/>
  <c r="AB117" i="103" s="1"/>
  <c r="AB133" i="103" s="1"/>
  <c r="AB87" i="103"/>
  <c r="AB103" i="103"/>
  <c r="AB118" i="103" s="1"/>
  <c r="AB134" i="103" s="1"/>
  <c r="AB88" i="103"/>
  <c r="AB99" i="103"/>
  <c r="AB116" i="103" s="1"/>
  <c r="AB132" i="103" s="1"/>
  <c r="AB86" i="103"/>
  <c r="Y53" i="80"/>
  <c r="Y352" i="39"/>
  <c r="AA283" i="39"/>
  <c r="AA292" i="39" s="1"/>
  <c r="AB89" i="103"/>
  <c r="AB104" i="103"/>
  <c r="AB119" i="103" s="1"/>
  <c r="AB135" i="103" s="1"/>
  <c r="Z150" i="80"/>
  <c r="Z81" i="80"/>
  <c r="Z143" i="80"/>
  <c r="W97" i="80"/>
  <c r="W372" i="39"/>
  <c r="J6" i="128" s="1"/>
  <c r="X375" i="39"/>
  <c r="X366" i="39"/>
  <c r="AB105" i="103"/>
  <c r="AB120" i="103" s="1"/>
  <c r="AB136" i="103" s="1"/>
  <c r="AB90" i="103"/>
  <c r="X133" i="80"/>
  <c r="X71" i="80"/>
  <c r="Z345" i="39"/>
  <c r="Z295" i="39" s="1"/>
  <c r="AA106" i="103" s="1"/>
  <c r="AA76" i="103" s="1"/>
  <c r="Z332" i="39"/>
  <c r="AA282" i="39"/>
  <c r="Z124" i="80"/>
  <c r="Z236" i="80" s="1"/>
  <c r="Z113" i="80"/>
  <c r="AA322" i="39"/>
  <c r="AA370" i="39" s="1"/>
  <c r="AA102" i="80" s="1"/>
  <c r="AC6" i="97"/>
  <c r="AB315" i="39" s="1"/>
  <c r="AC10" i="97"/>
  <c r="AB319" i="39" s="1"/>
  <c r="AD14" i="97"/>
  <c r="AC7" i="97"/>
  <c r="AB316" i="39" s="1"/>
  <c r="AC11" i="97"/>
  <c r="AB320" i="39" s="1"/>
  <c r="AC8" i="97"/>
  <c r="AB317" i="39" s="1"/>
  <c r="AC12" i="97"/>
  <c r="AB321" i="39" s="1"/>
  <c r="AC9" i="97"/>
  <c r="AB318" i="39" s="1"/>
  <c r="T121" i="116" l="1"/>
  <c r="I91" i="103"/>
  <c r="R96" i="80"/>
  <c r="R107" i="80" s="1"/>
  <c r="S116" i="116"/>
  <c r="V387" i="39"/>
  <c r="W376" i="39"/>
  <c r="V381" i="39"/>
  <c r="I7" i="128" s="1"/>
  <c r="O113" i="80"/>
  <c r="T115" i="116"/>
  <c r="R372" i="39"/>
  <c r="E6" i="128" s="1"/>
  <c r="S120" i="116"/>
  <c r="R120" i="116"/>
  <c r="Q120" i="116"/>
  <c r="S119" i="116"/>
  <c r="S118" i="116"/>
  <c r="R121" i="116"/>
  <c r="Q121" i="116"/>
  <c r="R117" i="116"/>
  <c r="Q117" i="116"/>
  <c r="T116" i="116"/>
  <c r="R116" i="116"/>
  <c r="Q116" i="116"/>
  <c r="R118" i="116"/>
  <c r="Q118" i="116"/>
  <c r="T117" i="116"/>
  <c r="R119" i="116"/>
  <c r="Q119" i="116"/>
  <c r="S121" i="116"/>
  <c r="T118" i="116"/>
  <c r="R115" i="116"/>
  <c r="Q115" i="116"/>
  <c r="T119" i="116"/>
  <c r="S117" i="116"/>
  <c r="R124" i="80"/>
  <c r="S236" i="80" s="1"/>
  <c r="R113" i="80"/>
  <c r="W143" i="103"/>
  <c r="S115" i="116"/>
  <c r="Q372" i="39"/>
  <c r="Q96" i="80"/>
  <c r="I104" i="103"/>
  <c r="I119" i="103" s="1"/>
  <c r="I135" i="103" s="1"/>
  <c r="I89" i="103"/>
  <c r="I103" i="103"/>
  <c r="I118" i="103" s="1"/>
  <c r="I134" i="103" s="1"/>
  <c r="I88" i="103"/>
  <c r="T143" i="103"/>
  <c r="K124" i="80"/>
  <c r="K236" i="80" s="1"/>
  <c r="K113" i="80"/>
  <c r="U387" i="39"/>
  <c r="U381" i="39"/>
  <c r="V376" i="39"/>
  <c r="H6" i="128"/>
  <c r="T107" i="80"/>
  <c r="T118" i="80"/>
  <c r="N372" i="39"/>
  <c r="N96" i="80"/>
  <c r="I90" i="103"/>
  <c r="I105" i="103"/>
  <c r="I120" i="103" s="1"/>
  <c r="I136" i="103" s="1"/>
  <c r="K372" i="39"/>
  <c r="K96" i="80"/>
  <c r="J142" i="103"/>
  <c r="Q124" i="80"/>
  <c r="Q113" i="80"/>
  <c r="U118" i="80"/>
  <c r="V231" i="80" s="1"/>
  <c r="U107" i="80"/>
  <c r="N113" i="80"/>
  <c r="N124" i="80"/>
  <c r="O236" i="80" s="1"/>
  <c r="G70" i="80"/>
  <c r="F26" i="39"/>
  <c r="H77" i="103"/>
  <c r="H74" i="103"/>
  <c r="G75" i="80"/>
  <c r="G77" i="80"/>
  <c r="G74" i="80"/>
  <c r="H76" i="103"/>
  <c r="H79" i="103"/>
  <c r="G112" i="80"/>
  <c r="G84" i="80"/>
  <c r="G73" i="80"/>
  <c r="H72" i="103"/>
  <c r="H102" i="103" s="1"/>
  <c r="H78" i="103"/>
  <c r="H92" i="103" s="1"/>
  <c r="H69" i="103"/>
  <c r="H73" i="103"/>
  <c r="G76" i="80"/>
  <c r="G110" i="80"/>
  <c r="H81" i="103"/>
  <c r="H94" i="103" s="1"/>
  <c r="G83" i="80"/>
  <c r="H70" i="103"/>
  <c r="H100" i="103" s="1"/>
  <c r="G107" i="80"/>
  <c r="G82" i="80"/>
  <c r="G79" i="80"/>
  <c r="G114" i="80"/>
  <c r="G115" i="80"/>
  <c r="H82" i="103"/>
  <c r="H95" i="103" s="1"/>
  <c r="G71" i="80"/>
  <c r="H80" i="103"/>
  <c r="H93" i="103" s="1"/>
  <c r="G108" i="80"/>
  <c r="G113" i="80"/>
  <c r="G72" i="80"/>
  <c r="G111" i="80"/>
  <c r="G78" i="80"/>
  <c r="H75" i="103"/>
  <c r="G80" i="80"/>
  <c r="G109" i="80"/>
  <c r="G85" i="80"/>
  <c r="H71" i="103"/>
  <c r="G81" i="80"/>
  <c r="I86" i="103"/>
  <c r="I99" i="103"/>
  <c r="I116" i="103" s="1"/>
  <c r="I132" i="103" s="1"/>
  <c r="U143" i="103"/>
  <c r="L113" i="80"/>
  <c r="L124" i="80"/>
  <c r="L96" i="80"/>
  <c r="L372" i="39"/>
  <c r="S118" i="80"/>
  <c r="S107" i="80"/>
  <c r="AB442" i="39" a="1"/>
  <c r="AB442" i="39" s="1"/>
  <c r="AB452" i="39" s="1"/>
  <c r="AB437" i="39" a="1"/>
  <c r="AB437" i="39" s="1"/>
  <c r="AB447" i="39" s="1"/>
  <c r="AB441" i="39" a="1"/>
  <c r="AB441" i="39" s="1"/>
  <c r="AB451" i="39" s="1"/>
  <c r="AB438" i="39" a="1"/>
  <c r="AB438" i="39" s="1"/>
  <c r="AB448" i="39" s="1"/>
  <c r="AB440" i="39" a="1"/>
  <c r="AB440" i="39" s="1"/>
  <c r="AB450" i="39" s="1"/>
  <c r="AB443" i="39" a="1"/>
  <c r="AB443" i="39" s="1"/>
  <c r="AB453" i="39" s="1"/>
  <c r="AB439" i="39" a="1"/>
  <c r="AB439" i="39" s="1"/>
  <c r="AB449" i="39" s="1"/>
  <c r="F6" i="128"/>
  <c r="S387" i="39"/>
  <c r="S381" i="39"/>
  <c r="T376" i="39"/>
  <c r="M372" i="39"/>
  <c r="M96" i="80"/>
  <c r="G6" i="128"/>
  <c r="T387" i="39"/>
  <c r="T381" i="39"/>
  <c r="U376" i="39"/>
  <c r="P96" i="80"/>
  <c r="P372" i="39"/>
  <c r="M124" i="80"/>
  <c r="M113" i="80"/>
  <c r="O96" i="80"/>
  <c r="O372" i="39"/>
  <c r="P113" i="80"/>
  <c r="P124" i="80"/>
  <c r="P236" i="80" s="1"/>
  <c r="I87" i="103"/>
  <c r="I101" i="103"/>
  <c r="I117" i="103" s="1"/>
  <c r="I133" i="103" s="1"/>
  <c r="V143" i="103"/>
  <c r="S143" i="103"/>
  <c r="AB420" i="39"/>
  <c r="AB421" i="39"/>
  <c r="AB417" i="39"/>
  <c r="AB423" i="39"/>
  <c r="AB422" i="39"/>
  <c r="AB418" i="39"/>
  <c r="AB419" i="39"/>
  <c r="AA454" i="39"/>
  <c r="L3" i="128"/>
  <c r="AA424" i="39"/>
  <c r="AA444" i="39"/>
  <c r="AB142" i="103"/>
  <c r="Y143" i="103"/>
  <c r="Y137" i="80"/>
  <c r="Y134" i="80"/>
  <c r="Z78" i="103"/>
  <c r="Z92" i="103" s="1"/>
  <c r="Y139" i="80"/>
  <c r="Y76" i="80"/>
  <c r="AA107" i="103"/>
  <c r="AA77" i="103" s="1"/>
  <c r="AA91" i="103" s="1"/>
  <c r="AA110" i="103"/>
  <c r="Z56" i="80"/>
  <c r="Z74" i="80" s="1"/>
  <c r="Z55" i="80"/>
  <c r="Z73" i="80" s="1"/>
  <c r="Z58" i="80"/>
  <c r="Z76" i="80" s="1"/>
  <c r="AA296" i="39"/>
  <c r="AB107" i="103" s="1"/>
  <c r="AB77" i="103" s="1"/>
  <c r="AA298" i="39"/>
  <c r="AB109" i="103" s="1"/>
  <c r="AA122" i="103"/>
  <c r="AA138" i="103" s="1"/>
  <c r="AA78" i="103"/>
  <c r="AA92" i="103" s="1"/>
  <c r="AA297" i="39"/>
  <c r="AB108" i="103" s="1"/>
  <c r="AA301" i="39"/>
  <c r="AA59" i="80" s="1"/>
  <c r="AA124" i="103"/>
  <c r="AA140" i="103" s="1"/>
  <c r="AA81" i="103"/>
  <c r="AA94" i="103" s="1"/>
  <c r="AA299" i="39"/>
  <c r="AB110" i="103" s="1"/>
  <c r="AB80" i="103" s="1"/>
  <c r="AB93" i="103" s="1"/>
  <c r="Z134" i="80"/>
  <c r="U121" i="116" s="1"/>
  <c r="Z79" i="103"/>
  <c r="Z91" i="103" s="1"/>
  <c r="Z121" i="103"/>
  <c r="Z137" i="103" s="1"/>
  <c r="Z143" i="103" s="1"/>
  <c r="Z139" i="80"/>
  <c r="U117" i="116" s="1"/>
  <c r="Z77" i="80"/>
  <c r="W231" i="80"/>
  <c r="X231" i="80"/>
  <c r="Y302" i="39"/>
  <c r="Y365" i="39" s="1"/>
  <c r="Y96" i="80" s="1"/>
  <c r="Y56" i="80"/>
  <c r="AA112" i="103"/>
  <c r="Z302" i="39"/>
  <c r="Z365" i="39" s="1"/>
  <c r="Z96" i="80" s="1"/>
  <c r="Z118" i="80" s="1"/>
  <c r="Z137" i="80"/>
  <c r="U115" i="116" s="1"/>
  <c r="AA291" i="39"/>
  <c r="AA300" i="39" s="1"/>
  <c r="AB290" i="39"/>
  <c r="AB291" i="39"/>
  <c r="AB289" i="39"/>
  <c r="AB288" i="39"/>
  <c r="AB292" i="39"/>
  <c r="AB286" i="39"/>
  <c r="AA123" i="80"/>
  <c r="AA235" i="80" s="1"/>
  <c r="AA112" i="80"/>
  <c r="Z352" i="39"/>
  <c r="Z53" i="80"/>
  <c r="AC86" i="103"/>
  <c r="AC99" i="103"/>
  <c r="AC116" i="103" s="1"/>
  <c r="AC132" i="103" s="1"/>
  <c r="W381" i="39"/>
  <c r="J7" i="128" s="1"/>
  <c r="W387" i="39"/>
  <c r="X376" i="39"/>
  <c r="AC90" i="103"/>
  <c r="AC105" i="103"/>
  <c r="AC120" i="103" s="1"/>
  <c r="AC136" i="103" s="1"/>
  <c r="W119" i="80"/>
  <c r="W232" i="80" s="1"/>
  <c r="W108" i="80"/>
  <c r="AC101" i="103"/>
  <c r="AC117" i="103" s="1"/>
  <c r="AC133" i="103" s="1"/>
  <c r="AC87" i="103"/>
  <c r="AC183" i="39"/>
  <c r="AC369" i="39" s="1"/>
  <c r="AD70" i="103"/>
  <c r="AD100" i="103" s="1"/>
  <c r="AD69" i="103"/>
  <c r="AD26" i="39"/>
  <c r="AC182" i="39"/>
  <c r="AC368" i="39" s="1"/>
  <c r="AC114" i="80"/>
  <c r="AD75" i="103"/>
  <c r="AC269" i="39"/>
  <c r="AD74" i="103"/>
  <c r="AC272" i="39"/>
  <c r="AC281" i="39" s="1"/>
  <c r="AC181" i="39"/>
  <c r="AC268" i="39"/>
  <c r="AC84" i="80"/>
  <c r="AC271" i="39"/>
  <c r="AC280" i="39" s="1"/>
  <c r="AD71" i="103"/>
  <c r="AC270" i="39"/>
  <c r="AC279" i="39" s="1"/>
  <c r="AD72" i="103"/>
  <c r="AD102" i="103" s="1"/>
  <c r="AC80" i="80"/>
  <c r="AC273" i="39"/>
  <c r="AC282" i="39" s="1"/>
  <c r="AC111" i="80"/>
  <c r="AC274" i="39"/>
  <c r="AC283" i="39" s="1"/>
  <c r="AD73" i="103"/>
  <c r="AA332" i="39"/>
  <c r="AA345" i="39"/>
  <c r="AA295" i="39" s="1"/>
  <c r="AB106" i="103" s="1"/>
  <c r="AB76" i="103" s="1"/>
  <c r="AA342" i="39"/>
  <c r="AC88" i="103"/>
  <c r="AC103" i="103"/>
  <c r="AC118" i="103" s="1"/>
  <c r="AC134" i="103" s="1"/>
  <c r="AB325" i="39"/>
  <c r="AB326" i="39"/>
  <c r="AB346" i="39" s="1"/>
  <c r="AB340" i="39"/>
  <c r="AB327" i="39"/>
  <c r="AB347" i="39" s="1"/>
  <c r="AB341" i="39"/>
  <c r="AB336" i="39"/>
  <c r="AB328" i="39"/>
  <c r="AB348" i="39" s="1"/>
  <c r="AB335" i="39"/>
  <c r="AB63" i="80"/>
  <c r="AB329" i="39"/>
  <c r="AB349" i="39" s="1"/>
  <c r="AB330" i="39"/>
  <c r="AB350" i="39" s="1"/>
  <c r="AB337" i="39"/>
  <c r="AB339" i="39"/>
  <c r="AB331" i="39"/>
  <c r="AB351" i="39" s="1"/>
  <c r="AB338" i="39"/>
  <c r="AA81" i="80"/>
  <c r="AA150" i="80"/>
  <c r="AA143" i="80"/>
  <c r="Y375" i="39"/>
  <c r="Y366" i="39"/>
  <c r="AB101" i="80"/>
  <c r="Y133" i="80"/>
  <c r="Y71" i="80"/>
  <c r="AC104" i="103"/>
  <c r="AC119" i="103" s="1"/>
  <c r="AC135" i="103" s="1"/>
  <c r="AC89" i="103"/>
  <c r="X372" i="39"/>
  <c r="K6" i="128" s="1"/>
  <c r="X97" i="80"/>
  <c r="AB278" i="39"/>
  <c r="AB287" i="39" s="1"/>
  <c r="AC278" i="39"/>
  <c r="AD8" i="97"/>
  <c r="AC317" i="39" s="1"/>
  <c r="AD12" i="97"/>
  <c r="AC321" i="39" s="1"/>
  <c r="AD9" i="97"/>
  <c r="AC318" i="39" s="1"/>
  <c r="AE14" i="97"/>
  <c r="AD6" i="97"/>
  <c r="AC315" i="39" s="1"/>
  <c r="AD10" i="97"/>
  <c r="AC319" i="39" s="1"/>
  <c r="AD7" i="97"/>
  <c r="AC316" i="39" s="1"/>
  <c r="AD11" i="97"/>
  <c r="AC320" i="39" s="1"/>
  <c r="AB322" i="39"/>
  <c r="AB370" i="39" s="1"/>
  <c r="AB102" i="80" s="1"/>
  <c r="AA113" i="80"/>
  <c r="AA124" i="80"/>
  <c r="AA236" i="80" s="1"/>
  <c r="R118" i="80" l="1"/>
  <c r="S231" i="80" s="1"/>
  <c r="V98" i="80"/>
  <c r="V120" i="80" s="1"/>
  <c r="R381" i="39"/>
  <c r="V388" i="39"/>
  <c r="R387" i="39"/>
  <c r="S376" i="39"/>
  <c r="U231" i="80"/>
  <c r="H91" i="103"/>
  <c r="P118" i="80"/>
  <c r="P107" i="80"/>
  <c r="F7" i="128"/>
  <c r="S98" i="80"/>
  <c r="S388" i="39"/>
  <c r="H88" i="103"/>
  <c r="H103" i="103"/>
  <c r="H118" i="103" s="1"/>
  <c r="H134" i="103" s="1"/>
  <c r="N236" i="80"/>
  <c r="B6" i="128"/>
  <c r="O387" i="39"/>
  <c r="O381" i="39"/>
  <c r="P376" i="39"/>
  <c r="O118" i="80"/>
  <c r="O107" i="80"/>
  <c r="G7" i="128"/>
  <c r="T388" i="39"/>
  <c r="T98" i="80"/>
  <c r="K381" i="39"/>
  <c r="L376" i="39"/>
  <c r="K387" i="39"/>
  <c r="M236" i="80"/>
  <c r="L236" i="80"/>
  <c r="U98" i="80"/>
  <c r="H7" i="128"/>
  <c r="U388" i="39"/>
  <c r="H87" i="103"/>
  <c r="H101" i="103"/>
  <c r="H117" i="103" s="1"/>
  <c r="H133" i="103" s="1"/>
  <c r="AC437" i="39" a="1"/>
  <c r="AC437" i="39" s="1"/>
  <c r="AC447" i="39" s="1"/>
  <c r="AC443" i="39" a="1"/>
  <c r="AC443" i="39" s="1"/>
  <c r="AC453" i="39" s="1"/>
  <c r="AC440" i="39" a="1"/>
  <c r="AC440" i="39" s="1"/>
  <c r="AC450" i="39" s="1"/>
  <c r="AC439" i="39" a="1"/>
  <c r="AC439" i="39" s="1"/>
  <c r="AC449" i="39" s="1"/>
  <c r="AC442" i="39" a="1"/>
  <c r="AC442" i="39" s="1"/>
  <c r="AC452" i="39" s="1"/>
  <c r="AC438" i="39" a="1"/>
  <c r="AC438" i="39" s="1"/>
  <c r="AC448" i="39" s="1"/>
  <c r="AC441" i="39" a="1"/>
  <c r="AC441" i="39" s="1"/>
  <c r="AC451" i="39" s="1"/>
  <c r="H104" i="103"/>
  <c r="H119" i="103" s="1"/>
  <c r="H135" i="103" s="1"/>
  <c r="H89" i="103"/>
  <c r="M107" i="80"/>
  <c r="M118" i="80"/>
  <c r="M376" i="39"/>
  <c r="L387" i="39"/>
  <c r="L381" i="39"/>
  <c r="H90" i="103"/>
  <c r="H105" i="103"/>
  <c r="H120" i="103" s="1"/>
  <c r="H136" i="103" s="1"/>
  <c r="R236" i="80"/>
  <c r="Q236" i="80"/>
  <c r="N107" i="80"/>
  <c r="N118" i="80"/>
  <c r="H86" i="103"/>
  <c r="H99" i="103"/>
  <c r="H116" i="103" s="1"/>
  <c r="H132" i="103" s="1"/>
  <c r="M387" i="39"/>
  <c r="N376" i="39"/>
  <c r="M381" i="39"/>
  <c r="L118" i="80"/>
  <c r="L107" i="80"/>
  <c r="I142" i="103"/>
  <c r="F76" i="80"/>
  <c r="G71" i="103"/>
  <c r="G81" i="103"/>
  <c r="G94" i="103" s="1"/>
  <c r="F84" i="80"/>
  <c r="F80" i="80"/>
  <c r="F82" i="80"/>
  <c r="G79" i="103"/>
  <c r="G82" i="103"/>
  <c r="G95" i="103" s="1"/>
  <c r="F110" i="80"/>
  <c r="F85" i="80"/>
  <c r="G76" i="103"/>
  <c r="F109" i="80"/>
  <c r="F113" i="80"/>
  <c r="F73" i="80"/>
  <c r="F78" i="80"/>
  <c r="F70" i="80"/>
  <c r="G75" i="103"/>
  <c r="G78" i="103"/>
  <c r="G92" i="103" s="1"/>
  <c r="G72" i="103"/>
  <c r="G102" i="103" s="1"/>
  <c r="G69" i="103"/>
  <c r="F81" i="80"/>
  <c r="F74" i="80"/>
  <c r="F115" i="80"/>
  <c r="G73" i="103"/>
  <c r="F112" i="80"/>
  <c r="F83" i="80"/>
  <c r="G70" i="103"/>
  <c r="G100" i="103" s="1"/>
  <c r="G74" i="103"/>
  <c r="F77" i="80"/>
  <c r="G80" i="103"/>
  <c r="G93" i="103" s="1"/>
  <c r="F108" i="80"/>
  <c r="F114" i="80"/>
  <c r="F111" i="80"/>
  <c r="F72" i="80"/>
  <c r="F75" i="80"/>
  <c r="G77" i="103"/>
  <c r="F79" i="80"/>
  <c r="F107" i="80"/>
  <c r="F71" i="80"/>
  <c r="O376" i="39"/>
  <c r="N381" i="39"/>
  <c r="N387" i="39"/>
  <c r="Q118" i="80"/>
  <c r="Q107" i="80"/>
  <c r="K118" i="80"/>
  <c r="K107" i="80"/>
  <c r="P381" i="39"/>
  <c r="Q376" i="39"/>
  <c r="C6" i="128"/>
  <c r="P387" i="39"/>
  <c r="T231" i="80"/>
  <c r="R376" i="39"/>
  <c r="Q387" i="39"/>
  <c r="Q381" i="39"/>
  <c r="D6" i="128"/>
  <c r="AC418" i="39"/>
  <c r="AC423" i="39"/>
  <c r="AC422" i="39"/>
  <c r="AC420" i="39"/>
  <c r="AC421" i="39"/>
  <c r="AC417" i="39"/>
  <c r="AC419" i="39"/>
  <c r="AB454" i="39"/>
  <c r="AA80" i="103"/>
  <c r="AA93" i="103" s="1"/>
  <c r="M3" i="128"/>
  <c r="AB444" i="39"/>
  <c r="AB424" i="39"/>
  <c r="AC142" i="103"/>
  <c r="AC291" i="39"/>
  <c r="AA123" i="103"/>
  <c r="AA139" i="103" s="1"/>
  <c r="Z138" i="80"/>
  <c r="U116" i="116" s="1"/>
  <c r="AA121" i="103"/>
  <c r="AA137" i="103" s="1"/>
  <c r="AA56" i="80"/>
  <c r="AA136" i="80" s="1"/>
  <c r="AA57" i="80"/>
  <c r="AA75" i="80" s="1"/>
  <c r="AB301" i="39"/>
  <c r="AC112" i="103" s="1"/>
  <c r="AC125" i="103" s="1"/>
  <c r="AC141" i="103" s="1"/>
  <c r="AB112" i="103"/>
  <c r="AB125" i="103" s="1"/>
  <c r="AB141" i="103" s="1"/>
  <c r="Z135" i="80"/>
  <c r="U118" i="116" s="1"/>
  <c r="Z136" i="80"/>
  <c r="U119" i="116" s="1"/>
  <c r="AB123" i="103"/>
  <c r="AB139" i="103" s="1"/>
  <c r="AB296" i="39"/>
  <c r="AB54" i="80" s="1"/>
  <c r="AA54" i="80"/>
  <c r="AA72" i="80" s="1"/>
  <c r="AB79" i="103"/>
  <c r="AB91" i="103" s="1"/>
  <c r="AB121" i="103"/>
  <c r="AB137" i="103" s="1"/>
  <c r="AB298" i="39"/>
  <c r="AC109" i="103" s="1"/>
  <c r="AC79" i="103" s="1"/>
  <c r="AB122" i="103"/>
  <c r="AB138" i="103" s="1"/>
  <c r="AB78" i="103"/>
  <c r="AB92" i="103" s="1"/>
  <c r="AA55" i="80"/>
  <c r="AA73" i="80" s="1"/>
  <c r="AB297" i="39"/>
  <c r="AC108" i="103" s="1"/>
  <c r="AB300" i="39"/>
  <c r="AC111" i="103" s="1"/>
  <c r="AB299" i="39"/>
  <c r="AC110" i="103" s="1"/>
  <c r="AC287" i="39"/>
  <c r="AC292" i="39"/>
  <c r="AC290" i="39"/>
  <c r="Z107" i="80"/>
  <c r="AC288" i="39"/>
  <c r="AA82" i="103"/>
  <c r="AA95" i="103" s="1"/>
  <c r="AA125" i="103"/>
  <c r="AA141" i="103" s="1"/>
  <c r="Y74" i="80"/>
  <c r="Y136" i="80"/>
  <c r="AC289" i="39"/>
  <c r="Y118" i="80"/>
  <c r="Y231" i="80" s="1"/>
  <c r="Y107" i="80"/>
  <c r="Y376" i="39"/>
  <c r="X387" i="39"/>
  <c r="X381" i="39"/>
  <c r="K7" i="128" s="1"/>
  <c r="AD90" i="103"/>
  <c r="AD105" i="103"/>
  <c r="AD120" i="103" s="1"/>
  <c r="AD136" i="103" s="1"/>
  <c r="AC101" i="80"/>
  <c r="AB143" i="80"/>
  <c r="AB81" i="80"/>
  <c r="AB150" i="80"/>
  <c r="AB345" i="39"/>
  <c r="AB295" i="39" s="1"/>
  <c r="AC106" i="103" s="1"/>
  <c r="AC76" i="103" s="1"/>
  <c r="AB332" i="39"/>
  <c r="AC277" i="39"/>
  <c r="AC286" i="39" s="1"/>
  <c r="AA139" i="80"/>
  <c r="AA77" i="80"/>
  <c r="AB342" i="39"/>
  <c r="AA53" i="80"/>
  <c r="AA352" i="39"/>
  <c r="AC327" i="39"/>
  <c r="AC347" i="39" s="1"/>
  <c r="AC336" i="39"/>
  <c r="AC328" i="39"/>
  <c r="AC348" i="39" s="1"/>
  <c r="AC337" i="39"/>
  <c r="AC329" i="39"/>
  <c r="AC349" i="39" s="1"/>
  <c r="AC338" i="39"/>
  <c r="AC330" i="39"/>
  <c r="AC350" i="39" s="1"/>
  <c r="AC326" i="39"/>
  <c r="AC346" i="39" s="1"/>
  <c r="AC339" i="39"/>
  <c r="AC340" i="39"/>
  <c r="AC63" i="80"/>
  <c r="AC341" i="39"/>
  <c r="AC335" i="39"/>
  <c r="AC325" i="39"/>
  <c r="AC331" i="39"/>
  <c r="AC351" i="39" s="1"/>
  <c r="AE26" i="39"/>
  <c r="AE75" i="103"/>
  <c r="AD183" i="39"/>
  <c r="AD369" i="39" s="1"/>
  <c r="AD272" i="39"/>
  <c r="AD281" i="39" s="1"/>
  <c r="AE70" i="103"/>
  <c r="AE100" i="103" s="1"/>
  <c r="AD273" i="39"/>
  <c r="AD282" i="39" s="1"/>
  <c r="AD181" i="39"/>
  <c r="AD274" i="39"/>
  <c r="AD283" i="39" s="1"/>
  <c r="AD80" i="80"/>
  <c r="AD182" i="39"/>
  <c r="AD368" i="39" s="1"/>
  <c r="AE71" i="103"/>
  <c r="AE73" i="103"/>
  <c r="AD111" i="80"/>
  <c r="AD269" i="39"/>
  <c r="AE69" i="103"/>
  <c r="AE74" i="103"/>
  <c r="AD268" i="39"/>
  <c r="AD114" i="80"/>
  <c r="AD84" i="80"/>
  <c r="AD271" i="39"/>
  <c r="AD280" i="39" s="1"/>
  <c r="AD270" i="39"/>
  <c r="AD279" i="39" s="1"/>
  <c r="AE72" i="103"/>
  <c r="AE102" i="103" s="1"/>
  <c r="AD103" i="103"/>
  <c r="AD118" i="103" s="1"/>
  <c r="AD134" i="103" s="1"/>
  <c r="AD88" i="103"/>
  <c r="AD87" i="103"/>
  <c r="AD101" i="103"/>
  <c r="AD117" i="103" s="1"/>
  <c r="AD133" i="103" s="1"/>
  <c r="AD86" i="103"/>
  <c r="AD99" i="103"/>
  <c r="AD116" i="103" s="1"/>
  <c r="AD132" i="103" s="1"/>
  <c r="AB112" i="80"/>
  <c r="AB123" i="80"/>
  <c r="AB235" i="80" s="1"/>
  <c r="AD89" i="103"/>
  <c r="AD104" i="103"/>
  <c r="AD119" i="103" s="1"/>
  <c r="AD135" i="103" s="1"/>
  <c r="W98" i="80"/>
  <c r="W388" i="39"/>
  <c r="Z133" i="80"/>
  <c r="U120" i="116" s="1"/>
  <c r="Z71" i="80"/>
  <c r="X119" i="80"/>
  <c r="X232" i="80" s="1"/>
  <c r="X108" i="80"/>
  <c r="Y372" i="39"/>
  <c r="L6" i="128" s="1"/>
  <c r="Y97" i="80"/>
  <c r="Z366" i="39"/>
  <c r="Z375" i="39"/>
  <c r="AB124" i="80"/>
  <c r="AB236" i="80" s="1"/>
  <c r="AB113" i="80"/>
  <c r="AC322" i="39"/>
  <c r="AC370" i="39" s="1"/>
  <c r="AC102" i="80" s="1"/>
  <c r="AE6" i="97"/>
  <c r="AD315" i="39" s="1"/>
  <c r="AE10" i="97"/>
  <c r="AD319" i="39" s="1"/>
  <c r="AE7" i="97"/>
  <c r="AD316" i="39" s="1"/>
  <c r="AE11" i="97"/>
  <c r="AD320" i="39" s="1"/>
  <c r="AF14" i="97"/>
  <c r="AE8" i="97"/>
  <c r="AD317" i="39" s="1"/>
  <c r="AE12" i="97"/>
  <c r="AD321" i="39" s="1"/>
  <c r="AE9" i="97"/>
  <c r="AD318" i="39" s="1"/>
  <c r="H142" i="103" l="1"/>
  <c r="V109" i="80"/>
  <c r="R98" i="80"/>
  <c r="R120" i="80" s="1"/>
  <c r="E7" i="128"/>
  <c r="R388" i="39"/>
  <c r="O384" i="39"/>
  <c r="P377" i="39" s="1"/>
  <c r="P378" i="39" s="1"/>
  <c r="K384" i="39"/>
  <c r="L377" i="39" s="1"/>
  <c r="L378" i="39" s="1"/>
  <c r="Q384" i="39"/>
  <c r="R377" i="39" s="1"/>
  <c r="R378" i="39" s="1"/>
  <c r="M231" i="80"/>
  <c r="L231" i="80"/>
  <c r="K231" i="80"/>
  <c r="M384" i="39"/>
  <c r="M388" i="39"/>
  <c r="M98" i="80"/>
  <c r="AD438" i="39" a="1"/>
  <c r="AD438" i="39" s="1"/>
  <c r="AD448" i="39" s="1"/>
  <c r="AD443" i="39" a="1"/>
  <c r="AD443" i="39" s="1"/>
  <c r="AD453" i="39" s="1"/>
  <c r="AD439" i="39" a="1"/>
  <c r="AD439" i="39" s="1"/>
  <c r="AD449" i="39" s="1"/>
  <c r="AD440" i="39" a="1"/>
  <c r="AD440" i="39" s="1"/>
  <c r="AD450" i="39" s="1"/>
  <c r="AD437" i="39" a="1"/>
  <c r="AD437" i="39" s="1"/>
  <c r="AD447" i="39" s="1"/>
  <c r="AD441" i="39" a="1"/>
  <c r="AD441" i="39" s="1"/>
  <c r="AD451" i="39" s="1"/>
  <c r="AD442" i="39" a="1"/>
  <c r="AD442" i="39" s="1"/>
  <c r="AD452" i="39" s="1"/>
  <c r="G89" i="103"/>
  <c r="G104" i="103"/>
  <c r="G119" i="103" s="1"/>
  <c r="G135" i="103" s="1"/>
  <c r="G86" i="103"/>
  <c r="G99" i="103"/>
  <c r="G116" i="103" s="1"/>
  <c r="G132" i="103" s="1"/>
  <c r="O231" i="80"/>
  <c r="C7" i="128"/>
  <c r="C10" i="128" s="1"/>
  <c r="C12" i="128" s="1"/>
  <c r="P98" i="80"/>
  <c r="P384" i="39"/>
  <c r="P388" i="39"/>
  <c r="R231" i="80"/>
  <c r="Q231" i="80"/>
  <c r="G91" i="103"/>
  <c r="S109" i="80"/>
  <c r="S120" i="80"/>
  <c r="G87" i="103"/>
  <c r="G101" i="103"/>
  <c r="G117" i="103" s="1"/>
  <c r="G133" i="103" s="1"/>
  <c r="L384" i="39"/>
  <c r="L388" i="39"/>
  <c r="L98" i="80"/>
  <c r="B7" i="128"/>
  <c r="B10" i="128" s="1"/>
  <c r="B12" i="128" s="1"/>
  <c r="O98" i="80"/>
  <c r="O388" i="39"/>
  <c r="D7" i="128"/>
  <c r="D10" i="128" s="1"/>
  <c r="D12" i="128" s="1"/>
  <c r="Q98" i="80"/>
  <c r="Q388" i="39"/>
  <c r="N388" i="39"/>
  <c r="N98" i="80"/>
  <c r="N384" i="39"/>
  <c r="G105" i="103"/>
  <c r="G120" i="103" s="1"/>
  <c r="G136" i="103" s="1"/>
  <c r="G90" i="103"/>
  <c r="K98" i="80"/>
  <c r="K388" i="39"/>
  <c r="G103" i="103"/>
  <c r="G118" i="103" s="1"/>
  <c r="G134" i="103" s="1"/>
  <c r="G88" i="103"/>
  <c r="N231" i="80"/>
  <c r="U120" i="80"/>
  <c r="U109" i="80"/>
  <c r="T120" i="80"/>
  <c r="T109" i="80"/>
  <c r="P231" i="80"/>
  <c r="AD420" i="39"/>
  <c r="AD421" i="39"/>
  <c r="AD418" i="39"/>
  <c r="AD423" i="39"/>
  <c r="AD417" i="39"/>
  <c r="AD422" i="39"/>
  <c r="AD419" i="39"/>
  <c r="AC454" i="39"/>
  <c r="AC300" i="39"/>
  <c r="AD111" i="103" s="1"/>
  <c r="AD81" i="103" s="1"/>
  <c r="AD94" i="103" s="1"/>
  <c r="AC444" i="39"/>
  <c r="AC424" i="39"/>
  <c r="AD142" i="103"/>
  <c r="AA74" i="80"/>
  <c r="AA143" i="103"/>
  <c r="AA137" i="80"/>
  <c r="AB59" i="80"/>
  <c r="AB77" i="80" s="1"/>
  <c r="AB82" i="103"/>
  <c r="AB95" i="103" s="1"/>
  <c r="AC107" i="103"/>
  <c r="AC77" i="103" s="1"/>
  <c r="AC91" i="103" s="1"/>
  <c r="AC301" i="39"/>
  <c r="AC59" i="80" s="1"/>
  <c r="AC139" i="80" s="1"/>
  <c r="AA134" i="80"/>
  <c r="AB56" i="80"/>
  <c r="AB74" i="80" s="1"/>
  <c r="AB58" i="80"/>
  <c r="AB138" i="80" s="1"/>
  <c r="AB57" i="80"/>
  <c r="AB75" i="80" s="1"/>
  <c r="AC296" i="39"/>
  <c r="AD107" i="103" s="1"/>
  <c r="AD77" i="103" s="1"/>
  <c r="AC298" i="39"/>
  <c r="AD109" i="103" s="1"/>
  <c r="AD79" i="103" s="1"/>
  <c r="AA135" i="80"/>
  <c r="AC297" i="39"/>
  <c r="AD108" i="103" s="1"/>
  <c r="AB302" i="39"/>
  <c r="AB365" i="39" s="1"/>
  <c r="AB96" i="80" s="1"/>
  <c r="AB118" i="80" s="1"/>
  <c r="AC81" i="103"/>
  <c r="AC94" i="103" s="1"/>
  <c r="AC124" i="103"/>
  <c r="AC140" i="103" s="1"/>
  <c r="AC123" i="103"/>
  <c r="AC139" i="103" s="1"/>
  <c r="AC80" i="103"/>
  <c r="AC93" i="103" s="1"/>
  <c r="AC299" i="39"/>
  <c r="AD110" i="103" s="1"/>
  <c r="AC82" i="103"/>
  <c r="AC95" i="103" s="1"/>
  <c r="AC122" i="103"/>
  <c r="AC138" i="103" s="1"/>
  <c r="AC78" i="103"/>
  <c r="AC92" i="103" s="1"/>
  <c r="Z231" i="80"/>
  <c r="AA302" i="39"/>
  <c r="AA365" i="39" s="1"/>
  <c r="AA96" i="80" s="1"/>
  <c r="AA58" i="80"/>
  <c r="AB111" i="103"/>
  <c r="AB55" i="80"/>
  <c r="AB135" i="80" s="1"/>
  <c r="AD291" i="39"/>
  <c r="AD288" i="39"/>
  <c r="AD289" i="39"/>
  <c r="AD290" i="39"/>
  <c r="AD292" i="39"/>
  <c r="AD328" i="39"/>
  <c r="AD348" i="39" s="1"/>
  <c r="AD63" i="80"/>
  <c r="AD338" i="39"/>
  <c r="AD337" i="39"/>
  <c r="AD325" i="39"/>
  <c r="AD329" i="39"/>
  <c r="AD349" i="39" s="1"/>
  <c r="AD335" i="39"/>
  <c r="AD339" i="39"/>
  <c r="AD327" i="39"/>
  <c r="AD347" i="39" s="1"/>
  <c r="AD326" i="39"/>
  <c r="AD346" i="39" s="1"/>
  <c r="AD330" i="39"/>
  <c r="AD350" i="39" s="1"/>
  <c r="AD336" i="39"/>
  <c r="AD340" i="39"/>
  <c r="AD341" i="39"/>
  <c r="AD331" i="39"/>
  <c r="AD351" i="39" s="1"/>
  <c r="Z97" i="80"/>
  <c r="Z372" i="39"/>
  <c r="M6" i="128" s="1"/>
  <c r="W109" i="80"/>
  <c r="W120" i="80"/>
  <c r="W233" i="80" s="1"/>
  <c r="AF75" i="103"/>
  <c r="AE271" i="39"/>
  <c r="AE280" i="39" s="1"/>
  <c r="AE183" i="39"/>
  <c r="AE369" i="39" s="1"/>
  <c r="AE272" i="39"/>
  <c r="AE281" i="39" s="1"/>
  <c r="AF71" i="103"/>
  <c r="AE182" i="39"/>
  <c r="AE368" i="39" s="1"/>
  <c r="AE270" i="39"/>
  <c r="AE279" i="39" s="1"/>
  <c r="AE111" i="80"/>
  <c r="AF74" i="103"/>
  <c r="AF73" i="103"/>
  <c r="AE273" i="39"/>
  <c r="AE282" i="39" s="1"/>
  <c r="AE269" i="39"/>
  <c r="AE278" i="39" s="1"/>
  <c r="AE114" i="80"/>
  <c r="AF70" i="103"/>
  <c r="AF100" i="103" s="1"/>
  <c r="AF72" i="103"/>
  <c r="AF102" i="103" s="1"/>
  <c r="AE84" i="80"/>
  <c r="AE274" i="39"/>
  <c r="AE283" i="39" s="1"/>
  <c r="AF69" i="103"/>
  <c r="AE268" i="39"/>
  <c r="AE277" i="39" s="1"/>
  <c r="AE181" i="39"/>
  <c r="AE80" i="80"/>
  <c r="Y108" i="80"/>
  <c r="Y119" i="80"/>
  <c r="Y232" i="80" s="1"/>
  <c r="AB134" i="80"/>
  <c r="AB72" i="80"/>
  <c r="AE103" i="103"/>
  <c r="AE118" i="103" s="1"/>
  <c r="AE134" i="103" s="1"/>
  <c r="AE88" i="103"/>
  <c r="AA366" i="39"/>
  <c r="AA375" i="39"/>
  <c r="Y381" i="39"/>
  <c r="L7" i="128" s="1"/>
  <c r="Z376" i="39"/>
  <c r="Y387" i="39"/>
  <c r="AE101" i="103"/>
  <c r="AE117" i="103" s="1"/>
  <c r="AE133" i="103" s="1"/>
  <c r="AE87" i="103"/>
  <c r="AA71" i="80"/>
  <c r="AA133" i="80"/>
  <c r="AD277" i="39"/>
  <c r="AD286" i="39" s="1"/>
  <c r="X388" i="39"/>
  <c r="X98" i="80"/>
  <c r="AC345" i="39"/>
  <c r="AC295" i="39" s="1"/>
  <c r="AC332" i="39"/>
  <c r="AE89" i="103"/>
  <c r="AE104" i="103"/>
  <c r="AE119" i="103" s="1"/>
  <c r="AE135" i="103" s="1"/>
  <c r="AD101" i="80"/>
  <c r="AC342" i="39"/>
  <c r="AC112" i="80"/>
  <c r="AC123" i="80"/>
  <c r="AC235" i="80" s="1"/>
  <c r="AE86" i="103"/>
  <c r="AE99" i="103"/>
  <c r="AE116" i="103" s="1"/>
  <c r="AE132" i="103" s="1"/>
  <c r="AE90" i="103"/>
  <c r="AE105" i="103"/>
  <c r="AE120" i="103" s="1"/>
  <c r="AE136" i="103" s="1"/>
  <c r="AD278" i="39"/>
  <c r="AD287" i="39" s="1"/>
  <c r="AC150" i="80"/>
  <c r="AC143" i="80"/>
  <c r="AC81" i="80"/>
  <c r="AB352" i="39"/>
  <c r="AB53" i="80"/>
  <c r="AF7" i="97"/>
  <c r="AE316" i="39" s="1"/>
  <c r="AF11" i="97"/>
  <c r="AE320" i="39" s="1"/>
  <c r="AF8" i="97"/>
  <c r="AE317" i="39" s="1"/>
  <c r="AF12" i="97"/>
  <c r="AE321" i="39" s="1"/>
  <c r="AF9" i="97"/>
  <c r="AE318" i="39" s="1"/>
  <c r="AF6" i="97"/>
  <c r="AE315" i="39" s="1"/>
  <c r="AF10" i="97"/>
  <c r="AE319" i="39" s="1"/>
  <c r="AC113" i="80"/>
  <c r="AC124" i="80"/>
  <c r="AC236" i="80" s="1"/>
  <c r="AD322" i="39"/>
  <c r="AD370" i="39" s="1"/>
  <c r="AD102" i="80" s="1"/>
  <c r="R109" i="80" l="1"/>
  <c r="O390" i="39"/>
  <c r="O394" i="39" s="1"/>
  <c r="Q390" i="39"/>
  <c r="K390" i="39"/>
  <c r="T233" i="80"/>
  <c r="S233" i="80"/>
  <c r="U233" i="80"/>
  <c r="N120" i="80"/>
  <c r="N109" i="80"/>
  <c r="O109" i="80"/>
  <c r="O120" i="80"/>
  <c r="P390" i="39"/>
  <c r="Q377" i="39"/>
  <c r="Q378" i="39" s="1"/>
  <c r="P120" i="80"/>
  <c r="P109" i="80"/>
  <c r="M109" i="80"/>
  <c r="M120" i="80"/>
  <c r="L120" i="80"/>
  <c r="L109" i="80"/>
  <c r="M390" i="39"/>
  <c r="N377" i="39"/>
  <c r="N378" i="39" s="1"/>
  <c r="K109" i="80"/>
  <c r="K120" i="80"/>
  <c r="K233" i="80" s="1"/>
  <c r="Q120" i="80"/>
  <c r="Q109" i="80"/>
  <c r="L390" i="39"/>
  <c r="M377" i="39"/>
  <c r="M378" i="39" s="1"/>
  <c r="AE438" i="39" a="1"/>
  <c r="AE438" i="39" s="1"/>
  <c r="AE448" i="39" s="1"/>
  <c r="AE437" i="39" a="1"/>
  <c r="AE437" i="39" s="1"/>
  <c r="AE447" i="39" s="1"/>
  <c r="AE443" i="39" a="1"/>
  <c r="AE443" i="39" s="1"/>
  <c r="AE453" i="39" s="1"/>
  <c r="AE442" i="39" a="1"/>
  <c r="AE442" i="39" s="1"/>
  <c r="AE452" i="39" s="1"/>
  <c r="AE440" i="39" a="1"/>
  <c r="AE440" i="39" s="1"/>
  <c r="AE450" i="39" s="1"/>
  <c r="AE441" i="39" a="1"/>
  <c r="AE441" i="39" s="1"/>
  <c r="AE451" i="39" s="1"/>
  <c r="AE439" i="39" a="1"/>
  <c r="AE439" i="39" s="1"/>
  <c r="AE449" i="39" s="1"/>
  <c r="V233" i="80"/>
  <c r="G142" i="103"/>
  <c r="N390" i="39"/>
  <c r="O377" i="39"/>
  <c r="O378" i="39" s="1"/>
  <c r="AD454" i="39"/>
  <c r="AE417" i="39"/>
  <c r="AE422" i="39"/>
  <c r="AE420" i="39"/>
  <c r="AE418" i="39"/>
  <c r="AE423" i="39"/>
  <c r="AE421" i="39"/>
  <c r="AE419" i="39"/>
  <c r="AC58" i="80"/>
  <c r="AC76" i="80" s="1"/>
  <c r="AD124" i="103"/>
  <c r="AD140" i="103" s="1"/>
  <c r="AD424" i="39"/>
  <c r="AD444" i="39"/>
  <c r="AE142" i="103"/>
  <c r="AC121" i="103"/>
  <c r="AC137" i="103" s="1"/>
  <c r="AC143" i="103" s="1"/>
  <c r="AB139" i="80"/>
  <c r="AB136" i="80"/>
  <c r="AC55" i="80"/>
  <c r="AC73" i="80" s="1"/>
  <c r="AD112" i="103"/>
  <c r="AD82" i="103" s="1"/>
  <c r="AD95" i="103" s="1"/>
  <c r="AB137" i="80"/>
  <c r="AC56" i="80"/>
  <c r="AC136" i="80" s="1"/>
  <c r="AB76" i="80"/>
  <c r="AD301" i="39"/>
  <c r="AD59" i="80" s="1"/>
  <c r="AD77" i="80" s="1"/>
  <c r="AD296" i="39"/>
  <c r="AE107" i="103" s="1"/>
  <c r="AE77" i="103" s="1"/>
  <c r="AB107" i="80"/>
  <c r="AC54" i="80"/>
  <c r="AC134" i="80" s="1"/>
  <c r="AC57" i="80"/>
  <c r="AC75" i="80" s="1"/>
  <c r="AD106" i="103"/>
  <c r="AD121" i="103" s="1"/>
  <c r="AD137" i="103" s="1"/>
  <c r="AC302" i="39"/>
  <c r="AC365" i="39" s="1"/>
  <c r="AC96" i="80" s="1"/>
  <c r="AC107" i="80" s="1"/>
  <c r="AD298" i="39"/>
  <c r="AE109" i="103" s="1"/>
  <c r="AE79" i="103" s="1"/>
  <c r="AD122" i="103"/>
  <c r="AD138" i="103" s="1"/>
  <c r="AD78" i="103"/>
  <c r="AD92" i="103" s="1"/>
  <c r="AD297" i="39"/>
  <c r="AE108" i="103" s="1"/>
  <c r="AD300" i="39"/>
  <c r="AE111" i="103" s="1"/>
  <c r="AD80" i="103"/>
  <c r="AD93" i="103" s="1"/>
  <c r="AD123" i="103"/>
  <c r="AD139" i="103" s="1"/>
  <c r="AD299" i="39"/>
  <c r="AE110" i="103" s="1"/>
  <c r="AC77" i="80"/>
  <c r="AE286" i="39"/>
  <c r="AB81" i="103"/>
  <c r="AB94" i="103" s="1"/>
  <c r="AB124" i="103"/>
  <c r="AB140" i="103" s="1"/>
  <c r="AB143" i="103" s="1"/>
  <c r="AE289" i="39"/>
  <c r="AA138" i="80"/>
  <c r="AA76" i="80"/>
  <c r="AB73" i="80"/>
  <c r="AA107" i="80"/>
  <c r="AA118" i="80"/>
  <c r="AE292" i="39"/>
  <c r="AE288" i="39"/>
  <c r="AE287" i="39"/>
  <c r="AE290" i="39"/>
  <c r="AE291" i="39"/>
  <c r="AE101" i="80"/>
  <c r="AF104" i="103"/>
  <c r="AF119" i="103" s="1"/>
  <c r="AF135" i="103" s="1"/>
  <c r="AF89" i="103"/>
  <c r="AD342" i="39"/>
  <c r="AB375" i="39"/>
  <c r="AB366" i="39"/>
  <c r="AE325" i="39"/>
  <c r="AE345" i="39" s="1"/>
  <c r="AK295" i="39" s="1"/>
  <c r="AE336" i="39"/>
  <c r="AE340" i="39"/>
  <c r="AE330" i="39"/>
  <c r="AE350" i="39" s="1"/>
  <c r="AE337" i="39"/>
  <c r="AE341" i="39"/>
  <c r="AE331" i="39"/>
  <c r="AE351" i="39" s="1"/>
  <c r="AE326" i="39"/>
  <c r="AE346" i="39" s="1"/>
  <c r="AE327" i="39"/>
  <c r="AE347" i="39" s="1"/>
  <c r="AK297" i="39" s="1"/>
  <c r="AE63" i="80"/>
  <c r="AE338" i="39"/>
  <c r="AE329" i="39"/>
  <c r="AE349" i="39" s="1"/>
  <c r="AK299" i="39" s="1"/>
  <c r="AE328" i="39"/>
  <c r="AE348" i="39" s="1"/>
  <c r="AK298" i="39" s="1"/>
  <c r="AE339" i="39"/>
  <c r="AE335" i="39"/>
  <c r="AF105" i="103"/>
  <c r="AF120" i="103" s="1"/>
  <c r="AF136" i="103" s="1"/>
  <c r="AF90" i="103"/>
  <c r="X120" i="80"/>
  <c r="X233" i="80" s="1"/>
  <c r="X109" i="80"/>
  <c r="AD345" i="39"/>
  <c r="AD352" i="39" s="1"/>
  <c r="AD375" i="39" s="1"/>
  <c r="AD332" i="39"/>
  <c r="AB133" i="80"/>
  <c r="AB71" i="80"/>
  <c r="Y388" i="39"/>
  <c r="Y98" i="80"/>
  <c r="AC352" i="39"/>
  <c r="AC53" i="80"/>
  <c r="AD112" i="80"/>
  <c r="AD123" i="80"/>
  <c r="AD235" i="80" s="1"/>
  <c r="AF86" i="103"/>
  <c r="AF99" i="103"/>
  <c r="AF116" i="103" s="1"/>
  <c r="AF132" i="103" s="1"/>
  <c r="AF87" i="103"/>
  <c r="AF101" i="103"/>
  <c r="AF117" i="103" s="1"/>
  <c r="AF133" i="103" s="1"/>
  <c r="AA376" i="39"/>
  <c r="Z387" i="39"/>
  <c r="Z381" i="39"/>
  <c r="M7" i="128" s="1"/>
  <c r="AD150" i="80"/>
  <c r="AD81" i="80"/>
  <c r="AD143" i="80"/>
  <c r="AA372" i="39"/>
  <c r="AA97" i="80"/>
  <c r="AF88" i="103"/>
  <c r="AF103" i="103"/>
  <c r="AF118" i="103" s="1"/>
  <c r="AF134" i="103" s="1"/>
  <c r="Z108" i="80"/>
  <c r="Z119" i="80"/>
  <c r="Z232" i="80" s="1"/>
  <c r="AE322" i="39"/>
  <c r="AE370" i="39" s="1"/>
  <c r="AE102" i="80" s="1"/>
  <c r="AE124" i="80" s="1"/>
  <c r="AD124" i="80"/>
  <c r="AD236" i="80" s="1"/>
  <c r="AD113" i="80"/>
  <c r="Q393" i="39" l="1"/>
  <c r="Q394" i="39"/>
  <c r="O61" i="80"/>
  <c r="O79" i="80" s="1"/>
  <c r="O104" i="80"/>
  <c r="O126" i="80" s="1"/>
  <c r="O127" i="80" s="1"/>
  <c r="Q61" i="80"/>
  <c r="Q65" i="80" s="1"/>
  <c r="Q83" i="80" s="1"/>
  <c r="O393" i="39"/>
  <c r="O52" i="80"/>
  <c r="O132" i="80" s="1"/>
  <c r="B13" i="128"/>
  <c r="O60" i="80"/>
  <c r="D13" i="128"/>
  <c r="Q104" i="80"/>
  <c r="Q115" i="80" s="1"/>
  <c r="Q52" i="80"/>
  <c r="Q70" i="80" s="1"/>
  <c r="Q60" i="80"/>
  <c r="Q78" i="80" s="1"/>
  <c r="K52" i="80"/>
  <c r="K70" i="80" s="1"/>
  <c r="K393" i="39"/>
  <c r="K60" i="80"/>
  <c r="K78" i="80" s="1"/>
  <c r="K61" i="80"/>
  <c r="K79" i="80" s="1"/>
  <c r="K394" i="39"/>
  <c r="K104" i="80"/>
  <c r="K115" i="80" s="1"/>
  <c r="O233" i="80"/>
  <c r="M233" i="80"/>
  <c r="P233" i="80"/>
  <c r="N394" i="39"/>
  <c r="N52" i="80"/>
  <c r="N104" i="80"/>
  <c r="N61" i="80"/>
  <c r="N60" i="80"/>
  <c r="N393" i="39"/>
  <c r="Q140" i="80"/>
  <c r="M52" i="80"/>
  <c r="M61" i="80"/>
  <c r="M393" i="39"/>
  <c r="M104" i="80"/>
  <c r="M60" i="80"/>
  <c r="M394" i="39"/>
  <c r="C98" i="51"/>
  <c r="P60" i="80"/>
  <c r="P394" i="39"/>
  <c r="C95" i="51"/>
  <c r="C13" i="128"/>
  <c r="C96" i="51"/>
  <c r="P61" i="80"/>
  <c r="P393" i="39"/>
  <c r="C94" i="51"/>
  <c r="P52" i="80"/>
  <c r="C92" i="51"/>
  <c r="C97" i="51"/>
  <c r="P104" i="80"/>
  <c r="C93" i="51"/>
  <c r="L61" i="80"/>
  <c r="L60" i="80"/>
  <c r="L394" i="39"/>
  <c r="L393" i="39"/>
  <c r="L104" i="80"/>
  <c r="L52" i="80"/>
  <c r="L233" i="80"/>
  <c r="R233" i="80"/>
  <c r="Q233" i="80"/>
  <c r="N233" i="80"/>
  <c r="AE454" i="39"/>
  <c r="AC138" i="80"/>
  <c r="AE444" i="39"/>
  <c r="AE424" i="39"/>
  <c r="AC74" i="80"/>
  <c r="AD125" i="103"/>
  <c r="AD141" i="103" s="1"/>
  <c r="AD143" i="103" s="1"/>
  <c r="AF142" i="103"/>
  <c r="AC72" i="80"/>
  <c r="AC135" i="80"/>
  <c r="AD56" i="80"/>
  <c r="AD74" i="80" s="1"/>
  <c r="AD55" i="80"/>
  <c r="AD73" i="80" s="1"/>
  <c r="AE112" i="103"/>
  <c r="AE125" i="103" s="1"/>
  <c r="AE141" i="103" s="1"/>
  <c r="AD54" i="80"/>
  <c r="AD134" i="80" s="1"/>
  <c r="AD76" i="103"/>
  <c r="AD91" i="103" s="1"/>
  <c r="AC137" i="80"/>
  <c r="AD58" i="80"/>
  <c r="AD76" i="80" s="1"/>
  <c r="AD57" i="80"/>
  <c r="AD75" i="80" s="1"/>
  <c r="AE299" i="39"/>
  <c r="AE57" i="80" s="1"/>
  <c r="AE75" i="80" s="1"/>
  <c r="AC118" i="80"/>
  <c r="AC231" i="80" s="1"/>
  <c r="AE296" i="39"/>
  <c r="AF107" i="103" s="1"/>
  <c r="AF77" i="103" s="1"/>
  <c r="AE295" i="39"/>
  <c r="AF106" i="103" s="1"/>
  <c r="AF76" i="103" s="1"/>
  <c r="AD295" i="39"/>
  <c r="AD53" i="80" s="1"/>
  <c r="AE298" i="39"/>
  <c r="AF109" i="103" s="1"/>
  <c r="AE122" i="103"/>
  <c r="AE138" i="103" s="1"/>
  <c r="AE78" i="103"/>
  <c r="AE92" i="103" s="1"/>
  <c r="AE297" i="39"/>
  <c r="AF108" i="103" s="1"/>
  <c r="AE81" i="103"/>
  <c r="AE94" i="103" s="1"/>
  <c r="AE124" i="103"/>
  <c r="AE140" i="103" s="1"/>
  <c r="AE300" i="39"/>
  <c r="AE58" i="80" s="1"/>
  <c r="AE138" i="80" s="1"/>
  <c r="V116" i="116" s="1"/>
  <c r="AE123" i="103"/>
  <c r="AE139" i="103" s="1"/>
  <c r="AE80" i="103"/>
  <c r="AE93" i="103" s="1"/>
  <c r="AK301" i="39"/>
  <c r="AE301" i="39"/>
  <c r="AF112" i="103" s="1"/>
  <c r="AA231" i="80"/>
  <c r="AB231" i="80"/>
  <c r="AK296" i="39"/>
  <c r="AK300" i="39"/>
  <c r="AD139" i="80"/>
  <c r="AD366" i="39"/>
  <c r="AE342" i="39"/>
  <c r="AE112" i="80"/>
  <c r="AE123" i="80"/>
  <c r="AE235" i="80" s="1"/>
  <c r="AA381" i="39"/>
  <c r="AA387" i="39"/>
  <c r="AB376" i="39"/>
  <c r="AC71" i="80"/>
  <c r="AC133" i="80"/>
  <c r="AC366" i="39"/>
  <c r="AC375" i="39"/>
  <c r="AA108" i="80"/>
  <c r="AA119" i="80"/>
  <c r="AA232" i="80" s="1"/>
  <c r="Y109" i="80"/>
  <c r="Y120" i="80"/>
  <c r="Y233" i="80" s="1"/>
  <c r="AE81" i="80"/>
  <c r="AE143" i="80"/>
  <c r="AE150" i="80"/>
  <c r="Z98" i="80"/>
  <c r="Z388" i="39"/>
  <c r="AE332" i="39"/>
  <c r="AB97" i="80"/>
  <c r="AB372" i="39"/>
  <c r="AE113" i="80"/>
  <c r="AE236" i="80"/>
  <c r="Q79" i="80" l="1"/>
  <c r="Q141" i="80"/>
  <c r="Q177" i="80"/>
  <c r="Q182" i="80" s="1"/>
  <c r="Q190" i="80" s="1"/>
  <c r="Q64" i="80"/>
  <c r="Q149" i="80" s="1"/>
  <c r="Q132" i="80"/>
  <c r="Q151" i="80"/>
  <c r="Q126" i="80"/>
  <c r="Q127" i="80" s="1"/>
  <c r="O115" i="80"/>
  <c r="O141" i="80"/>
  <c r="O65" i="80"/>
  <c r="O83" i="80" s="1"/>
  <c r="O64" i="80"/>
  <c r="O144" i="80" s="1"/>
  <c r="K141" i="80"/>
  <c r="K65" i="80"/>
  <c r="K83" i="80" s="1"/>
  <c r="O177" i="80"/>
  <c r="O180" i="80" s="1"/>
  <c r="B4" i="128" s="1"/>
  <c r="O70" i="80"/>
  <c r="O151" i="80"/>
  <c r="K132" i="80"/>
  <c r="K177" i="80"/>
  <c r="K180" i="80" s="1"/>
  <c r="K188" i="80" s="1"/>
  <c r="K151" i="80"/>
  <c r="K64" i="80"/>
  <c r="K149" i="80" s="1"/>
  <c r="O78" i="80"/>
  <c r="O140" i="80"/>
  <c r="K140" i="80"/>
  <c r="K126" i="80"/>
  <c r="K238" i="80" s="1"/>
  <c r="L64" i="80"/>
  <c r="L70" i="80"/>
  <c r="L177" i="80"/>
  <c r="L151" i="80"/>
  <c r="L132" i="80"/>
  <c r="H93" i="51"/>
  <c r="G93" i="51"/>
  <c r="F93" i="51"/>
  <c r="H96" i="51"/>
  <c r="F96" i="51"/>
  <c r="G96" i="51"/>
  <c r="M126" i="80"/>
  <c r="M115" i="80"/>
  <c r="H97" i="51"/>
  <c r="G97" i="51"/>
  <c r="F97" i="51"/>
  <c r="F95" i="51"/>
  <c r="H95" i="51"/>
  <c r="G95" i="51"/>
  <c r="M79" i="80"/>
  <c r="M141" i="80"/>
  <c r="M65" i="80"/>
  <c r="M83" i="80" s="1"/>
  <c r="L126" i="80"/>
  <c r="L115" i="80"/>
  <c r="H92" i="51"/>
  <c r="G92" i="51"/>
  <c r="F92" i="51"/>
  <c r="M151" i="80"/>
  <c r="M177" i="80"/>
  <c r="M132" i="80"/>
  <c r="M64" i="80"/>
  <c r="M70" i="80"/>
  <c r="N140" i="80"/>
  <c r="N78" i="80"/>
  <c r="L78" i="80"/>
  <c r="L140" i="80"/>
  <c r="P151" i="80"/>
  <c r="P132" i="80"/>
  <c r="P177" i="80"/>
  <c r="P64" i="80"/>
  <c r="P70" i="80"/>
  <c r="P78" i="80"/>
  <c r="P140" i="80"/>
  <c r="N65" i="80"/>
  <c r="N83" i="80" s="1"/>
  <c r="N79" i="80"/>
  <c r="N141" i="80"/>
  <c r="L141" i="80"/>
  <c r="L65" i="80"/>
  <c r="L83" i="80" s="1"/>
  <c r="L79" i="80"/>
  <c r="G94" i="51"/>
  <c r="H94" i="51"/>
  <c r="F94" i="51"/>
  <c r="F98" i="51"/>
  <c r="H98" i="51"/>
  <c r="G98" i="51"/>
  <c r="N126" i="80"/>
  <c r="N115" i="80"/>
  <c r="P115" i="80"/>
  <c r="P126" i="80"/>
  <c r="Q144" i="80"/>
  <c r="N132" i="80"/>
  <c r="N70" i="80"/>
  <c r="N151" i="80"/>
  <c r="N64" i="80"/>
  <c r="N177" i="80"/>
  <c r="P65" i="80"/>
  <c r="P83" i="80" s="1"/>
  <c r="P141" i="80"/>
  <c r="P79" i="80"/>
  <c r="M140" i="80"/>
  <c r="M78" i="80"/>
  <c r="AD136" i="80"/>
  <c r="AD72" i="80"/>
  <c r="AD135" i="80"/>
  <c r="AE59" i="80"/>
  <c r="AE77" i="80" s="1"/>
  <c r="AE82" i="103"/>
  <c r="AE95" i="103" s="1"/>
  <c r="AF110" i="103"/>
  <c r="AF123" i="103" s="1"/>
  <c r="AF139" i="103" s="1"/>
  <c r="AD138" i="80"/>
  <c r="AD137" i="80"/>
  <c r="AE54" i="80"/>
  <c r="AE72" i="80" s="1"/>
  <c r="AE55" i="80"/>
  <c r="AE73" i="80" s="1"/>
  <c r="AF111" i="103"/>
  <c r="AF124" i="103" s="1"/>
  <c r="AF140" i="103" s="1"/>
  <c r="AE56" i="80"/>
  <c r="AE136" i="80" s="1"/>
  <c r="V119" i="116" s="1"/>
  <c r="AE302" i="39"/>
  <c r="AE365" i="39" s="1"/>
  <c r="AE96" i="80" s="1"/>
  <c r="AE107" i="80" s="1"/>
  <c r="AE106" i="103"/>
  <c r="AD302" i="39"/>
  <c r="AD365" i="39" s="1"/>
  <c r="AD96" i="80" s="1"/>
  <c r="AF79" i="103"/>
  <c r="AF91" i="103" s="1"/>
  <c r="AF121" i="103"/>
  <c r="AF137" i="103" s="1"/>
  <c r="AF78" i="103"/>
  <c r="AF92" i="103" s="1"/>
  <c r="AF122" i="103"/>
  <c r="AF138" i="103" s="1"/>
  <c r="AF125" i="103"/>
  <c r="AF141" i="103" s="1"/>
  <c r="AF82" i="103"/>
  <c r="AF95" i="103" s="1"/>
  <c r="AE76" i="80"/>
  <c r="AD97" i="80"/>
  <c r="AD119" i="80" s="1"/>
  <c r="AE137" i="80"/>
  <c r="V115" i="116" s="1"/>
  <c r="Z109" i="80"/>
  <c r="Z120" i="80"/>
  <c r="Z233" i="80" s="1"/>
  <c r="AA388" i="39"/>
  <c r="AA98" i="80"/>
  <c r="AC372" i="39"/>
  <c r="AC97" i="80"/>
  <c r="AE53" i="80"/>
  <c r="AE352" i="39"/>
  <c r="AK302" i="39" s="1"/>
  <c r="AB381" i="39"/>
  <c r="AB387" i="39"/>
  <c r="AC376" i="39"/>
  <c r="AD71" i="80"/>
  <c r="AD133" i="80"/>
  <c r="AB119" i="80"/>
  <c r="AB232" i="80" s="1"/>
  <c r="AB108" i="80"/>
  <c r="Q82" i="80" l="1"/>
  <c r="Q183" i="80"/>
  <c r="Q191" i="80" s="1"/>
  <c r="Q184" i="80"/>
  <c r="Q192" i="80" s="1"/>
  <c r="Q185" i="80"/>
  <c r="Q193" i="80" s="1"/>
  <c r="Q181" i="80"/>
  <c r="Q189" i="80" s="1"/>
  <c r="Q180" i="80"/>
  <c r="Q188" i="80" s="1"/>
  <c r="O149" i="80"/>
  <c r="O188" i="80"/>
  <c r="K82" i="80"/>
  <c r="K144" i="80"/>
  <c r="O181" i="80"/>
  <c r="O189" i="80" s="1"/>
  <c r="O82" i="80"/>
  <c r="K181" i="80"/>
  <c r="K189" i="80" s="1"/>
  <c r="K185" i="80"/>
  <c r="K193" i="80" s="1"/>
  <c r="K182" i="80"/>
  <c r="K190" i="80" s="1"/>
  <c r="K184" i="80"/>
  <c r="K192" i="80" s="1"/>
  <c r="K183" i="80"/>
  <c r="K191" i="80" s="1"/>
  <c r="O183" i="80"/>
  <c r="O191" i="80" s="1"/>
  <c r="O185" i="80"/>
  <c r="O193" i="80" s="1"/>
  <c r="O184" i="80"/>
  <c r="O192" i="80" s="1"/>
  <c r="O182" i="80"/>
  <c r="O190" i="80" s="1"/>
  <c r="K127" i="80"/>
  <c r="N149" i="80"/>
  <c r="N144" i="80"/>
  <c r="N82" i="80"/>
  <c r="M180" i="80"/>
  <c r="M188" i="80" s="1"/>
  <c r="M182" i="80"/>
  <c r="M190" i="80" s="1"/>
  <c r="M185" i="80"/>
  <c r="M193" i="80" s="1"/>
  <c r="M183" i="80"/>
  <c r="M191" i="80" s="1"/>
  <c r="M184" i="80"/>
  <c r="M192" i="80" s="1"/>
  <c r="M181" i="80"/>
  <c r="M189" i="80" s="1"/>
  <c r="L238" i="80"/>
  <c r="L127" i="80"/>
  <c r="F107" i="51"/>
  <c r="F110" i="51" s="1"/>
  <c r="F10" i="51" s="1"/>
  <c r="P127" i="80"/>
  <c r="P238" i="80"/>
  <c r="Q238" i="80"/>
  <c r="G107" i="51"/>
  <c r="G110" i="51" s="1"/>
  <c r="G10" i="51" s="1"/>
  <c r="P149" i="80"/>
  <c r="P144" i="80"/>
  <c r="P82" i="80"/>
  <c r="P185" i="80"/>
  <c r="P193" i="80" s="1"/>
  <c r="P183" i="80"/>
  <c r="P191" i="80" s="1"/>
  <c r="P184" i="80"/>
  <c r="P192" i="80" s="1"/>
  <c r="P181" i="80"/>
  <c r="P189" i="80" s="1"/>
  <c r="P182" i="80"/>
  <c r="P190" i="80" s="1"/>
  <c r="P180" i="80"/>
  <c r="H107" i="51"/>
  <c r="H110" i="51" s="1"/>
  <c r="H10" i="51" s="1"/>
  <c r="L183" i="80"/>
  <c r="L191" i="80" s="1"/>
  <c r="L184" i="80"/>
  <c r="L192" i="80" s="1"/>
  <c r="L185" i="80"/>
  <c r="L193" i="80" s="1"/>
  <c r="L181" i="80"/>
  <c r="L189" i="80" s="1"/>
  <c r="L180" i="80"/>
  <c r="L188" i="80" s="1"/>
  <c r="L182" i="80"/>
  <c r="L190" i="80" s="1"/>
  <c r="N238" i="80"/>
  <c r="N127" i="80"/>
  <c r="O238" i="80"/>
  <c r="M144" i="80"/>
  <c r="M82" i="80"/>
  <c r="M149" i="80"/>
  <c r="M127" i="80"/>
  <c r="M238" i="80"/>
  <c r="N184" i="80"/>
  <c r="N192" i="80" s="1"/>
  <c r="N181" i="80"/>
  <c r="N189" i="80" s="1"/>
  <c r="N182" i="80"/>
  <c r="N190" i="80" s="1"/>
  <c r="N180" i="80"/>
  <c r="N188" i="80" s="1"/>
  <c r="N183" i="80"/>
  <c r="N191" i="80" s="1"/>
  <c r="N185" i="80"/>
  <c r="N193" i="80" s="1"/>
  <c r="L144" i="80"/>
  <c r="L82" i="80"/>
  <c r="L149" i="80"/>
  <c r="AE139" i="80"/>
  <c r="V117" i="116" s="1"/>
  <c r="AF143" i="103"/>
  <c r="AF80" i="103"/>
  <c r="AF93" i="103" s="1"/>
  <c r="AE134" i="80"/>
  <c r="V121" i="116" s="1"/>
  <c r="AF81" i="103"/>
  <c r="AF94" i="103" s="1"/>
  <c r="AE74" i="80"/>
  <c r="AE135" i="80"/>
  <c r="V118" i="116" s="1"/>
  <c r="AE118" i="80"/>
  <c r="AE121" i="103"/>
  <c r="AE137" i="103" s="1"/>
  <c r="AE143" i="103" s="1"/>
  <c r="AE76" i="103"/>
  <c r="AE91" i="103" s="1"/>
  <c r="AD118" i="80"/>
  <c r="AD231" i="80" s="1"/>
  <c r="AD107" i="80"/>
  <c r="AD372" i="39"/>
  <c r="AD108" i="80"/>
  <c r="AE366" i="39"/>
  <c r="AE375" i="39"/>
  <c r="AC119" i="80"/>
  <c r="AC232" i="80" s="1"/>
  <c r="AC108" i="80"/>
  <c r="AD376" i="39"/>
  <c r="AC387" i="39"/>
  <c r="AC381" i="39"/>
  <c r="AA109" i="80"/>
  <c r="AA120" i="80"/>
  <c r="AA233" i="80" s="1"/>
  <c r="AE71" i="80"/>
  <c r="AE133" i="80"/>
  <c r="V120" i="116" s="1"/>
  <c r="AB388" i="39"/>
  <c r="AB98" i="80"/>
  <c r="D4" i="128" l="1"/>
  <c r="Q195" i="80"/>
  <c r="Q196" i="80" s="1"/>
  <c r="G8" i="51"/>
  <c r="G9" i="51"/>
  <c r="H9" i="51" s="1"/>
  <c r="I9" i="51" s="1"/>
  <c r="K195" i="80"/>
  <c r="K196" i="80" s="1"/>
  <c r="O195" i="80"/>
  <c r="O196" i="80" s="1"/>
  <c r="C4" i="128"/>
  <c r="P188" i="80"/>
  <c r="P195" i="80" s="1"/>
  <c r="P196" i="80" s="1"/>
  <c r="L195" i="80"/>
  <c r="L196" i="80" s="1"/>
  <c r="M195" i="80"/>
  <c r="M196" i="80" s="1"/>
  <c r="N195" i="80"/>
  <c r="N196" i="80" s="1"/>
  <c r="AD381" i="39"/>
  <c r="AD387" i="39"/>
  <c r="AE376" i="39"/>
  <c r="AE231" i="80"/>
  <c r="AC388" i="39"/>
  <c r="AC98" i="80"/>
  <c r="AB109" i="80"/>
  <c r="AB120" i="80"/>
  <c r="AB233" i="80" s="1"/>
  <c r="AD232" i="80"/>
  <c r="AE97" i="80"/>
  <c r="AE372" i="39"/>
  <c r="I8" i="51" l="1"/>
  <c r="H8" i="51"/>
  <c r="AD98" i="80"/>
  <c r="AD388" i="39"/>
  <c r="AE119" i="80"/>
  <c r="AE232" i="80" s="1"/>
  <c r="AE108" i="80"/>
  <c r="AC109" i="80"/>
  <c r="AC120" i="80"/>
  <c r="AC233" i="80" s="1"/>
  <c r="AE381" i="39"/>
  <c r="AE387" i="39"/>
  <c r="AD109" i="80" l="1"/>
  <c r="AD120" i="80"/>
  <c r="AD233" i="80" s="1"/>
  <c r="AE98" i="80"/>
  <c r="AE388" i="39"/>
  <c r="AE109" i="80" l="1"/>
  <c r="AE120" i="80"/>
  <c r="AE233" i="80" s="1"/>
  <c r="R382" i="39" l="1"/>
  <c r="R384" i="39" l="1"/>
  <c r="R67" i="80"/>
  <c r="R389" i="39"/>
  <c r="R99" i="80"/>
  <c r="E8" i="128"/>
  <c r="E10" i="128" s="1"/>
  <c r="E12" i="128" s="1"/>
  <c r="R85" i="80" l="1"/>
  <c r="E117" i="116"/>
  <c r="R110" i="80"/>
  <c r="R121" i="80"/>
  <c r="R390" i="39"/>
  <c r="S377" i="39"/>
  <c r="S378" i="39" s="1"/>
  <c r="D94" i="51" l="1"/>
  <c r="D98" i="51"/>
  <c r="D95" i="51"/>
  <c r="D92" i="51"/>
  <c r="D96" i="51"/>
  <c r="D93" i="51"/>
  <c r="D97" i="51"/>
  <c r="R393" i="39"/>
  <c r="R394" i="39"/>
  <c r="R52" i="80"/>
  <c r="E13" i="128"/>
  <c r="R60" i="80"/>
  <c r="R61" i="80"/>
  <c r="R104" i="80"/>
  <c r="R234" i="80"/>
  <c r="P97" i="51" l="1"/>
  <c r="N97" i="51"/>
  <c r="K97" i="51"/>
  <c r="Q97" i="51"/>
  <c r="M97" i="51"/>
  <c r="E97" i="51"/>
  <c r="J97" i="51"/>
  <c r="I97" i="51"/>
  <c r="O97" i="51"/>
  <c r="L97" i="51"/>
  <c r="Q93" i="51"/>
  <c r="K93" i="51"/>
  <c r="P93" i="51"/>
  <c r="M93" i="51"/>
  <c r="O93" i="51"/>
  <c r="J93" i="51"/>
  <c r="I93" i="51"/>
  <c r="L93" i="51"/>
  <c r="E93" i="51"/>
  <c r="N93" i="51"/>
  <c r="I96" i="51"/>
  <c r="Q96" i="51"/>
  <c r="L96" i="51"/>
  <c r="E96" i="51"/>
  <c r="P96" i="51"/>
  <c r="N96" i="51"/>
  <c r="M96" i="51"/>
  <c r="K96" i="51"/>
  <c r="J96" i="51"/>
  <c r="O96" i="51"/>
  <c r="E92" i="51"/>
  <c r="N92" i="51"/>
  <c r="Q92" i="51"/>
  <c r="K92" i="51"/>
  <c r="M92" i="51"/>
  <c r="J92" i="51"/>
  <c r="P92" i="51"/>
  <c r="O92" i="51"/>
  <c r="L92" i="51"/>
  <c r="I92" i="51"/>
  <c r="P95" i="51"/>
  <c r="Q95" i="51"/>
  <c r="M95" i="51"/>
  <c r="K95" i="51"/>
  <c r="J95" i="51"/>
  <c r="O95" i="51"/>
  <c r="I95" i="51"/>
  <c r="E95" i="51"/>
  <c r="L95" i="51"/>
  <c r="N95" i="51"/>
  <c r="M98" i="51"/>
  <c r="J98" i="51"/>
  <c r="O98" i="51"/>
  <c r="I98" i="51"/>
  <c r="P98" i="51"/>
  <c r="L98" i="51"/>
  <c r="N98" i="51"/>
  <c r="E98" i="51"/>
  <c r="Q98" i="51"/>
  <c r="K98" i="51"/>
  <c r="O94" i="51"/>
  <c r="I94" i="51"/>
  <c r="L94" i="51"/>
  <c r="Q94" i="51"/>
  <c r="E94" i="51"/>
  <c r="N94" i="51"/>
  <c r="P94" i="51"/>
  <c r="K94" i="51"/>
  <c r="J94" i="51"/>
  <c r="M94" i="51"/>
  <c r="R132" i="80"/>
  <c r="R177" i="80"/>
  <c r="R70" i="80"/>
  <c r="R151" i="80"/>
  <c r="R64" i="80"/>
  <c r="R126" i="80"/>
  <c r="R115" i="80"/>
  <c r="R141" i="80"/>
  <c r="Q123" i="116" s="1"/>
  <c r="R79" i="80"/>
  <c r="R65" i="80"/>
  <c r="R83" i="80" s="1"/>
  <c r="R140" i="80"/>
  <c r="Q122" i="116" s="1"/>
  <c r="R78" i="80"/>
  <c r="I107" i="51" l="1"/>
  <c r="I110" i="51" s="1"/>
  <c r="I10" i="51" s="1"/>
  <c r="N107" i="51"/>
  <c r="N110" i="51" s="1"/>
  <c r="N10" i="51" s="1"/>
  <c r="E108" i="116"/>
  <c r="S33" i="75"/>
  <c r="S29" i="75" s="1"/>
  <c r="S47" i="74"/>
  <c r="S43" i="74" s="1"/>
  <c r="L107" i="51"/>
  <c r="L110" i="51" s="1"/>
  <c r="L10" i="51" s="1"/>
  <c r="E107" i="51"/>
  <c r="E110" i="51" s="1"/>
  <c r="O107" i="51"/>
  <c r="O110" i="51" s="1"/>
  <c r="O10" i="51" s="1"/>
  <c r="P107" i="51"/>
  <c r="P110" i="51" s="1"/>
  <c r="P10" i="51" s="1"/>
  <c r="J107" i="51"/>
  <c r="J110" i="51" s="1"/>
  <c r="J10" i="51" s="1"/>
  <c r="M107" i="51"/>
  <c r="M110" i="51" s="1"/>
  <c r="M10" i="51" s="1"/>
  <c r="K107" i="51"/>
  <c r="K110" i="51" s="1"/>
  <c r="K10" i="51" s="1"/>
  <c r="Q107" i="51"/>
  <c r="Q110" i="51" s="1"/>
  <c r="Q10" i="51" s="1"/>
  <c r="R238" i="80"/>
  <c r="R127" i="80"/>
  <c r="R82" i="80"/>
  <c r="R144" i="80"/>
  <c r="R149" i="80"/>
  <c r="R180" i="80"/>
  <c r="R182" i="80"/>
  <c r="R190" i="80" s="1"/>
  <c r="R185" i="80"/>
  <c r="R193" i="80" s="1"/>
  <c r="R184" i="80"/>
  <c r="R192" i="80" s="1"/>
  <c r="R183" i="80"/>
  <c r="R191" i="80" s="1"/>
  <c r="R181" i="80"/>
  <c r="R189" i="80" s="1"/>
  <c r="J8" i="51" l="1"/>
  <c r="J9" i="51"/>
  <c r="K9" i="51" s="1"/>
  <c r="L9" i="51" s="1"/>
  <c r="M9" i="51" s="1"/>
  <c r="N9" i="51" s="1"/>
  <c r="O9" i="51" s="1"/>
  <c r="P9" i="51" s="1"/>
  <c r="Q9" i="51" s="1"/>
  <c r="S382" i="39" s="1"/>
  <c r="S34" i="75"/>
  <c r="S30" i="75" s="1"/>
  <c r="S48" i="74"/>
  <c r="S44" i="74" s="1"/>
  <c r="E109" i="116"/>
  <c r="E4" i="128"/>
  <c r="R188" i="80"/>
  <c r="R195" i="80" s="1"/>
  <c r="R196" i="80" s="1"/>
  <c r="L8" i="51" l="1"/>
  <c r="N8" i="51"/>
  <c r="Q8" i="51"/>
  <c r="M8" i="51"/>
  <c r="O8" i="51"/>
  <c r="K8" i="51"/>
  <c r="P8" i="51"/>
  <c r="S384" i="39"/>
  <c r="S99" i="80"/>
  <c r="F8" i="128"/>
  <c r="F10" i="128" s="1"/>
  <c r="F12" i="128" s="1"/>
  <c r="S67" i="80"/>
  <c r="S389" i="39"/>
  <c r="S85" i="80" l="1"/>
  <c r="F117" i="116"/>
  <c r="S110" i="80"/>
  <c r="S121" i="80"/>
  <c r="S390" i="39"/>
  <c r="T377" i="39"/>
  <c r="T378" i="39" s="1"/>
  <c r="T382" i="39" s="1"/>
  <c r="T67" i="80" l="1"/>
  <c r="T389" i="39"/>
  <c r="T384" i="39"/>
  <c r="G8" i="128"/>
  <c r="G10" i="128" s="1"/>
  <c r="G12" i="128" s="1"/>
  <c r="T99" i="80"/>
  <c r="S52" i="80"/>
  <c r="S60" i="80"/>
  <c r="F13" i="128"/>
  <c r="S104" i="80"/>
  <c r="S61" i="80"/>
  <c r="S234" i="80"/>
  <c r="S78" i="80" l="1"/>
  <c r="S140" i="80" s="1"/>
  <c r="R122" i="116" s="1"/>
  <c r="S177" i="80"/>
  <c r="S70" i="80"/>
  <c r="S151" i="80" s="1"/>
  <c r="S132" i="80"/>
  <c r="S64" i="80"/>
  <c r="T110" i="80"/>
  <c r="T121" i="80" s="1"/>
  <c r="U377" i="39"/>
  <c r="U378" i="39" s="1"/>
  <c r="U382" i="39" s="1"/>
  <c r="T390" i="39"/>
  <c r="S79" i="80"/>
  <c r="S65" i="80"/>
  <c r="S83" i="80" s="1"/>
  <c r="S141" i="80"/>
  <c r="R123" i="116" s="1"/>
  <c r="S126" i="80"/>
  <c r="S115" i="80"/>
  <c r="T85" i="80"/>
  <c r="G117" i="116" s="1"/>
  <c r="T234" i="80" l="1"/>
  <c r="S238" i="80"/>
  <c r="S127" i="80"/>
  <c r="S82" i="80"/>
  <c r="S149" i="80" s="1"/>
  <c r="F108" i="116"/>
  <c r="T33" i="75"/>
  <c r="T29" i="75" s="1"/>
  <c r="T47" i="74"/>
  <c r="T43" i="74" s="1"/>
  <c r="S185" i="80"/>
  <c r="S193" i="80" s="1"/>
  <c r="S182" i="80"/>
  <c r="S190" i="80" s="1"/>
  <c r="S183" i="80"/>
  <c r="S191" i="80" s="1"/>
  <c r="S180" i="80"/>
  <c r="S184" i="80"/>
  <c r="S192" i="80" s="1"/>
  <c r="S181" i="80"/>
  <c r="S189" i="80" s="1"/>
  <c r="T61" i="80"/>
  <c r="T104" i="80"/>
  <c r="T60" i="80"/>
  <c r="G13" i="128"/>
  <c r="T52" i="80"/>
  <c r="U99" i="80"/>
  <c r="U67" i="80"/>
  <c r="U389" i="39"/>
  <c r="H8" i="128"/>
  <c r="H10" i="128" s="1"/>
  <c r="H12" i="128" s="1"/>
  <c r="U384" i="39"/>
  <c r="S144" i="80" l="1"/>
  <c r="F109" i="116" s="1"/>
  <c r="H117" i="116"/>
  <c r="U85" i="80"/>
  <c r="U110" i="80"/>
  <c r="U121" i="80" s="1"/>
  <c r="F4" i="128"/>
  <c r="S188" i="80"/>
  <c r="S195" i="80" s="1"/>
  <c r="S196" i="80" s="1"/>
  <c r="T64" i="80"/>
  <c r="T70" i="80"/>
  <c r="T132" i="80" s="1"/>
  <c r="T78" i="80"/>
  <c r="T140" i="80"/>
  <c r="S122" i="116" s="1"/>
  <c r="V377" i="39"/>
  <c r="V378" i="39" s="1"/>
  <c r="V382" i="39" s="1"/>
  <c r="U390" i="39"/>
  <c r="T115" i="80"/>
  <c r="T126" i="80" s="1"/>
  <c r="T141" i="80"/>
  <c r="S123" i="116" s="1"/>
  <c r="T65" i="80"/>
  <c r="T83" i="80" s="1"/>
  <c r="T79" i="80"/>
  <c r="T34" i="75" l="1"/>
  <c r="T30" i="75" s="1"/>
  <c r="T48" i="74"/>
  <c r="T44" i="74" s="1"/>
  <c r="T151" i="80"/>
  <c r="T177" i="80"/>
  <c r="T181" i="80" s="1"/>
  <c r="T189" i="80" s="1"/>
  <c r="U47" i="74"/>
  <c r="U43" i="74" s="1"/>
  <c r="U33" i="75"/>
  <c r="U29" i="75" s="1"/>
  <c r="G108" i="116"/>
  <c r="T238" i="80"/>
  <c r="T127" i="80"/>
  <c r="T82" i="80"/>
  <c r="T144" i="80" s="1"/>
  <c r="U61" i="80"/>
  <c r="U60" i="80"/>
  <c r="U52" i="80"/>
  <c r="H13" i="128"/>
  <c r="U104" i="80"/>
  <c r="U234" i="80"/>
  <c r="I8" i="128"/>
  <c r="I10" i="128" s="1"/>
  <c r="I12" i="128" s="1"/>
  <c r="V389" i="39"/>
  <c r="V67" i="80"/>
  <c r="V384" i="39"/>
  <c r="V99" i="80"/>
  <c r="T180" i="80" l="1"/>
  <c r="G4" i="128" s="1"/>
  <c r="T185" i="80"/>
  <c r="T193" i="80" s="1"/>
  <c r="T184" i="80"/>
  <c r="T192" i="80" s="1"/>
  <c r="T183" i="80"/>
  <c r="T191" i="80" s="1"/>
  <c r="T182" i="80"/>
  <c r="T190" i="80" s="1"/>
  <c r="T149" i="80"/>
  <c r="V85" i="80"/>
  <c r="U48" i="74"/>
  <c r="U44" i="74" s="1"/>
  <c r="G109" i="116"/>
  <c r="U34" i="75"/>
  <c r="U30" i="75" s="1"/>
  <c r="U126" i="80"/>
  <c r="U115" i="80"/>
  <c r="U64" i="80"/>
  <c r="U70" i="80"/>
  <c r="U132" i="80" s="1"/>
  <c r="U151" i="80"/>
  <c r="V110" i="80"/>
  <c r="V121" i="80"/>
  <c r="U78" i="80"/>
  <c r="U140" i="80" s="1"/>
  <c r="V390" i="39"/>
  <c r="W377" i="39"/>
  <c r="W378" i="39" s="1"/>
  <c r="W382" i="39" s="1"/>
  <c r="U65" i="80"/>
  <c r="U83" i="80" s="1"/>
  <c r="U79" i="80"/>
  <c r="U141" i="80"/>
  <c r="T188" i="80" l="1"/>
  <c r="T195" i="80" s="1"/>
  <c r="T196" i="80" s="1"/>
  <c r="U177" i="80"/>
  <c r="U183" i="80" s="1"/>
  <c r="U191" i="80" s="1"/>
  <c r="V234" i="80"/>
  <c r="U238" i="80"/>
  <c r="U127" i="80"/>
  <c r="T123" i="116"/>
  <c r="W384" i="39"/>
  <c r="J8" i="128"/>
  <c r="J10" i="128" s="1"/>
  <c r="J12" i="128" s="1"/>
  <c r="W67" i="80"/>
  <c r="W85" i="80" s="1"/>
  <c r="W389" i="39"/>
  <c r="W99" i="80"/>
  <c r="U82" i="80"/>
  <c r="U149" i="80"/>
  <c r="U144" i="80"/>
  <c r="I13" i="128"/>
  <c r="V104" i="80"/>
  <c r="V60" i="80"/>
  <c r="V52" i="80"/>
  <c r="V61" i="80"/>
  <c r="V33" i="75"/>
  <c r="V29" i="75" s="1"/>
  <c r="V47" i="74"/>
  <c r="V43" i="74" s="1"/>
  <c r="H108" i="116"/>
  <c r="T122" i="116"/>
  <c r="U184" i="80" l="1"/>
  <c r="U192" i="80" s="1"/>
  <c r="U185" i="80"/>
  <c r="U193" i="80" s="1"/>
  <c r="U180" i="80"/>
  <c r="H4" i="128" s="1"/>
  <c r="U182" i="80"/>
  <c r="U190" i="80" s="1"/>
  <c r="U181" i="80"/>
  <c r="U189" i="80" s="1"/>
  <c r="V126" i="80"/>
  <c r="V115" i="80"/>
  <c r="W390" i="39"/>
  <c r="X377" i="39"/>
  <c r="X378" i="39" s="1"/>
  <c r="X382" i="39" s="1"/>
  <c r="V48" i="74"/>
  <c r="V44" i="74" s="1"/>
  <c r="V34" i="75"/>
  <c r="V30" i="75" s="1"/>
  <c r="H109" i="116"/>
  <c r="V65" i="80"/>
  <c r="V83" i="80" s="1"/>
  <c r="V79" i="80"/>
  <c r="V141" i="80" s="1"/>
  <c r="W121" i="80"/>
  <c r="W110" i="80"/>
  <c r="V132" i="80"/>
  <c r="V64" i="80"/>
  <c r="V70" i="80"/>
  <c r="V151" i="80" s="1"/>
  <c r="V78" i="80"/>
  <c r="V140" i="80"/>
  <c r="U188" i="80" l="1"/>
  <c r="U195" i="80" s="1"/>
  <c r="U196" i="80" s="1"/>
  <c r="V177" i="80"/>
  <c r="V183" i="80" s="1"/>
  <c r="V191" i="80" s="1"/>
  <c r="W234" i="80"/>
  <c r="V82" i="80"/>
  <c r="V144" i="80"/>
  <c r="V149" i="80"/>
  <c r="X99" i="80"/>
  <c r="X384" i="39"/>
  <c r="X67" i="80"/>
  <c r="X85" i="80" s="1"/>
  <c r="X389" i="39"/>
  <c r="K8" i="128"/>
  <c r="K10" i="128" s="1"/>
  <c r="K12" i="128" s="1"/>
  <c r="J13" i="128"/>
  <c r="W60" i="80"/>
  <c r="W61" i="80"/>
  <c r="W52" i="80"/>
  <c r="W104" i="80"/>
  <c r="V238" i="80"/>
  <c r="V127" i="80"/>
  <c r="V184" i="80" l="1"/>
  <c r="V192" i="80" s="1"/>
  <c r="V185" i="80"/>
  <c r="V193" i="80" s="1"/>
  <c r="V181" i="80"/>
  <c r="V189" i="80" s="1"/>
  <c r="V182" i="80"/>
  <c r="V190" i="80" s="1"/>
  <c r="V180" i="80"/>
  <c r="V188" i="80" s="1"/>
  <c r="W126" i="80"/>
  <c r="W115" i="80"/>
  <c r="W65" i="80"/>
  <c r="W83" i="80" s="1"/>
  <c r="W79" i="80"/>
  <c r="W141" i="80" s="1"/>
  <c r="W70" i="80"/>
  <c r="W151" i="80" s="1"/>
  <c r="W64" i="80"/>
  <c r="W132" i="80"/>
  <c r="W78" i="80"/>
  <c r="W140" i="80"/>
  <c r="Y377" i="39"/>
  <c r="Y378" i="39" s="1"/>
  <c r="Y382" i="39" s="1"/>
  <c r="X390" i="39"/>
  <c r="X110" i="80"/>
  <c r="X121" i="80"/>
  <c r="I4" i="128" l="1"/>
  <c r="V195" i="80"/>
  <c r="V196" i="80" s="1"/>
  <c r="W177" i="80"/>
  <c r="W180" i="80" s="1"/>
  <c r="X234" i="80"/>
  <c r="W82" i="80"/>
  <c r="W144" i="80" s="1"/>
  <c r="W149" i="80"/>
  <c r="X60" i="80"/>
  <c r="X61" i="80"/>
  <c r="X104" i="80"/>
  <c r="K13" i="128"/>
  <c r="X52" i="80"/>
  <c r="Y99" i="80"/>
  <c r="Y67" i="80"/>
  <c r="Y85" i="80" s="1"/>
  <c r="L8" i="128"/>
  <c r="L10" i="128" s="1"/>
  <c r="L12" i="128" s="1"/>
  <c r="Y384" i="39"/>
  <c r="Y389" i="39"/>
  <c r="W238" i="80"/>
  <c r="W127" i="80"/>
  <c r="W182" i="80" l="1"/>
  <c r="W190" i="80" s="1"/>
  <c r="W181" i="80"/>
  <c r="W189" i="80" s="1"/>
  <c r="W183" i="80"/>
  <c r="W191" i="80" s="1"/>
  <c r="W185" i="80"/>
  <c r="W193" i="80" s="1"/>
  <c r="W184" i="80"/>
  <c r="W192" i="80" s="1"/>
  <c r="X115" i="80"/>
  <c r="X126" i="80"/>
  <c r="X79" i="80"/>
  <c r="X141" i="80"/>
  <c r="X65" i="80"/>
  <c r="X83" i="80" s="1"/>
  <c r="Z377" i="39"/>
  <c r="Z378" i="39" s="1"/>
  <c r="Z382" i="39" s="1"/>
  <c r="Y390" i="39"/>
  <c r="X140" i="80"/>
  <c r="X78" i="80"/>
  <c r="Y110" i="80"/>
  <c r="Y121" i="80"/>
  <c r="W188" i="80"/>
  <c r="J4" i="128"/>
  <c r="X177" i="80"/>
  <c r="X132" i="80"/>
  <c r="X151" i="80"/>
  <c r="X70" i="80"/>
  <c r="X64" i="80"/>
  <c r="W195" i="80" l="1"/>
  <c r="W196" i="80" s="1"/>
  <c r="L13" i="128"/>
  <c r="Y61" i="80"/>
  <c r="Y104" i="80"/>
  <c r="Y52" i="80"/>
  <c r="Y60" i="80"/>
  <c r="M8" i="128"/>
  <c r="M10" i="128" s="1"/>
  <c r="M12" i="128" s="1"/>
  <c r="Z384" i="39"/>
  <c r="Z389" i="39"/>
  <c r="Z67" i="80"/>
  <c r="Z99" i="80"/>
  <c r="Y234" i="80"/>
  <c r="X182" i="80"/>
  <c r="X190" i="80" s="1"/>
  <c r="X185" i="80"/>
  <c r="X193" i="80" s="1"/>
  <c r="X183" i="80"/>
  <c r="X191" i="80" s="1"/>
  <c r="X181" i="80"/>
  <c r="X189" i="80" s="1"/>
  <c r="X180" i="80"/>
  <c r="X184" i="80"/>
  <c r="X192" i="80" s="1"/>
  <c r="X238" i="80"/>
  <c r="X127" i="80"/>
  <c r="X149" i="80"/>
  <c r="X82" i="80"/>
  <c r="X144" i="80" s="1"/>
  <c r="AA377" i="39" l="1"/>
  <c r="AA378" i="39" s="1"/>
  <c r="AA382" i="39" s="1"/>
  <c r="Z390" i="39"/>
  <c r="Y78" i="80"/>
  <c r="Y140" i="80"/>
  <c r="Y64" i="80"/>
  <c r="Y70" i="80"/>
  <c r="Y132" i="80" s="1"/>
  <c r="Y177" i="80"/>
  <c r="Y151" i="80"/>
  <c r="Y115" i="80"/>
  <c r="Y126" i="80"/>
  <c r="Z110" i="80"/>
  <c r="Z121" i="80"/>
  <c r="Y79" i="80"/>
  <c r="Y141" i="80" s="1"/>
  <c r="Y65" i="80"/>
  <c r="Y83" i="80" s="1"/>
  <c r="K4" i="128"/>
  <c r="X188" i="80"/>
  <c r="X195" i="80" s="1"/>
  <c r="X196" i="80" s="1"/>
  <c r="Z85" i="80"/>
  <c r="I117" i="116"/>
  <c r="Y182" i="80" l="1"/>
  <c r="Y190" i="80" s="1"/>
  <c r="Y180" i="80"/>
  <c r="Y184" i="80"/>
  <c r="Y192" i="80" s="1"/>
  <c r="Y181" i="80"/>
  <c r="Y189" i="80" s="1"/>
  <c r="Y183" i="80"/>
  <c r="Y191" i="80" s="1"/>
  <c r="Y185" i="80"/>
  <c r="Y193" i="80" s="1"/>
  <c r="Y82" i="80"/>
  <c r="Y144" i="80" s="1"/>
  <c r="Y149" i="80"/>
  <c r="Z234" i="80"/>
  <c r="Y238" i="80"/>
  <c r="Y127" i="80"/>
  <c r="Z104" i="80"/>
  <c r="Z52" i="80"/>
  <c r="Z60" i="80"/>
  <c r="Z61" i="80"/>
  <c r="M13" i="128"/>
  <c r="AA384" i="39"/>
  <c r="AA67" i="80"/>
  <c r="AA85" i="80" s="1"/>
  <c r="AA389" i="39"/>
  <c r="AA99" i="80"/>
  <c r="Z78" i="80" l="1"/>
  <c r="Z140" i="80" s="1"/>
  <c r="U122" i="116" s="1"/>
  <c r="Z64" i="80"/>
  <c r="Z70" i="80"/>
  <c r="Z132" i="80" s="1"/>
  <c r="AA121" i="80"/>
  <c r="AA110" i="80"/>
  <c r="AB377" i="39"/>
  <c r="AB378" i="39" s="1"/>
  <c r="AB382" i="39" s="1"/>
  <c r="AA390" i="39"/>
  <c r="L4" i="128"/>
  <c r="Y188" i="80"/>
  <c r="Y195" i="80" s="1"/>
  <c r="Y196" i="80" s="1"/>
  <c r="Z115" i="80"/>
  <c r="Z126" i="80"/>
  <c r="Z65" i="80"/>
  <c r="Z83" i="80" s="1"/>
  <c r="Z141" i="80"/>
  <c r="U123" i="116" s="1"/>
  <c r="Z79" i="80"/>
  <c r="Z177" i="80" l="1"/>
  <c r="Z182" i="80" s="1"/>
  <c r="Z190" i="80" s="1"/>
  <c r="Z151" i="80"/>
  <c r="AA234" i="80"/>
  <c r="Z238" i="80"/>
  <c r="Z127" i="80"/>
  <c r="I108" i="116"/>
  <c r="W33" i="75"/>
  <c r="W29" i="75" s="1"/>
  <c r="W47" i="74"/>
  <c r="W43" i="74" s="1"/>
  <c r="AA52" i="80"/>
  <c r="AA61" i="80"/>
  <c r="AA60" i="80"/>
  <c r="AA104" i="80"/>
  <c r="Z144" i="80"/>
  <c r="Z82" i="80"/>
  <c r="Z149" i="80" s="1"/>
  <c r="AB67" i="80"/>
  <c r="AB85" i="80" s="1"/>
  <c r="AB99" i="80"/>
  <c r="AB389" i="39"/>
  <c r="AB384" i="39"/>
  <c r="Z184" i="80" l="1"/>
  <c r="Z192" i="80" s="1"/>
  <c r="Z183" i="80"/>
  <c r="Z191" i="80" s="1"/>
  <c r="Z180" i="80"/>
  <c r="M4" i="128" s="1"/>
  <c r="Z181" i="80"/>
  <c r="Z189" i="80" s="1"/>
  <c r="Z185" i="80"/>
  <c r="Z193" i="80" s="1"/>
  <c r="AC377" i="39"/>
  <c r="AC378" i="39" s="1"/>
  <c r="AC382" i="39" s="1"/>
  <c r="AB390" i="39"/>
  <c r="AA78" i="80"/>
  <c r="AA140" i="80" s="1"/>
  <c r="AA79" i="80"/>
  <c r="AA65" i="80"/>
  <c r="AA83" i="80" s="1"/>
  <c r="AA141" i="80"/>
  <c r="W34" i="75"/>
  <c r="W30" i="75" s="1"/>
  <c r="W48" i="74"/>
  <c r="W44" i="74" s="1"/>
  <c r="I109" i="116"/>
  <c r="AA132" i="80"/>
  <c r="AA70" i="80"/>
  <c r="AA64" i="80"/>
  <c r="AA177" i="80"/>
  <c r="AA151" i="80"/>
  <c r="AB121" i="80"/>
  <c r="AB110" i="80"/>
  <c r="AA126" i="80"/>
  <c r="AA115" i="80"/>
  <c r="Z188" i="80" l="1"/>
  <c r="Z195" i="80" s="1"/>
  <c r="Z196" i="80" s="1"/>
  <c r="AA180" i="80"/>
  <c r="AA188" i="80" s="1"/>
  <c r="AA182" i="80"/>
  <c r="AA190" i="80" s="1"/>
  <c r="AA183" i="80"/>
  <c r="AA191" i="80" s="1"/>
  <c r="AA184" i="80"/>
  <c r="AA192" i="80" s="1"/>
  <c r="AA181" i="80"/>
  <c r="AA189" i="80" s="1"/>
  <c r="AA185" i="80"/>
  <c r="AA193" i="80" s="1"/>
  <c r="AA238" i="80"/>
  <c r="AA127" i="80"/>
  <c r="AA144" i="80"/>
  <c r="AA149" i="80"/>
  <c r="AA82" i="80"/>
  <c r="AB234" i="80"/>
  <c r="AB52" i="80"/>
  <c r="AB61" i="80"/>
  <c r="AB104" i="80"/>
  <c r="AB60" i="80"/>
  <c r="AC67" i="80"/>
  <c r="AC85" i="80" s="1"/>
  <c r="AC389" i="39"/>
  <c r="AC99" i="80"/>
  <c r="AC384" i="39"/>
  <c r="AB115" i="80" l="1"/>
  <c r="AB126" i="80"/>
  <c r="AB79" i="80"/>
  <c r="AB141" i="80"/>
  <c r="AB65" i="80"/>
  <c r="AB83" i="80" s="1"/>
  <c r="AB132" i="80"/>
  <c r="AB70" i="80"/>
  <c r="AB151" i="80" s="1"/>
  <c r="AB64" i="80"/>
  <c r="AD377" i="39"/>
  <c r="AD378" i="39" s="1"/>
  <c r="AD382" i="39" s="1"/>
  <c r="AC390" i="39"/>
  <c r="AC110" i="80"/>
  <c r="AC121" i="80"/>
  <c r="AB78" i="80"/>
  <c r="AB140" i="80"/>
  <c r="AA195" i="80"/>
  <c r="AA196" i="80" s="1"/>
  <c r="AB177" i="80" l="1"/>
  <c r="AB180" i="80" s="1"/>
  <c r="AB188" i="80" s="1"/>
  <c r="AC234" i="80"/>
  <c r="AC61" i="80"/>
  <c r="AC104" i="80"/>
  <c r="AC60" i="80"/>
  <c r="AC52" i="80"/>
  <c r="AD99" i="80"/>
  <c r="AD384" i="39"/>
  <c r="AD67" i="80"/>
  <c r="AD85" i="80" s="1"/>
  <c r="AD389" i="39"/>
  <c r="AB149" i="80"/>
  <c r="AB82" i="80"/>
  <c r="AB144" i="80"/>
  <c r="AB238" i="80"/>
  <c r="AB127" i="80"/>
  <c r="AB181" i="80" l="1"/>
  <c r="AB189" i="80" s="1"/>
  <c r="AB183" i="80"/>
  <c r="AB191" i="80" s="1"/>
  <c r="AB184" i="80"/>
  <c r="AB192" i="80" s="1"/>
  <c r="AB185" i="80"/>
  <c r="AB193" i="80" s="1"/>
  <c r="AB182" i="80"/>
  <c r="AB190" i="80" s="1"/>
  <c r="AD390" i="39"/>
  <c r="AE377" i="39"/>
  <c r="AE378" i="39" s="1"/>
  <c r="AE382" i="39" s="1"/>
  <c r="AD110" i="80"/>
  <c r="AD121" i="80" s="1"/>
  <c r="AC70" i="80"/>
  <c r="AC177" i="80" s="1"/>
  <c r="AC64" i="80"/>
  <c r="AC132" i="80"/>
  <c r="AC140" i="80"/>
  <c r="AC78" i="80"/>
  <c r="AC115" i="80"/>
  <c r="AC126" i="80"/>
  <c r="AC79" i="80"/>
  <c r="AC141" i="80" s="1"/>
  <c r="AC65" i="80"/>
  <c r="AC83" i="80" s="1"/>
  <c r="AB195" i="80" l="1"/>
  <c r="AB196" i="80" s="1"/>
  <c r="AC151" i="80"/>
  <c r="AC149" i="80"/>
  <c r="AC82" i="80"/>
  <c r="AC144" i="80"/>
  <c r="AC238" i="80"/>
  <c r="AC127" i="80"/>
  <c r="AD234" i="80"/>
  <c r="AE99" i="80"/>
  <c r="AE384" i="39"/>
  <c r="AE390" i="39" s="1"/>
  <c r="AE67" i="80"/>
  <c r="AE389" i="39"/>
  <c r="AD52" i="80"/>
  <c r="AD61" i="80"/>
  <c r="AD104" i="80"/>
  <c r="AD60" i="80"/>
  <c r="AC185" i="80"/>
  <c r="AC193" i="80" s="1"/>
  <c r="AC180" i="80"/>
  <c r="AC188" i="80" s="1"/>
  <c r="AC184" i="80"/>
  <c r="AC192" i="80" s="1"/>
  <c r="AC182" i="80"/>
  <c r="AC190" i="80" s="1"/>
  <c r="AC183" i="80"/>
  <c r="AC191" i="80" s="1"/>
  <c r="AC181" i="80"/>
  <c r="AC189" i="80" s="1"/>
  <c r="AE110" i="80" l="1"/>
  <c r="AE121" i="80" s="1"/>
  <c r="AD78" i="80"/>
  <c r="AD140" i="80"/>
  <c r="AD64" i="80"/>
  <c r="AD70" i="80"/>
  <c r="AD132" i="80" s="1"/>
  <c r="AD65" i="80"/>
  <c r="AD83" i="80" s="1"/>
  <c r="AD79" i="80"/>
  <c r="AD141" i="80" s="1"/>
  <c r="J117" i="116"/>
  <c r="AE85" i="80"/>
  <c r="AD115" i="80"/>
  <c r="AD126" i="80" s="1"/>
  <c r="AC195" i="80"/>
  <c r="AC196" i="80" s="1"/>
  <c r="AE104" i="80"/>
  <c r="AE61" i="80"/>
  <c r="AE52" i="80"/>
  <c r="AE60" i="80"/>
  <c r="AD151" i="80" l="1"/>
  <c r="AD177" i="80"/>
  <c r="AD182" i="80" s="1"/>
  <c r="AD190" i="80" s="1"/>
  <c r="AD238" i="80"/>
  <c r="AD127" i="80"/>
  <c r="AE78" i="80"/>
  <c r="AE140" i="80" s="1"/>
  <c r="V122" i="116" s="1"/>
  <c r="AE64" i="80"/>
  <c r="AE70" i="80"/>
  <c r="AE177" i="80"/>
  <c r="AE132" i="80"/>
  <c r="AE151" i="80"/>
  <c r="AD149" i="80"/>
  <c r="AD82" i="80"/>
  <c r="AD144" i="80" s="1"/>
  <c r="AE234" i="80"/>
  <c r="AE79" i="80"/>
  <c r="AE141" i="80"/>
  <c r="V123" i="116" s="1"/>
  <c r="AE65" i="80"/>
  <c r="AE83" i="80" s="1"/>
  <c r="AE115" i="80"/>
  <c r="AE126" i="80" s="1"/>
  <c r="AE238" i="80" s="1"/>
  <c r="AD184" i="80" l="1"/>
  <c r="AD192" i="80" s="1"/>
  <c r="AD180" i="80"/>
  <c r="AD188" i="80" s="1"/>
  <c r="AD185" i="80"/>
  <c r="AD193" i="80" s="1"/>
  <c r="AD183" i="80"/>
  <c r="AD191" i="80" s="1"/>
  <c r="AD181" i="80"/>
  <c r="AD189" i="80" s="1"/>
  <c r="X47" i="74"/>
  <c r="X43" i="74" s="1"/>
  <c r="X33" i="75"/>
  <c r="X29" i="75" s="1"/>
  <c r="J108" i="116"/>
  <c r="AE127" i="80"/>
  <c r="AE144" i="80"/>
  <c r="AE82" i="80"/>
  <c r="AE149" i="80" s="1"/>
  <c r="AE180" i="80"/>
  <c r="AE188" i="80" s="1"/>
  <c r="AE185" i="80"/>
  <c r="AE193" i="80" s="1"/>
  <c r="AE183" i="80"/>
  <c r="AE191" i="80" s="1"/>
  <c r="AE184" i="80"/>
  <c r="AE192" i="80" s="1"/>
  <c r="AE181" i="80"/>
  <c r="AE189" i="80" s="1"/>
  <c r="AE182" i="80"/>
  <c r="AE190" i="80" s="1"/>
  <c r="AD195" i="80" l="1"/>
  <c r="AD196" i="80" s="1"/>
  <c r="X48" i="74"/>
  <c r="X44" i="74" s="1"/>
  <c r="X34" i="75"/>
  <c r="X30" i="75" s="1"/>
  <c r="J109" i="116"/>
  <c r="AE195" i="80"/>
  <c r="AE196"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Q5" authorId="0" shapeId="0" xr:uid="{00000000-0006-0000-0000-000001000000}">
      <text>
        <r>
          <rPr>
            <sz val="9"/>
            <color indexed="81"/>
            <rFont val="Tahoma"/>
            <family val="2"/>
          </rPr>
          <t xml:space="preserve">Wenn Finanzströme über einen Zeitraum von 25 Jahren hinweg betrachtet werden, muss der Zeitwert des Geldes berücksichtigt werden. Standardmässig werden alle monetären Daten im EEG-Rechner nominal angegeben (also ohne Inflationsbereinigung). Alternativ dazu können die Ergebnisse auch real dargestellt werden, d.h. der Geldwert wird inflationsbereinigt und auf das aktuelle Jahr umgerechnet. Durch Anklicken der entsprechenden Schaltfläche kann zwischen nominaler und realer Darstellung gewechselt werden. </t>
        </r>
      </text>
    </comment>
    <comment ref="D6" authorId="0" shapeId="0" xr:uid="{00000000-0006-0000-0000-000002000000}">
      <text>
        <r>
          <rPr>
            <sz val="9"/>
            <color indexed="81"/>
            <rFont val="Tahoma"/>
            <family val="2"/>
          </rPr>
          <t>Hier wird festgelegt, wie schnell der Ausbau erneuerbarer Erzeugungskapazitäten stattfinden soll. Ein stärkerer Ausbau führt zu höheren Vergütungszahlen und damit zu einem Anstieg der EEG-Umlage. Eingegeben wird, wie viel Erzeugungskapazität pro Jahr zugebaut wird („Brutto-Zubau“). Das Ausscheiden alter Anlagen aus dem EEG nach Ende der 20 Jahre dauernden Förderperiode wird hierbei also nicht berücksichtigt.</t>
        </r>
      </text>
    </comment>
    <comment ref="J6" authorId="0" shapeId="0" xr:uid="{00000000-0006-0000-0000-000003000000}">
      <text>
        <r>
          <rPr>
            <sz val="9"/>
            <color indexed="81"/>
            <rFont val="Tahoma"/>
            <family val="2"/>
          </rPr>
          <t xml:space="preserve">Diesen Vergütungssatz erhalten Anlagenbetreiber pro Kilowattstunde produzierten Stroms. Auf Grund des technologischen Fortschrittes sinken die Vergütungssätze im Verlauf der Zeit, das Ausmaß des Absinkens ist jedoch unsicher. Im Referenzszenario werden moderate Kostensen-kungen angenommen. </t>
        </r>
      </text>
    </comment>
    <comment ref="C8" authorId="0" shapeId="0" xr:uid="{00000000-0006-0000-0000-000004000000}">
      <text>
        <r>
          <rPr>
            <sz val="9"/>
            <color indexed="81"/>
            <rFont val="Tahoma"/>
            <family val="2"/>
          </rPr>
          <t xml:space="preserve">Im EEG 2014 ist für Wind Onshore ein Ausbauziel von 2,5GW/a (netto) vorgesehen. 
</t>
        </r>
      </text>
    </comment>
    <comment ref="C9" authorId="0" shapeId="0" xr:uid="{00000000-0006-0000-0000-000005000000}">
      <text>
        <r>
          <rPr>
            <sz val="9"/>
            <color indexed="81"/>
            <rFont val="Tahoma"/>
            <family val="2"/>
          </rPr>
          <t>Ende 2014 waren in Deutschland ca. 1GW Offshore-Windkraftanlagen installiert. Im EEG 2014 wird als Ausbauziel eine Gesamtkapazität von 15GW im Jahr 2030 definiert. Dies ent-spricht einer konstanten Ausbaurate  von ca. 0,9GW/a.</t>
        </r>
      </text>
    </comment>
    <comment ref="I9" authorId="0" shapeId="0" xr:uid="{00000000-0006-0000-0000-000006000000}">
      <text>
        <r>
          <rPr>
            <sz val="9"/>
            <color indexed="81"/>
            <rFont val="Tahoma"/>
            <family val="2"/>
          </rPr>
          <t xml:space="preserve">Für Wind Offshore ist die Anfangsvergütung gemäß dem Stauchungsmodell (EEG 2014) angegeben. Diese wird (je nachdem, ob die Anlage vor oder nach 2019 gebaut wird), für acht oder 12 Jahre gewährt. Danach sinkt die Vergütung (je nachdem, ob die Anlage vor oder nach 2019 gebaut wird) auf 20% bzw. 25% der Anfangsvergütung. </t>
        </r>
      </text>
    </comment>
    <comment ref="C10" authorId="0" shapeId="0" xr:uid="{00000000-0006-0000-0000-000007000000}">
      <text>
        <r>
          <rPr>
            <sz val="9"/>
            <color indexed="81"/>
            <rFont val="Tahoma"/>
            <family val="2"/>
          </rPr>
          <t>Ende 2014 waren in Deutschland ca. 38GW Photovoltaik installiert. Die maximalen Ausbauraten lagen bei ca. 8GW/a während des Solarbooms 2010-2012. Das im EEG 2014 definierte Ausbauziel liegt bei 2,5GW/a.</t>
        </r>
      </text>
    </comment>
    <comment ref="C11" authorId="0" shapeId="0" xr:uid="{00000000-0006-0000-0000-000008000000}">
      <text>
        <r>
          <rPr>
            <sz val="9"/>
            <color indexed="81"/>
            <rFont val="Tahoma"/>
            <family val="2"/>
          </rPr>
          <t>Ende 2014 betrug die installierte Kapazität von Anlagen zur Verstromung von Biomasse ca. 6,3GW. Laut EEG 2014 soll der jährliche Ausbau auf 0,1GW/a reduziert und damit nahezu gestoppt werden.</t>
        </r>
      </text>
    </comment>
    <comment ref="D17" authorId="0" shapeId="0" xr:uid="{00000000-0006-0000-0000-000009000000}">
      <text>
        <r>
          <rPr>
            <sz val="9"/>
            <color indexed="81"/>
            <rFont val="Tahoma"/>
            <family val="2"/>
          </rPr>
          <t>Für stromintensive Unternehmen gibt es Ausnahmeregelungen, die verhindern sollen, dass sie im internationalen Wettbewerb benachteiligt werden. Wenn die Unternehmen bestimmte Bedingungen erfüllen, müssen sie nur einen geringen Teil der Umlage zahlen. Der Gesetzestext, der diese Regelungen enthält, wird als „Besondere Ausgleichsregelung“ (BesAR) bezeichnet.</t>
        </r>
      </text>
    </comment>
    <comment ref="C19" authorId="0" shapeId="0" xr:uid="{00000000-0006-0000-0000-00000A000000}">
      <text>
        <r>
          <rPr>
            <sz val="9"/>
            <color indexed="81"/>
            <rFont val="Tahoma"/>
            <family val="2"/>
          </rPr>
          <t xml:space="preserve">Die gesamte Strommenge, für die Ausnahmeregelungen in Anspruch genommen werden können. </t>
        </r>
      </text>
    </comment>
    <comment ref="I19" authorId="0" shapeId="0" xr:uid="{00000000-0006-0000-0000-00000B000000}">
      <text>
        <r>
          <rPr>
            <sz val="9"/>
            <color indexed="81"/>
            <rFont val="Tahoma"/>
            <family val="2"/>
          </rPr>
          <t>Der durchschnittliche Preis, zu dem Strom an der Börse gehandelt wird. EEG-Strom wird an der Börse verkauft. Die Höhe der EEG-Umlage wird bestimmt durch die Differenz zwischen Vergütungszahlungen an die Anlagenbetreiber und den Erlösen durch den Verkauf des EEG-Stroms an der Börse. Je größer der Großhandelsstrompreis, desto größer ist auch der Marktwert des EEG-Stroms, und desto niedriger ist die EEG-Umlage.</t>
        </r>
      </text>
    </comment>
    <comment ref="C20" authorId="0" shapeId="0" xr:uid="{00000000-0006-0000-0000-00000C000000}">
      <text>
        <r>
          <rPr>
            <sz val="9"/>
            <color indexed="81"/>
            <rFont val="Tahoma"/>
            <family val="2"/>
          </rPr>
          <t>Den Anteil der Umlage, den privilegierte Unternehmen für den Strom, den sie verbrauchen, grundsätzlich zahlen müssen (wenn für sie keine zusätzlichen Ausnahme- und Übergangsregeln gelten). Im EEG 2014 wurde dieser Anteil auf 15% festgesetzt (20% für Schienenbahnen).</t>
        </r>
      </text>
    </comment>
    <comment ref="I20" authorId="0" shapeId="0" xr:uid="{00000000-0006-0000-0000-00000D000000}">
      <text>
        <r>
          <rPr>
            <sz val="9"/>
            <color indexed="81"/>
            <rFont val="Tahoma"/>
            <family val="2"/>
          </rPr>
          <t xml:space="preserve">Um negative Kontosalden als Folge von Prognosefehlern zu vermeiden, können die ÜNBs einen Sicherheitspuffer von bis zu 10% der Deckungslücke bei der Berechnung der Umlage berücksichtigen. Dieser Puffer wird als Liquiditätsreserve bezeichnet. </t>
        </r>
      </text>
    </comment>
    <comment ref="C21" authorId="0" shapeId="0" xr:uid="{00000000-0006-0000-0000-00000E000000}">
      <text>
        <r>
          <rPr>
            <sz val="9"/>
            <color indexed="81"/>
            <rFont val="Tahoma"/>
            <family val="2"/>
          </rPr>
          <t>Dieser Faktor erfasst die zahlreichen zusätzlichen Ausnahme- und Übergangsregelungen, die dazu führen, dass viele Unternehmen noch weniger zahlen als den regulären Anteil für privilegierte Strommengen. Im Jahr 2015 hat dieser Faktor einen Wert von 53%. Die zusätzlichen Ausnahmeregelungen wirken also so, als wären 53% der privilegierten Strommengen völlig von der Umlage befreit (für die verbleibenden 47% der Strommengen sind 15% der Umlage zu zahlen).</t>
        </r>
      </text>
    </comment>
    <comment ref="I21" authorId="0" shapeId="0" xr:uid="{00000000-0006-0000-0000-00000F000000}">
      <text>
        <r>
          <rPr>
            <sz val="9"/>
            <color indexed="81"/>
            <rFont val="Tahoma"/>
            <family val="2"/>
          </rPr>
          <t xml:space="preserve">Der Kontostand am 30.9., der für die Berechnung der Umlage im folgenden Jahr relevant ist, kann entweder endogen berechnet oder explizit festgelegt werden. </t>
        </r>
      </text>
    </comment>
    <comment ref="I22" authorId="0" shapeId="0" xr:uid="{00000000-0006-0000-0000-000010000000}">
      <text>
        <r>
          <rPr>
            <sz val="9"/>
            <color indexed="81"/>
            <rFont val="Tahoma"/>
            <family val="2"/>
          </rPr>
          <t xml:space="preserve">Jeweils am 15.10. eines Jahres wird die Höhe der Umlage für das kommende Jahr berechnet. Dabei wird der aktuelle Stand des EEG-Kontos berücksichtigt. Ist der Kontostand negativ, steigt die Umlage, ist er positiv, sinkt sie entsprechend. Im EEG-Rechner wird eine Prognose für den Kontostand am 30.9. durchgeführt. An dieser Stelle kann eingegeben werden, dass der reale Kontostand von dieser Prognose abweichen kann (z.B. weil im Sommer besonders viel Sonne scheint und deshalb viele Vergütungssätze gezahlt werden müssen). </t>
        </r>
      </text>
    </comment>
    <comment ref="C26" authorId="0" shapeId="0" xr:uid="{00000000-0006-0000-0000-000011000000}">
      <text>
        <r>
          <rPr>
            <sz val="9"/>
            <color indexed="81"/>
            <rFont val="Tahoma"/>
            <family val="2"/>
          </rPr>
          <t xml:space="preserve">Strommenge aus KWK-Anlagen, die ab 2015 gebaut werden. Laut EEG 2014 muss für diese Strommengen ein Teil der Umlage gezahlt werden. </t>
        </r>
      </text>
    </comment>
    <comment ref="I26" authorId="0" shapeId="0" xr:uid="{00000000-0006-0000-0000-000012000000}">
      <text>
        <r>
          <rPr>
            <sz val="9"/>
            <color indexed="81"/>
            <rFont val="Tahoma"/>
            <family val="2"/>
          </rPr>
          <t xml:space="preserve">Der Nettostromverbrauch ist der gesamte in Deutschland verbrauchte Strom – unabhängig davon, ob er aus dem öffentlichen Netz bezogen oder in eigenen Anlagen erzeugt wird. In den letzten vier Jahren ist der Nettostromverbrauch leicht gesunken. Die zukünftige Entwicklung ist unsicher – zunehmende Effizienz lässt den Stromverbrauch sinken, die zunehmende Verbreitung von Stromanwendungen führt zu einem Anstieg. Im Referenzszenario bleibt der Nettostromverbrauch ab 2021 konstant. </t>
        </r>
      </text>
    </comment>
    <comment ref="C27" authorId="0" shapeId="0" xr:uid="{00000000-0006-0000-0000-000013000000}">
      <text>
        <r>
          <rPr>
            <sz val="9"/>
            <color indexed="81"/>
            <rFont val="Tahoma"/>
            <family val="2"/>
          </rPr>
          <t>Anteil des Stroms aus ab 2015 gebauten Solaranlagen, der vom Besitzer der Anlage selbst verbraucht wird. Auch für diese Strommengen muss laut EEG 2014 ein Teil der Umlage gezahlt werden, wenn die Anlage eine bestimmte Größe überschreitet.</t>
        </r>
      </text>
    </comment>
    <comment ref="I27" authorId="0" shapeId="0" xr:uid="{00000000-0006-0000-0000-000014000000}">
      <text>
        <r>
          <rPr>
            <sz val="9"/>
            <color indexed="81"/>
            <rFont val="Tahoma"/>
            <family val="2"/>
          </rPr>
          <t xml:space="preserve">Dieser Faktor gibt an, in welchem Verhältnis Future-Strompreis (Phelix Base Year Future) und Spotmarkt-Preis (Day Ahead) zueinander stehen. In der Vergangenheit war der Spotmarkt-Preis in der Regel niedriger als der Future-Preis. Bei der Berechnung der Umlage wird der Future-Preis zur Berechnung der erwarteten Vermarktungserlöse verwendet. Der Strom wird jedoch am Day-ahead-Markt verkauft. Dies führt bei einer Preisabweichung zu einem systematischen Prognosefehler. Im Referenzszenario wird eine Abweichung von 10% angenommen. </t>
        </r>
      </text>
    </comment>
    <comment ref="C28" authorId="0" shapeId="0" xr:uid="{00000000-0006-0000-0000-000015000000}">
      <text>
        <r>
          <rPr>
            <sz val="9"/>
            <color indexed="81"/>
            <rFont val="Tahoma"/>
            <family val="2"/>
          </rPr>
          <t>Dieser Parameter beschreibt, welcher Anteil der Umlage für eigenverbrauchten  Strom aus ab 2015 gebauten Solar- und KWK-Anlagen zu zahlen ist.</t>
        </r>
      </text>
    </comment>
    <comment ref="I28" authorId="0" shapeId="0" xr:uid="{00000000-0006-0000-0000-000016000000}">
      <text>
        <r>
          <rPr>
            <sz val="9"/>
            <color indexed="81"/>
            <rFont val="Tahoma"/>
            <family val="2"/>
          </rPr>
          <t xml:space="preserve"> Der Grundgedanke der vermiedenen Netznutzungsentgelte liegt darin, dass durch die dezentrale Einspeisung und Verwendung von Energie ein Teil der Netznutzung der vorgelagerten Netzebenen entfällt und somit Kosten vermieden werden können. Dies resultiert in einem Einnahmeposten in der EEG-Bilanz. Im Referenzszenario wird angenommen, dass die vermiedenen Netznutzungsentgelte pro vergüteter kWh konstant bleiben.</t>
        </r>
      </text>
    </comment>
    <comment ref="C29" authorId="0" shapeId="0" xr:uid="{00000000-0006-0000-0000-000017000000}">
      <text>
        <r>
          <rPr>
            <sz val="9"/>
            <color indexed="81"/>
            <rFont val="Tahoma"/>
            <family val="2"/>
          </rPr>
          <t xml:space="preserve">Dieser Anteil beschreibt, welcher Anteil der Umlage für eigenverbrauchten Strom aus fossilen Bestandskraftwerken zu zahlen ist. Laut EEG 2014 sind diese Anlagen vollständig von der Umlage befreit.  </t>
        </r>
      </text>
    </comment>
    <comment ref="I29" authorId="0" shapeId="0" xr:uid="{00000000-0006-0000-0000-000018000000}">
      <text>
        <r>
          <rPr>
            <sz val="9"/>
            <color indexed="81"/>
            <rFont val="Tahoma"/>
            <family val="2"/>
          </rPr>
          <t>Dies beinhaltet verschiedene kleinere Ausgabenposten (z.B. Zins- und Prognosekosten). Sie werden im Referenzszenario als konstant angenommen.</t>
        </r>
      </text>
    </comment>
    <comment ref="I30" authorId="0" shapeId="0" xr:uid="{00000000-0006-0000-0000-000019000000}">
      <text>
        <r>
          <rPr>
            <sz val="9"/>
            <color indexed="81"/>
            <rFont val="Tahoma"/>
            <family val="2"/>
          </rPr>
          <t xml:space="preserve">Die Inflationsrate wird verwendet, um den Gegenwartswert zukünftiger und vergangener Zahlungen zu bestimmen (Umrechnung zwischen realen und nominalen Zahlungen). Soweit verfügbar, werden empirische Daten des statistischen Bundesamts verwendet. Für die Zukunft wird im Referenzszenario eine Inflationsrate von 1,5%/a angenommen.  </t>
        </r>
      </text>
    </comment>
    <comment ref="E32" authorId="0" shapeId="0" xr:uid="{00000000-0006-0000-0000-00001A000000}">
      <text>
        <r>
          <rPr>
            <sz val="9"/>
            <color indexed="81"/>
            <rFont val="Tahoma"/>
            <family val="2"/>
          </rPr>
          <t xml:space="preserve">Die Standardauslastung (Volllaststunden) beschreibt, wie hoch die durchschnittliche Auslastung einer Anlage im Jahresmittel ist. Die Werte sind technologiespezifisch und darüber hinaus abhängig von der Qualität des Standorts und der Anlagenauslegung. </t>
        </r>
      </text>
    </comment>
    <comment ref="I32" authorId="0" shapeId="0" xr:uid="{00000000-0006-0000-0000-00001B000000}">
      <text>
        <r>
          <rPr>
            <sz val="9"/>
            <color indexed="81"/>
            <rFont val="Tahoma"/>
            <family val="2"/>
          </rPr>
          <t>Der Dargebotsfaktor wird verwendet, um die Stromerzeugung für einzelne Technologiegruppen in bestimmten Jahren zu skalieren. So können verschiedene meteorologische Verhältnisse simuliert werden (gutes / schlechtes Windjahr).</t>
        </r>
      </text>
    </comment>
    <comment ref="L32" authorId="0" shapeId="0" xr:uid="{00000000-0006-0000-0000-00001C000000}">
      <text>
        <r>
          <rPr>
            <sz val="9"/>
            <color indexed="81"/>
            <rFont val="Tahoma"/>
            <family val="2"/>
          </rPr>
          <t>Der Profilfaktor beschreibt das Verhältnis zwischen jahresdurchschnittlichem Strompreis und dem durchschnittlichen Marktwert für erneuerbar erzeugten Strom. Für dargebotsabhängige erneuerbare Stromerzeugung (Wind und Photovoltaik) ist der Marktwert in der Regel niedriger als der durchschnittliche Strompreis, weil durch die stark zeitlich korrelierte Einspeisung der Anlagen der Strompreis, wenn erneuerbare Anlagen viel Strom einspeisen, besonders niedrig ist.</t>
        </r>
      </text>
    </comment>
    <comment ref="E43" authorId="0" shapeId="0" xr:uid="{00000000-0006-0000-0000-00001D000000}">
      <text>
        <r>
          <rPr>
            <sz val="9"/>
            <color indexed="81"/>
            <rFont val="Tahoma"/>
            <family val="2"/>
          </rPr>
          <t xml:space="preserve">Hier kann definiert werden, für wie viele Jahre nach Ende der zwanzigjährigen Förderperiode EE-Anlagen weiterhin Strom ins Netz einspeisen, ohne dafür Vergütungszahlungen zu erhalten. Dieser Parameter beeinflusst nicht die Zahlungsströme innerhalb des EEGs. Der außerhalb des EEG erzeugte EE-Strom wird jedoch bei der Berechnung des EE-Anteils am Bruttostromverbrauch berücksichtigt.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fabian.hein</author>
  </authors>
  <commentList>
    <comment ref="P10" authorId="0" shapeId="0" xr:uid="{00000000-0006-0000-0F00-000001000000}">
      <text>
        <r>
          <rPr>
            <b/>
            <sz val="11"/>
            <color indexed="81"/>
            <rFont val="Segoe UI"/>
            <family val="2"/>
          </rPr>
          <t>fabian.hein:</t>
        </r>
        <r>
          <rPr>
            <sz val="11"/>
            <color indexed="81"/>
            <rFont val="Segoe UI"/>
            <family val="2"/>
          </rPr>
          <t xml:space="preserve">
korrigiert von 1,9 auf 1,5 GW gemäß Vorhersage des BWE 
https://www.wind-energie.de/presse/pressemitteilungen/detail/halbjahreszahlen-windenergie-an-land-historisch-niedriger-zubau-trotz-sehr-guter-wachstumsperspekti/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cl</author>
  </authors>
  <commentList>
    <comment ref="D7" authorId="0" shapeId="0" xr:uid="{00000000-0006-0000-1900-000001000000}">
      <text>
        <r>
          <rPr>
            <b/>
            <sz val="9"/>
            <color indexed="81"/>
            <rFont val="Tahoma"/>
            <family val="2"/>
          </rPr>
          <t>cl:</t>
        </r>
        <r>
          <rPr>
            <sz val="9"/>
            <color indexed="81"/>
            <rFont val="Tahoma"/>
            <family val="2"/>
          </rPr>
          <t xml:space="preserve">
Historische Umlagesätze in Prozentwerte umgerechnet (Einnahmen durch privilegierten Letztverbrauch/Strommenge privilegierten Letztverbrauch/EEG-Umlage)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Markus Haller</author>
    <author>cl</author>
  </authors>
  <commentList>
    <comment ref="B1" authorId="0" shapeId="0" xr:uid="{00000000-0006-0000-1F00-000001000000}">
      <text>
        <r>
          <rPr>
            <b/>
            <sz val="9"/>
            <color indexed="81"/>
            <rFont val="Tahoma"/>
            <family val="2"/>
          </rPr>
          <t>Markus Haller:</t>
        </r>
        <r>
          <rPr>
            <sz val="9"/>
            <color indexed="81"/>
            <rFont val="Tahoma"/>
            <family val="2"/>
          </rPr>
          <t xml:space="preserve">
* Profilserviceaufwand
* Kosten für Börsenzulassung und Handelsanbindung
* Zinskosten
* EEG-Bonus
* in 2013: Kosten für Nachrüstung zur Behebung von 50,2Hz</t>
        </r>
      </text>
    </comment>
    <comment ref="D7" authorId="1" shapeId="0" xr:uid="{00000000-0006-0000-1F00-000002000000}">
      <text>
        <r>
          <rPr>
            <b/>
            <sz val="9"/>
            <color indexed="81"/>
            <rFont val="Tahoma"/>
            <family val="2"/>
          </rPr>
          <t>cl:</t>
        </r>
        <r>
          <rPr>
            <sz val="9"/>
            <color indexed="81"/>
            <rFont val="Tahoma"/>
            <family val="2"/>
          </rPr>
          <t xml:space="preserve">
 Enthält Profilserviceaufwand, Kosten für Börsenzulassung und Handelsanbindung, Zinsen, EEG-Bonus, Einnahmen aus Kapazitätsversteigerungen offshore, Einnahmen nach § 103 Abs. 6 EEG i.V.m. § 75 EEG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cl</author>
  </authors>
  <commentList>
    <comment ref="B6" authorId="0" shapeId="0" xr:uid="{00000000-0006-0000-2300-000001000000}">
      <text>
        <r>
          <rPr>
            <sz val="9"/>
            <color indexed="81"/>
            <rFont val="Tahoma"/>
            <family val="2"/>
          </rPr>
          <t xml:space="preserve">nicht variierbar
</t>
        </r>
      </text>
    </comment>
    <comment ref="B7" authorId="0" shapeId="0" xr:uid="{00000000-0006-0000-2300-000002000000}">
      <text>
        <r>
          <rPr>
            <sz val="9"/>
            <color indexed="81"/>
            <rFont val="Tahoma"/>
            <family val="2"/>
          </rPr>
          <t xml:space="preserve">nicht variierbar
</t>
        </r>
      </text>
    </comment>
    <comment ref="B8" authorId="0" shapeId="0" xr:uid="{00000000-0006-0000-2300-000003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 ref="B9" authorId="0" shapeId="0" xr:uid="{00000000-0006-0000-2300-000004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 ref="B10" authorId="0" shapeId="0" xr:uid="{00000000-0006-0000-2300-000005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 ref="B11" authorId="0" shapeId="0" xr:uid="{00000000-0006-0000-2300-000006000000}">
      <text>
        <r>
          <rPr>
            <sz val="9"/>
            <color indexed="81"/>
            <rFont val="Tahoma"/>
            <family val="2"/>
          </rPr>
          <t>nicht variierbar</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C4" authorId="0" shapeId="0" xr:uid="{00000000-0006-0000-0100-000001000000}">
      <text>
        <r>
          <rPr>
            <b/>
            <sz val="8"/>
            <color indexed="81"/>
            <rFont val="Tahoma"/>
            <family val="2"/>
          </rPr>
          <t>Markus Haller:</t>
        </r>
        <r>
          <rPr>
            <sz val="8"/>
            <color indexed="81"/>
            <rFont val="Tahoma"/>
            <family val="2"/>
          </rPr>
          <t xml:space="preserve">
Hier drin steht, ob wir gerade im Expertenmodus oder im Entscheidermodus sind. Entsprechend dem Inhalt dieses Feldes wird auf diesem Blatt entweder die die Schalterstellung aus "Parameter-Entscheider" oder aus "Start-Experte" übernommen.</t>
        </r>
      </text>
    </comment>
    <comment ref="D59" authorId="0" shapeId="0" xr:uid="{00000000-0006-0000-0100-000002000000}">
      <text>
        <r>
          <rPr>
            <b/>
            <sz val="8"/>
            <color indexed="81"/>
            <rFont val="Tahoma"/>
            <family val="2"/>
          </rPr>
          <t>Markus Haller:</t>
        </r>
        <r>
          <rPr>
            <sz val="8"/>
            <color indexed="81"/>
            <rFont val="Tahoma"/>
            <family val="2"/>
          </rPr>
          <t xml:space="preserve">
Hier wird eingetragen, ab welchem Jahr nicht mehr eine ÜNB-Jahresprognose nachgerechnet, sondern eine eigene Prognose gerechnet werden soll. Wenn am 15.10. eine neue Jahresprognose eingepflegt worden ist, muss hier also ein Jahr hochgezählt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Q5" authorId="0" shapeId="0" xr:uid="{00000000-0006-0000-0300-000001000000}">
      <text>
        <r>
          <rPr>
            <sz val="9"/>
            <color indexed="81"/>
            <rFont val="Tahoma"/>
            <family val="2"/>
          </rPr>
          <t xml:space="preserve">Wenn Finanzströme über einen Zeitraum von 25 Jahren hinweg betrachtet werden, muss der Zeitwert des Geldes berücksichtigt werden. Standardmässig werden alle monetären Daten im EEG-Rechner nominal angegeben (also ohne Inflationsbereinigung). Alternativ dazu können die Ergebnisse auch real dargestellt werden, d.h. der Geldwert wird inflationsbereinigt und auf das aktuelle Jahr umgerechnet. Durch Anklicken der entsprechenden Schaltfläche kann zwischen nominaler und realer Darstellung gewechselt werden. </t>
        </r>
      </text>
    </comment>
    <comment ref="D6" authorId="0" shapeId="0" xr:uid="{00000000-0006-0000-0300-000002000000}">
      <text>
        <r>
          <rPr>
            <sz val="9"/>
            <color indexed="81"/>
            <rFont val="Tahoma"/>
            <family val="2"/>
          </rPr>
          <t>Hier wird festgelegt, wie schnell der Ausbau erneuerbarer Erzeugungskapazitäten stattfinden soll. Ein stärkerer Ausbau führt zu höheren Vergütungszahlen und damit zu einem Anstieg der EEG-Umlage. Eingegeben wird, wie viel Erzeugungskapazität pro Jahr zugebaut wird („Brutto-Zubau“). Das Ausscheiden alter Anlagen aus dem EEG nach Ende der 20 Jahre dauernden Förderperiode wird hierbei also nicht berücksichtigt.</t>
        </r>
      </text>
    </comment>
    <comment ref="J6" authorId="0" shapeId="0" xr:uid="{00000000-0006-0000-0300-000003000000}">
      <text>
        <r>
          <rPr>
            <sz val="9"/>
            <color indexed="81"/>
            <rFont val="Tahoma"/>
            <family val="2"/>
          </rPr>
          <t xml:space="preserve">Diesen Vergütungssatz erhalten Anlagenbetreiber pro Kilowattstunde produzierten Stroms. Auf Grund des technologischen Fortschrittes sinken die Vergütungssätze im Verlauf der Zeit, das Ausmaß des Absinkens ist jedoch unsicher. Im Referenzszenario werden moderate Kostensenkungen angenommen. </t>
        </r>
      </text>
    </comment>
    <comment ref="C8" authorId="0" shapeId="0" xr:uid="{00000000-0006-0000-0300-000004000000}">
      <text>
        <r>
          <rPr>
            <sz val="9"/>
            <color indexed="81"/>
            <rFont val="Tahoma"/>
            <family val="2"/>
          </rPr>
          <t xml:space="preserve">Im EEG 2014 ist für Wind Onshore ein Ausbauziel von 2,5GW/a (netto) vorgesehen. </t>
        </r>
      </text>
    </comment>
    <comment ref="C9" authorId="0" shapeId="0" xr:uid="{00000000-0006-0000-0300-000005000000}">
      <text>
        <r>
          <rPr>
            <sz val="9"/>
            <color indexed="81"/>
            <rFont val="Tahoma"/>
            <family val="2"/>
          </rPr>
          <t>Ende 2014 waren in Deutschland ca. 1GW Offshore-Windkraftanlagen installiert. Im EEG 2014 wird als Ausbauziel eine Gesamtkapazität von 15GW im Jahr 2030 definiert. Dies entspricht einer konstanten Ausbaurate  von ca. 0,9GW/a.</t>
        </r>
      </text>
    </comment>
    <comment ref="I9" authorId="0" shapeId="0" xr:uid="{00000000-0006-0000-0300-000006000000}">
      <text>
        <r>
          <rPr>
            <sz val="9"/>
            <color indexed="81"/>
            <rFont val="Tahoma"/>
            <family val="2"/>
          </rPr>
          <t xml:space="preserve">Für Wind Offshore ist die Anfangsvergütung gemäß dem Stauchungsmodell (EEG 2014) angegeben. Diese wird (je nachdem, ob die Anlage vor oder nach 2019 gebaut wird), für acht oder 12 Jahre gewährt. Danach sinkt die Vergütung (je nachdem, ob die Anlage vor oder nach 2019 gebaut wird) auf 20% bzw. 25% der Anfangsvergütung. </t>
        </r>
      </text>
    </comment>
    <comment ref="C10" authorId="0" shapeId="0" xr:uid="{00000000-0006-0000-0300-000007000000}">
      <text>
        <r>
          <rPr>
            <sz val="9"/>
            <color indexed="81"/>
            <rFont val="Tahoma"/>
            <family val="2"/>
          </rPr>
          <t>Ende 2014 waren in Deutschland ca. 38GW Photovoltaik installiert. Die maximalen Ausbau-raten lagen bei ca. 8GW/a während des Solarbooms 2010-2012. Das im EEG 2014 definierte Ausbauziel liegt bei 2,5GW/a.</t>
        </r>
      </text>
    </comment>
    <comment ref="C11" authorId="0" shapeId="0" xr:uid="{00000000-0006-0000-0300-000008000000}">
      <text>
        <r>
          <rPr>
            <sz val="9"/>
            <color indexed="81"/>
            <rFont val="Tahoma"/>
            <family val="2"/>
          </rPr>
          <t>Ende 2014 betrug die installierte Kapazität von Anlagen zur Verstromung von Biomasse ca. 6,3GW. Laut EEG 2014 soll der jährliche Ausbau auf 0,1GW/a reduziert und damit nahezu gestoppt werden.</t>
        </r>
      </text>
    </comment>
    <comment ref="C12" authorId="0" shapeId="0" xr:uid="{00000000-0006-0000-0300-000009000000}">
      <text>
        <r>
          <rPr>
            <sz val="9"/>
            <color indexed="81"/>
            <rFont val="Tahoma"/>
            <family val="2"/>
          </rPr>
          <t>Diese Technologie spielt im Gesamtbild eine eher untergeordnete Rolle. Im Entscheidermodus ist für den Ausbau nur ein Referenzszenario mit sehr geringen Ausbauraten hinterlegt. Im Expertenmodus können jedoch beliebige benutzerdefinierte Szenarien eingegeben werden.</t>
        </r>
      </text>
    </comment>
    <comment ref="I12" authorId="0" shapeId="0" xr:uid="{00000000-0006-0000-0300-00000A000000}">
      <text>
        <r>
          <rPr>
            <sz val="9"/>
            <color indexed="81"/>
            <rFont val="Tahoma"/>
            <family val="2"/>
          </rPr>
          <t>Diese Technologie spielt im Gesamtbild eine eher untergeordnete Rolle. Im Entscheidermodus ist für die Entwicklung der Vergütungssätze nur ein Referenzszenario hinterlegt. Im Expertenmodus können jedoch beliebige benutzerdefinierte Szenarien eingegeben werden.</t>
        </r>
      </text>
    </comment>
    <comment ref="C13" authorId="0" shapeId="0" xr:uid="{00000000-0006-0000-0300-00000B000000}">
      <text>
        <r>
          <rPr>
            <sz val="9"/>
            <color indexed="81"/>
            <rFont val="Tahoma"/>
            <family val="2"/>
          </rPr>
          <t>Diese Technologie spielt im Gesamtbild eine eher untergeordnete Rolle. Im Entscheidermodus ist für den Ausbau nur ein Referenzszenario mit geringen Ausbauraten hinterlegt. Im Expertenmodus können jedoch beliebige benutzerdefinierte Szenarien eingegeben werden.</t>
        </r>
      </text>
    </comment>
    <comment ref="I13" authorId="0" shapeId="0" xr:uid="{00000000-0006-0000-0300-00000C000000}">
      <text>
        <r>
          <rPr>
            <sz val="9"/>
            <color indexed="81"/>
            <rFont val="Tahoma"/>
            <family val="2"/>
          </rPr>
          <t>Diese Technologie spielt im Gesamtbild eine eher untergeordnete Rolle. Im Entscheidermodus ist für die Entwicklung der Vergütungssätze nur ein Referenzszenario hinterlegt. Im Expertenmodus können jedoch beliebige benutzerdefinierte Szenarien eingegeben werden.</t>
        </r>
      </text>
    </comment>
    <comment ref="C14" authorId="0" shapeId="0" xr:uid="{00000000-0006-0000-0300-00000D000000}">
      <text>
        <r>
          <rPr>
            <sz val="9"/>
            <color indexed="81"/>
            <rFont val="Tahoma"/>
            <family val="2"/>
          </rPr>
          <t>Diese Technologie spielt im Gesamtbild eine eher untergeordnete Rolle. Im Entscheidermodus ist für den Ausbau nur ein Referenzszenario mit sehr geringen Ausbauraten hinterlegt. Im Expertenmodus können jedoch beliebige benutzerdefinierte Szenarien eingegeben werden.</t>
        </r>
      </text>
    </comment>
    <comment ref="I14" authorId="0" shapeId="0" xr:uid="{00000000-0006-0000-0300-00000E000000}">
      <text>
        <r>
          <rPr>
            <sz val="9"/>
            <color indexed="81"/>
            <rFont val="Tahoma"/>
            <family val="2"/>
          </rPr>
          <t>Diese Technologie spielt im Gesamtbild eine eher untergeordnete Rolle. Im Entscheidermodus ist für die Entwicklung der Vergütungssätze nur ein Referenzszenario hinterlegt. Im Expertenmodus können jedoch beliebige benutzerdefinierte Szenarien eingegeben werden.</t>
        </r>
      </text>
    </comment>
    <comment ref="D17" authorId="0" shapeId="0" xr:uid="{00000000-0006-0000-0300-00000F000000}">
      <text>
        <r>
          <rPr>
            <sz val="9"/>
            <color indexed="81"/>
            <rFont val="Tahoma"/>
            <family val="2"/>
          </rPr>
          <t>Für stromintensive Unternehmen gibt es Ausnahmeregelungen, die verhindern sollen, dass sie im internationalen Wettbewerb benachteiligt werden. Wenn die Unternehmen bestimmte Bedingungen erfüllen, müssen sie nur einen geringen Teil der Umlage zahlen. Der Gesetzestext, der diese Regelungen enthält, wird als „Besondere Ausgleichsregelung“ (BesAR) bezeichnet.</t>
        </r>
      </text>
    </comment>
    <comment ref="C19" authorId="0" shapeId="0" xr:uid="{00000000-0006-0000-0300-000010000000}">
      <text>
        <r>
          <rPr>
            <sz val="9"/>
            <color indexed="81"/>
            <rFont val="Arial"/>
            <family val="2"/>
          </rPr>
          <t xml:space="preserve">Die gesamte Strommenge, für die Ausnahmeregelungen in Anspruch genommen werden können. </t>
        </r>
      </text>
    </comment>
    <comment ref="I19" authorId="0" shapeId="0" xr:uid="{00000000-0006-0000-0300-000011000000}">
      <text>
        <r>
          <rPr>
            <sz val="9"/>
            <color indexed="81"/>
            <rFont val="Tahoma"/>
            <family val="2"/>
          </rPr>
          <t>Der durchschnittliche Preis, zu dem Strom an der Börse gehandelt wird. EEG-Strom wird an der Börse verkauft. Die Höhe der EEG-Umlage wird bestimmt durch die Differenz zwischen Vergütungszahlungen an die Anlagenbetreiber und den Erlösen durch den Verkauf des EEG-Stroms an der Börse. Je größer der Großhandelsstrompreis, desto größer ist auch der Marktwert des EEG-Stroms, und desto niedriger ist die EEG-Umlage.</t>
        </r>
      </text>
    </comment>
    <comment ref="C20" authorId="0" shapeId="0" xr:uid="{00000000-0006-0000-0300-000012000000}">
      <text>
        <r>
          <rPr>
            <sz val="9"/>
            <color indexed="81"/>
            <rFont val="Tahoma"/>
            <family val="2"/>
          </rPr>
          <t>Den Anteil der Umlage, den privilegierte Unternehmen für den Strom, den sie verbrauchen, grundsätzlich zahlen müssen (wenn für sie keine zusätzlichen Ausnahme- und Übergangsregeln gelten). Im EEG 2014 wurde dieser Anteil auf 15% festgesetzt (20% für Schienenbahnen).</t>
        </r>
      </text>
    </comment>
    <comment ref="I20" authorId="0" shapeId="0" xr:uid="{00000000-0006-0000-0300-000013000000}">
      <text>
        <r>
          <rPr>
            <sz val="9"/>
            <color indexed="81"/>
            <rFont val="Tahoma"/>
            <family val="2"/>
          </rPr>
          <t xml:space="preserve">Jeweils am 15.10. eines Jahres wird die Höhe der Umlage für das kommende Jahr berechnet. Dabei wird der aktuelle Stand des EEG-Kontos berücksichtigt. Ist der Kontostand negativ, steigt die Umlage, ist er positiv, sinkt sie entsprechend. Im EEG-Rechner wird eine Prognose für den Kontostand am 30.9. durchgeführt. An dieser Stelle kann eingegeben werden, dass der reale Kontostand von dieser Prognose abweichen kann (z.B. weil im Sommer besonders viel Sonne scheint und deshalb viele Vergütungssätze gezahlt werden müssen). </t>
        </r>
      </text>
    </comment>
    <comment ref="C21" authorId="0" shapeId="0" xr:uid="{00000000-0006-0000-0300-000014000000}">
      <text>
        <r>
          <rPr>
            <sz val="9"/>
            <color indexed="81"/>
            <rFont val="Tahoma"/>
            <family val="2"/>
          </rPr>
          <t>Dieser Faktor erfasst die zahlreichen zusätzlichen Ausnahme- und Übergangsregelungen, die dazu führen, dass viele Unternehmen noch weniger zahlen als den regulären Anteil für privilegierte Strommengen. Im Jahr 2015 hat dieser Faktor einen Wert von 53%. Die zusätzlichen Ausnahmeregelungen wirken also so, als wären 53% der privilegierten Strommengen völlig von der Umlage befreit (für die verbleibenden 47% der Strommengen sind 15% der Umlage zu zahlen).</t>
        </r>
      </text>
    </comment>
    <comment ref="D24" authorId="0" shapeId="0" xr:uid="{00000000-0006-0000-0300-000015000000}">
      <text>
        <r>
          <rPr>
            <sz val="9"/>
            <color indexed="81"/>
            <rFont val="Tahoma"/>
            <family val="2"/>
          </rPr>
          <t xml:space="preserve">Von Eigenverbrauch spricht man, wenn der Besitzer einer Anlage den von ihm erzeugten Strom selbst verbraucht. In diese Kategorie fallen vor allem fossile Kraftwerke in großen Industrie-Unternehmen – diese Kraftwerke decken im Jahr 2015 etwa 12% des gesamten Stromverbrauchs. Eine heute noch sehr kleine, in Zukunft aber wachsende Rolle spielt der der Eigenverbrauch von Strom, der in Photovoltaikanlagen oder Anlagen zu Kraft-Wärme-Kopplung (KWK) erzeugt werden. Der größte Teil des Eigenverbrauchs ist vollständig von der EEG-Umlage befreit. Erst seit 2014 muss für einige Eigenverbrauchs-Kategorien ein Teil der Umlage gezahlt werden. </t>
        </r>
      </text>
    </comment>
    <comment ref="C26" authorId="0" shapeId="0" xr:uid="{00000000-0006-0000-0300-000016000000}">
      <text>
        <r>
          <rPr>
            <sz val="9"/>
            <color indexed="81"/>
            <rFont val="Tahoma"/>
            <family val="2"/>
          </rPr>
          <t xml:space="preserve">Strommenge aus KWK-Anlagen, die ab 2015 gebaut werden. Laut EEG 2014 muss für diese Strommengen ein Teil der Umlage gezahlt werden. </t>
        </r>
      </text>
    </comment>
    <comment ref="C27" authorId="0" shapeId="0" xr:uid="{00000000-0006-0000-0300-000017000000}">
      <text>
        <r>
          <rPr>
            <sz val="9"/>
            <color indexed="81"/>
            <rFont val="Tahoma"/>
            <family val="2"/>
          </rPr>
          <t>Anteil des Stroms aus ab 2015 gebauten Solaranlagen, der vom Besitzer der Anlage selbst verbraucht wird. Auch für diese Strommengen muss laut EEG 2014 ein Teil der Umlage gezahlt werden, wenn die Anlage eine bestimmte Größe überschreitet.</t>
        </r>
      </text>
    </comment>
    <comment ref="C28" authorId="0" shapeId="0" xr:uid="{00000000-0006-0000-0300-000018000000}">
      <text>
        <r>
          <rPr>
            <sz val="9"/>
            <color indexed="81"/>
            <rFont val="Tahoma"/>
            <family val="2"/>
          </rPr>
          <t>Dieser Parameter beschreibt, welcher Anteil der Umlage für eigenverbrauchten  Strom aus ab 2015 gebauten Solar- und KWK-Anlagen zu zahlen ist.</t>
        </r>
      </text>
    </comment>
    <comment ref="C29" authorId="0" shapeId="0" xr:uid="{00000000-0006-0000-0300-000019000000}">
      <text>
        <r>
          <rPr>
            <sz val="9"/>
            <color indexed="81"/>
            <rFont val="Tahoma"/>
            <family val="2"/>
          </rPr>
          <t xml:space="preserve">Dieser Anteil beschreibt, welcher Anteil der Umlage für eigenverbrauchten Strom aus fossilen Bestandskraftwerken zu zahlen ist. Laut EEG 2014 sind diese Anlagen vollständig von der Umlage befreit.  </t>
        </r>
      </text>
    </comment>
    <comment ref="C34" authorId="0" shapeId="0" xr:uid="{00000000-0006-0000-0300-00001A000000}">
      <text>
        <r>
          <rPr>
            <sz val="9"/>
            <color indexed="81"/>
            <rFont val="Tahoma"/>
            <family val="2"/>
          </rPr>
          <t xml:space="preserve">Der Nettostromverbrauch ist der gesamte in Deutschland verbrauchte Strom – unabhängig davon, ob er aus dem öffentlichen Netz bezogen oder in eigenen Anlagen erzeugt wird. In den letzten vier Jahren ist der Nettostromverbrauch leicht gesunken. Die zukünftige Entwicklung ist unsicher – zunehmende Effizienz lässt den Stromverbrauch sinken, die zunehmende Verbreitung von Stromanwendungen führt zu einem Anstieg. Im Referenzszenario bleibt der Nettostromverbrauch ab 2021 konstant.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U6" authorId="0" shapeId="0" xr:uid="{00000000-0006-0000-0400-000001000000}">
      <text>
        <r>
          <rPr>
            <sz val="9"/>
            <color indexed="81"/>
            <rFont val="Tahoma"/>
            <family val="2"/>
          </rPr>
          <t xml:space="preserve">Wenn Finanzströme über einen Zeitraum von 25 Jahren hinweg betrachtet werden, muss der Zeitwert des Geldes berücksichtigt werden. Standardmässig werden alle monetären Daten im EEG-Rechner nominal angegeben (also ohne Inflationsbereinigung). Alternativ dazu können die Ergebnisse auch real dargestellt werden, d.h. der Geldwert wird inflationsbereinigt und auf das aktuelle Jahr umgerechnet. Durch Anklicken der entsprechenden Schaltfläche kann zwischen nominaler und realer Darstellung gewechselt werden. </t>
        </r>
      </text>
    </comment>
    <comment ref="O104" authorId="0" shapeId="0" xr:uid="{00000000-0006-0000-0400-000002000000}">
      <text>
        <r>
          <rPr>
            <sz val="9"/>
            <color indexed="81"/>
            <rFont val="Tahoma"/>
            <family val="2"/>
          </rPr>
          <t>Summe aus Vergütungszahlungen, Marktprämie und Managementprämie, abzüglich Vermarktungserlösen</t>
        </r>
      </text>
    </comment>
    <comment ref="O115" authorId="0" shapeId="0" xr:uid="{00000000-0006-0000-0400-000003000000}">
      <text>
        <r>
          <rPr>
            <sz val="9"/>
            <color indexed="81"/>
            <rFont val="Tahoma"/>
            <family val="2"/>
          </rPr>
          <t>Summe aus Vergütungszahlungen, Marktprämie und Managementprämie, abzüglich Vermarktungserlösen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E3" authorId="0" shapeId="0" xr:uid="{00000000-0006-0000-0900-000001000000}">
      <text>
        <r>
          <rPr>
            <sz val="9"/>
            <color indexed="81"/>
            <rFont val="Tahoma"/>
            <family val="2"/>
          </rPr>
          <t xml:space="preserve">Die Daten zu den in der Benutzeroberfläche ausgewählten Szenarien werden hier aus den Bibliotheks-Sheets ausgelesen. </t>
        </r>
      </text>
    </comment>
    <comment ref="A5" authorId="0" shapeId="0" xr:uid="{00000000-0006-0000-0900-000002000000}">
      <text>
        <r>
          <rPr>
            <sz val="9"/>
            <color indexed="81"/>
            <rFont val="Tahoma"/>
            <family val="2"/>
          </rPr>
          <t>Zeilennummer in v3.0.0</t>
        </r>
      </text>
    </comment>
    <comment ref="E394" authorId="0" shapeId="0" xr:uid="{00000000-0006-0000-0900-000003000000}">
      <text>
        <r>
          <rPr>
            <sz val="9"/>
            <color indexed="81"/>
            <rFont val="Tahoma"/>
            <family val="2"/>
          </rPr>
          <t>Um diesen Betrag muss die prognostizierte Deckungslücke korrigiert werden, um (bei unverändertem anzulegendem Letztverbrauch) die von den ÜNB berechnete Umlage exakt zu treffen.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A5" authorId="0" shapeId="0" xr:uid="{00000000-0006-0000-0A00-000001000000}">
      <text>
        <r>
          <rPr>
            <sz val="9"/>
            <color indexed="81"/>
            <rFont val="Tahoma"/>
            <family val="2"/>
          </rPr>
          <t>Zeilennummer in v3.0.0</t>
        </r>
      </text>
    </comment>
    <comment ref="B6" authorId="0" shapeId="0" xr:uid="{00000000-0006-0000-0A00-000002000000}">
      <text>
        <r>
          <rPr>
            <b/>
            <sz val="8"/>
            <color indexed="81"/>
            <rFont val="Tahoma"/>
            <family val="2"/>
          </rPr>
          <t>Markus Haller:</t>
        </r>
        <r>
          <rPr>
            <sz val="8"/>
            <color indexed="81"/>
            <rFont val="Tahoma"/>
            <family val="2"/>
          </rPr>
          <t xml:space="preserve">
Hier können die Kontostände aus den PDFs, die von den ÜNBs veröffentlicht werden, direkt eingegeben werden.
https://www.netztransparenz.de/de/EEG-Konten-%C3%9Cbersicht.htm</t>
        </r>
      </text>
    </comment>
    <comment ref="B9" authorId="0" shapeId="0" xr:uid="{00000000-0006-0000-0A00-000003000000}">
      <text>
        <r>
          <rPr>
            <b/>
            <sz val="8"/>
            <color indexed="81"/>
            <rFont val="Tahoma"/>
            <family val="2"/>
          </rPr>
          <t>Wenn der reale Kontostand (s.o.) vorliegt, wird dieser verwendet. Falls der reale Kontostand nicht vorliegt, werden Kosten und Einnahmen berechnet.</t>
        </r>
      </text>
    </comment>
    <comment ref="E10" authorId="0" shapeId="0" xr:uid="{00000000-0006-0000-0A00-000004000000}">
      <text>
        <r>
          <rPr>
            <sz val="8"/>
            <color indexed="81"/>
            <rFont val="Tahoma"/>
            <family val="2"/>
          </rPr>
          <t>Bei der monatlichen Kontostandsberechnung ist, wenn eine Zeitverschiebung zwischen Einspeisung und Buchung von einem Monat eingestellt ist, auch ein Saldo für den September des Vorjahres erforderlich. Hierfür wird der Saldo des Septembers im aktuellen Jahr kopiert</t>
        </r>
      </text>
    </comment>
    <comment ref="B12" authorId="0" shapeId="0" xr:uid="{00000000-0006-0000-0A00-000005000000}">
      <text>
        <r>
          <rPr>
            <b/>
            <sz val="8"/>
            <color indexed="81"/>
            <rFont val="Tahoma"/>
            <family val="2"/>
          </rPr>
          <t>Markus Haller:</t>
        </r>
        <r>
          <rPr>
            <sz val="8"/>
            <color indexed="81"/>
            <rFont val="Tahoma"/>
            <family val="2"/>
          </rPr>
          <t xml:space="preserve">
In der Realität erscheinen Zahlungen in der Kontobilanz erst mit einer Verzögerung von 1-2 Monaten. </t>
        </r>
      </text>
    </comment>
    <comment ref="B19" authorId="0" shapeId="0" xr:uid="{00000000-0006-0000-0A00-000006000000}">
      <text>
        <r>
          <rPr>
            <sz val="9"/>
            <color indexed="81"/>
            <rFont val="Tahoma"/>
            <family val="2"/>
          </rPr>
          <t>Aus Lastdaten 2011 berechnet (EEX, Berechnungen Öko-Institut)</t>
        </r>
      </text>
    </comment>
    <comment ref="B21" authorId="0" shapeId="0" xr:uid="{00000000-0006-0000-0A00-000007000000}">
      <text>
        <r>
          <rPr>
            <sz val="9"/>
            <color indexed="81"/>
            <rFont val="Tahoma"/>
            <family val="2"/>
          </rPr>
          <t>Quelle: ÜNB-Jahresprognose 2015, Trendszenario, prognostizierte Volllaststunden pro Monat für das Jahr 2015. Für Oktober - Dezember 2014 wurden die r2b-Daten für Oktober - Dezember 2015 verwendet.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A5" authorId="0" shapeId="0" xr:uid="{00000000-0006-0000-0B00-000001000000}">
      <text>
        <r>
          <rPr>
            <sz val="9"/>
            <color indexed="81"/>
            <rFont val="Tahoma"/>
            <family val="2"/>
          </rPr>
          <t>Zeilennummer in v3.0.0</t>
        </r>
      </text>
    </comment>
    <comment ref="F199" authorId="0" shapeId="0" xr:uid="{00000000-0006-0000-0B00-000002000000}">
      <text>
        <r>
          <rPr>
            <b/>
            <sz val="9"/>
            <color indexed="81"/>
            <rFont val="Tahoma"/>
            <family val="2"/>
          </rPr>
          <t>Markus Haller:</t>
        </r>
        <r>
          <rPr>
            <sz val="9"/>
            <color indexed="81"/>
            <rFont val="Tahoma"/>
            <family val="2"/>
          </rPr>
          <t xml:space="preserve">
Historische Wert: Nicht berechnet, sondern gleich Null gesetzt
</t>
        </r>
      </text>
    </comment>
    <comment ref="F210" authorId="0" shapeId="0" xr:uid="{00000000-0006-0000-0B00-000003000000}">
      <text>
        <r>
          <rPr>
            <b/>
            <sz val="9"/>
            <color indexed="81"/>
            <rFont val="Tahoma"/>
            <family val="2"/>
          </rPr>
          <t>Markus Haller:</t>
        </r>
        <r>
          <rPr>
            <sz val="9"/>
            <color indexed="81"/>
            <rFont val="Tahoma"/>
            <family val="2"/>
          </rPr>
          <t xml:space="preserve">
Historische Wert: Nicht berechnet, sondern gleich Null gesetzt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A5" authorId="0" shapeId="0" xr:uid="{00000000-0006-0000-0C00-000001000000}">
      <text>
        <r>
          <rPr>
            <sz val="9"/>
            <color indexed="81"/>
            <rFont val="Tahoma"/>
            <family val="2"/>
          </rPr>
          <t>Zeilennummer in v3.0.0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 Haller</author>
  </authors>
  <commentList>
    <comment ref="E16" authorId="0" shapeId="0" xr:uid="{00000000-0006-0000-0D00-000001000000}">
      <text>
        <r>
          <rPr>
            <b/>
            <sz val="9"/>
            <color indexed="81"/>
            <rFont val="Tahoma"/>
            <family val="2"/>
          </rPr>
          <t>Markus Haller:</t>
        </r>
        <r>
          <rPr>
            <sz val="9"/>
            <color indexed="81"/>
            <rFont val="Tahoma"/>
            <family val="2"/>
          </rPr>
          <t xml:space="preserve">
Annahme: Volllaststunden für Anlagen Inbetriebnahmejahr 2010-2015 konstant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<sst xmlns="http://schemas.openxmlformats.org/spreadsheetml/2006/main" count="5785" uniqueCount="1054">
  <si>
    <t>Version</t>
  </si>
  <si>
    <t>Name</t>
  </si>
  <si>
    <t>Index</t>
  </si>
  <si>
    <t xml:space="preserve">   ### kein Bezug möglich, Text nach Abschluss der Arbeiten per Hand eingeben</t>
  </si>
  <si>
    <t>Table of contents</t>
  </si>
  <si>
    <t>Felix Chr. Matthes</t>
  </si>
  <si>
    <t>For Update of Index</t>
  </si>
  <si>
    <t>click this button</t>
  </si>
  <si>
    <t>(Macros must be enabled)</t>
  </si>
  <si>
    <t>No.</t>
  </si>
  <si>
    <t>Table</t>
  </si>
  <si>
    <t>Dargebotsfaktor</t>
  </si>
  <si>
    <t>Geothermie</t>
  </si>
  <si>
    <t>Biomasse</t>
  </si>
  <si>
    <t>PV</t>
  </si>
  <si>
    <t>unit</t>
  </si>
  <si>
    <t>Beschreibung</t>
  </si>
  <si>
    <t>Titel</t>
  </si>
  <si>
    <t>Szenario</t>
  </si>
  <si>
    <t>Liquiditätspuffer</t>
  </si>
  <si>
    <t>Spot-Skalierungsfaktor</t>
  </si>
  <si>
    <t>Markus Haller</t>
  </si>
  <si>
    <t>Future Strompreis</t>
  </si>
  <si>
    <t>Euro/MWh</t>
  </si>
  <si>
    <t>Wind Onshore</t>
  </si>
  <si>
    <t>Wasser</t>
  </si>
  <si>
    <t>Wind Offshore</t>
  </si>
  <si>
    <t>Gase</t>
  </si>
  <si>
    <t>none</t>
  </si>
  <si>
    <t>Kontostand September</t>
  </si>
  <si>
    <t>D-Profilfaktoren</t>
  </si>
  <si>
    <t>D-Future Strompreis</t>
  </si>
  <si>
    <t>D-Spot-Skalierungsfaktor</t>
  </si>
  <si>
    <t>D-Liquiditätspuffer</t>
  </si>
  <si>
    <t>D-Kontostand September</t>
  </si>
  <si>
    <t>TWh</t>
  </si>
  <si>
    <t>D-Gesamtstromverbrauch</t>
  </si>
  <si>
    <t>D-Privilegierter Letztverbrauch</t>
  </si>
  <si>
    <t>D-Eigenstromverbrauch</t>
  </si>
  <si>
    <t>D-Umlage Grünstromprivileg</t>
  </si>
  <si>
    <t>D-Umlage Eigenstromverbrauch</t>
  </si>
  <si>
    <t>D-Umlage priv. Letztverbrauch</t>
  </si>
  <si>
    <t>D-Grünstromprivileg</t>
  </si>
  <si>
    <t>GW</t>
  </si>
  <si>
    <t>h</t>
  </si>
  <si>
    <t>D-Dargebotsfaktor</t>
  </si>
  <si>
    <t>D-Standardauslastung</t>
  </si>
  <si>
    <t>D-Anteil Direktvermarktung</t>
  </si>
  <si>
    <t>D-Managementprämie</t>
  </si>
  <si>
    <t>D-Mittlerer Vergütungssatz</t>
  </si>
  <si>
    <t>Gas</t>
  </si>
  <si>
    <t>Dargebotsfaktor [-]</t>
  </si>
  <si>
    <t>Nicht privilegierter Letztverbrauch [TWh]</t>
  </si>
  <si>
    <t>Privilegierter Letztverbrauch [TWh]</t>
  </si>
  <si>
    <t>Spot-Skalierungsfaktor [-]</t>
  </si>
  <si>
    <t>Gesamt</t>
  </si>
  <si>
    <t>Einnahmen aus Vermarktung [Mrd. Euro]</t>
  </si>
  <si>
    <t>ÜNB Jahresprognose</t>
  </si>
  <si>
    <t>Stromerzeugung gesamt (TWh)</t>
  </si>
  <si>
    <t>D-Stromerzeugung</t>
  </si>
  <si>
    <t>Mrd. Euro</t>
  </si>
  <si>
    <t>vermiedene Netzentgelte [Mrd. Euro]</t>
  </si>
  <si>
    <t>D-Anteil Eigenverbrauch</t>
  </si>
  <si>
    <t>D-vermiedene Netzentgelte</t>
  </si>
  <si>
    <t>Bearbeiter</t>
  </si>
  <si>
    <t>mh</t>
  </si>
  <si>
    <t>Kontostand</t>
  </si>
  <si>
    <t>-</t>
  </si>
  <si>
    <t>Übersicht der ausgewählten Eingangsparameter (blau) und Berechnungen (grün)</t>
  </si>
  <si>
    <t>Sonstige Kosten</t>
  </si>
  <si>
    <t>Sonstige Kosten [Mrd. Euro]</t>
  </si>
  <si>
    <t>Vergütung Eigenverbrauch</t>
  </si>
  <si>
    <t>ÜNB-Jahresprognosen</t>
  </si>
  <si>
    <t>Vergütung Eigenverbrauch [Euro/MWh]</t>
  </si>
  <si>
    <t>Solar</t>
  </si>
  <si>
    <t>Liquiditätsreserve</t>
  </si>
  <si>
    <t>Erstes Prognose-Jahr</t>
  </si>
  <si>
    <t>Historisch</t>
  </si>
  <si>
    <t>ÜNB-Jahresprognosen. Abzug von Umlage in Höhe der Umlage (100% Befreiung) von 2009-2011, Abzug von 2ct/kWh in 2012 und 2013.</t>
  </si>
  <si>
    <t>Installierte Kapazitäten zum Jahresende [GW]</t>
  </si>
  <si>
    <t>D-Anteil Sonstige DV</t>
  </si>
  <si>
    <t>D-Profilfaktoren-Marktprämie</t>
  </si>
  <si>
    <t>D-Vergütung Eigenverbrauch</t>
  </si>
  <si>
    <t>D-Sonstige Kosten</t>
  </si>
  <si>
    <t>Anteil Grünstromprivileg</t>
  </si>
  <si>
    <t>Vergütungssatz für Neuanlagen</t>
  </si>
  <si>
    <t>D-Vergütungssatz Neuanlagen</t>
  </si>
  <si>
    <t>Einnahmen Vermarktung</t>
  </si>
  <si>
    <t>Übersicht</t>
  </si>
  <si>
    <t>Eingangsparameter</t>
  </si>
  <si>
    <t>Berechnungen</t>
  </si>
  <si>
    <t>Spotmarktpreis (day ahead, monatsmittel) [Euro/MWh]</t>
  </si>
  <si>
    <t>Installierte Kapazitäten [GW]</t>
  </si>
  <si>
    <t>Volllaststunden pro Monat [h]</t>
  </si>
  <si>
    <t>Stromerzeugung Gesamt [TWh]</t>
  </si>
  <si>
    <t>D-Profilfaktoren-real</t>
  </si>
  <si>
    <t>mittel</t>
  </si>
  <si>
    <t>sehr niedrig</t>
  </si>
  <si>
    <t>niedrig</t>
  </si>
  <si>
    <t>hoch</t>
  </si>
  <si>
    <t>sehr hoch</t>
  </si>
  <si>
    <t>EEG Calculator</t>
  </si>
  <si>
    <t>MOD-Berechnungen</t>
  </si>
  <si>
    <t>Index aller Tabellenblätter.</t>
  </si>
  <si>
    <t xml:space="preserve">Hier finden alle Berechnung in jahresscharfer Auflösung statt. </t>
  </si>
  <si>
    <t>Berechnung des Kontoverlaufs für das aktuelle Jahr.</t>
  </si>
  <si>
    <t>Datenblatt: jährliche Vollaststunden pro Technologie</t>
  </si>
  <si>
    <t>Datenblatt: Jährlicher Kapazitätszubau pro Technologie</t>
  </si>
  <si>
    <t>Datenblatt: Dargebotsfaktor pro Technologie</t>
  </si>
  <si>
    <t>Datenblatt: Anteil des direkt vermarkteten Stroms (Marktprämienmodell) an der Gesamt-Stromerzeugung (pro Technologie)</t>
  </si>
  <si>
    <t>Datenblatt: Anteil des Eigenverbrauchs an der Gesamt-Stromerzeugung (pro Technologie)</t>
  </si>
  <si>
    <t>Datenblatt: Anteil der sonstigen Direktvermarktungsmodelle an der Gesamt-Stromerzeugung (pro Technologie)</t>
  </si>
  <si>
    <t>Datenblatt: Profilfaktoren für Berechnung von Vermarktungserlösen und Marktprämienzahlungen in Prognosejahren</t>
  </si>
  <si>
    <t>Datenblatt: Vergütungssätze für Neuanlagen (pro Technologie). Nur relevant für Prognosejahre.</t>
  </si>
  <si>
    <t>Datenblatt: Managementprämien (pro Technologie).</t>
  </si>
  <si>
    <t>Datenblatt: Vergütungssätze für eigenverbrauchten Strom (pro Technologie).</t>
  </si>
  <si>
    <t>Datenblatt: Skalierungsfaktor, der die systematische Differenz zwischen Future- und Spotmarktpreis beschreibt.</t>
  </si>
  <si>
    <t>Datenblatt: Entwicklung des Strompreises (PHELIX base year future) für die Umlageberechnung.</t>
  </si>
  <si>
    <t>Datenblatt: Höhe des Liquiditätspuffers.</t>
  </si>
  <si>
    <t>Datenblatt: Gesamt-Stromverbrauch.</t>
  </si>
  <si>
    <t>Datenblatt: Anteil des privilegierten Letztverbrauchs am Gesamt-Stromverbrauch.</t>
  </si>
  <si>
    <t>Datenblatt: Anteil des eigenerzeugten Eigenverbrauchs am Gesamt-Stromverbrauch.</t>
  </si>
  <si>
    <t>Datenblatt: Anteil des für Grünstromprivileg-Stroms am Gesamt-Stromverbrauch.</t>
  </si>
  <si>
    <t>Datenblatt: Umlagesätze für privilegierten Letztverbrauch</t>
  </si>
  <si>
    <t>Datenblatt: Umlagesätze für eigenverbrauchte Eigenerzeugung</t>
  </si>
  <si>
    <t>Datenblatt: Umlagesätze für Grünstromprivileg.</t>
  </si>
  <si>
    <t>Datenblatt: vermiedene Netzentgelte (abgebildet als Pauschalbetrag pro zu vergütender Strommenge).</t>
  </si>
  <si>
    <t>Datenblatt: sonstige Kosten (als Pauschalbetrag).</t>
  </si>
  <si>
    <t>Datenblatt: Stromerzeugung pro Technologie (nur für historische Jahre relevant).</t>
  </si>
  <si>
    <t>Datenblatt: Mittlere Vergütungssätze pro Technologie (nur für historische Jahre relevant).</t>
  </si>
  <si>
    <t>Datenblatt: In den ÜNB-Jahresprognosen verwendete Profilfaktoren (nur für historische Jahre relevant).</t>
  </si>
  <si>
    <t>Datenblatt: In den ÜNB-Jahresprognosen für die Berechnung der Marktprämienzahlungen verwendete Profilfaktoren (nur für historische Jahre relevant).</t>
  </si>
  <si>
    <t>Datenblatt: historische Kontostände, jeweils am 30.9. (nur für historische Jahre relevant).</t>
  </si>
  <si>
    <t>In diesem Tabellenblatt finden alle Berechnung in jährlicher Auflösung statt.</t>
  </si>
  <si>
    <t>Monatsscharfe Berechnung des Kontostands im aktuellen Jahr.</t>
  </si>
  <si>
    <t>0%</t>
  </si>
  <si>
    <t>Start</t>
  </si>
  <si>
    <t>TWh/a</t>
  </si>
  <si>
    <t>Referenz</t>
  </si>
  <si>
    <t>Umlage-Reduktion Grünstromprivileg</t>
  </si>
  <si>
    <t>mögliche Werte</t>
  </si>
  <si>
    <t>gewähltes Szenario</t>
  </si>
  <si>
    <t>Privilegierter Letztverbrauch</t>
  </si>
  <si>
    <t>Entscheidermodus</t>
  </si>
  <si>
    <t>Expertenmodus</t>
  </si>
  <si>
    <t>Technologie</t>
  </si>
  <si>
    <t>Berechnung des Kontostandes am 30.9. für Prognosejahre</t>
  </si>
  <si>
    <t>MOD-Output</t>
  </si>
  <si>
    <t>D-Jahreszubau</t>
  </si>
  <si>
    <t xml:space="preserve">Vermiedene Netzentgelte </t>
  </si>
  <si>
    <t>Start-Experte</t>
  </si>
  <si>
    <t>Parameter-Entscheider</t>
  </si>
  <si>
    <t>ControlPanel</t>
  </si>
  <si>
    <t>Benutzeroberfläche für Entscheidermodus</t>
  </si>
  <si>
    <t>Benutzeroberfläche im Expertenmodus</t>
  </si>
  <si>
    <t xml:space="preserve">Für den Entscheidermodus werden hier die Standardwerte definiert, die für Parameter genutzt werden, die im Entscheidermodus nicht variiert werden können. </t>
  </si>
  <si>
    <t xml:space="preserve">In dieses Tabellenblatt werden die Einstellungen aus den beiden Startblättern kopiert, und auf dieses Blatt greifen die Bibliotheksblätter zu, um die gewünschten Parameter zu filtern. </t>
  </si>
  <si>
    <t>Förderung Wasser</t>
  </si>
  <si>
    <t>Förderung Gase</t>
  </si>
  <si>
    <t>Förderung Biomasse</t>
  </si>
  <si>
    <t>Förderung Geothermie</t>
  </si>
  <si>
    <t>Förderung Wind Onshore</t>
  </si>
  <si>
    <t>Förderung Wind Offshore</t>
  </si>
  <si>
    <t>Förderung Solar</t>
  </si>
  <si>
    <t>Belastung nichtprivilegierter Letztverbrauch</t>
  </si>
  <si>
    <t>Belastung privilegierter Letztverbrauch</t>
  </si>
  <si>
    <t>Umlage</t>
  </si>
  <si>
    <t>Umlage (Prognose)</t>
  </si>
  <si>
    <t>Umlage (Referenz)</t>
  </si>
  <si>
    <t>Umlage [ct/kWh]</t>
  </si>
  <si>
    <t>nichtprivilegiert</t>
  </si>
  <si>
    <t>privilegiert</t>
  </si>
  <si>
    <t>Belastung Letztver-brauch</t>
  </si>
  <si>
    <t>Nettozahlungen an Anlagenbetreiber</t>
  </si>
  <si>
    <t>&gt;</t>
  </si>
  <si>
    <t>Monatsende</t>
  </si>
  <si>
    <t>Mittlere Vergütungssätze [Euro/MWh]</t>
  </si>
  <si>
    <t>Profilfaktoren  [-]</t>
  </si>
  <si>
    <t>Last-Skalierungsfaktor [-]</t>
  </si>
  <si>
    <t>Strompreis (Future)</t>
  </si>
  <si>
    <t>Strompreis + Umlage [ct/kWh]</t>
  </si>
  <si>
    <t>Summe Strompreis + Umlage</t>
  </si>
  <si>
    <t>Großhandelsstrompreis (Future)</t>
  </si>
  <si>
    <t xml:space="preserve"> </t>
  </si>
  <si>
    <t>Impressum</t>
  </si>
  <si>
    <t>Manual</t>
  </si>
  <si>
    <t>Kurzanleitung</t>
  </si>
  <si>
    <t>Versionshistorie.</t>
  </si>
  <si>
    <t>Öko-Institut e.V.</t>
  </si>
  <si>
    <t>Autoren:</t>
  </si>
  <si>
    <t>Charlotte Loreck</t>
  </si>
  <si>
    <t>Agora Energiewende</t>
  </si>
  <si>
    <t>Modellversion:</t>
  </si>
  <si>
    <t xml:space="preserve">erarbeitet durch: </t>
  </si>
  <si>
    <t>Kontakt:</t>
  </si>
  <si>
    <t>im Auftrag von:</t>
  </si>
  <si>
    <t>10178 Berlin</t>
  </si>
  <si>
    <t>www.agora-energiewende.de</t>
  </si>
  <si>
    <t>Schicklerstr. 5-7</t>
  </si>
  <si>
    <t>10179 Berlin</t>
  </si>
  <si>
    <t>www.oeko.de</t>
  </si>
  <si>
    <t>info@agora-energiewende.de</t>
  </si>
  <si>
    <t>Bedienung:</t>
  </si>
  <si>
    <t xml:space="preserve">Über die Schaltfläche "Zurücksetzen" können alle Parameter wieder auf ihren Referenzwert zurückgestellt werden. </t>
  </si>
  <si>
    <t>MOD-Jahresgang</t>
  </si>
  <si>
    <t>Zitiervorschlag:</t>
  </si>
  <si>
    <t>zur Ermittlung der EEG-Umlage. Erstellt im Auftrag von Agora Energiewende.</t>
  </si>
  <si>
    <t xml:space="preserve">© Öko-Institut und Agora Energiewende. Alle Rechte vorbehalten. Nutzung der Methoden, </t>
  </si>
  <si>
    <t>Standarddaten und Ergebnisse nur mit Verweis auf die Autoren und Agora Energiewende gestattet.</t>
  </si>
  <si>
    <t xml:space="preserve">Das Erneuerbare-Energien-Gesetz (EEG) ist das zentrale Instrument zur Flankierung der Stromerzeugung aus erneuerbaren Energien in Deutschland. Es regelt u.a. die Einspeisevergütungen für die verschiedenen Anlagenklassen und in welcher Form die nach Vermarktung des erzeugten Stroms entstehende Deckungslücke auf die verschiedenen Stromverbraucher umgelegt werden. </t>
  </si>
  <si>
    <t>Bedienung im Entscheidermodus (Blatt "Start"):</t>
  </si>
  <si>
    <t xml:space="preserve">Für jeden Parameter kann durch Anklicken aus einer Auswahlliste das gewünschte Szenario ausgewählt werden. Die Grafiken und Tabellen zeigen, wie sich die Änderung eines Parameters auf EEG-Umlage und Zahlungströme etc. auswirkt. </t>
  </si>
  <si>
    <t>Bedienung im Expertenmodus (Blatt "Start-Experte"):</t>
  </si>
  <si>
    <t xml:space="preserve">Über die Schaltfläche "Hilfe" kann von der Benutzeroberfläche diese Kurzanleitung angewählt werden. </t>
  </si>
  <si>
    <t xml:space="preserve">Im Expertenmodus kann über die Benutzeroberfläche im Tabellenblatt "Start-Experte" eine wesentlich größere Zahl an Eingangsparametern variiert werden. Darüber hinaus können in den für die einzelnen Parameter hinterlegten Bibliotheken eigene Szenarien definert werden. Die mitgelieferten Standard-Szenarien können jedoch nicht verändert werden. Auf der Benutzeroberfläche ist neben jedem Parameter ein Link ( &gt; ) zu dem entsprechenden Bibliotheks-Datenblatt eingefügt. Pro Parameter können, einschließlich der mitgelieferten Standard-Szenarien bis zu 20 Szenarien definiert werden. Sind die Szenarien im Bibliotheks-Datenblatt erstellt, können sie in der Benutzeroberfläche über das jeweilige Dropdown-Menüs ausgewählt werden. Für die Konsistenz neu angelegter Szenarien müssen die Nutzer eigenverantwortlich sorgen. </t>
  </si>
  <si>
    <t xml:space="preserve">Über die entsprechende Schaltfläche auf der Benutzeroberfläche kann zwischen den beiden Modi hin- und hergeschaltet werden, dabei werden die für den jeweiligen Modus nutzbaren Tabellenblätter ein- bzw. ausgeblendet. </t>
  </si>
  <si>
    <r>
      <t xml:space="preserve">Im </t>
    </r>
    <r>
      <rPr>
        <b/>
        <sz val="10"/>
        <rFont val="Arial"/>
        <family val="2"/>
      </rPr>
      <t>Entscheidermodus</t>
    </r>
    <r>
      <rPr>
        <sz val="10"/>
        <rFont val="Arial"/>
        <family val="2"/>
      </rPr>
      <t xml:space="preserve"> können die wichtigesten Stellgrößen auf einer benutzerfreundlicher Oberfläche variiert werden. Für jeden Parameter stehen verschiedene vordefinierte Szenarien zur Verfügung.  </t>
    </r>
  </si>
  <si>
    <t>Liquiditätsreserve [-]</t>
  </si>
  <si>
    <t>Abweichung zwischen Berechnung und Historie (%)</t>
  </si>
  <si>
    <t>Hinweis: Wenn das Referenzszenario modifiziert wird, müssen die Ergebnisse für das Referenz-Szenario per Hand aktualisiert werden! -&gt; Werte der Zellen im grünen Bereich in die Zellen im gelben Bereich kopieren</t>
  </si>
  <si>
    <t>GrD-Grafikdaten</t>
  </si>
  <si>
    <t>Modell-Ergebnisse in tabellarischer Form</t>
  </si>
  <si>
    <t>Ergebnisse für Grafiken aufbereitet</t>
  </si>
  <si>
    <t>Berechnung des Umlagebetrags</t>
  </si>
  <si>
    <t>Berechnung des Umlagesatzes</t>
  </si>
  <si>
    <t>IndexComplete</t>
  </si>
  <si>
    <t>Vollständiger Index (inkl. Für benutzer nicht sichtbarer Sheets)</t>
  </si>
  <si>
    <t>Nichtprivilegierter Letztverbrauch [TWh/a]</t>
  </si>
  <si>
    <t>Privilegierter Letztverbrauch [TWh/a]</t>
  </si>
  <si>
    <t>Umlage privilegierter Letztverbrauch [ct/kWh]</t>
  </si>
  <si>
    <t>EEG-Rechner</t>
  </si>
  <si>
    <t xml:space="preserve">Der EEG-Rechner  kann in zwei verschiedenen Modi betrieben werden: </t>
  </si>
  <si>
    <t>EEG-Rechner: Berechnungs- und Szenarienmodell zur Ermittlung der EEG-Umlage</t>
  </si>
  <si>
    <t>EEG-Rechner:  Kurzanleitung</t>
  </si>
  <si>
    <t>Referenzszenario</t>
  </si>
  <si>
    <t>neues Szenario</t>
  </si>
  <si>
    <t>Future</t>
  </si>
  <si>
    <t>Skalierungsfaktor</t>
  </si>
  <si>
    <t>Spotmarktpreis</t>
  </si>
  <si>
    <t>90%</t>
  </si>
  <si>
    <t>Kontostand ÜNB [Mrd. Euro]</t>
  </si>
  <si>
    <t>Kontostand Modell [Mrd. Euro]</t>
  </si>
  <si>
    <t>Prognose der monatlichen Einnahmen und Ausgaben:</t>
  </si>
  <si>
    <t>Zeitverschiebung zwischen Einspeisung und Buchung [Monate]</t>
  </si>
  <si>
    <t>aktuelles Jahr:</t>
  </si>
  <si>
    <t>endogen</t>
  </si>
  <si>
    <t>wird endogen berechnet</t>
  </si>
  <si>
    <t>Wert</t>
  </si>
  <si>
    <t>Kontostand am 30.9. des aktuellen Jahres</t>
  </si>
  <si>
    <t>-2 Mrd. Euro</t>
  </si>
  <si>
    <t>-1 Mrd. Euro</t>
  </si>
  <si>
    <t>Prognosefehler Kontostand</t>
  </si>
  <si>
    <t>+1 Mrd. Euro</t>
  </si>
  <si>
    <t>+2 Mrd. Euro</t>
  </si>
  <si>
    <t>Hier werden die Ergebnisse für historische und Prognose-Jahre zusammengeführt.</t>
  </si>
  <si>
    <t>keine Abweichung</t>
  </si>
  <si>
    <t>cl</t>
  </si>
  <si>
    <t>dr</t>
  </si>
  <si>
    <t>historische Werte</t>
  </si>
  <si>
    <t>Eigenverbrauch EE-Bestand</t>
  </si>
  <si>
    <t>Eigenverbrauch fossile Nicht-KWK-Neuanlagen</t>
  </si>
  <si>
    <t>Anteil an Umlage für Eigenverbrauch aus Solar- und KWK-Neuanlagen</t>
  </si>
  <si>
    <t>keine Beteiligung</t>
  </si>
  <si>
    <t>volle Beteiligung</t>
  </si>
  <si>
    <t>Anteil an Umlage für Eigenverbrauch aus fossilen Nicht-KWK-Neuanlagen</t>
  </si>
  <si>
    <t>Anteil an Umlage für privilegierte Letztverbraucher</t>
  </si>
  <si>
    <t>None</t>
  </si>
  <si>
    <t>ÜNB-Jahresprognosen und Prognos 2012; ab 2015 kein Grünstromprivileg mehr</t>
  </si>
  <si>
    <t>0 TWh</t>
  </si>
  <si>
    <t>Eigenverbrauch KWK-Neuanlagen [TWh]</t>
  </si>
  <si>
    <t>Eigenverbrauch fossile Nicht-KWK-Neuanlagen [TWh]</t>
  </si>
  <si>
    <t>Kein Neubau</t>
  </si>
  <si>
    <t>Anteil an Umlage für privilegierte Letztverbraucher [-]</t>
  </si>
  <si>
    <t>Anteil an Umlage für Eigenverbrauch aus Solar- und KWK-Neuanlagen [-]</t>
  </si>
  <si>
    <t>Anteil an Umlage für Eigenverbrauch aus fossilen Nicht-KWK-Neuanlagen [-]</t>
  </si>
  <si>
    <t>Anteil Eigenverbrauch Neuanlagen [-]</t>
  </si>
  <si>
    <t>Für EEG-Umlage anzulegender Letztverbrauch [TWh]</t>
  </si>
  <si>
    <t>Strommenge Eigenverbrauch - Bestand [TWh]</t>
  </si>
  <si>
    <t>Strommenge Eigenverbrauch - Neuanlagen [TWh]</t>
  </si>
  <si>
    <t>Keine Privilegierung</t>
  </si>
  <si>
    <t>Belastung Eigenverbrauch</t>
  </si>
  <si>
    <t>Eigenverbrauch</t>
  </si>
  <si>
    <t>Eigenverbrauch [TWh/a]</t>
  </si>
  <si>
    <t>Umlage Eigenverbrauch [ct/kWh]</t>
  </si>
  <si>
    <t>Umlagereduktion für Eigenverbrauch (Bestandsanlagen)</t>
  </si>
  <si>
    <t>25%</t>
  </si>
  <si>
    <t>50%</t>
  </si>
  <si>
    <t>75%</t>
  </si>
  <si>
    <t>100%</t>
  </si>
  <si>
    <t>Strommenge Eigenverbrauch Bestand = für historische Jahre: historischer Eigenverbrauch; für Szenariojahre: historischer Eigenverbrauch * Dargebotsfaktor</t>
  </si>
  <si>
    <t>Eigenverbrauch fossile Bestandsanlagen [TWh]</t>
  </si>
  <si>
    <t>Strommenge Grünstromprivileg [TWh]</t>
  </si>
  <si>
    <t>Stromerzeugung gesamt aus ÜNB-Prognosen [TWh]</t>
  </si>
  <si>
    <t>D-Umlage Eigenverbrauch PV+KWK</t>
  </si>
  <si>
    <t>D-Prognosefehler Kontostand</t>
  </si>
  <si>
    <t>D-Kontostand aktuelles Jahr</t>
  </si>
  <si>
    <t>D-Kontostand Vorjahr</t>
  </si>
  <si>
    <t>D-Eigenverbrauch fossil Bestand</t>
  </si>
  <si>
    <t>D-Eigenverbrauch fossile Neue</t>
  </si>
  <si>
    <t>D-Eigenverbrauch EE-Bestand</t>
  </si>
  <si>
    <t>D-Umlagereduktion Grünstrom</t>
  </si>
  <si>
    <t>D-Umlage Eigenverb fossile Neue</t>
  </si>
  <si>
    <t>aktuelles Jahr von Oktober bis September</t>
  </si>
  <si>
    <t>Einnahmen durch Umlagezahlungen nicht privilegierter Letztverbrauch</t>
  </si>
  <si>
    <t>Einnahmen durch Umlagezahlungen privilegierter Letztverbrauch</t>
  </si>
  <si>
    <t>Einnahmen durch Umlagezahlungen Eigenverbrauch Bestand</t>
  </si>
  <si>
    <t>Einnahmen durch Umlagezahlungen Eigenverbrauch (Neu, KWK)</t>
  </si>
  <si>
    <t>0,5 GW/a</t>
  </si>
  <si>
    <t>1,0 GW/a</t>
  </si>
  <si>
    <t>1,5 GW/a</t>
  </si>
  <si>
    <t>2 GW/a</t>
  </si>
  <si>
    <t>Minderung der Vermarktungserlöse wg. Differenz zwischen Future- und Spotpreis = Einnahmen aus Vermarktung * (1-Spot-Skalierungsfaktor)</t>
  </si>
  <si>
    <t>Ausgaben aus vergangenem Jahr = Prognostizierte Deckungslücke im Vorjahr + Minderung der Vermarktungserlöse im Vorjahr</t>
  </si>
  <si>
    <t>Umlagebetrag aus Vorjahr</t>
  </si>
  <si>
    <t xml:space="preserve">Gesamtsaldo = Umlageerlöse aus vergangenem Jahr - Ausgaben aus vergangenem Jahr </t>
  </si>
  <si>
    <t>Kontostand am 30.9. des Vorjahres aus monatsscharfer Berechnung auf dem Blatt Mod-Jahresgang</t>
  </si>
  <si>
    <t>Kernumlage = Prognostizierte Deckungslücke / für EEG-Umlage anzulegenden Letztverbrauch</t>
  </si>
  <si>
    <t>Umlage aus Liquiditätsreserve = Liquiditätsreserve / für EEG-Umlage anzulegenden Letztverbrauch</t>
  </si>
  <si>
    <t>EEG-Umlage gesamt = Umlagebetrag / für EEG-Umlage anzulegenden Letztverbrauch</t>
  </si>
  <si>
    <t>Sonstiges [Mrd. Euro]</t>
  </si>
  <si>
    <t>vermiedene Netzentgelte</t>
  </si>
  <si>
    <t>Einnahmen durch Umlagezahlungen von Grünstrom</t>
  </si>
  <si>
    <t>Einnahmen aus Umlagezahlungen von verschiedenen Letztverbrauchern [Mrd. Euro]</t>
  </si>
  <si>
    <t>Vergütungszahlungen an Anlagenbetreiber</t>
  </si>
  <si>
    <t>Ergebnis: Kontostand am Tag der Umlage-Neuberechnung 
(30.9. des Vorjahres) [Mrd. Euro]</t>
  </si>
  <si>
    <t>Wind onshore</t>
  </si>
  <si>
    <t>Wind offshore</t>
  </si>
  <si>
    <t>Historische Werte aus ÜNB-Jahresprognosen. Quotient aus Eigenverbrauch und Vergütungszahlungen für Eigenverbrauch</t>
  </si>
  <si>
    <t>Einnahmen durch Umlagezahlungen der Letztverbraucher (Summe)</t>
  </si>
  <si>
    <t>fest vorgegeben</t>
  </si>
  <si>
    <t>nicht-priv.Letztverbrauch (TWh) * EEG-Umlage (ct/kWh) /100</t>
  </si>
  <si>
    <t>Eigenverbrauch KWK neu (TWh) * Anteil an Umlage für Eigenverbrauch PV und KWK neu * EEG-Umlage (ct/kWh)/100</t>
  </si>
  <si>
    <t>Eigenverbrauch PV neu (TWh) * Anteil an Umlage für Eigenverbrauch PV und KWK neu * EEG-Umlage (ct/kWh) /100</t>
  </si>
  <si>
    <t>Grünstrommenge (TWh) * (EEG-Umlage (ct/kWh) - Umlagereduktion für Grünstrom (€/MWh) /10)/100</t>
  </si>
  <si>
    <t>Eingabe-Parameter:
Entwicklung der Vergütungssätze (Änderung pro Jahr)</t>
  </si>
  <si>
    <t>Eingabeparameter: 
Jährlicher Kapazitätszubau</t>
  </si>
  <si>
    <t>Eingabeparameter: 
Privilegierungen</t>
  </si>
  <si>
    <t>Eingabeparameter: 
Strompreis, Liquiditätsreserve und Kontostand</t>
  </si>
  <si>
    <t>Eingabeparameter: 
Sonstiges</t>
  </si>
  <si>
    <t>Eingabeparameter: Standardauslastung</t>
  </si>
  <si>
    <t xml:space="preserve"> Eingabeparameter: Dargebotsfaktor</t>
  </si>
  <si>
    <t xml:space="preserve"> Eingabeparameter: Profilfaktor</t>
  </si>
  <si>
    <t>frei wählbar -&gt;</t>
  </si>
  <si>
    <t xml:space="preserve">Differenz zum Referenz-Szenario </t>
  </si>
  <si>
    <t>Ergebnis: EEG-Umlage und Summe aus Strompreis und Umlage [ct/kWh]</t>
  </si>
  <si>
    <t>Eingabeparameter: 
Eigenverbrauch</t>
  </si>
  <si>
    <t>Kategorien Eigenverbrauch
und jeweilige Beteiligung</t>
  </si>
  <si>
    <t xml:space="preserve">Referenz-Szenario </t>
  </si>
  <si>
    <t>Referenzszenario [Mrd. Euro]</t>
  </si>
  <si>
    <t>Ergebnis: Zahlungsströme [Mrd. Euro]</t>
  </si>
  <si>
    <t>Differenz zum Referenz-Szenario [Mrd. Euro]</t>
  </si>
  <si>
    <t>Spot-Skalierungsfaktor 
(Verhältnis Spotpreis zu Futurepreis)</t>
  </si>
  <si>
    <t>zu den Szenariendaten:   &gt;</t>
  </si>
  <si>
    <t>Privilegierter 
Letztverbrauch</t>
  </si>
  <si>
    <t>Faktor für zusätzliche Privilegierungsmechanismen [-]</t>
  </si>
  <si>
    <t>Faktor für zusätzliche Privilegierung</t>
  </si>
  <si>
    <t>Kontostand am</t>
  </si>
  <si>
    <t>für Umlage des Jahres</t>
  </si>
  <si>
    <t>Eigenverbrauch 
(KWK-Neuanlagen)</t>
  </si>
  <si>
    <t>Eigenverbrauchsanteil bei PV-Neuanlagen</t>
  </si>
  <si>
    <t>Anteil an Umlage für neuen Eigenverbrauch (PV und KWK)</t>
  </si>
  <si>
    <t>Dargebotsfaktor 110%</t>
  </si>
  <si>
    <t>Berechnung der Managementprämien für Anlagen, die zwischen 2012 und 2014 in die Direktvermarktung gegangen sind und für die Prognosejahre weiterhin dort bleiben.</t>
  </si>
  <si>
    <t>David Ritter</t>
  </si>
  <si>
    <t>D-Eigenverbrauch KWK Neue</t>
  </si>
  <si>
    <t>D-Faktor Zusatzprivilegierung</t>
  </si>
  <si>
    <t>D-Anteil Eigenverbrauch EE neu</t>
  </si>
  <si>
    <t>D-Managementprämie_Bestand</t>
  </si>
  <si>
    <t>Faktor zur Erfassung zusätzlicher Privilegierungen</t>
  </si>
  <si>
    <t>sehr hohe Zusatzprivilegierung - wirkt wie vollständige Befreiung von 80% des priv. LV</t>
  </si>
  <si>
    <t>niedrige Zusatzprivilegierung - wirkt wie vollständige Befreiung von 20% des priv. LV</t>
  </si>
  <si>
    <t>mittlere Zusatzprivilegierung - wirkt wie vollständige Befreiung von 40% des priv. LV</t>
  </si>
  <si>
    <t>hohe Zusatzprivilegierung - wirkt wie vollständige Befreiung von 60% des priv. LV</t>
  </si>
  <si>
    <t>Einnahmen aus Vermarktung* 
*ab 2015 inklusive Einnahmen aus Direktvermarktung,
bis 2014 nur Einnahmen der ÜNBs</t>
  </si>
  <si>
    <t>informativ: Kontostand Modell</t>
  </si>
  <si>
    <t>keine 
Zusatzprivilegierung</t>
  </si>
  <si>
    <t>keine Zusatz-privilegierung</t>
  </si>
  <si>
    <t>Kommentar</t>
  </si>
  <si>
    <t>Kommnetar</t>
  </si>
  <si>
    <t>Anteil an Umlage für Bestandsanlagen</t>
  </si>
  <si>
    <t>vollständig befreit (gem. EEG 2014)</t>
  </si>
  <si>
    <t>Anteil an Umlage für Eigenverbrauch aus Bestandsanlagen [-]</t>
  </si>
  <si>
    <t>Verbleibende Kapazitäten von Anlagen, die bis Ende 2014 gebaut wurden</t>
  </si>
  <si>
    <t>Verbleibende Strommengen von Anlagen, die bis Ende 2014 gebaut wurden</t>
  </si>
  <si>
    <t>Verbleibende Kapazitäten von Anlagen, die bis ende 2014 gebaut wurden [GW]</t>
  </si>
  <si>
    <t>Verbleibende Strommengen von Anlagen, die bis ende 2014 gebaut wurden [TWh/a]</t>
  </si>
  <si>
    <t>Zahlungen an Anlagen, die bis Ende 2014 gebaut wurden [Mrd. Euro]</t>
  </si>
  <si>
    <t>(Bestand)</t>
  </si>
  <si>
    <t>Strommengen</t>
  </si>
  <si>
    <t>1,5% pro Jahr</t>
  </si>
  <si>
    <t>2,0% pro Jahr</t>
  </si>
  <si>
    <t>Sonstige</t>
  </si>
  <si>
    <t>Brutto-Zubau</t>
  </si>
  <si>
    <t>Netto-Zubau</t>
  </si>
  <si>
    <t>Ausgleich Rückbau</t>
  </si>
  <si>
    <t>Referenz - 20 TWh/a</t>
  </si>
  <si>
    <t>wie Referenz</t>
  </si>
  <si>
    <t>Referenz + 20 TWh/a</t>
  </si>
  <si>
    <t>vollständig befreit</t>
  </si>
  <si>
    <t>Kontostand ÜNB (Euro)</t>
  </si>
  <si>
    <t>priv. Letztverbrauch (TWh) * Anteil an Umlage des priv. LV * (1-Faktor Zusatzprivilegierung) * EEG-Umlage (ct/kWh) /100</t>
  </si>
  <si>
    <t>Eigenverbrauch Bestand (TWh) *  Anteil an Umlage für Eigenverbrauch Bestand * EEG-Umlage (ct/kWh)/100</t>
  </si>
  <si>
    <t>Eigenverbrauch Bestand PV(TWh) *  Anteil an Umlage für Eigenverbrauch Bestand * EEG-Umlage (ct/kWh)/100</t>
  </si>
  <si>
    <t>Einnahmen durch Umlagezahlungen Eigenverbrauch (Bestand, PV)</t>
  </si>
  <si>
    <t>Einnahmen durch Umlagezahlungen Eigenverbrauch (Neu, PV)</t>
  </si>
  <si>
    <t>Verbleibende Zahlungen für Bestandsanlagen multipliziert mit dem Dargebotsfaktor des jeweiligen Prognosejahres 
(um Effekt durch verschiedene Wetterjahre zu berücksichtigen)</t>
  </si>
  <si>
    <t>Mittlerer Vergütungssatz für ab 2015 gebaute Anlagen (nominal) [Euro/MWh]</t>
  </si>
  <si>
    <t>Baujahr</t>
  </si>
  <si>
    <t>Anfangsvergütung 
(€_nominal/MWh)</t>
  </si>
  <si>
    <t>Endvergütung 
(€_nominal/MWh)</t>
  </si>
  <si>
    <t>Kontostand September (nominal) [Euro]</t>
  </si>
  <si>
    <t>Umlagereduktion Grünstromprivileg (nominal) [Euro/MWh]</t>
  </si>
  <si>
    <t>Verbleibende Zahlungen für Anlagen, die bis ende 2014 gebaut wurden (nominal) [Mrd. Euro/a]</t>
  </si>
  <si>
    <t>Vergütungssatz für Neuanlagen (real) [Euro/MWh]</t>
  </si>
  <si>
    <t>Vergütungssätze für Neuanlagen (nominal) [Euro/kWh]</t>
  </si>
  <si>
    <t>Einnahmen aus Vermarktung (Nachrechnung ÜNB-Prognosen) (nominal) [Mrd. Euro]</t>
  </si>
  <si>
    <t>nominal</t>
  </si>
  <si>
    <t>real</t>
  </si>
  <si>
    <t>Technologie auswählen:</t>
  </si>
  <si>
    <t>Differenz zu Referenz-Szenario (ct/kWh, Mrd. Euro) für Ergebnistabelle</t>
  </si>
  <si>
    <t>Bruttozubau pro Jahr 
(GW/a)</t>
  </si>
  <si>
    <t>aus MOD-Berechnungen</t>
  </si>
  <si>
    <t>Volllaststunden
(h)</t>
  </si>
  <si>
    <t>Vermiedene Zahlungen durch Absenkung der Vergütung (Wind offshore) (nominal) [Mrd. Euro]</t>
  </si>
  <si>
    <t>Wegfallende Vergütungszahlungen (nominal) (Mrd. €)</t>
  </si>
  <si>
    <t>Future-Strompreis (nominal) [Euro/MWh]</t>
  </si>
  <si>
    <t>vermiedene Netzentgelte (nominal) [Euro/MWh]</t>
  </si>
  <si>
    <t>sonstige Kosten (nominal) [Mrd. Euro]</t>
  </si>
  <si>
    <t>Future-Strompreis (nominal für historische Jahre, real für Prognosejahre) [Euro/MWh]</t>
  </si>
  <si>
    <t>vermiedene Netzentgelte (nominal für historische Jahre, real für Prognosejahre) [Euro/MWh]</t>
  </si>
  <si>
    <t>sonstige Kosten (nominal für historische Jahre, real für Prognosejahre)  [Mrd. Euro]</t>
  </si>
  <si>
    <t>für Prognosejahre werden hier die realen Input-Daten in nominale Werte umgerechnet. Für historische Jahre sind die Input-Daten bereits nominal.</t>
  </si>
  <si>
    <t>v2.1.14</t>
  </si>
  <si>
    <t>zuletzt geändert</t>
  </si>
  <si>
    <t>Zahlungen für Managementprämie für Bestandsanlagen (Berechnung für Prognosejahre) (nominal) [Mrd. Euro]</t>
  </si>
  <si>
    <t>Einnahmen aus Vermarktung (Berechnung für Prognosejahre) (nominal) [Mrd. Euro]</t>
  </si>
  <si>
    <t>Einnahmen aus Vermarktung (nominal)  [Mrd. Euro]</t>
  </si>
  <si>
    <t>Verbleibende Zahlungen für Bestandsanlagen, korrigiert mit Dargebotsfaktor (nominal) [Mrd. Euro/a]</t>
  </si>
  <si>
    <t>Prognostizierte Deckungslücke (nominal) [Mrd. Euro]</t>
  </si>
  <si>
    <t>Einnahmen der Anlagenbetreiber (Baujahr&gt;2014) aus Vergütungssatz und Managementprämie  (nominal) [Mrd. Euro]</t>
  </si>
  <si>
    <t>Einnahmen aus Vermarktung  (nominal) [Mrd. Euro]</t>
  </si>
  <si>
    <t>Effekt Günstromprivileg (nominal) [Mrd. Euro]</t>
  </si>
  <si>
    <t>vermiedene Netzentgelte (nominal) [Mrd. Euro]</t>
  </si>
  <si>
    <t>Sonstige Kosten (nominal) [Mrd. Euro]</t>
  </si>
  <si>
    <t>Einnahmen der Anlagenbetreiber (Baujahr&lt;2015) aus Vergütungssatz und Managementprämie (nominal)  [Mrd. Euro]</t>
  </si>
  <si>
    <t>Minderung der Vermarktungserlöse wg. Differenz zwischen Future- und Spotpreis  (nominal) [Mrd. Euro]</t>
  </si>
  <si>
    <t>Ausgaben aus vergangenem Jahr  (nominal) [Mrd. Euro]</t>
  </si>
  <si>
    <t>Umlageerlöse aus vergangenem Jahr, ohne monatliche Auflösung (nominal) [Mrd. Euro]</t>
  </si>
  <si>
    <t>Gesamtsaldo (nominal) [Mrd. Euro]</t>
  </si>
  <si>
    <t>Liquiditätsreserve (nominal) [Mrd. euro]</t>
  </si>
  <si>
    <t>Kontostand am 30.9. des Vorjahres (nominal) [Mrd. Euro]</t>
  </si>
  <si>
    <t>Umlagebetrag (nominal) [Mrd. Euro]</t>
  </si>
  <si>
    <t>Kernumlage (nominal) [ct/kWh]</t>
  </si>
  <si>
    <t>Umlageanteil aus Liquiditätsreserve (nominal) [ct/kWh]</t>
  </si>
  <si>
    <t>Umlageanteil aus Kontostand (nominal) [ct/kWh]</t>
  </si>
  <si>
    <t>EEG-Umlage gesamt (nominal) [ct/kWh]</t>
  </si>
  <si>
    <t>historische EEG-Umlage (nominal) [ct/kWh]</t>
  </si>
  <si>
    <t>v2.1.13</t>
  </si>
  <si>
    <t>zuletzt verändert</t>
  </si>
  <si>
    <t>v.2.1.9</t>
  </si>
  <si>
    <t>v2.1.9</t>
  </si>
  <si>
    <t>v2.1.4</t>
  </si>
  <si>
    <t>v2.1.7</t>
  </si>
  <si>
    <t>v2.1.11</t>
  </si>
  <si>
    <t>v2.1.6</t>
  </si>
  <si>
    <t xml:space="preserve"> = Vergütungssatz für Neuanlagen (real) * Umrechnungsfaktor real zu nominal (2015)</t>
  </si>
  <si>
    <t>Sonderfall: 2015: Mittlerer Vergütungssatz = Vergütungssatz für Neuanlagen 2015</t>
  </si>
  <si>
    <t xml:space="preserve"> = verbleibende Zahlungen für Bestandsanlagen * Dargebotsfaktor</t>
  </si>
  <si>
    <t>v2.1.15</t>
  </si>
  <si>
    <t>monetäre Daten (nominal) (Umlage ct/kWh, Mrd. Euro)</t>
  </si>
  <si>
    <t>monetäre Daten (real) (Umlage ct/kWh, Mrd. Euro)</t>
  </si>
  <si>
    <t>Ergebnisse für das Prognose-Szenario</t>
  </si>
  <si>
    <t xml:space="preserve"> = nominale Daten / Umrechnungsfaktor real zu nominal</t>
  </si>
  <si>
    <t>Umlageanteile (nominal) [ct/kWh] für Übersichtsgrafik</t>
  </si>
  <si>
    <t>Umlageanteile (real) [ct/kWh] für Übersichtsgrafik</t>
  </si>
  <si>
    <t>Sonstige Effekte*
*vermiedene Netzentgelte, Grünstromprivileg, sonstige Kosten</t>
  </si>
  <si>
    <t xml:space="preserve"> = sonstige Kosten + Effekt Grünstromprivileg - vermiedene Netzentgelte</t>
  </si>
  <si>
    <t>Umlageanteile  [ct/kWh] für Übersichtsgrafik, real oder nominal je nach Schalterstellung</t>
  </si>
  <si>
    <t>Einnahmen der Anlagenbetreiber gemäß Vergütungssatz*
*ab 2015 mit vollem Vergütungssatz auch für direktvermarkteten Strom</t>
  </si>
  <si>
    <t>Daten für Strompreis+Umlage Grafik</t>
  </si>
  <si>
    <t>Strompreis</t>
  </si>
  <si>
    <t>v2.1.16</t>
  </si>
  <si>
    <t>v2.1.17</t>
  </si>
  <si>
    <t>wann hinzugefügt</t>
  </si>
  <si>
    <t>ID</t>
  </si>
  <si>
    <t>v2.1.19</t>
  </si>
  <si>
    <t>Je nach Schalterstellung werden nominale oder reale Werte verwendet</t>
  </si>
  <si>
    <t>Stromverbrauch (TWh)</t>
  </si>
  <si>
    <t>Anteil an Umlage</t>
  </si>
  <si>
    <t>Umlagesatz (ct/kWh)</t>
  </si>
  <si>
    <t>Summe</t>
  </si>
  <si>
    <t>Anteil an Umlage für Eigenverbrauch 
(Bestandsanlagen)</t>
  </si>
  <si>
    <t>Netzverluste und KW-Eigenverbrauch --&gt; wird zu Nettostromverbrauch hinzuaddiert, um Bruttostromverbrauch zu berechnen</t>
  </si>
  <si>
    <t>Nettostromverbrauch</t>
  </si>
  <si>
    <t>Nettostromverbrauch [TWh]</t>
  </si>
  <si>
    <t>Nettostromverbrauch (TWh)</t>
  </si>
  <si>
    <t>Netzverluste und Kraftwerkseigenverbrauch (TWh)</t>
  </si>
  <si>
    <t>Bruttostromverbrauch (TWh)</t>
  </si>
  <si>
    <t>EE-Erzeugung (TWh)</t>
  </si>
  <si>
    <t>Anteil Erneuerbarer</t>
  </si>
  <si>
    <t>EE-Kapzitäten Ende 2009</t>
  </si>
  <si>
    <t>für Kapazitäten in 2009 werden Daten aus D-Kapazität 2009 verwendet</t>
  </si>
  <si>
    <t>Nicht privilegierter Letztverbrauch</t>
  </si>
  <si>
    <t>Grünstromprivileg</t>
  </si>
  <si>
    <t>Anteil an Umlage für Eigenverbrauch aus Bestandsanlagen</t>
  </si>
  <si>
    <t>Anteil privilegierter Letztverbrauch [-]</t>
  </si>
  <si>
    <t>kein Zubau</t>
  </si>
  <si>
    <t>Rückbau von Bestandsanlagen vor 2015. Wird nur für Zubaugrafik verwendet.</t>
  </si>
  <si>
    <t>x</t>
  </si>
  <si>
    <t>EE-Anteil an Bruttostromverbrauch</t>
  </si>
  <si>
    <t>v2.1.25</t>
  </si>
  <si>
    <t>110%</t>
  </si>
  <si>
    <t>Auswahl für nominal / real Schalter:</t>
  </si>
  <si>
    <t>Monetäre Daten nominal oder real darstellen?</t>
  </si>
  <si>
    <t>v2.1.26</t>
  </si>
  <si>
    <t>Einnahmen Anlagenbetreiber [Mrd. Euro]</t>
  </si>
  <si>
    <t>Einnahmen aus Vermarktung</t>
  </si>
  <si>
    <t>Einnahmen der Anlagenbetreiber gemäß Vergütungssatz (Baujahr &lt; 2015)</t>
  </si>
  <si>
    <t>Einnahmen der Anlagenbetreiber gemäß Vergütungssatz (Baujahr &gt; 2014)</t>
  </si>
  <si>
    <t>Abgeleitet aus ÜNB-Jahresprognosen</t>
  </si>
  <si>
    <t>80%</t>
  </si>
  <si>
    <t>70%</t>
  </si>
  <si>
    <t>Inflationsrate</t>
  </si>
  <si>
    <t>1,0% pro Jahr</t>
  </si>
  <si>
    <t>1,5%</t>
  </si>
  <si>
    <t>1,0%</t>
  </si>
  <si>
    <t>2,0%</t>
  </si>
  <si>
    <t>0 Mrd. Euro</t>
  </si>
  <si>
    <t>2 Mrd. Euro</t>
  </si>
  <si>
    <t>4 Mrd. Euro</t>
  </si>
  <si>
    <t>6 Mrd. Euro</t>
  </si>
  <si>
    <t>Beitrag zur Deckungslücke (Mrd. €)</t>
  </si>
  <si>
    <t>Achsenbeschriftung für monetäre Einheiten:</t>
  </si>
  <si>
    <t>Eigenverbrauch (Neuanlagen, fossil, nicht KWK)</t>
  </si>
  <si>
    <t>Eigenverbrauch (Neuanlagen, EE und KWK)</t>
  </si>
  <si>
    <t>Eigenverbrauch (Bestand und Bestandsersatz, fossil)</t>
  </si>
  <si>
    <t>Profilfaktoren</t>
  </si>
  <si>
    <t>v2.1.27</t>
  </si>
  <si>
    <t>Profilfaktoren [-]</t>
  </si>
  <si>
    <t>Darstellung monetärer Daten:</t>
  </si>
  <si>
    <t xml:space="preserve">Darstellung monetärer Daten: </t>
  </si>
  <si>
    <t>Inflationsrate für Umrechnung von nominalen und realen Zahlungsströmen</t>
  </si>
  <si>
    <t>jährliche Inflationsrate [-]</t>
  </si>
  <si>
    <t>Jahreszubau (Brutto) [GW]</t>
  </si>
  <si>
    <t>v2.1.29</t>
  </si>
  <si>
    <t>Jährliches Ausscheiden aus EEG [GW/a]</t>
  </si>
  <si>
    <t>bis 2014: Daten aus D-Rückbau vor 2015 nehmen</t>
  </si>
  <si>
    <t>Jahreszubau (Netto) [GW/a]</t>
  </si>
  <si>
    <t>Nettozubau = Bruttozubau - Ausscheidende Kapazitäten</t>
  </si>
  <si>
    <t xml:space="preserve">Kapazität = Kapazität im Vorjahr + Netto-Zubau im aktuellen Jahr. </t>
  </si>
  <si>
    <t>EE-Erzeugung außerhalb EEG (TWh/a)</t>
  </si>
  <si>
    <t>0,01GW/a</t>
  </si>
  <si>
    <t>Standardauslastung Neuanlagen [h]</t>
  </si>
  <si>
    <t>Durchschnittliche Standardauslastung von Anlagen, die nach 2014 gebaut werden [h]</t>
  </si>
  <si>
    <t>v2.1.30</t>
  </si>
  <si>
    <t>Standardauslastung = Mittelwert der Standardauslastungen aller Jahre ab 2015, gewichtet mit dem Bruttozubau. 
Um Division durch Null zu vermeiden: Wenn die Summe aller Bruttozubauten gleich Null ist, wird Standardauslastung auch auf Null gesetzt.</t>
  </si>
  <si>
    <t>Strom aus Anlagen, die nach dem Ende der Förderperiode weiter betrieben werden (goldenes Ende) [TWh/a]</t>
  </si>
  <si>
    <t>5 Jahre</t>
  </si>
  <si>
    <t>keine</t>
  </si>
  <si>
    <t>1 Jahr</t>
  </si>
  <si>
    <t>2 Jahre</t>
  </si>
  <si>
    <t>3 Jahre</t>
  </si>
  <si>
    <t>4 Jahre</t>
  </si>
  <si>
    <t>6 Jahre</t>
  </si>
  <si>
    <t>7 Jahre</t>
  </si>
  <si>
    <t>8 Jahre</t>
  </si>
  <si>
    <t>9 Jahre</t>
  </si>
  <si>
    <t>10 Jahre</t>
  </si>
  <si>
    <t>Eingabeparameter: Lebensdauer der Anlagen nach Ende der Förderung</t>
  </si>
  <si>
    <t>v2.1.31</t>
  </si>
  <si>
    <t xml:space="preserve">Strommenge wird berechnet aus verbleibenden Strommengen aus Bestandsanlagen (Baujahr &lt;2015) und der Dauer des "Goldenen Endes" in Jahren. </t>
  </si>
  <si>
    <t>Eingabeparameter: 
Jährlicher Kapazitätszubau (Brutto)</t>
  </si>
  <si>
    <t>Ausscheiden
 aus EEG</t>
  </si>
  <si>
    <t>0 GW/a</t>
  </si>
  <si>
    <t>Insgesamt erzeugte EE-Strommenge laut ÜNB-Jahresprognosen (TWh)</t>
  </si>
  <si>
    <t>fest vergütete und mit Marktprämie vergütete Strommenge laut ÜNB-Jahresprognosen (TWh)</t>
  </si>
  <si>
    <t>v2.1.33</t>
  </si>
  <si>
    <t>Stromerzeugung für Anlagen, die nach 2014 gebaut werden (TWh)</t>
  </si>
  <si>
    <t>für 2015: Stromerzeugung = 0,5*Bruttozubau 2015 * Standardauslastung 2015 * Dargebotsfaktor 2015
für alle anderen Jahre:
Stromerzeugung = 
  ( Summe über Vorjahre (Bruttozubau * Standardauslastung)
  + 0,5* Bruttozubau aktuelles Jahr * Standardauslastung aktuelles Jahr )
  * Dargebotsfaktor aktuelles Jahr</t>
  </si>
  <si>
    <t>Stromerzeugung = Stromerzeugung Bestand (Baujahr&lt;2015) * Dargebotsfaktor
+ Strommenge Neuanlagen Baujahr &gt;2014</t>
  </si>
  <si>
    <t>v2.1.35</t>
  </si>
  <si>
    <t xml:space="preserve"> = nicht privilegierter Letztverbrauch * Umlage</t>
  </si>
  <si>
    <t>65 TWh (Verbrauch, der für ETS-Strompreiskompensation berechtigt ist)</t>
  </si>
  <si>
    <t>siehe "Vorschlag für eine Reform der Umlage-Mechanismen im Erneuerbare Energien Gesetz (EEG)", Öko-Institut 2014</t>
  </si>
  <si>
    <t>eigene Berechnung</t>
  </si>
  <si>
    <t>Parameter</t>
  </si>
  <si>
    <t>Gewählte Eingabeparameter</t>
  </si>
  <si>
    <t>Ergebnistabellen</t>
  </si>
  <si>
    <t>0,1 GW/a</t>
  </si>
  <si>
    <t>0,2 GW/a</t>
  </si>
  <si>
    <t>0,3 GW/a</t>
  </si>
  <si>
    <t>0,4 GW/a</t>
  </si>
  <si>
    <t>3,0 GW/a</t>
  </si>
  <si>
    <t>4,5 GW/a</t>
  </si>
  <si>
    <t>6,0 GW/a</t>
  </si>
  <si>
    <t>kein Ausbau</t>
  </si>
  <si>
    <t>keine Neuanlagen</t>
  </si>
  <si>
    <t>v2.1.37</t>
  </si>
  <si>
    <t>Anteil an Umlage für privilegierte Letztverbraucher * (1-Faktor für Zusatzprivilegierung)</t>
  </si>
  <si>
    <t>v2.1.38</t>
  </si>
  <si>
    <t>Anteil nicht privilegierter Letztverbrauch</t>
  </si>
  <si>
    <t>Anteil privilegierter Letztverbrauch</t>
  </si>
  <si>
    <t>Referenz+20%</t>
  </si>
  <si>
    <t>Referenz-20%</t>
  </si>
  <si>
    <t>Kontostand des Vorjahres</t>
  </si>
  <si>
    <t>v2.1.40</t>
  </si>
  <si>
    <t xml:space="preserve">Auf der Benutzeroberfläche im Tabellenblatt "Start" werden alle veränderbaren Parameter dargestellt. Für jeden Parameter wird der ausgewählte Wert angezeigt, sowie die Spannbreite der möglichen auszuwählenden Werte. Für jeden Parameter ist ein Referenzwert voreingestellt - dieses Referenzszenario stellt die Entwicklung der EEG-Umlage unter der Annahme dar, dass keine wesentlichen Änderungen am EEG-Mechanismus vorgenommen werden und Kapazitätsausbau, Strompreis und -nachfrage sich moderat entwickeln. </t>
  </si>
  <si>
    <t xml:space="preserve">Die Abbildungen auf dem Tabellenblatt "Start" geben einen Überblick über die wichtigsten Ergebnisse (Entwicklung der EEG-Umlage und der Summe aus Börsenstrompreis und Umlage). Weitere Ergebnisse in Form von Abbildungen und Tabellen sind im Tabellenblatt "Ergebnisse" zusammengestellt. Dieses Tabellenblatt kann auch ausgedruckt werden, um alle Ergebnisse und Schalterstellungen für ein Szenario festzuhalten. </t>
  </si>
  <si>
    <t xml:space="preserve">Die Berechnungen werden in dem Tabellenblatt "MOD-Berechnungen" und "MOD-Jahresgang" durchgeführt. Hier können alle Methoden und Zwischenergebnisse nachvollzogen werden. Die Daten für die Abbildungen und Tabellen sind auf den Datenblättern "Grd-Grafikdaten" und "Grd-Grafikdaten(2)" zusammengefasst. Das Tabellenblatt "Index" enthält eine Liste aller Tabellenblätter mit einer kurzen Beschreibung. </t>
  </si>
  <si>
    <t>http://www.agora-energiewende.de/de/service/eeg-rechner/</t>
  </si>
  <si>
    <t>Eine ausführliche Dokumentation für den EEG-Rechner steht auf der Webseite der Agora Energiewende zur Verfügung:</t>
  </si>
  <si>
    <t>Eingabeparameter: 
Strompreis und Kontostand</t>
  </si>
  <si>
    <t>Eingabeparameter: 
Ausnahmen für stromintensive Unternehmen (BesAR)</t>
  </si>
  <si>
    <t xml:space="preserve">Einen wesentlichen Parameter bildet dabei die EEG-Umlage, die für Endkunden auf den Stromverbrauch aufgeschlagen wird, und über die ein Großteil der Netto-Kosten des EEG gedeckt wird. Die Höhe der EEG-Umlage wird, entsprechend der zu erwartenden Deckungslücke, einmal jährlich angepasst. Die Höhe der Umlage wird von zahlreichen Parametern beeinflusst. Der EEG-Rechner erlaubt es, diese Parameter zu variieren und die Entwicklung der EEG-Umlage sowie der zu Grunde liegenden Zahlungsströme bis 2035 abzuschätzen. </t>
  </si>
  <si>
    <r>
      <t xml:space="preserve">Im </t>
    </r>
    <r>
      <rPr>
        <b/>
        <sz val="10"/>
        <rFont val="Arial"/>
        <family val="2"/>
      </rPr>
      <t>Expertenmodus</t>
    </r>
    <r>
      <rPr>
        <sz val="10"/>
        <rFont val="Arial"/>
        <family val="2"/>
      </rPr>
      <t xml:space="preserve"> stehen wesentlich mehr (alle relevanten) Eingangsparameter für Variationen zur Verfügung. Darüber hinaus können für jeden Parameter,    zusätzlich zu den vordefinierten Szenarien, eigene Szenarien definiert und in einer Datenbankstruktur abgelegt werden. Im Expertenmodus sind sämtliche Daten und Berechnungen für den Benutzer zugänglich. </t>
    </r>
  </si>
  <si>
    <t>Ergebnisse</t>
  </si>
  <si>
    <t>GrD-Grafikdaten (2)</t>
  </si>
  <si>
    <t>MOD_Absenkung_Wind_offshore</t>
  </si>
  <si>
    <t>D-Bruttozubau</t>
  </si>
  <si>
    <t>D-Dauer Goldenes Ende</t>
  </si>
  <si>
    <t>D-Nettostromverbrauch</t>
  </si>
  <si>
    <t>D-Umlage EV Bestand</t>
  </si>
  <si>
    <t>D-Inflationsrate</t>
  </si>
  <si>
    <t>D-Strommenge ges.</t>
  </si>
  <si>
    <t>D-Strommenge FV+DM</t>
  </si>
  <si>
    <t>D-Bestand Kapazität</t>
  </si>
  <si>
    <t>D-Bestand Strommenge</t>
  </si>
  <si>
    <t>D-Bestand Zahlungen</t>
  </si>
  <si>
    <t>D-Netzverl. u. KW-Eigenverbr.</t>
  </si>
  <si>
    <t>D-Kapazitäten 2009</t>
  </si>
  <si>
    <t>D-Rückbau vor 2015</t>
  </si>
  <si>
    <t>D-EE-Strommengen nicht EEG</t>
  </si>
  <si>
    <t>v2.1.43</t>
  </si>
  <si>
    <t>Zielerreichungsgrafik</t>
  </si>
  <si>
    <t>untere Grenze der Zielmarken</t>
  </si>
  <si>
    <t>obere Grenze der Zielmarken</t>
  </si>
  <si>
    <t>Zielmarke gem. EEG:
40-45% in 2025,
55-60% in 2035</t>
  </si>
  <si>
    <t>v3.0</t>
  </si>
  <si>
    <t>v3.0.1</t>
  </si>
  <si>
    <t>grün: Eingangsparameter</t>
  </si>
  <si>
    <t>blau: Berechnungen</t>
  </si>
  <si>
    <r>
      <t>Sonderfall: 
   Wenn:  Summe(t)</t>
    </r>
    <r>
      <rPr>
        <vertAlign val="subscript"/>
        <sz val="10"/>
        <color rgb="FF0070C0"/>
        <rFont val="Arial"/>
        <family val="2"/>
      </rPr>
      <t>2015-&gt;aktuelles Vorjahr</t>
    </r>
    <r>
      <rPr>
        <sz val="10"/>
        <color rgb="FF0070C0"/>
        <rFont val="Arial"/>
        <family val="2"/>
      </rPr>
      <t xml:space="preserve"> (Zubau brutto (t)) + Zubau brutto (aktuelles Jahr)/2) = 0, 
   dann:    verwende mittleren Vergütungssatz aus dem Vorjahr 
  (um Division durch Null zu vermeiden)</t>
    </r>
  </si>
  <si>
    <t>Einnahmen der Anlagenbetreiber = 
Mittlerer Vergütungssatz * (
Strommenge aus Anlagen Baujahr &gt;2014 
- Eigenverbrauch Neu)
- Vermiedene Zahlungen durch Absenkung der Vergütung</t>
  </si>
  <si>
    <t xml:space="preserve"> = Managementprämie (real) * Umrechnungsfaktor real -&gt; nominal</t>
  </si>
  <si>
    <t>Hier werden die Vermarktungserlöse für fest vergüteten und direkt vermarkteten Strom berechnet.
Einnahmen aus Vermarktung = 
(Stromerzeugung gesamt 
-Strommenge Eigenverbrauch Bestand 
- Strommenge Eigenverbrauch Neu) * Strompreis (nominal) * Profilfaktor für Prognoserechnungen</t>
  </si>
  <si>
    <r>
      <t>ab 2015: Strommenge Eigenverbrauch = 
Stromerzeugung Neuanlagen</t>
    </r>
    <r>
      <rPr>
        <sz val="10"/>
        <color rgb="FFFF0000"/>
        <rFont val="Arial"/>
        <family val="2"/>
      </rPr>
      <t xml:space="preserve"> </t>
    </r>
    <r>
      <rPr>
        <sz val="10"/>
        <color rgb="FF0070C0"/>
        <rFont val="Arial"/>
        <family val="2"/>
      </rPr>
      <t xml:space="preserve"> * Anteil Eigenverbrauch im aktuellen Jahr</t>
    </r>
    <r>
      <rPr>
        <sz val="10"/>
        <color theme="7"/>
        <rFont val="Arial"/>
        <family val="2"/>
      </rPr>
      <t xml:space="preserve"> </t>
    </r>
  </si>
  <si>
    <t xml:space="preserve"> = Stromverbrauch Grünstromprivileg * Umlagesatz-Reduktion für Grünstromprivileg (geht als Negativposten in die Bilanz ein)</t>
  </si>
  <si>
    <t>Dieser Effekt wird dadurch verursacht, dass die für Offshore-Windkraftanlagen gewährte Anfangsvergütung nur für 8 Jahre (bis 2019) bzw. 12 Jahre (ab 2020) gewährt wird. Die Werte werden in "MOD_Absenkung_Wind_Offshore" berechnet.</t>
  </si>
  <si>
    <t xml:space="preserve">Für Umlageberechnung anzulegender Letztverbrauch= 
 NPL 
+ privilegierter Letzverbrauch * Anteil an Umlage für privilegierten Letztverbrauch * (1-Faktor für zusätzliche Privilegierungsmechanismen)
+ (Eigenverbrauch KWK neu + Eigenverbrauch PV neu)* Umlageanteil KWK und EE neu
+ Eigenverbrauch fossile nicht-KWK neu * Umlageanteil fossile nicht-KWK neu
+ Strommenge Grünstromprivileg </t>
  </si>
  <si>
    <t>Liquiditätsreserve in Mrd. € = Liquiditätsreserve in % * Deckungslücke</t>
  </si>
  <si>
    <t>wann hinzu-gefügt</t>
  </si>
  <si>
    <t>Umlageanteil aus Kontostand = - Kontostand am 30.9. des Vorjahres  / für EEG-Umlage anzulegenden Letztverbrauch</t>
  </si>
  <si>
    <t xml:space="preserve"> = privilegierter Letztverbrauch * Anteil an Umlage für PL * (1-Faktor für zusätzliche Privilegierung) * Umlage</t>
  </si>
  <si>
    <t>Gewählte Eingabeparameter (Expertenmodus)</t>
  </si>
  <si>
    <t>mit diesem Faktor werden reale Zahlungen (bezugsjahr 2015) multipliziert, um sie in nominale Zahlungen umzurechnen.</t>
  </si>
  <si>
    <t>blau: hier berechnet</t>
  </si>
  <si>
    <t>rosa: aus anderen Blättern eingelesen</t>
  </si>
  <si>
    <t>Dieses Tabellenblatt enthält  Daten für die Abbildungen</t>
  </si>
  <si>
    <t xml:space="preserve">In diesem Datenblatt wird der Effekt berechnet, der durch die Absenkung der Vergütungssätze für Offshore-Windkraftanlagen nach 8 bzw. 12 Jahren entsteht. </t>
  </si>
  <si>
    <t>Eigene Berechnungen</t>
  </si>
  <si>
    <t>Eigene Berechnungen, basierend auf "Konzept, Gestaltungselemente und Implikationen eines EEG-Vorleistungsfonds. Öko-Institut 2014"</t>
  </si>
  <si>
    <t>Mrd. €</t>
  </si>
  <si>
    <t>Verbleibende Zahlungen für Anlagen, die bis Ende 2014 gebaut wurden (nominal)</t>
  </si>
  <si>
    <t>100% (gem. EEG 2014)</t>
  </si>
  <si>
    <t>14,65 TWh/a</t>
  </si>
  <si>
    <t>keine Stromproduktion außerhalb EEG</t>
  </si>
  <si>
    <t>Saldo ÜNB</t>
  </si>
  <si>
    <t>Dauer "goldenes Ende" (Jahre nach Ende der Förderperiode, in denen Anlagen ohne Förderung weiter betrieben werden)</t>
  </si>
  <si>
    <t>a</t>
  </si>
  <si>
    <t>v3.0.8</t>
  </si>
  <si>
    <t>Korrekturfaktor eingefügt für Strommenge im Jahr 2015 (wegen Anpassung der Zubauzahlen an aktuelle Statistik, damit sich die Umlage in 2015 nicht ändert)</t>
  </si>
  <si>
    <t>Entwicklerkommentar</t>
  </si>
  <si>
    <t>v.3.0.9</t>
  </si>
  <si>
    <t>v3.0.9</t>
  </si>
  <si>
    <t>Einnahmen der Anlagenbetreiber (Baujahr nach 2014) gemäß Vergütungssatz (nominal) [Mrd. Euro]</t>
  </si>
  <si>
    <r>
      <t xml:space="preserve"> = Vergütungsansprüche  </t>
    </r>
    <r>
      <rPr>
        <strike/>
        <sz val="10"/>
        <color rgb="FFFF0000"/>
        <rFont val="Arial"/>
        <family val="2"/>
      </rPr>
      <t>+ Managementprämie für Bestandsanlagen</t>
    </r>
  </si>
  <si>
    <t>ist jetzt nicht mehr Differenz zwischen Gesamt und Bestand, sondern direkt die in MOD-Berechnungen bestimmte Erzeugung durch Neuanlagen</t>
  </si>
  <si>
    <t>ist jetzt für alle Jahre Strommenge gesamt minus Strommenge Neuanlagen</t>
  </si>
  <si>
    <t>Einnahmen der Anlagenbetrieber (alle Baujahre) gemäß Vergütungssatz, Berechnung für historische Jahre (nominal) [Mrd. Euro]</t>
  </si>
  <si>
    <r>
      <t xml:space="preserve">Wenn historisches Jahr, dann verwende Zahlen aus ÜNB-Nachrechnung. Ansonsten verwende verbleibende Zahlungen für Bestandsanlagen </t>
    </r>
    <r>
      <rPr>
        <sz val="10"/>
        <color rgb="FFFF0000"/>
        <rFont val="Arial"/>
        <family val="2"/>
      </rPr>
      <t>+ Managementprämie für Bestandsanlagen</t>
    </r>
  </si>
  <si>
    <t>Jährlicher Kapazitätszubau Erneuerbare (Brutto)</t>
  </si>
  <si>
    <t>Umlageanteile  [ct/kWh] für Übersichtsgrafik (jährliche Änderung), real oder nominal je nach Schalterstellung</t>
  </si>
  <si>
    <t>Kapazitäten [GW]</t>
  </si>
  <si>
    <t>Kapazitäten (kleine aggregiert) [GW]</t>
  </si>
  <si>
    <t>Strommengen [TWh/a]</t>
  </si>
  <si>
    <t>Strommengen (kleine aggregiert) [TWh/a]</t>
  </si>
  <si>
    <t>Vergütungsansprüche (real) [Mrd EUR 2016 / a]</t>
  </si>
  <si>
    <t>Vergütungsansprüche real (kleine aggregiert)  [Mrd EUR 2016 / a]</t>
  </si>
  <si>
    <t>Vergütungsansprüche (nominal)  [Mrd EUR  / a]</t>
  </si>
  <si>
    <t>Zahlungen nominal (kleine aggregiert) [Mrd EUR  / a]</t>
  </si>
  <si>
    <t>Zahlungen für Abbildung (nominal oder real, je nach Schalterstellung) [Mrd EUR  / a]</t>
  </si>
  <si>
    <t>Brutto-Zubau (kleine aggregiert) [GW/a]</t>
  </si>
  <si>
    <t>Netto-Zubau (kleine aggregiert) [GW/a]</t>
  </si>
  <si>
    <t>Daten für Zubaudiagramm (einzelne Technologie [GW/a]</t>
  </si>
  <si>
    <t>v3.1.0a</t>
  </si>
  <si>
    <t xml:space="preserve">für historische Jahre: Einnahmen Anlagenbetreiber (alle Baujahre, aus ÜNB-Jahresprognosen abgeleitet) - Vermarktungserlöse 
für Prognosejahre: = Einnahmen Anlagenbetreiber (Baujahr&gt;2014) + Einnahmen Managementprämie + Verbleibende Zahlungen an Bestandsanlagen - Vermarktungserlöse
</t>
  </si>
  <si>
    <t>Referenzszenario -50%</t>
  </si>
  <si>
    <t>wie Referenzszenario</t>
  </si>
  <si>
    <t>Referenzszenario +50%</t>
  </si>
  <si>
    <t>Referenzszenario +100%</t>
  </si>
  <si>
    <t>MFP hoch</t>
  </si>
  <si>
    <t>MFP niedrig</t>
  </si>
  <si>
    <t>v3.1.3</t>
  </si>
  <si>
    <t>Test: EE-Anteil bei einem Bruttostromverbrauch von 600TWh (Annahme EEG 2016)</t>
  </si>
  <si>
    <t>EE-Anteil (%)</t>
  </si>
  <si>
    <t>159_01</t>
  </si>
  <si>
    <t>Eingabeparameter: Stromverbrauch</t>
  </si>
  <si>
    <t>Was bedeuten die Farben?</t>
  </si>
  <si>
    <t>blau: kann im Entscheidermodus verändert werden</t>
  </si>
  <si>
    <t xml:space="preserve">grau: kann nur im Expertenmodus verändert werden. Standardwert ifür Entscheidermodus st hier eingetragen. </t>
  </si>
  <si>
    <t>Erzeugung aus biogenem Anteil des Hausmülls (wird gem. AG Energiebilanzen als "Erneuerbar" bilanziert). Quelle 2010-2015: AG Energiebilanzen, danach konstant</t>
  </si>
  <si>
    <t>EE-Strommengen, die nicht EEG-gefördert sind. Dies ist momentan nur für Wasserkraft und Biomasse (Stromerzeugung aus Hausmüll) relevant. Strom aus Anlagen, die das Ende der Förderperiode bereits überschritten haben, wird an anderer Stelle berücksichtigt</t>
  </si>
  <si>
    <t>Annahme: Anlagen, die nicht EEG-gefördert sind, produzieren ab 2014 13,95 TWh/a. Quelle: Differenz aus Stromerzeugung Wasserkraft gesamt gemäß AG Energiebilanzen im Jahr 2014 und Strommenge Wasserkraft gemäß EEG-Jahresabrechnung für das Jahr 2014.</t>
  </si>
  <si>
    <t>EE-Erzeugungskapazitäten von Anlagen, die nicht EEG-gefördert sind. Dies ist momentan nur für Wasserkraft und Biomasse (Stromerzeugung aus Hausmüll) relevant. Leistungen von Anlagen, die das Ende der Förderperiode bereits überschritten haben, werden an anderer Stelle berücksichtigt</t>
  </si>
  <si>
    <t>4,1GW</t>
  </si>
  <si>
    <t>1,5GW</t>
  </si>
  <si>
    <t>2011-2015: installierte Leistung BNetzA-Kraftwerksliste (Stand 31.12.2015) Laufwasser+Speicherwasser ohne Pumpspeicher, abzüglich der installierten Leistung von EEG-geförderten Anlagen gemäß ÜNB-Mittelfristprognose 2015. Ab 2015 konstant. Für 2010 Werte von 2011 verwendet (BNetzA-Krafwerksliste enthält erst Daten ab 2011)</t>
  </si>
  <si>
    <t>2011-2015: installierte Leistung BNetzA-Kraftwerksliste (Stand 31.12.2015) Biomasse+erneuerbarer Anteil Abfall, abzüglich der installierten Leistung von EEG-geförderten Anlagen gemäß ÜNB-Mittelfristprognose 2015. Ab 2015 konstant. Für 2010 Werte von 2011 verwendet (BNetzA-Krafwerksliste enthält erst Daten ab 2011)</t>
  </si>
  <si>
    <t>192.1</t>
  </si>
  <si>
    <t>192.2</t>
  </si>
  <si>
    <t>192.3</t>
  </si>
  <si>
    <t>192.4</t>
  </si>
  <si>
    <t>192.5</t>
  </si>
  <si>
    <t>192.6</t>
  </si>
  <si>
    <t>192.7</t>
  </si>
  <si>
    <t>192.8</t>
  </si>
  <si>
    <t>192.9</t>
  </si>
  <si>
    <t>192.10</t>
  </si>
  <si>
    <t>192.11</t>
  </si>
  <si>
    <t>Summe aus Leistungen von Anlagen im goldenen Ende + Summe aus Leistungen von Anlagen, die keine EEG-Förderung erhalten</t>
  </si>
  <si>
    <t xml:space="preserve">Strommenge wird berechnet aus verbleibenden Kapazitäten aus Bestandsanlagen (Baujahr &lt;2015) und der Dauer des "Goldenen Endes" in Jahren. </t>
  </si>
  <si>
    <t>EE-Kapazitäten außerhalb EEG</t>
  </si>
  <si>
    <t>2015-2034: Differenz Verbleibender Kapazitäten Baujahr &lt; 2015 aus Vorjahr und aktuellem Jahr</t>
  </si>
  <si>
    <t>nach 2034: (modellendogener) Zubau vor 20 Jahren --&gt; im Jahr 2035 also der Zubau im Jahr 2015</t>
  </si>
  <si>
    <t>D-EE-Kapazitäten nicht EEG</t>
  </si>
  <si>
    <t>Basisjahr für reale monetäre Daten</t>
  </si>
  <si>
    <t>Umrechnungsfaktor real  zu nominal [-]</t>
  </si>
  <si>
    <t>MFP Referenz</t>
  </si>
  <si>
    <t>2014 aus EE in Zahlen; danach eigene Berechnungen</t>
  </si>
  <si>
    <t>Managementprämie aus den ÜNB-Prognosen, Fortschreibung für Folgejahre</t>
  </si>
  <si>
    <t>Mittlerer Vergütungssatz für historische Jahre und das aktuelle (nominal) [Euro/MWh]</t>
  </si>
  <si>
    <t>Mittlerer Vergütungssatz für historische Jahre und das aktuelle (laut ÜNB-Jahresprognosen)</t>
  </si>
  <si>
    <t>Letzte Aktualisierung:</t>
  </si>
  <si>
    <t>erhöhte Anfangsvergütung 
(€_nominal/MWh)</t>
  </si>
  <si>
    <t>Nutzung erhöhte Anfangsvergütung (1=ja/0=nein)</t>
  </si>
  <si>
    <t>Dauer zusätzliche Zahlung von Anfangsvergütung (Jahre)</t>
  </si>
  <si>
    <t>fix</t>
  </si>
  <si>
    <t>Erwartete Anlagen und EEG-Zubau Korridor</t>
  </si>
  <si>
    <t>gem. EEG 2017 (0,5%/a Degression)</t>
  </si>
  <si>
    <t>gem. EEG 2017 (1,5%/a Degression)</t>
  </si>
  <si>
    <t>EEG 2017</t>
  </si>
  <si>
    <t>Gewichtung der Größenklassen und Technologien</t>
  </si>
  <si>
    <t>gem. EEG 2017 (ab 2021 5%/a Degression)</t>
  </si>
  <si>
    <t>2018-2020: Anfangsvergütung gem. EEG2017  (12+3 Jahre), danach Auktionsergebnisse, lineare Absenkung auf 5 ct/kWh (2030)</t>
  </si>
  <si>
    <t>Bis 2018  EEG Degression; danach Ausschreibungsergebnisse,  Absenkung auf 4 ct/kWh in 2035 (nominal), Gütefaktor 80%</t>
  </si>
  <si>
    <t>Mittlerer Vergütungssatz für ab 2015 gebaute Anlagen (nominal) [Euro/MWh] (zur Kontrolle)</t>
  </si>
  <si>
    <r>
      <t>Mittlerer Vergütungssatz =
Summe(t)</t>
    </r>
    <r>
      <rPr>
        <vertAlign val="subscript"/>
        <sz val="10"/>
        <color rgb="FFFF0000"/>
        <rFont val="Arial"/>
        <family val="2"/>
      </rPr>
      <t xml:space="preserve">2015-&gt;aktuelles Vorjahr </t>
    </r>
    <r>
      <rPr>
        <sz val="10"/>
        <color rgb="FFFF0000"/>
        <rFont val="Arial"/>
        <family val="2"/>
      </rPr>
      <t>(Zubau brutto (t) * Vergütungssatz Neuanlagen nominal (t)) + Zubau brutto (aktuelles Jahr)/2 *Vergütungsssatz Neuanlagen nominal  (aktuelles Jahr))
/ (Summe(t)</t>
    </r>
    <r>
      <rPr>
        <vertAlign val="subscript"/>
        <sz val="10"/>
        <color rgb="FFFF0000"/>
        <rFont val="Arial"/>
        <family val="2"/>
      </rPr>
      <t>2015-&gt;aktuelles Vorjahr</t>
    </r>
    <r>
      <rPr>
        <sz val="10"/>
        <color rgb="FFFF0000"/>
        <rFont val="Arial"/>
        <family val="2"/>
      </rPr>
      <t xml:space="preserve"> (Zubau brutto (t)) + Zubau brutto (aktuelles Jahr)/2)</t>
    </r>
  </si>
  <si>
    <t>aj/fp/mmk</t>
  </si>
  <si>
    <t>Anteil fluktuierender Erzeugung wird in zwei Jahresschritten um jeweils ein Drittel vermindert, ab 2020 auf 0 gesetzt</t>
  </si>
  <si>
    <t>Absenkung auf Null bis 2020</t>
  </si>
  <si>
    <r>
      <t xml:space="preserve"> = </t>
    </r>
    <r>
      <rPr>
        <sz val="10"/>
        <color rgb="FFFF0000"/>
        <rFont val="Arial"/>
        <family val="2"/>
      </rPr>
      <t>Strommenge fluktuierende Erzeugung * vermiedene Netzentgelte pro kWh* Skalierungsfaktor 
+</t>
    </r>
    <r>
      <rPr>
        <sz val="10"/>
        <color rgb="FF0070C0"/>
        <rFont val="Arial"/>
        <family val="2"/>
      </rPr>
      <t xml:space="preserve"> Strommenge nicht fluktuierende Erzeugung * vermiedene Netzentgelte pro kWh</t>
    </r>
  </si>
  <si>
    <t>Vermiedene Netzentgelte (für nicht fluktuierende Erzeugung)</t>
  </si>
  <si>
    <t>Kontrafaktisches Szenario ohne Reduktion der Stromgestehungskosten</t>
  </si>
  <si>
    <t>EEG 2017; 100% Realisierung</t>
  </si>
  <si>
    <t>Degression gemäß atmendem Deckel; Ausschreibungsergebnisse, Absenkung auf 3,5 ct/kWh in 2035 (nominal); Anteil Ausschreibungen bis 2019 wie EEG, danach 50%</t>
  </si>
  <si>
    <t>EEG 2017; Anteil Ausschreibungen ab 2020 50%</t>
  </si>
  <si>
    <t>sehr niedrig (-30%)</t>
  </si>
  <si>
    <t>niedrig (-15%)</t>
  </si>
  <si>
    <t>hoch (+15%)</t>
  </si>
  <si>
    <t>sehr hoch (+30%)</t>
  </si>
  <si>
    <t>In 2035 30% niedriger als Referenz</t>
  </si>
  <si>
    <t>In 2035 15% niedriger als Referenz</t>
  </si>
  <si>
    <t>In 2035 15% höher als Referenz</t>
  </si>
  <si>
    <t>In 2035 30% höher als Referenz</t>
  </si>
  <si>
    <t xml:space="preserve">Wichtige Hinweise: </t>
  </si>
  <si>
    <t>1. Für die Nutzung des EEG-Rechners müssen Makros zugelassen sein!</t>
  </si>
  <si>
    <t>Keine Kostenreduktion</t>
  </si>
  <si>
    <r>
      <t xml:space="preserve">3. Der EEG-Rechner führt keine Plausibilitätsprüfung der gewählten Szenarien durch. </t>
    </r>
    <r>
      <rPr>
        <sz val="10"/>
        <rFont val="Arial"/>
        <family val="2"/>
      </rPr>
      <t>Der Benutzer ist selbst dafür verantwortlich, konsistente Szenarien (z.B. mit Blick auf EE-Zubaumenge, Vergütungshöhe und Strompreisprognose) einzugeben. Dies gilt insbesondere für mögliche 0 Cent-Gebote in Ausschreibungen, da hierfür die Strompreis-Erwartung über dem Niveau des EEG-Vergütungssatzes für Neuanlagen liegen muss.</t>
    </r>
  </si>
  <si>
    <t>Skalierungsfaktor Vermiedene Netzentgelte für volatile Energieträger (-)</t>
  </si>
  <si>
    <t>Vermiedene Netzentgelte für nicht-volatile Energieträger (Euro pro MWh zu vergütender Strommenge)</t>
  </si>
  <si>
    <t>Szenario wählbar --&gt;</t>
  </si>
  <si>
    <t>Korrekturbetrag [Mrd. Euro]</t>
  </si>
  <si>
    <t>Korrekturfaktor = anzulegender Letztverbrauch * (Umlage real - Umlage berechnet)/(1-Liquiditätsreserve)</t>
  </si>
  <si>
    <t>342.1</t>
  </si>
  <si>
    <t>Korrekturfaktor [Mrd. Euro]</t>
  </si>
  <si>
    <r>
      <t xml:space="preserve">Prognostizierte Deckungslücke = 
Einnahmen der Anlagenbetreiber 
- Einnahmen aus Vermarktung 
+ Effekt Grünstromprivileg 
- vermiedene Netzentgelte 
+ sonstige Kosten 
+ Einnahmen der Anlagenbetreiber (Baujahr&lt;2015) aus Vergütungssatz und Managementprämie
+ Kosten Managementprämie Bestandsanlagen
</t>
    </r>
    <r>
      <rPr>
        <sz val="10"/>
        <color rgb="FFFF0000"/>
        <rFont val="Arial"/>
        <family val="2"/>
      </rPr>
      <t>+ Korrekturfaktor</t>
    </r>
  </si>
  <si>
    <t>NPL = Nettostromverbrauch 
- Privilegierter Letztverbrauch 
- Eigenverbrauch fossil Bestand 
- Eigenverbrauch KWK neu
- Eigenverbrauch fossile nicht-KWK neu
- Strommenge Grünstromprivileg 
- Eigenverbrauch PV Bestand
- Eigenverbrauch PV neu</t>
  </si>
  <si>
    <t>0,01 GW/a</t>
  </si>
  <si>
    <t>MFP Trend</t>
  </si>
  <si>
    <t xml:space="preserve">Profilfaktoren (Marktwertfaktoren), die von den ÜNB bei der Berechnung der Vermarktungserlöse von Marktprämien-Anlagen verwendet werden. </t>
  </si>
  <si>
    <t>Diese Werte werden von den ÜNB nicht direkt berichtet, können aber berechnet werden (Vermarktungserlöse von Anlagenbetreibern, die Marktprämie erhalten / (Strommenge Marktprämie * Strompreis))</t>
  </si>
  <si>
    <t>ÜNB</t>
  </si>
  <si>
    <t>Quelle: ÜNB-Umlageberechnungen</t>
  </si>
  <si>
    <t xml:space="preserve">Einnahmen aus Vermarktung (historisch) = ((Strommenge Festvergütung * Profilfaktor) + (Strommenge Marktprämie * Profilfaktor Marktprämie) * Strompreis </t>
  </si>
  <si>
    <t>Strommenge Festvergütung (§23-33 EEG) aus ÜNB-Prognosen [TWh]</t>
  </si>
  <si>
    <t>Strommenge Direktvermarktung nach § 33b Zif. 1 (Marktprämie) aus ÜNB-Prognosen [TWh]</t>
  </si>
  <si>
    <t>Strommenge Festvergütung</t>
  </si>
  <si>
    <t>Strommenge Marktprämie</t>
  </si>
  <si>
    <t>umbenannt</t>
  </si>
  <si>
    <t>neu hinzugefügt</t>
  </si>
  <si>
    <t>Profilfaktoren ÜNB Marktprämie [-]</t>
  </si>
  <si>
    <t>36.01</t>
  </si>
  <si>
    <t>36.02</t>
  </si>
  <si>
    <t>36.03</t>
  </si>
  <si>
    <t>36.04</t>
  </si>
  <si>
    <t>36.05</t>
  </si>
  <si>
    <t>36.06</t>
  </si>
  <si>
    <t>36.07</t>
  </si>
  <si>
    <t>36.08</t>
  </si>
  <si>
    <t>36.09</t>
  </si>
  <si>
    <t>110.01</t>
  </si>
  <si>
    <t>110.02</t>
  </si>
  <si>
    <t>110.03</t>
  </si>
  <si>
    <t>110.04</t>
  </si>
  <si>
    <t>110.05</t>
  </si>
  <si>
    <t>110.06</t>
  </si>
  <si>
    <t>110.07</t>
  </si>
  <si>
    <t>110.08</t>
  </si>
  <si>
    <t>110.09</t>
  </si>
  <si>
    <t>110.10</t>
  </si>
  <si>
    <r>
      <t xml:space="preserve">Einnahmen der Anlagenbetreiber =
Mittlerer Vergütungssatz * </t>
    </r>
    <r>
      <rPr>
        <sz val="10"/>
        <color rgb="FFFF0000"/>
        <rFont val="Arial"/>
        <family val="2"/>
      </rPr>
      <t>(Strommenge Festvergütung + Strommenge Marktprämie)</t>
    </r>
    <r>
      <rPr>
        <sz val="10"/>
        <color rgb="FF0070C0"/>
        <rFont val="Arial"/>
        <family val="2"/>
      </rPr>
      <t xml:space="preserve">
+ Vergütungssatz für Eigenverbrauch * (Strommenge Eigenverbrauch Bestand </t>
    </r>
    <r>
      <rPr>
        <sz val="10"/>
        <color rgb="FFFF0000"/>
        <rFont val="Arial"/>
        <family val="2"/>
      </rPr>
      <t>+ Strommenge Eigenverbrauch Neuanlagen</t>
    </r>
    <r>
      <rPr>
        <sz val="10"/>
        <color rgb="FF0070C0"/>
        <rFont val="Arial"/>
        <family val="2"/>
      </rPr>
      <t>)</t>
    </r>
  </si>
  <si>
    <t>Anna-Louisa-Karsch-Straße 2</t>
  </si>
  <si>
    <r>
      <t xml:space="preserve">2. Standardmässig werden alle Ergebniss als nominale Werte (also ohne Inflationsbereinigung) angegeben. </t>
    </r>
    <r>
      <rPr>
        <sz val="10"/>
        <rFont val="Arial"/>
        <family val="2"/>
      </rPr>
      <t>Um auf reale Werte (bezogen auf das aktuelle Jahr) zu wechseln, bitte auf das entsprechende Feld bei "Start" klicken.</t>
    </r>
  </si>
  <si>
    <t>2019: ÜNB-Umlageberechnung 2019. Danach konstant</t>
  </si>
  <si>
    <t>2019: ÜNB-Umlageberechnung 2019. Danach Abnahme 1%/Jahr</t>
  </si>
  <si>
    <t>2019: ÜNB-Umlageberechnung 2019. Danach Abnahme 0,5%/Jahr</t>
  </si>
  <si>
    <t>2019: ÜNB-Umlageberechnung 2019. Danach Anstieg  0,5%/Jahr</t>
  </si>
  <si>
    <t>2019: ÜNB-Umlageberechnung 2019. Danach Anstieg 1%/Jahr</t>
  </si>
  <si>
    <t>Standardauslastung für Neuanlagen (Volllaststunden pro Jahr)</t>
  </si>
  <si>
    <t>2019: 42 €/MWh (Mittelwert PBYF 16.6.18- 15.9.18)
danach linearer Anstieg auf 50€/MWh in 2035 (entspricht Agora 2018: Stromnetze für 65 Prozent Erneuerbare bis 2030)</t>
  </si>
  <si>
    <t>as</t>
  </si>
  <si>
    <t>Historischer Wert aus ÜNB-Jahresprognose, abzüglich EV für Neuanlagen (der mit  Prozentwert Anteil EV PV berechnet wird) . Werte für Folgejahre 2022 mit Wachstum von 1 %, danach entsprechend der Sterbekurve für Bestandsanlagen und Degradration abskaliert.</t>
  </si>
  <si>
    <t>65% EE bis 2030</t>
  </si>
  <si>
    <t>as/pl</t>
  </si>
  <si>
    <t>5 Jahe</t>
  </si>
  <si>
    <t>Anstieg auf 4700 h in 2035</t>
  </si>
  <si>
    <t>Anstieg auf 2600h in 2035</t>
  </si>
  <si>
    <t>Anstieg auf 950h in 2035</t>
  </si>
  <si>
    <t>bis 2030 wie MFP Trend; danach Ausschreibungsmengen nach EEG; 2 Jahre Verzug, 100% Realisierung</t>
  </si>
  <si>
    <t>EEG-Zubau Korridor</t>
  </si>
  <si>
    <t>EEG-Korridor</t>
  </si>
  <si>
    <t>Zielmarke Koalitionsvertrag 2018 65%</t>
  </si>
  <si>
    <t>Eigenverbrauch KWK-und PV-Neuanlagen</t>
  </si>
  <si>
    <t>Abweichung von Kontostandsprognose für den 30.9.2019</t>
  </si>
  <si>
    <t>Referenz alt</t>
  </si>
  <si>
    <t>fh</t>
  </si>
  <si>
    <t>NOMINAL</t>
  </si>
  <si>
    <t>Zahlungen für Managementprämie für Bestandsanlagen (gebaut 2012 bis 2014) Berechnung für Prognosejahre [Mrd. Euro] (nominal)</t>
  </si>
  <si>
    <t>Zahlungen für Managementprämie für Bestandsanlagen (gebaut 2012 bis 2014) Berechnung für Prognosejahre [Mrd. Euro] (real)</t>
  </si>
  <si>
    <t>REAL</t>
  </si>
  <si>
    <t>ÜNB-Umlageberechnungen, danach 6%</t>
  </si>
  <si>
    <t>0,06Mrd. €</t>
  </si>
  <si>
    <t>Eigenversorgung nach §61(3) aus ÜNB-Umlageberechnung für 2020</t>
  </si>
  <si>
    <t>fh/pl</t>
  </si>
  <si>
    <t>50% weniger als in ÜNB-Letztverbrauchsprognose 2020</t>
  </si>
  <si>
    <t>gem. EEG 2017, ab 2020 konstant 38%</t>
  </si>
  <si>
    <t>* ab 2019 inklusive Pumpstrom</t>
  </si>
  <si>
    <t>Eigenverbrauch fossile Bestandsanlagen*</t>
  </si>
  <si>
    <t>65% Szenario</t>
  </si>
  <si>
    <t>as/pl/fh</t>
  </si>
  <si>
    <t>Sonderausschreibungen, 90% Realisierung</t>
  </si>
  <si>
    <t>Sonderausschreibungen; 90% Realisierung</t>
  </si>
  <si>
    <t>Daten auf Basis von AGEB</t>
  </si>
  <si>
    <t>1,5 GW bis 2021, ab 2023 2,5 GW/a</t>
  </si>
  <si>
    <t>Jährliche Zuschüsse aus dem Bundeshaushalt zur Senkung der Umlage</t>
  </si>
  <si>
    <t>10 Mrd€/a</t>
  </si>
  <si>
    <t>5 Mrd€/a</t>
  </si>
  <si>
    <t xml:space="preserve"> Eingabeparameter: Zuschüsse aus dem Bundeshaushalt</t>
  </si>
  <si>
    <t>jährliche Zuschüsse aus dem Bundeshaushalt</t>
  </si>
  <si>
    <t>353.01</t>
  </si>
  <si>
    <r>
      <t xml:space="preserve">Umlagebetrag = Prognostizierte Deckungslücke + Liquiditätsreserve - Kontostand </t>
    </r>
    <r>
      <rPr>
        <sz val="10"/>
        <color rgb="FFFF0000"/>
        <rFont val="Arial"/>
        <family val="2"/>
      </rPr>
      <t>- Zuschüsse aus dem Bundeshaushalt</t>
    </r>
  </si>
  <si>
    <t>Zuschüsse aus dem Bundeshaushalt</t>
  </si>
  <si>
    <t>test</t>
  </si>
  <si>
    <t>Konstant 10 Mrd/a</t>
  </si>
  <si>
    <t>Konstant 5 Mrd/a</t>
  </si>
  <si>
    <t>keine Zuzahlung</t>
  </si>
  <si>
    <t>Alle Mittel</t>
  </si>
  <si>
    <t>maximal verfügbare Mittel aus Bundeshaushalt</t>
  </si>
  <si>
    <t>MFP Trend, danach konstant 1,6 GW</t>
  </si>
  <si>
    <t>bis 2025 wie MFP oberes Szenario, danach konstant</t>
  </si>
  <si>
    <t>bis 2025 wie MFP unteres Szenario, danach konstant</t>
  </si>
  <si>
    <t>Bis 2025: MFP oberes Szenario. Danach konstant</t>
  </si>
  <si>
    <t>Bis 2025: MFP unteres Szenario. Danach konstant</t>
  </si>
  <si>
    <t>2021: ÜNB-Umlageberechnungen bis 2025, danach konstant</t>
  </si>
  <si>
    <t>gemäß ÜNB Letztverbrauchsprognose 2021</t>
  </si>
  <si>
    <t>50% mehr als in ÜNB-Letztverbrauchsprognose 2021</t>
  </si>
  <si>
    <t>100% mehr als in ÜNB-Letztverbrauchsprognose 2021</t>
  </si>
  <si>
    <t>7.17€/MWh</t>
  </si>
  <si>
    <t>fp/as/fh</t>
  </si>
  <si>
    <t>Gesamte Verwendung der maximal eingeplanten Mittel aus dem Bundeshauhalt in 2021 und 2022, danach konstant 5 Mrd</t>
  </si>
  <si>
    <t>bis 2024 wie MFP Trend-Szenario plus Sonderausschreibungen in 2020 (1,4 GW), 2021 (1,6 GW) mit 1 Jahr Verzug und 90% Realisierung; ab 2025 3,5 GW/a</t>
  </si>
  <si>
    <t>EEG Korridor</t>
  </si>
  <si>
    <t>Wie EEG Ausbaukorridor</t>
  </si>
  <si>
    <t>Entsprechend den Zielen im EEG Ausbaukorridor</t>
  </si>
  <si>
    <t>Wie EEG Korridor</t>
  </si>
  <si>
    <t>Entsprechend den Zahlen im EEG (2021) Ausbaukorridor (Regierungsentwurf)</t>
  </si>
  <si>
    <t>bis 2025 wie MFP Trend-Szenario plus Sonderausschreibungen in 2021 (1,6 GW) mit 1 Jahr Verzug und 90% Realisierung; Zusätzliche 2 GW in 2023 und 2024; ab 2025 6 GW/a</t>
  </si>
  <si>
    <t>so berechnet, dass Strommengen aus KNDE getroffen werden</t>
  </si>
  <si>
    <t>Leistung von Anlagen, die nach dem Ende der Förderperiode weiter betrieben werden (goldendes Ende) [GW]</t>
  </si>
  <si>
    <t>Fortführung der aktuell geringen Ausbauzahlen bis 2021, danach Anstieg auf 2,5 GW in 2023; ab 2023 konstant 2,5 GW; 2010-2019: historische Werte aus Auswertung Baujahre der Bestandsanlagen 2019</t>
  </si>
  <si>
    <t>Volllaststunden</t>
  </si>
  <si>
    <t>2000-2014</t>
  </si>
  <si>
    <t>so gewählt, dass mit Volllaststunden für Neubau aus Kohortenscharfen Daten die Gesamtstromerzeugung in den Jahren 2014-2020 kumuliert mit EE in Zahlen übereinstimmt</t>
  </si>
  <si>
    <t>Eigene Berechnung</t>
  </si>
  <si>
    <t>historisch</t>
  </si>
  <si>
    <t>Originalwerte</t>
  </si>
  <si>
    <t xml:space="preserve">check: Strommenge aus Bruttozubau, Standardauslastung auch für Vergangenheit, wo normalerweise mit ÜNB-Zahlen überschrieben wird. </t>
  </si>
  <si>
    <t>Eigene Berechnungen, basierend auf D-Bestand Kapazität und Volllaststunden-Annahme</t>
  </si>
  <si>
    <t>EEG 2021</t>
  </si>
  <si>
    <t>Bruttozubau entsprechend EEG 2021</t>
  </si>
  <si>
    <t>ab 2030 konstant fortgeschrieben</t>
  </si>
  <si>
    <t>Futures 2021</t>
  </si>
  <si>
    <t>Bis 2027 basierend auf PBYF, danach extrapoliert anhand CO2-Preisannahmen</t>
  </si>
  <si>
    <t>Staatliche Zuschüsse</t>
  </si>
  <si>
    <t>monatl. Verteilung der Zuschüsse[-]</t>
  </si>
  <si>
    <t>staatliche Zuschüsse [Mrd. Euro]</t>
  </si>
  <si>
    <t>Biomethan 15% (§ 39j)</t>
  </si>
  <si>
    <t>EEG 2021 inkl. Biomethan</t>
  </si>
  <si>
    <t>2021: 90% des Höchstwertes für Gebote durch neue Biomasseanlagen (EEG2021§39b) (77%) und Biomethan (EEG2021§39l) (33%), danach jährliche Reduktion um 1% entsp. EEG2021 §39b,l</t>
  </si>
  <si>
    <t>Saldo Modell ohne staatl. Zuschüsse [Mrd. Euro]</t>
  </si>
  <si>
    <t>Saldo ohne staatl. Zuschüsse</t>
  </si>
  <si>
    <t>so gewählt, dass mit Volllaststunden für Neubau aus Kohortenscharfen Daten die Gesamtstromerzeugung in den Jahren 2014-2020 kumuliert mit EEG in Zahlen übereinstimmt</t>
  </si>
  <si>
    <t>Eigene Berechnungen, basierend auf bisher angesetzten spezifischen Zahlungen, multipliziert mit Strommengen aus Blatt d-Bestand Strommenge</t>
  </si>
  <si>
    <t>Um KNDE Strommengen zu treffen muss auch für die Jahre 2015-2021 dieselbe hohe Volllaststundenzahl gelten, wie danach</t>
  </si>
  <si>
    <t>im Mittel ca. 4290 hr</t>
  </si>
  <si>
    <t>dr, cl</t>
  </si>
  <si>
    <t>angepasst auf Zielleistungen aus EEG 2021</t>
  </si>
  <si>
    <t>Zahlungen</t>
  </si>
  <si>
    <t>Spezifische Zahlungen (€/MWh)</t>
  </si>
  <si>
    <t>aus historischen Daten berechnet</t>
  </si>
  <si>
    <t>aus Originalwerten berechnet, wird auf Blatt D-Bestand Zahlungen verwendet</t>
  </si>
  <si>
    <t>45 €/MWh 2021,52 €/MWh 2022, danach zwischen 49 und 52 €/MWh</t>
  </si>
  <si>
    <t>so berechnet, dass Strommengen aus EEG 2021 getroffen werden</t>
  </si>
  <si>
    <t>angepasst an die zu erreichenden Kapazitäten und Strommengen</t>
  </si>
  <si>
    <t>Verbrauch bestimmt über Erreichung EE-Ziel</t>
  </si>
  <si>
    <t>Preise in Anlehnung an KNDE</t>
  </si>
  <si>
    <t>Öko-Institut (2021): EEG-Rechner. Berechnungs- und Szenarienmodell</t>
  </si>
  <si>
    <t xml:space="preserve">Prognose-Szenario </t>
  </si>
  <si>
    <t>3* Future</t>
  </si>
  <si>
    <t>15% (gem. EEG 2021)</t>
  </si>
  <si>
    <t>(Ergebnis Zwischenrechnung für Jahr -1
+ Vergütungssatzabfrage aktuelles Jahr * Stromenge/2)/Strommengen</t>
  </si>
  <si>
    <t>257.02</t>
  </si>
  <si>
    <t>258.02</t>
  </si>
  <si>
    <t>260.02</t>
  </si>
  <si>
    <t>261.02</t>
  </si>
  <si>
    <t>262.02</t>
  </si>
  <si>
    <t>263.02</t>
  </si>
  <si>
    <t>264.02</t>
  </si>
  <si>
    <t>265.02</t>
  </si>
  <si>
    <t>259.02</t>
  </si>
  <si>
    <t>Hoch 2035</t>
  </si>
  <si>
    <t>Vermarktungserlöse</t>
  </si>
  <si>
    <t>Ergebnisse für das Referenz-Szenario</t>
  </si>
  <si>
    <t>Anteil Eigenverbrauch EE-Neuanlagen (ab 2015)</t>
  </si>
  <si>
    <t>9%</t>
  </si>
  <si>
    <t>ÜNB Jahresprognose danach MFP Trend</t>
  </si>
  <si>
    <t>Anstieg 20%</t>
  </si>
  <si>
    <t xml:space="preserve"> Anstieg auf 20% bis 2035</t>
  </si>
  <si>
    <t>ÜNB Jahresprognose, MFP Trend danach linear auf 20%</t>
  </si>
  <si>
    <t>KNDE 2045</t>
  </si>
  <si>
    <t>Zubau entsprechend KNDE 2045</t>
  </si>
  <si>
    <t>5-Jares-Kapazitätsmengen aus KNDE 2045 werden erreicht.</t>
  </si>
  <si>
    <t>Klimaneutrales Deutschland 2045 (2021)</t>
  </si>
  <si>
    <t>Konstant heutiger Wert (nominal bei einer Inflationsrate von 1,0%)</t>
  </si>
  <si>
    <t>SUMME</t>
  </si>
  <si>
    <t>tl</t>
  </si>
  <si>
    <t>1,5 GW bis 2021, ab 0 GW/a</t>
  </si>
  <si>
    <t>Fortführung der aktuell geringen Ausbauzahlen bis 2021, danach 0 GW/a</t>
  </si>
  <si>
    <t>MFP Trend, ab 2022 0 GW/a</t>
  </si>
  <si>
    <t>bis 2021 MFP Trend Szenario, danach kein Zubau</t>
  </si>
  <si>
    <t>Großhandelsstrompreis Base YA</t>
  </si>
  <si>
    <t>Vergütungsansprüche</t>
  </si>
  <si>
    <t>EEG-Umlage (nicht priviligiert)</t>
  </si>
  <si>
    <t>Prognostizierte Deckungslücke [Mrd. €] - Nominal</t>
  </si>
  <si>
    <t>Umlagebetrag Nominal</t>
  </si>
  <si>
    <t>Kontrolle Resultat EEG-Rechner</t>
  </si>
  <si>
    <t>Fortführung Systematik</t>
  </si>
  <si>
    <t>BEHG-Einnahmen zur Senkung der EEG-Umlage</t>
  </si>
  <si>
    <t>weitgehend alle BEHG-Einnahmen werden zur Senkung der EEG-Umlage eingesetzt</t>
  </si>
  <si>
    <t>Agora_50-Maßnahmen_min</t>
  </si>
  <si>
    <t>Agora_50-Maßnahmen_max</t>
  </si>
  <si>
    <t>Stromerzeugung Neuanlagen im Jahr der Inbetriebnahme [GWh/a]</t>
  </si>
  <si>
    <t>Vergütungszusagen Neuanlagen im Jahr der Inbetriebnahme real [Mrd. Euro/a]</t>
  </si>
  <si>
    <t>Vergütungszusagen für Neuanlagen ab 2022 real [Mrd. Euro/a]</t>
  </si>
  <si>
    <t>Marktprämie Neuanlagen im Jahr der Inbetriebnahme nominal [Mrd. Euro/a]</t>
  </si>
  <si>
    <t>Interface EEG-BEHG-Rechner</t>
  </si>
  <si>
    <t>D-Zuschuss</t>
  </si>
  <si>
    <t>Nebenrechnung_Bestand Zahlungen</t>
  </si>
  <si>
    <t>D-Profilfaktoren_Marktprämie</t>
  </si>
  <si>
    <t>Im EEG-Rechner eingestellte Strompreise</t>
  </si>
  <si>
    <t>Szenario eingestellt im EEG-Rechner für Nettostromverbrauch</t>
  </si>
  <si>
    <t>Marktprämie Neuanlagen ab 2022 im jeweiligen Jahr nominal [Mrd. Euro/a]</t>
  </si>
  <si>
    <t>Prognostizierte Deckungslücke für Neuanlagen ab 2022 (nominal) [Mrd. Euro]</t>
  </si>
  <si>
    <t>Marktprämie oder Vermarktungserlöse?</t>
  </si>
  <si>
    <t>Deckungslücke = Vergütung - Vermarktungserlöse</t>
  </si>
  <si>
    <t>Der Abgleich Strompreis vs. Vergütungssatz müsste hier sein</t>
  </si>
  <si>
    <t>bis 2026: Mittelfristprognose (Trendszenario). Danach konstant</t>
  </si>
  <si>
    <t>bis 2026 wie MFP oberes Szenario, danach wie Referenz</t>
  </si>
  <si>
    <t>bis 2026 wie MFP unteres Szenario, danach wie Referenz</t>
  </si>
  <si>
    <t>bis 2026: Mittelfristprognose (Trendszenario). Danach 0,01GW/a</t>
  </si>
  <si>
    <t>MFP Trend bis 2026, danach 0,2 GW/a</t>
  </si>
  <si>
    <t>MFP Trend; 0,2 GW/a</t>
  </si>
  <si>
    <t>bis 2026 wie MFP Trend-Szenario, danach wie Sonderausschreibungen; EEG 2017 Realisierung 90%</t>
  </si>
  <si>
    <t>bis 2026 wie MFP oberes Szenario, danach wie Sonderausschreibungen; EEG 2017 Realisierung 90%</t>
  </si>
  <si>
    <t>bis 2026 wie MFP unteres Szenario, danach wie Sonderausschreibungen; EEG 2017 Realisierung 90%</t>
  </si>
  <si>
    <t>bis 2026  MFP Trend Szenario, ab 2027 Fortschreibung</t>
  </si>
  <si>
    <t>bis 2026 wie MFP Trend-Szenario, danach wie Erwartete Anlagen und EEG-Zubau Korridor</t>
  </si>
  <si>
    <t>bis 2026 wie MFP oberes Szenario, danach wie Erwartete Anlagen und EEG-Zubau Korridor</t>
  </si>
  <si>
    <t>bis 2026 wie MFP unteres Szenario, danach wie Erwartete Anlagen und EEG-Zubau Korridor</t>
  </si>
  <si>
    <t>bis 2026 wie MFP Trend-Szenario, danach 3 GW konstant</t>
  </si>
  <si>
    <t>bis 2026 wie MFP Trend-Szenario, danach wie Sonderausschreibungen; EEG-Korridor</t>
  </si>
  <si>
    <t>bis 2026 wie MFP oberes Szenario, danach wie Sonderausschreibungen; EEG-Korridor</t>
  </si>
  <si>
    <t>bis 2026 wie MFP unteres Szenario, danach wie Sonderausschreibungen; EEG-Korridor</t>
  </si>
  <si>
    <t>bis 2026 wie MFP Referenzszenario, danach konstant</t>
  </si>
  <si>
    <t>bis 2026 wie MFP oberes Szenario, danach konstant</t>
  </si>
  <si>
    <t>bis 2026 wie MFP unteres Szenario, danach konstant</t>
  </si>
  <si>
    <t>bis 2026 wie MFP unteres Szenario, danach  konstant</t>
  </si>
  <si>
    <t>bis 2026 MFP Trend, danach 4000 VLH</t>
  </si>
  <si>
    <t>bis 2026 wie MFP unteres Szenario, danach linearer konstant</t>
  </si>
  <si>
    <t>bis 2026 wie MFP hoch, danach degressiver Anstieg auf 2600h in 2035</t>
  </si>
  <si>
    <t>bis 2026 wie MFP oberes Szenario, danach linearer Anstieg auf 2600h in 2035</t>
  </si>
  <si>
    <t>bis 2026 wie MFP unteres Szenario, danach linearer Anstieg auf 2600h in 2035</t>
  </si>
  <si>
    <t>bis 2026 wie MFP Referenzszenario, danach linearer Anstieg auf 2600h in 2035</t>
  </si>
  <si>
    <t>bis 2026 wie MFP hoch, danach degressiver Anstieg auf 4700h in 2035</t>
  </si>
  <si>
    <t>bis 2026 wie MFP oberes Szenario, danach linearer Anstieg auf 4700h in 2035</t>
  </si>
  <si>
    <t>bis 2026 wie MFP unteres Szenario, danach linearer Anstieg auf 4000h in 2035</t>
  </si>
  <si>
    <t>bis 2026 wie MFP Trendszenario, danach linearer Anstieg auf 4300h in 2035</t>
  </si>
  <si>
    <t>bis 2026 wie MFP Referenzszenario, danach lineare Anpassung auf 950h in 2035</t>
  </si>
  <si>
    <t>bis 2026 wie MFP oberes Szenario, danach lineare Anpassung auf 1050h in 2035</t>
  </si>
  <si>
    <t>bis 2026 wie MFP unteres Szenario, danach lineare Anpassung auf 850h in 2035</t>
  </si>
  <si>
    <t>Werte bis 2026: MFP Referenzszenario, danach konstant 100%</t>
  </si>
  <si>
    <t>Werte bis 2026: MFP Referenzszenario, danach lineare Absenkung auf 60%</t>
  </si>
  <si>
    <t>bis 2026 wie MFP oberes Szenario, danach lineare Absenkung auf 60%</t>
  </si>
  <si>
    <t>bis 2026 wie MFP unteres Szenario, danach lineare Absenkung auf 60%</t>
  </si>
  <si>
    <t>Werte bis 2026: MFP Referenzszenario, danach lineare Absenkung auf 70%</t>
  </si>
  <si>
    <t>bis 2026 wie MFP oberes Szenario, danach lineare Absenkung auf 70%</t>
  </si>
  <si>
    <t>bis 2026 wie MFP unteres Szenario, danach lineare Absenkung auf 70%</t>
  </si>
  <si>
    <t>MFP 10/2021</t>
  </si>
  <si>
    <t>Referenzpreis 2022, 2023-2026 Preise aus MFP Trend, danach linear steigend auf 65 €/MWh in 2035</t>
  </si>
  <si>
    <t>bis 2022: ÜNB-Jahresprognosen, danach: 6%</t>
  </si>
  <si>
    <t>Bis 2026: MFP Trend. Danach konstant</t>
  </si>
  <si>
    <t>Bis 2022: ÜNB-Umlageberechnungen, danach konstant (wirkt wie vollständige Befreiung von 62% des priv. LV)</t>
  </si>
  <si>
    <t>2022-2026 gemäß ÜNB-Letztverbrauchsprognose Referenzszenario (Strommenge laut §61(1) S.1 Nr. 1). Ab 2027 konstante Strommenge.</t>
  </si>
  <si>
    <t>im Okt 2021 angepasst für 2022</t>
  </si>
  <si>
    <t>Steigung in 2022 gemäß ÜNB-Prognose, danach konstant (vgl. §120 Absatz 4, Satz 1 EnWG)</t>
  </si>
  <si>
    <t>0,10 Mrd. € (Wert abgeleitet aus ÜNB-Jahresprognose für 2022)</t>
  </si>
  <si>
    <t>2022-2026: ÜNB-Umlageberechnung 2021. Danach ansteigend auf 600 TWh in 2030</t>
  </si>
  <si>
    <t>Politisch zugesagte Bundeszuschüsse</t>
  </si>
  <si>
    <t xml:space="preserve">2023-2025 geschätzte Mehrerlöse aus der BEHG-CO2-Preiserhöhung (Dez. 2019); ohne Mittel aus Corona-Konjunkturprogramm. Ab 2026 6 Mrd. €/a; </t>
  </si>
  <si>
    <t>https://www-genesis.destatis.de/genesis//online?operation=table&amp;code=61111-0001&amp;bypass=true&amp;levelindex=0&amp;levelid=1634637559454#abreadcrumb, Statistisches Bundesamt (Destatis), 2021 | Stand: 19.10.2021 / 12:00:21</t>
  </si>
  <si>
    <t>Bis 2020 jährlicher Zuwachs der Verbraucherpreisindizes des statistitschen Bundesamts; Schätzung aus monatlichen Indizes für 2021 (Fortschreibung ab Oktober). Ab 2022: 1,5% pro Jahr.</t>
  </si>
  <si>
    <t>Referenzpreis 2022, 2023-2031 Futurepreise vom 15.10.21, danach linear auf 65 €/MWh in 2035 (nominal)</t>
  </si>
  <si>
    <t>ab 2023 als reale Werte eingetragen</t>
  </si>
  <si>
    <t>4.3.6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</si>
</sst>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6" formatCode="#,##0\ &quot;€&quot;;[Red]\-#,##0\ &quot;€&quot;"/>
    <numFmt numFmtId="44" formatCode="_-* #,##0.00\ &quot;€&quot;_-;\-* #,##0.00\ &quot;€&quot;_-;_-* &quot;-&quot;??\ &quot;€&quot;_-;_-@_-"/>
    <numFmt numFmtId="164" formatCode="_-* #,##0.00\ _€_-;\-* #,##0.00\ _€_-;_-* &quot;-&quot;??\ _€_-;_-@_-"/>
    <numFmt numFmtId="165" formatCode="#,##0.0000"/>
    <numFmt numFmtId="166" formatCode="yyyy"/>
    <numFmt numFmtId="167" formatCode="#,##0.00\ &quot;TJ&quot;"/>
    <numFmt numFmtId="168" formatCode="#,##0.00\ &quot;kg&quot;"/>
    <numFmt numFmtId="169" formatCode="#,##0.00\ &quot;Gg&quot;"/>
    <numFmt numFmtId="170" formatCode="#,##0.00\ &quot;kt&quot;"/>
    <numFmt numFmtId="171" formatCode="#,##0.00\ &quot;TStk&quot;"/>
    <numFmt numFmtId="172" formatCode="#,##0.00\ &quot;Stk&quot;"/>
    <numFmt numFmtId="173" formatCode="#,##0.00\ &quot;Stck&quot;"/>
    <numFmt numFmtId="174" formatCode="#,##0.00\ &quot;T.Stk&quot;"/>
    <numFmt numFmtId="175" formatCode="@\ *."/>
    <numFmt numFmtId="176" formatCode="\ @\ *."/>
    <numFmt numFmtId="177" formatCode="\ \ \ @\ *."/>
    <numFmt numFmtId="178" formatCode="\ \ \ \ @\ *."/>
    <numFmt numFmtId="179" formatCode="\ \ \ \ \ \ @\ *."/>
    <numFmt numFmtId="180" formatCode="\ \ \ \ \ \ \ @\ *."/>
    <numFmt numFmtId="181" formatCode="\ \ \ \ \ \ \ \ \ @\ *."/>
    <numFmt numFmtId="182" formatCode="\ \ \ \ \ \ \ \ \ \ @\ *."/>
    <numFmt numFmtId="183" formatCode="\ \ \ @"/>
    <numFmt numFmtId="184" formatCode="\ \ \ \ \ \ @"/>
    <numFmt numFmtId="185" formatCode="\ \ \ \ \ \ \ \ \ @"/>
    <numFmt numFmtId="186" formatCode="\ @"/>
    <numFmt numFmtId="187" formatCode="\ \ @\ *."/>
    <numFmt numFmtId="188" formatCode="\ \ @"/>
    <numFmt numFmtId="189" formatCode="\ \ \ \ @"/>
    <numFmt numFmtId="190" formatCode="\ \ \ \ \ \ \ \ \ \ \ \ @\ *."/>
    <numFmt numFmtId="191" formatCode="\ \ \ \ \ \ \ \ \ \ \ \ @"/>
    <numFmt numFmtId="192" formatCode="\ \ \ \ \ \ \ \ \ \ \ \ \ @\ *."/>
    <numFmt numFmtId="193" formatCode="dd/mm/yy\,\ hh:mm"/>
    <numFmt numFmtId="194" formatCode="h:mm:ss"/>
    <numFmt numFmtId="195" formatCode="General_)"/>
    <numFmt numFmtId="196" formatCode="#,##0.00;#,##0.00;\-"/>
    <numFmt numFmtId="197" formatCode="0.0"/>
    <numFmt numFmtId="198" formatCode="#,##0.000;#,##0.000;\-"/>
    <numFmt numFmtId="199" formatCode="#,##0;#,##0;\-"/>
    <numFmt numFmtId="200" formatCode="0.000"/>
    <numFmt numFmtId="201" formatCode="#,##0.0000;#,##0.0000;\-"/>
    <numFmt numFmtId="202" formatCode="\+0.00;\-0.00;\-"/>
    <numFmt numFmtId="203" formatCode="#,##0.000"/>
    <numFmt numFmtId="204" formatCode="0.0000"/>
    <numFmt numFmtId="205" formatCode="0.00000"/>
    <numFmt numFmtId="206" formatCode="#,##0.00000;#,##0.00000;\-"/>
    <numFmt numFmtId="207" formatCode="0.0%"/>
    <numFmt numFmtId="208" formatCode="0.0\ \ "/>
    <numFmt numFmtId="209" formatCode="0.000000"/>
    <numFmt numFmtId="210" formatCode="#,##0.00000"/>
    <numFmt numFmtId="211" formatCode="#,##0.0"/>
    <numFmt numFmtId="212" formatCode="#,##0_ ;[Red]\-#,##0\ "/>
    <numFmt numFmtId="213" formatCode="0.00_ ;[Red]\-0.00\ "/>
  </numFmts>
  <fonts count="101">
    <font>
      <sz val="10"/>
      <name val="Arial"/>
    </font>
    <font>
      <sz val="11"/>
      <color theme="1"/>
      <name val="Flexo"/>
      <family val="2"/>
      <scheme val="minor"/>
    </font>
    <font>
      <sz val="11"/>
      <color theme="1"/>
      <name val="Flexo"/>
      <family val="2"/>
      <scheme val="minor"/>
    </font>
    <font>
      <sz val="11"/>
      <color theme="1"/>
      <name val="Flexo"/>
      <family val="2"/>
      <scheme val="minor"/>
    </font>
    <font>
      <sz val="11"/>
      <color theme="1"/>
      <name val="Flexo"/>
      <family val="2"/>
      <scheme val="minor"/>
    </font>
    <font>
      <sz val="11"/>
      <color theme="1"/>
      <name val="Flexo"/>
      <family val="2"/>
      <scheme val="minor"/>
    </font>
    <font>
      <sz val="10"/>
      <color theme="1"/>
      <name val="Arial"/>
      <family val="2"/>
    </font>
    <font>
      <sz val="11"/>
      <color theme="1"/>
      <name val="Flexo"/>
      <family val="2"/>
      <scheme val="minor"/>
    </font>
    <font>
      <sz val="11"/>
      <color theme="1"/>
      <name val="Flexo"/>
      <family val="2"/>
      <scheme val="minor"/>
    </font>
    <font>
      <sz val="10"/>
      <name val="Arial"/>
      <family val="2"/>
    </font>
    <font>
      <sz val="9"/>
      <name val="Times New Roman"/>
      <family val="1"/>
    </font>
    <font>
      <b/>
      <sz val="9"/>
      <name val="Times New Roman"/>
      <family val="1"/>
    </font>
    <font>
      <u/>
      <sz val="10"/>
      <color indexed="12"/>
      <name val="Arial"/>
      <family val="2"/>
    </font>
    <font>
      <sz val="8"/>
      <name val="Arial"/>
      <family val="2"/>
    </font>
    <font>
      <b/>
      <sz val="10"/>
      <name val="Arial"/>
      <family val="2"/>
    </font>
    <font>
      <sz val="8"/>
      <name val="Arial"/>
      <family val="2"/>
    </font>
    <font>
      <sz val="7"/>
      <name val="Letter Gothic CE"/>
      <family val="3"/>
      <charset val="238"/>
    </font>
    <font>
      <sz val="7"/>
      <name val="Arial"/>
      <family val="2"/>
    </font>
    <font>
      <sz val="10"/>
      <name val="Arial"/>
      <family val="2"/>
    </font>
    <font>
      <sz val="9"/>
      <color indexed="8"/>
      <name val="Times New Roman"/>
      <family val="1"/>
    </font>
    <font>
      <b/>
      <sz val="12"/>
      <name val="Times New Roman"/>
      <family val="1"/>
    </font>
    <font>
      <sz val="10"/>
      <color indexed="10"/>
      <name val="Arial"/>
      <family val="2"/>
    </font>
    <font>
      <sz val="10"/>
      <color indexed="12"/>
      <name val="Arial"/>
      <family val="2"/>
    </font>
    <font>
      <sz val="10"/>
      <color indexed="8"/>
      <name val="MS Sans Serif"/>
      <family val="2"/>
    </font>
    <font>
      <sz val="10"/>
      <color indexed="8"/>
      <name val="Arial"/>
      <family val="2"/>
    </font>
    <font>
      <b/>
      <sz val="10"/>
      <color indexed="8"/>
      <name val="Arial"/>
      <family val="2"/>
    </font>
    <font>
      <sz val="10"/>
      <name val="Courier"/>
      <family val="3"/>
    </font>
    <font>
      <sz val="10"/>
      <color theme="1"/>
      <name val="Arial"/>
      <family val="2"/>
    </font>
    <font>
      <sz val="9"/>
      <color indexed="81"/>
      <name val="Tahoma"/>
      <family val="2"/>
    </font>
    <font>
      <b/>
      <sz val="9"/>
      <color indexed="81"/>
      <name val="Tahoma"/>
      <family val="2"/>
    </font>
    <font>
      <b/>
      <sz val="12"/>
      <color indexed="8"/>
      <name val="Arial"/>
      <family val="2"/>
    </font>
    <font>
      <b/>
      <sz val="11"/>
      <color indexed="8"/>
      <name val="Arial"/>
      <family val="2"/>
    </font>
    <font>
      <sz val="8"/>
      <color indexed="8"/>
      <name val="Arial"/>
      <family val="2"/>
    </font>
    <font>
      <sz val="11"/>
      <color indexed="8"/>
      <name val="Arial"/>
      <family val="2"/>
    </font>
    <font>
      <sz val="10"/>
      <color rgb="FF000000"/>
      <name val="Arial"/>
      <family val="2"/>
    </font>
    <font>
      <sz val="10"/>
      <color theme="0" tint="-0.34998626667073579"/>
      <name val="Arial"/>
      <family val="2"/>
    </font>
    <font>
      <b/>
      <sz val="10"/>
      <color theme="0" tint="-0.34998626667073579"/>
      <name val="Arial"/>
      <family val="2"/>
    </font>
    <font>
      <b/>
      <sz val="12"/>
      <name val="Arial"/>
      <family val="2"/>
    </font>
    <font>
      <sz val="10"/>
      <color rgb="FFFF0000"/>
      <name val="Arial"/>
      <family val="2"/>
    </font>
    <font>
      <b/>
      <sz val="8"/>
      <color indexed="81"/>
      <name val="Tahoma"/>
      <family val="2"/>
    </font>
    <font>
      <sz val="8"/>
      <color indexed="81"/>
      <name val="Tahoma"/>
      <family val="2"/>
    </font>
    <font>
      <sz val="10"/>
      <color rgb="FF0070C0"/>
      <name val="Arial"/>
      <family val="2"/>
    </font>
    <font>
      <strike/>
      <sz val="10"/>
      <color indexed="8"/>
      <name val="Arial"/>
      <family val="2"/>
    </font>
    <font>
      <b/>
      <sz val="10"/>
      <color rgb="FF0070C0"/>
      <name val="Arial"/>
      <family val="2"/>
    </font>
    <font>
      <vertAlign val="subscript"/>
      <sz val="10"/>
      <color rgb="FF0070C0"/>
      <name val="Arial"/>
      <family val="2"/>
    </font>
    <font>
      <i/>
      <sz val="10"/>
      <color indexed="8"/>
      <name val="Arial"/>
      <family val="2"/>
    </font>
    <font>
      <sz val="10"/>
      <color theme="0" tint="-0.499984740745262"/>
      <name val="Arial"/>
      <family val="2"/>
    </font>
    <font>
      <b/>
      <sz val="10"/>
      <color theme="0" tint="-0.499984740745262"/>
      <name val="Arial"/>
      <family val="2"/>
    </font>
    <font>
      <b/>
      <sz val="10"/>
      <color theme="0"/>
      <name val="Arial"/>
      <family val="2"/>
    </font>
    <font>
      <sz val="10"/>
      <name val="Arial"/>
      <family val="2"/>
    </font>
    <font>
      <sz val="10"/>
      <color theme="7"/>
      <name val="Arial"/>
      <family val="2"/>
    </font>
    <font>
      <sz val="11"/>
      <color indexed="8"/>
      <name val="Calibri"/>
      <family val="2"/>
    </font>
    <font>
      <sz val="11"/>
      <color indexed="9"/>
      <name val="Calibri"/>
      <family val="2"/>
    </font>
    <font>
      <sz val="12"/>
      <color indexed="8"/>
      <name val="Times New Roman"/>
      <family val="1"/>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2"/>
      <color indexed="8"/>
      <name val="Times New Roman"/>
      <family val="1"/>
    </font>
    <font>
      <sz val="11"/>
      <color indexed="60"/>
      <name val="Calibri"/>
      <family val="2"/>
    </font>
    <font>
      <sz val="11"/>
      <color indexed="20"/>
      <name val="Calibri"/>
      <family val="2"/>
    </font>
    <font>
      <sz val="8"/>
      <color indexed="9"/>
      <name val="Arial"/>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sz val="10"/>
      <color theme="4"/>
      <name val="Arial"/>
      <family val="2"/>
    </font>
    <font>
      <sz val="11"/>
      <color rgb="FFFF0000"/>
      <name val="Flexo"/>
      <family val="2"/>
      <scheme val="minor"/>
    </font>
    <font>
      <b/>
      <sz val="11"/>
      <color rgb="FF000000"/>
      <name val="Calibri"/>
      <family val="2"/>
    </font>
    <font>
      <sz val="11"/>
      <color rgb="FF000000"/>
      <name val="Calibri"/>
      <family val="2"/>
    </font>
    <font>
      <b/>
      <sz val="10"/>
      <color theme="1"/>
      <name val="Arial"/>
      <family val="2"/>
    </font>
    <font>
      <sz val="11"/>
      <color theme="2"/>
      <name val="Flexo"/>
      <family val="2"/>
      <scheme val="minor"/>
    </font>
    <font>
      <sz val="10"/>
      <color theme="2"/>
      <name val="Arial"/>
      <family val="2"/>
    </font>
    <font>
      <sz val="11"/>
      <color theme="2"/>
      <name val="Arial"/>
      <family val="2"/>
    </font>
    <font>
      <b/>
      <sz val="10"/>
      <color theme="2"/>
      <name val="Arial"/>
      <family val="2"/>
    </font>
    <font>
      <u/>
      <sz val="10"/>
      <color theme="2"/>
      <name val="Arial"/>
      <family val="2"/>
    </font>
    <font>
      <b/>
      <sz val="12"/>
      <color theme="2"/>
      <name val="Arial"/>
      <family val="2"/>
    </font>
    <font>
      <b/>
      <sz val="11"/>
      <color theme="2"/>
      <name val="Arial"/>
      <family val="2"/>
    </font>
    <font>
      <sz val="11"/>
      <color theme="0"/>
      <name val="Arial"/>
      <family val="2"/>
    </font>
    <font>
      <sz val="11"/>
      <color theme="1"/>
      <name val="Arial"/>
      <family val="2"/>
    </font>
    <font>
      <sz val="9"/>
      <color indexed="81"/>
      <name val="Arial"/>
      <family val="2"/>
    </font>
    <font>
      <sz val="11"/>
      <name val="Arial"/>
      <family val="2"/>
    </font>
    <font>
      <b/>
      <sz val="14"/>
      <name val="Arial"/>
      <family val="2"/>
    </font>
    <font>
      <b/>
      <sz val="14"/>
      <color theme="0" tint="-0.89999084444715716"/>
      <name val="Arial"/>
      <family val="2"/>
    </font>
    <font>
      <b/>
      <sz val="11"/>
      <color theme="1"/>
      <name val="Arial"/>
      <family val="2"/>
    </font>
    <font>
      <b/>
      <sz val="16"/>
      <color rgb="FFFF0000"/>
      <name val="Arial"/>
      <family val="2"/>
    </font>
    <font>
      <strike/>
      <sz val="10"/>
      <color rgb="FFFF0000"/>
      <name val="Arial"/>
      <family val="2"/>
    </font>
    <font>
      <sz val="10"/>
      <color theme="1"/>
      <name val="Flexo"/>
      <family val="2"/>
      <scheme val="minor"/>
    </font>
    <font>
      <vertAlign val="subscript"/>
      <sz val="10"/>
      <color rgb="FFFF0000"/>
      <name val="Arial"/>
      <family val="2"/>
    </font>
    <font>
      <sz val="11"/>
      <color indexed="81"/>
      <name val="Segoe UI"/>
      <family val="2"/>
    </font>
    <font>
      <b/>
      <sz val="11"/>
      <color indexed="81"/>
      <name val="Segoe UI"/>
      <family val="2"/>
    </font>
    <font>
      <b/>
      <i/>
      <sz val="10"/>
      <color indexed="8"/>
      <name val="Arial"/>
      <family val="2"/>
    </font>
    <font>
      <sz val="10"/>
      <color rgb="FFC00000"/>
      <name val="Arial"/>
      <family val="2"/>
    </font>
    <font>
      <b/>
      <sz val="11"/>
      <name val="Arial"/>
      <family val="2"/>
    </font>
    <font>
      <sz val="10"/>
      <color theme="8"/>
      <name val="Arial"/>
      <family val="2"/>
    </font>
  </fonts>
  <fills count="9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darkTrellis"/>
    </fill>
    <fill>
      <patternFill patternType="solid">
        <fgColor indexed="13"/>
        <bgColor indexed="64"/>
      </patternFill>
    </fill>
    <fill>
      <patternFill patternType="solid">
        <fgColor theme="0" tint="-4.9989318521683403E-2"/>
        <bgColor indexed="64"/>
      </patternFill>
    </fill>
    <fill>
      <patternFill patternType="solid">
        <fgColor theme="0"/>
        <bgColor indexed="64"/>
      </patternFill>
    </fill>
    <fill>
      <patternFill patternType="solid">
        <fgColor indexed="41"/>
        <bgColor indexed="64"/>
      </patternFill>
    </fill>
    <fill>
      <patternFill patternType="solid">
        <fgColor indexed="51"/>
        <bgColor indexed="64"/>
      </patternFill>
    </fill>
    <fill>
      <patternFill patternType="solid">
        <fgColor rgb="FFFF000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4"/>
        <bgColor indexed="64"/>
      </patternFill>
    </fill>
    <fill>
      <patternFill patternType="solid">
        <fgColor rgb="FFFFCC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62"/>
        <bgColor indexed="64"/>
      </patternFill>
    </fill>
    <fill>
      <patternFill patternType="solid">
        <fgColor indexed="55"/>
      </patternFill>
    </fill>
    <fill>
      <patternFill patternType="solid">
        <fgColor rgb="FFC4D79B"/>
        <bgColor rgb="FF000000"/>
      </patternFill>
    </fill>
    <fill>
      <patternFill patternType="solid">
        <fgColor theme="5"/>
        <bgColor rgb="FF000000"/>
      </patternFill>
    </fill>
    <fill>
      <patternFill patternType="solid">
        <fgColor theme="5"/>
        <bgColor indexed="64"/>
      </patternFill>
    </fill>
    <fill>
      <patternFill patternType="solid">
        <fgColor theme="6"/>
        <bgColor indexed="64"/>
      </patternFill>
    </fill>
    <fill>
      <patternFill patternType="solid">
        <fgColor theme="6" tint="0.39997558519241921"/>
        <bgColor rgb="FF000000"/>
      </patternFill>
    </fill>
    <fill>
      <patternFill patternType="solid">
        <fgColor theme="5"/>
      </patternFill>
    </fill>
    <fill>
      <patternFill patternType="solid">
        <fgColor rgb="FF1F82C0"/>
        <bgColor indexed="64"/>
      </patternFill>
    </fill>
    <fill>
      <patternFill patternType="solid">
        <fgColor rgb="FF006099"/>
        <bgColor indexed="64"/>
      </patternFill>
    </fill>
    <fill>
      <patternFill patternType="solid">
        <fgColor rgb="FFFFD744"/>
        <bgColor indexed="64"/>
      </patternFill>
    </fill>
    <fill>
      <patternFill patternType="solid">
        <fgColor rgb="FF467850"/>
        <bgColor indexed="64"/>
      </patternFill>
    </fill>
    <fill>
      <patternFill patternType="solid">
        <fgColor rgb="FF88BB3C"/>
        <bgColor indexed="64"/>
      </patternFill>
    </fill>
    <fill>
      <patternFill patternType="solid">
        <fgColor rgb="FF79A8CA"/>
        <bgColor indexed="64"/>
      </patternFill>
    </fill>
    <fill>
      <patternFill patternType="solid">
        <fgColor theme="0" tint="-9.9978637043366805E-2"/>
        <bgColor indexed="64"/>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bgColor rgb="FFAD86B0"/>
      </patternFill>
    </fill>
    <fill>
      <patternFill patternType="solid">
        <fgColor rgb="FF48A8AE"/>
        <bgColor indexed="64"/>
      </patternFill>
    </fill>
    <fill>
      <patternFill patternType="solid">
        <fgColor rgb="FF8393BE"/>
        <bgColor indexed="64"/>
      </patternFill>
    </fill>
    <fill>
      <patternFill patternType="solid">
        <fgColor theme="0" tint="-9.9948118533890809E-2"/>
        <bgColor indexed="64"/>
      </patternFill>
    </fill>
    <fill>
      <patternFill patternType="solid">
        <fgColor theme="2"/>
        <bgColor indexed="64"/>
      </patternFill>
    </fill>
    <fill>
      <patternFill patternType="solid">
        <fgColor theme="2"/>
        <bgColor rgb="FFAD86B0"/>
      </patternFill>
    </fill>
    <fill>
      <patternFill patternType="solid">
        <fgColor rgb="FFCCFF33"/>
        <bgColor indexed="64"/>
      </patternFill>
    </fill>
    <fill>
      <patternFill patternType="solid">
        <fgColor rgb="FFCCFF99"/>
        <bgColor indexed="64"/>
      </patternFill>
    </fill>
    <fill>
      <patternFill patternType="solid">
        <fgColor theme="9"/>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rgb="FFCCFFFF"/>
        <bgColor indexed="64"/>
      </patternFill>
    </fill>
    <fill>
      <patternFill patternType="solid">
        <fgColor rgb="FF9EA8CC"/>
        <bgColor indexed="64"/>
      </patternFill>
    </fill>
    <fill>
      <patternFill patternType="solid">
        <fgColor rgb="FFC1F9FF"/>
        <bgColor indexed="64"/>
      </patternFill>
    </fill>
    <fill>
      <patternFill patternType="solid">
        <fgColor rgb="FFFAEDF3"/>
        <bgColor indexed="64"/>
      </patternFill>
    </fill>
    <fill>
      <patternFill patternType="solid">
        <fgColor rgb="FF84F2FF"/>
        <bgColor indexed="64"/>
      </patternFill>
    </fill>
    <fill>
      <patternFill patternType="solid">
        <fgColor rgb="FFC2C2C2"/>
        <bgColor indexed="64"/>
      </patternFill>
    </fill>
    <fill>
      <patternFill patternType="solid">
        <fgColor rgb="FFABD7F3"/>
        <bgColor indexed="64"/>
      </patternFill>
    </fill>
    <fill>
      <patternFill patternType="solid">
        <fgColor rgb="FFE6A4C7"/>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auto="1"/>
      </top>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
      <left style="medium">
        <color theme="0"/>
      </left>
      <right/>
      <top style="thin">
        <color theme="0"/>
      </top>
      <bottom style="thin">
        <color theme="0"/>
      </bottom>
      <diagonal/>
    </border>
    <border>
      <left/>
      <right/>
      <top style="medium">
        <color theme="0"/>
      </top>
      <bottom style="thin">
        <color theme="0"/>
      </bottom>
      <diagonal/>
    </border>
  </borders>
  <cellStyleXfs count="482">
    <xf numFmtId="3" fontId="0" fillId="0" borderId="0">
      <alignment vertical="center"/>
    </xf>
    <xf numFmtId="175" fontId="15" fillId="0" borderId="0"/>
    <xf numFmtId="49" fontId="15" fillId="0" borderId="0"/>
    <xf numFmtId="182" fontId="15" fillId="0" borderId="0">
      <alignment horizontal="center"/>
    </xf>
    <xf numFmtId="190" fontId="15" fillId="0" borderId="0"/>
    <xf numFmtId="191" fontId="15" fillId="0" borderId="0"/>
    <xf numFmtId="192" fontId="15" fillId="0" borderId="0"/>
    <xf numFmtId="176" fontId="15" fillId="0" borderId="0"/>
    <xf numFmtId="186" fontId="16" fillId="0" borderId="0"/>
    <xf numFmtId="187" fontId="17" fillId="0" borderId="0"/>
    <xf numFmtId="188" fontId="16" fillId="0" borderId="0"/>
    <xf numFmtId="49" fontId="10" fillId="0" borderId="1" applyNumberFormat="0" applyFont="0" applyFill="0" applyBorder="0" applyProtection="0">
      <alignment horizontal="left" vertical="center" indent="2"/>
    </xf>
    <xf numFmtId="177" fontId="15" fillId="0" borderId="0"/>
    <xf numFmtId="183" fontId="15" fillId="0" borderId="0"/>
    <xf numFmtId="178" fontId="15" fillId="0" borderId="0"/>
    <xf numFmtId="189" fontId="16" fillId="0" borderId="0"/>
    <xf numFmtId="49" fontId="10" fillId="0" borderId="2" applyNumberFormat="0" applyFont="0" applyFill="0" applyBorder="0" applyProtection="0">
      <alignment horizontal="left" vertical="center" indent="5"/>
    </xf>
    <xf numFmtId="179" fontId="15" fillId="0" borderId="0">
      <alignment horizontal="center"/>
    </xf>
    <xf numFmtId="184" fontId="15" fillId="0" borderId="0">
      <alignment horizontal="center"/>
    </xf>
    <xf numFmtId="180" fontId="15" fillId="0" borderId="0">
      <alignment horizontal="center"/>
    </xf>
    <xf numFmtId="181" fontId="15" fillId="0" borderId="0">
      <alignment horizontal="center"/>
    </xf>
    <xf numFmtId="185" fontId="15" fillId="0" borderId="0">
      <alignment horizontal="center"/>
    </xf>
    <xf numFmtId="0" fontId="9" fillId="0" borderId="0" applyFont="0" applyFill="0" applyBorder="0" applyAlignment="0" applyProtection="0"/>
    <xf numFmtId="169" fontId="18" fillId="0" borderId="3" applyFont="0" applyFill="0" applyBorder="0" applyAlignment="0" applyProtection="0">
      <alignment horizontal="left"/>
    </xf>
    <xf numFmtId="168" fontId="18" fillId="0" borderId="3" applyFont="0" applyFill="0" applyBorder="0" applyAlignment="0" applyProtection="0">
      <alignment horizontal="left"/>
    </xf>
    <xf numFmtId="170" fontId="18" fillId="0" borderId="3" applyFont="0" applyFill="0" applyBorder="0" applyAlignment="0" applyProtection="0">
      <alignment horizontal="left"/>
    </xf>
    <xf numFmtId="0" fontId="9" fillId="0" borderId="0" applyFont="0" applyFill="0" applyBorder="0" applyAlignment="0" applyProtection="0"/>
    <xf numFmtId="0" fontId="9" fillId="0" borderId="0" applyFont="0" applyFill="0" applyBorder="0" applyAlignment="0" applyProtection="0">
      <alignment horizontal="left"/>
    </xf>
    <xf numFmtId="173" fontId="18" fillId="0" borderId="3" applyFont="0" applyFill="0" applyBorder="0" applyAlignment="0" applyProtection="0">
      <alignment horizontal="left"/>
    </xf>
    <xf numFmtId="172" fontId="18" fillId="0" borderId="3" applyFont="0" applyFill="0" applyBorder="0" applyAlignment="0" applyProtection="0">
      <alignment horizontal="left"/>
    </xf>
    <xf numFmtId="174" fontId="18" fillId="0" borderId="3" applyFont="0" applyFill="0" applyBorder="0" applyAlignment="0" applyProtection="0">
      <alignment horizontal="left"/>
    </xf>
    <xf numFmtId="167" fontId="18" fillId="0" borderId="3" applyFont="0" applyFill="0" applyBorder="0" applyAlignment="0" applyProtection="0">
      <alignment horizontal="left"/>
    </xf>
    <xf numFmtId="171" fontId="18" fillId="0" borderId="3" applyFont="0" applyFill="0" applyBorder="0" applyAlignment="0" applyProtection="0">
      <alignment horizontal="left"/>
    </xf>
    <xf numFmtId="166" fontId="18" fillId="0" borderId="3" applyFont="0" applyFill="0" applyBorder="0" applyAlignment="0" applyProtection="0">
      <alignment horizontal="left"/>
    </xf>
    <xf numFmtId="165" fontId="10" fillId="2" borderId="0" applyBorder="0">
      <alignment horizontal="right" vertical="center"/>
    </xf>
    <xf numFmtId="4" fontId="11" fillId="0" borderId="5" applyFill="0" applyBorder="0" applyProtection="0">
      <alignment horizontal="right" vertical="center"/>
    </xf>
    <xf numFmtId="0" fontId="10" fillId="0" borderId="6">
      <alignment horizontal="left" vertical="center" wrapText="1" indent="2"/>
    </xf>
    <xf numFmtId="0" fontId="10" fillId="2" borderId="2">
      <alignment horizontal="left" vertical="center"/>
    </xf>
    <xf numFmtId="14" fontId="9" fillId="0" borderId="0">
      <alignment horizontal="center"/>
    </xf>
    <xf numFmtId="193" fontId="9" fillId="0" borderId="0">
      <alignment horizontal="center"/>
    </xf>
    <xf numFmtId="14" fontId="9" fillId="0" borderId="0">
      <alignment horizontal="center"/>
    </xf>
    <xf numFmtId="44" fontId="9" fillId="0" borderId="0" applyFont="0" applyFill="0" applyBorder="0" applyAlignment="0" applyProtection="0"/>
    <xf numFmtId="0" fontId="15" fillId="0" borderId="8"/>
    <xf numFmtId="0" fontId="20" fillId="0" borderId="0" applyNumberFormat="0" applyFill="0" applyBorder="0" applyAlignment="0" applyProtection="0"/>
    <xf numFmtId="0" fontId="12" fillId="0" borderId="0" applyNumberFormat="0" applyFill="0" applyBorder="0" applyAlignment="0" applyProtection="0">
      <alignment vertical="top"/>
      <protection locked="0"/>
    </xf>
    <xf numFmtId="4" fontId="10" fillId="0" borderId="0" applyBorder="0">
      <alignment horizontal="right" vertical="center"/>
    </xf>
    <xf numFmtId="3" fontId="21" fillId="0" borderId="0"/>
    <xf numFmtId="175" fontId="16" fillId="0" borderId="0"/>
    <xf numFmtId="4" fontId="10" fillId="0" borderId="1" applyFill="0" applyBorder="0" applyProtection="0">
      <alignment horizontal="right" vertical="center"/>
    </xf>
    <xf numFmtId="0" fontId="11" fillId="0" borderId="0" applyNumberFormat="0" applyFill="0" applyBorder="0" applyProtection="0">
      <alignment horizontal="left" vertical="center"/>
    </xf>
    <xf numFmtId="0" fontId="10" fillId="0" borderId="1" applyNumberFormat="0" applyFill="0" applyAlignment="0" applyProtection="0"/>
    <xf numFmtId="0" fontId="18" fillId="4" borderId="0" applyNumberFormat="0" applyFont="0" applyBorder="0" applyAlignment="0" applyProtection="0"/>
    <xf numFmtId="49" fontId="16" fillId="0" borderId="0"/>
    <xf numFmtId="3" fontId="22" fillId="5" borderId="0"/>
    <xf numFmtId="165" fontId="10" fillId="6" borderId="1" applyNumberFormat="0" applyFont="0" applyBorder="0" applyAlignment="0" applyProtection="0">
      <alignment horizontal="right" vertical="center"/>
    </xf>
    <xf numFmtId="3" fontId="9" fillId="0" borderId="0" applyAlignment="0" applyProtection="0">
      <alignment horizontal="right" vertical="center"/>
    </xf>
    <xf numFmtId="3" fontId="9" fillId="0" borderId="0" applyAlignment="0" applyProtection="0">
      <alignment horizontal="right" vertical="center"/>
    </xf>
    <xf numFmtId="194" fontId="9" fillId="0" borderId="0">
      <alignment horizontal="center"/>
    </xf>
    <xf numFmtId="0" fontId="24" fillId="0" borderId="0"/>
    <xf numFmtId="195" fontId="26" fillId="0" borderId="0"/>
    <xf numFmtId="0" fontId="23" fillId="0" borderId="0"/>
    <xf numFmtId="9" fontId="9" fillId="0" borderId="0" applyFont="0" applyFill="0" applyBorder="0" applyAlignment="0" applyProtection="0"/>
    <xf numFmtId="0" fontId="27" fillId="0" borderId="0"/>
    <xf numFmtId="0" fontId="8" fillId="0" borderId="0"/>
    <xf numFmtId="9" fontId="8" fillId="0" borderId="0" applyFont="0" applyFill="0" applyBorder="0" applyAlignment="0" applyProtection="0"/>
    <xf numFmtId="0" fontId="27" fillId="0" borderId="0"/>
    <xf numFmtId="3" fontId="9" fillId="0" borderId="0">
      <alignment vertical="center"/>
    </xf>
    <xf numFmtId="175" fontId="13" fillId="0" borderId="0"/>
    <xf numFmtId="49" fontId="13" fillId="0" borderId="0"/>
    <xf numFmtId="182" fontId="13" fillId="0" borderId="0">
      <alignment horizontal="center"/>
    </xf>
    <xf numFmtId="190" fontId="13" fillId="0" borderId="0"/>
    <xf numFmtId="191" fontId="13" fillId="0" borderId="0"/>
    <xf numFmtId="192" fontId="13" fillId="0" borderId="0"/>
    <xf numFmtId="176" fontId="13" fillId="0" borderId="0"/>
    <xf numFmtId="177" fontId="13" fillId="0" borderId="0"/>
    <xf numFmtId="183" fontId="13" fillId="0" borderId="0"/>
    <xf numFmtId="178" fontId="13" fillId="0" borderId="0"/>
    <xf numFmtId="179" fontId="13" fillId="0" borderId="0">
      <alignment horizontal="center"/>
    </xf>
    <xf numFmtId="184" fontId="13" fillId="0" borderId="0">
      <alignment horizontal="center"/>
    </xf>
    <xf numFmtId="180" fontId="13" fillId="0" borderId="0">
      <alignment horizontal="center"/>
    </xf>
    <xf numFmtId="181" fontId="13" fillId="0" borderId="0">
      <alignment horizontal="center"/>
    </xf>
    <xf numFmtId="185" fontId="13" fillId="0" borderId="0">
      <alignment horizontal="center"/>
    </xf>
    <xf numFmtId="169" fontId="9" fillId="0" borderId="3" applyFont="0" applyFill="0" applyBorder="0" applyAlignment="0" applyProtection="0">
      <alignment horizontal="left"/>
    </xf>
    <xf numFmtId="168" fontId="9" fillId="0" borderId="3" applyFont="0" applyFill="0" applyBorder="0" applyAlignment="0" applyProtection="0">
      <alignment horizontal="left"/>
    </xf>
    <xf numFmtId="170" fontId="9" fillId="0" borderId="3" applyFont="0" applyFill="0" applyBorder="0" applyAlignment="0" applyProtection="0">
      <alignment horizontal="left"/>
    </xf>
    <xf numFmtId="173" fontId="9" fillId="0" borderId="3" applyFont="0" applyFill="0" applyBorder="0" applyAlignment="0" applyProtection="0">
      <alignment horizontal="left"/>
    </xf>
    <xf numFmtId="172" fontId="9" fillId="0" borderId="3" applyFont="0" applyFill="0" applyBorder="0" applyAlignment="0" applyProtection="0">
      <alignment horizontal="left"/>
    </xf>
    <xf numFmtId="174" fontId="9" fillId="0" borderId="3" applyFont="0" applyFill="0" applyBorder="0" applyAlignment="0" applyProtection="0">
      <alignment horizontal="left"/>
    </xf>
    <xf numFmtId="167" fontId="9" fillId="0" borderId="3" applyFont="0" applyFill="0" applyBorder="0" applyAlignment="0" applyProtection="0">
      <alignment horizontal="left"/>
    </xf>
    <xf numFmtId="171" fontId="9" fillId="0" borderId="3" applyFont="0" applyFill="0" applyBorder="0" applyAlignment="0" applyProtection="0">
      <alignment horizontal="left"/>
    </xf>
    <xf numFmtId="166" fontId="9" fillId="0" borderId="3" applyFont="0" applyFill="0" applyBorder="0" applyAlignment="0" applyProtection="0">
      <alignment horizontal="left"/>
    </xf>
    <xf numFmtId="0" fontId="13" fillId="0" borderId="8"/>
    <xf numFmtId="0" fontId="9" fillId="4" borderId="0" applyNumberFormat="0" applyFont="0" applyBorder="0" applyAlignment="0" applyProtection="0"/>
    <xf numFmtId="0" fontId="7" fillId="0" borderId="0"/>
    <xf numFmtId="9" fontId="7" fillId="0" borderId="0" applyFont="0" applyFill="0" applyBorder="0" applyAlignment="0" applyProtection="0"/>
    <xf numFmtId="9" fontId="49" fillId="0" borderId="0" applyFont="0" applyFill="0" applyBorder="0" applyAlignment="0" applyProtection="0"/>
    <xf numFmtId="0" fontId="24" fillId="0" borderId="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alignment horizontal="left"/>
    </xf>
    <xf numFmtId="0" fontId="11" fillId="47" borderId="0" applyBorder="0" applyAlignment="0"/>
    <xf numFmtId="0" fontId="10" fillId="47" borderId="0" applyBorder="0">
      <alignment horizontal="right" vertical="center"/>
    </xf>
    <xf numFmtId="4" fontId="10" fillId="2" borderId="0" applyBorder="0">
      <alignment horizontal="right" vertical="center"/>
    </xf>
    <xf numFmtId="0" fontId="19" fillId="2" borderId="1">
      <alignment horizontal="right" vertical="center"/>
    </xf>
    <xf numFmtId="0" fontId="53" fillId="2" borderId="1">
      <alignment horizontal="right" vertical="center"/>
    </xf>
    <xf numFmtId="0" fontId="19" fillId="3" borderId="1">
      <alignment horizontal="right" vertical="center"/>
    </xf>
    <xf numFmtId="0" fontId="19" fillId="3" borderId="1">
      <alignment horizontal="right" vertical="center"/>
    </xf>
    <xf numFmtId="0" fontId="19" fillId="3" borderId="31">
      <alignment horizontal="right" vertical="center"/>
    </xf>
    <xf numFmtId="0" fontId="19" fillId="3" borderId="2">
      <alignment horizontal="right" vertical="center"/>
    </xf>
    <xf numFmtId="0" fontId="19" fillId="3" borderId="4">
      <alignment horizontal="right" vertical="center"/>
    </xf>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4" fillId="52" borderId="68"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55" fillId="52" borderId="69" applyNumberFormat="0" applyAlignment="0" applyProtection="0"/>
    <xf numFmtId="0" fontId="19" fillId="0" borderId="0" applyNumberFormat="0">
      <alignment horizontal="right"/>
    </xf>
    <xf numFmtId="0" fontId="10" fillId="3" borderId="6">
      <alignment horizontal="left" vertical="center" wrapText="1" indent="2"/>
    </xf>
    <xf numFmtId="14" fontId="9" fillId="0" borderId="0">
      <alignment horizontal="center"/>
    </xf>
    <xf numFmtId="193" fontId="9" fillId="0" borderId="0">
      <alignment horizontal="center"/>
    </xf>
    <xf numFmtId="0" fontId="19" fillId="0" borderId="45">
      <alignment horizontal="left" vertical="top" wrapText="1"/>
    </xf>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56" fillId="38" borderId="69" applyNumberFormat="0" applyAlignment="0" applyProtection="0"/>
    <xf numFmtId="0" fontId="9" fillId="0" borderId="61"/>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44" fontId="9" fillId="0" borderId="0" applyFont="0" applyFill="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10" fillId="0" borderId="1">
      <alignment horizontal="right" vertical="center"/>
    </xf>
    <xf numFmtId="1" fontId="60" fillId="2" borderId="0" applyBorder="0">
      <alignment horizontal="right" vertical="center"/>
    </xf>
    <xf numFmtId="164" fontId="9" fillId="0" borderId="0" applyFont="0" applyFill="0" applyBorder="0" applyAlignment="0" applyProtection="0"/>
    <xf numFmtId="0" fontId="9" fillId="0" borderId="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9" fillId="0" borderId="0"/>
    <xf numFmtId="0" fontId="9" fillId="0" borderId="0"/>
    <xf numFmtId="0" fontId="9" fillId="0" borderId="0"/>
    <xf numFmtId="4" fontId="9" fillId="4"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3" fontId="9" fillId="0" borderId="0">
      <alignment vertical="center"/>
    </xf>
    <xf numFmtId="9" fontId="9" fillId="0" borderId="0" applyFont="0" applyFill="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10" fillId="4" borderId="1"/>
    <xf numFmtId="0" fontId="23"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3" fontId="9" fillId="0" borderId="0">
      <alignment vertical="center"/>
    </xf>
    <xf numFmtId="0" fontId="13" fillId="0" borderId="0"/>
    <xf numFmtId="0" fontId="9" fillId="0" borderId="1" applyNumberFormat="0" applyFill="0" applyProtection="0">
      <alignment horizontal="right"/>
    </xf>
    <xf numFmtId="0" fontId="14" fillId="55" borderId="1" applyNumberFormat="0" applyProtection="0">
      <alignment horizontal="right"/>
    </xf>
    <xf numFmtId="0" fontId="37" fillId="55" borderId="0" applyNumberFormat="0" applyBorder="0" applyProtection="0">
      <alignment horizontal="left"/>
    </xf>
    <xf numFmtId="0" fontId="14" fillId="55" borderId="1" applyNumberFormat="0" applyProtection="0">
      <alignment horizontal="left"/>
    </xf>
    <xf numFmtId="0" fontId="9" fillId="0" borderId="1" applyNumberFormat="0" applyFill="0" applyProtection="0">
      <alignment horizontal="right"/>
    </xf>
    <xf numFmtId="0" fontId="63" fillId="56" borderId="0" applyNumberFormat="0" applyBorder="0" applyProtection="0">
      <alignment horizontal="left"/>
    </xf>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5" fillId="0" borderId="0" applyNumberFormat="0" applyFill="0" applyBorder="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6" fillId="0" borderId="73"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7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5" fillId="0" borderId="0"/>
    <xf numFmtId="194" fontId="9" fillId="0" borderId="0">
      <alignment horizontal="center"/>
    </xf>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8" fillId="0" borderId="7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0" fillId="57" borderId="76" applyNumberFormat="0" applyAlignment="0" applyProtection="0"/>
    <xf numFmtId="0" fontId="71" fillId="0" borderId="0" applyNumberFormat="0" applyFill="0" applyBorder="0" applyAlignment="0" applyProtection="0"/>
    <xf numFmtId="0" fontId="10" fillId="0" borderId="0"/>
    <xf numFmtId="9" fontId="6" fillId="0" borderId="0" applyFont="0" applyFill="0" applyBorder="0" applyAlignment="0" applyProtection="0"/>
    <xf numFmtId="0" fontId="6"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alignment horizontal="left"/>
    </xf>
    <xf numFmtId="0" fontId="9" fillId="0" borderId="0" applyFont="0" applyFill="0" applyBorder="0" applyAlignment="0" applyProtection="0">
      <alignment horizontal="left"/>
    </xf>
    <xf numFmtId="14" fontId="9" fillId="0" borderId="0">
      <alignment horizontal="center"/>
    </xf>
    <xf numFmtId="14" fontId="9" fillId="0" borderId="0">
      <alignment horizontal="center"/>
    </xf>
    <xf numFmtId="193" fontId="9" fillId="0" borderId="0">
      <alignment horizontal="center"/>
    </xf>
    <xf numFmtId="193" fontId="9" fillId="0" borderId="0">
      <alignment horizontal="center"/>
    </xf>
    <xf numFmtId="44"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0" fontId="9" fillId="0" borderId="0"/>
    <xf numFmtId="0" fontId="9" fillId="4" borderId="0" applyNumberFormat="0" applyFont="0" applyBorder="0" applyAlignment="0" applyProtection="0"/>
    <xf numFmtId="4" fontId="9" fillId="4" borderId="0" applyNumberFormat="0" applyFont="0" applyBorder="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0" fontId="9" fillId="54" borderId="7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3" fontId="9" fillId="0" borderId="0">
      <alignment vertical="center"/>
    </xf>
    <xf numFmtId="0" fontId="9" fillId="0" borderId="1" applyNumberFormat="0" applyFill="0" applyProtection="0">
      <alignment horizontal="right"/>
    </xf>
    <xf numFmtId="0" fontId="9" fillId="0" borderId="1" applyNumberFormat="0" applyFill="0" applyProtection="0">
      <alignment horizontal="right"/>
    </xf>
    <xf numFmtId="194" fontId="9" fillId="0" borderId="0">
      <alignment horizontal="center"/>
    </xf>
    <xf numFmtId="194" fontId="9" fillId="0" borderId="0">
      <alignment horizontal="center"/>
    </xf>
    <xf numFmtId="9" fontId="6"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9" fillId="0" borderId="0" applyFont="0" applyFill="0" applyBorder="0" applyAlignment="0" applyProtection="0"/>
    <xf numFmtId="0" fontId="85" fillId="0" borderId="0"/>
    <xf numFmtId="0" fontId="84" fillId="75" borderId="0" applyNumberFormat="0" applyBorder="0" applyAlignment="0" applyProtection="0"/>
    <xf numFmtId="0" fontId="84" fillId="63" borderId="0" applyNumberFormat="0" applyBorder="0" applyAlignment="0" applyProtection="0"/>
    <xf numFmtId="0" fontId="84" fillId="71" borderId="0" applyNumberFormat="0" applyBorder="0" applyAlignment="0" applyProtection="0"/>
    <xf numFmtId="0" fontId="84" fillId="72" borderId="0" applyNumberFormat="0" applyBorder="0" applyAlignment="0" applyProtection="0"/>
    <xf numFmtId="0" fontId="84" fillId="73" borderId="0" applyNumberFormat="0" applyBorder="0" applyAlignment="0" applyProtection="0"/>
    <xf numFmtId="0" fontId="84" fillId="74" borderId="0" applyNumberFormat="0" applyBorder="0" applyAlignment="0" applyProtection="0"/>
    <xf numFmtId="0" fontId="93" fillId="0" borderId="0"/>
    <xf numFmtId="0" fontId="1" fillId="0" borderId="0"/>
  </cellStyleXfs>
  <cellXfs count="1526">
    <xf numFmtId="3" fontId="0" fillId="0" borderId="0" xfId="0">
      <alignment vertical="center"/>
    </xf>
    <xf numFmtId="3" fontId="12" fillId="0" borderId="0" xfId="44" applyNumberFormat="1" applyAlignment="1" applyProtection="1">
      <alignment horizontal="left" vertical="center"/>
    </xf>
    <xf numFmtId="3" fontId="14" fillId="0" borderId="0" xfId="56" applyFont="1" applyAlignment="1">
      <alignment horizontal="left"/>
    </xf>
    <xf numFmtId="3" fontId="9" fillId="0" borderId="0" xfId="56" applyAlignment="1">
      <alignment horizontal="left" vertical="center"/>
    </xf>
    <xf numFmtId="3" fontId="9" fillId="0" borderId="0" xfId="56" applyAlignment="1">
      <alignment horizontal="center"/>
    </xf>
    <xf numFmtId="3" fontId="14" fillId="0" borderId="0" xfId="56" applyFont="1" applyAlignment="1">
      <alignment horizontal="center"/>
    </xf>
    <xf numFmtId="3" fontId="9" fillId="0" borderId="0" xfId="55" applyAlignment="1">
      <alignment horizontal="left" vertical="center"/>
    </xf>
    <xf numFmtId="3" fontId="9" fillId="0" borderId="0" xfId="56" applyFont="1" applyAlignment="1">
      <alignment horizontal="left" vertical="center"/>
    </xf>
    <xf numFmtId="3" fontId="9" fillId="0" borderId="0" xfId="56" applyAlignment="1">
      <alignment horizontal="right" vertical="center"/>
    </xf>
    <xf numFmtId="0" fontId="24" fillId="0" borderId="0" xfId="58" applyNumberFormat="1" applyFont="1" applyFill="1" applyBorder="1" applyAlignment="1" applyProtection="1">
      <alignment vertical="center"/>
    </xf>
    <xf numFmtId="0" fontId="24" fillId="0" borderId="0" xfId="58" applyNumberFormat="1" applyFont="1" applyFill="1" applyBorder="1" applyAlignment="1" applyProtection="1">
      <alignment horizontal="left" vertical="center" indent="1"/>
    </xf>
    <xf numFmtId="196" fontId="24" fillId="0" borderId="11" xfId="58" applyNumberFormat="1" applyFont="1" applyFill="1" applyBorder="1" applyAlignment="1" applyProtection="1">
      <alignment horizontal="left" vertical="center" indent="1"/>
    </xf>
    <xf numFmtId="197" fontId="24" fillId="0" borderId="12" xfId="58" applyNumberFormat="1" applyFont="1" applyFill="1" applyBorder="1" applyAlignment="1" applyProtection="1">
      <alignment horizontal="left" vertical="center" indent="1"/>
    </xf>
    <xf numFmtId="0" fontId="24" fillId="0" borderId="11" xfId="58" applyNumberFormat="1" applyFont="1" applyFill="1" applyBorder="1" applyAlignment="1" applyProtection="1">
      <alignment horizontal="right" vertical="center" indent="1"/>
    </xf>
    <xf numFmtId="196" fontId="24" fillId="11" borderId="13" xfId="58" applyNumberFormat="1" applyFont="1" applyFill="1" applyBorder="1" applyAlignment="1" applyProtection="1">
      <alignment horizontal="right" vertical="center"/>
    </xf>
    <xf numFmtId="197" fontId="24" fillId="11" borderId="14" xfId="58" applyNumberFormat="1" applyFont="1" applyFill="1" applyBorder="1" applyAlignment="1" applyProtection="1">
      <alignment horizontal="left" vertical="center" indent="1"/>
    </xf>
    <xf numFmtId="0" fontId="24" fillId="0" borderId="11" xfId="58" applyNumberFormat="1" applyFont="1" applyFill="1" applyBorder="1" applyAlignment="1" applyProtection="1">
      <alignment horizontal="left" vertical="center" indent="1"/>
    </xf>
    <xf numFmtId="0" fontId="24" fillId="0" borderId="8" xfId="58" applyNumberFormat="1" applyFont="1" applyFill="1" applyBorder="1" applyAlignment="1" applyProtection="1">
      <alignment vertical="center"/>
    </xf>
    <xf numFmtId="0" fontId="24" fillId="0" borderId="8" xfId="58" applyNumberFormat="1" applyFont="1" applyFill="1" applyBorder="1" applyAlignment="1" applyProtection="1">
      <alignment horizontal="left" vertical="center" indent="1"/>
    </xf>
    <xf numFmtId="0" fontId="25" fillId="7" borderId="0" xfId="58" applyNumberFormat="1" applyFont="1" applyFill="1" applyBorder="1" applyAlignment="1" applyProtection="1">
      <alignment horizontal="left" vertical="center" indent="1"/>
    </xf>
    <xf numFmtId="0" fontId="25" fillId="7" borderId="0" xfId="58" applyNumberFormat="1" applyFont="1" applyFill="1" applyBorder="1" applyAlignment="1" applyProtection="1">
      <alignment horizontal="left" vertical="center"/>
    </xf>
    <xf numFmtId="0" fontId="24" fillId="0" borderId="8" xfId="58" applyNumberFormat="1" applyFont="1" applyFill="1" applyBorder="1" applyAlignment="1" applyProtection="1">
      <alignment horizontal="right" vertical="center" indent="1"/>
    </xf>
    <xf numFmtId="197" fontId="24" fillId="0" borderId="18" xfId="58" applyNumberFormat="1" applyFont="1" applyFill="1" applyBorder="1" applyAlignment="1" applyProtection="1">
      <alignment horizontal="left" vertical="center" indent="1"/>
    </xf>
    <xf numFmtId="196" fontId="24" fillId="10" borderId="8" xfId="58" applyNumberFormat="1" applyFont="1" applyFill="1" applyBorder="1" applyAlignment="1" applyProtection="1">
      <alignment horizontal="right" vertical="center"/>
    </xf>
    <xf numFmtId="197" fontId="24" fillId="0" borderId="19" xfId="58" applyNumberFormat="1" applyFont="1" applyFill="1" applyBorder="1" applyAlignment="1" applyProtection="1">
      <alignment horizontal="left" vertical="center" indent="1"/>
    </xf>
    <xf numFmtId="196" fontId="24" fillId="10" borderId="10" xfId="58" applyNumberFormat="1" applyFont="1" applyFill="1" applyBorder="1" applyAlignment="1" applyProtection="1">
      <alignment horizontal="right" vertical="center"/>
    </xf>
    <xf numFmtId="197" fontId="24" fillId="0" borderId="0" xfId="58" applyNumberFormat="1" applyFont="1" applyFill="1" applyBorder="1" applyAlignment="1" applyProtection="1">
      <alignment horizontal="left" vertical="center" indent="1"/>
    </xf>
    <xf numFmtId="0" fontId="25" fillId="9" borderId="1" xfId="58" applyNumberFormat="1" applyFont="1" applyFill="1" applyBorder="1" applyAlignment="1" applyProtection="1">
      <alignment horizontal="left" vertical="center" indent="1"/>
    </xf>
    <xf numFmtId="0" fontId="25" fillId="7" borderId="0" xfId="58" applyNumberFormat="1" applyFont="1" applyFill="1" applyBorder="1" applyAlignment="1" applyProtection="1">
      <alignment horizontal="left" vertical="center" wrapText="1"/>
    </xf>
    <xf numFmtId="0" fontId="24" fillId="0" borderId="0" xfId="58" applyNumberFormat="1" applyFont="1" applyFill="1" applyBorder="1" applyAlignment="1" applyProtection="1">
      <alignment horizontal="left" vertical="center" wrapText="1"/>
    </xf>
    <xf numFmtId="196" fontId="24" fillId="0" borderId="17" xfId="58" applyNumberFormat="1" applyFont="1" applyFill="1" applyBorder="1" applyAlignment="1" applyProtection="1">
      <alignment horizontal="left" vertical="center" wrapText="1"/>
    </xf>
    <xf numFmtId="196" fontId="24" fillId="0" borderId="11" xfId="58" applyNumberFormat="1" applyFont="1" applyFill="1" applyBorder="1" applyAlignment="1" applyProtection="1">
      <alignment horizontal="left" vertical="center" wrapText="1"/>
    </xf>
    <xf numFmtId="196" fontId="24" fillId="0" borderId="5" xfId="58" applyNumberFormat="1" applyFont="1" applyFill="1" applyBorder="1" applyAlignment="1" applyProtection="1">
      <alignment horizontal="left" vertical="center" wrapText="1"/>
    </xf>
    <xf numFmtId="0" fontId="24" fillId="0" borderId="0" xfId="58" applyNumberFormat="1" applyFont="1" applyFill="1" applyBorder="1" applyAlignment="1" applyProtection="1">
      <alignment horizontal="right" vertical="center" wrapText="1"/>
    </xf>
    <xf numFmtId="196" fontId="24" fillId="0" borderId="0" xfId="58" applyNumberFormat="1" applyFont="1" applyFill="1" applyBorder="1" applyAlignment="1" applyProtection="1">
      <alignment horizontal="left" vertical="center" wrapText="1"/>
    </xf>
    <xf numFmtId="196" fontId="24" fillId="0" borderId="17" xfId="58" applyNumberFormat="1" applyFont="1" applyFill="1" applyBorder="1" applyAlignment="1" applyProtection="1">
      <alignment horizontal="left" vertical="center" indent="1"/>
    </xf>
    <xf numFmtId="0" fontId="24" fillId="0" borderId="12" xfId="58" applyNumberFormat="1" applyFont="1" applyFill="1" applyBorder="1" applyAlignment="1" applyProtection="1">
      <alignment horizontal="right" vertical="center" indent="1"/>
    </xf>
    <xf numFmtId="0" fontId="24" fillId="0" borderId="0" xfId="58" applyNumberFormat="1" applyFont="1" applyFill="1" applyBorder="1" applyAlignment="1" applyProtection="1">
      <alignment horizontal="left" vertical="center"/>
    </xf>
    <xf numFmtId="198" fontId="24" fillId="11" borderId="13" xfId="58" applyNumberFormat="1" applyFont="1" applyFill="1" applyBorder="1" applyAlignment="1" applyProtection="1">
      <alignment horizontal="right" vertical="center"/>
    </xf>
    <xf numFmtId="199" fontId="24" fillId="11" borderId="13" xfId="58" applyNumberFormat="1" applyFont="1" applyFill="1" applyBorder="1" applyAlignment="1" applyProtection="1">
      <alignment horizontal="right" vertical="center"/>
    </xf>
    <xf numFmtId="197" fontId="24" fillId="11" borderId="27" xfId="58" applyNumberFormat="1" applyFont="1" applyFill="1" applyBorder="1" applyAlignment="1" applyProtection="1">
      <alignment horizontal="left" vertical="center" indent="1"/>
    </xf>
    <xf numFmtId="0" fontId="12" fillId="0" borderId="0" xfId="44" applyNumberFormat="1" applyFill="1" applyBorder="1" applyAlignment="1" applyProtection="1">
      <alignment vertical="center"/>
    </xf>
    <xf numFmtId="2" fontId="24" fillId="11" borderId="13" xfId="58" applyNumberFormat="1" applyFont="1" applyFill="1" applyBorder="1" applyAlignment="1" applyProtection="1">
      <alignment horizontal="right" vertical="center"/>
    </xf>
    <xf numFmtId="2" fontId="24" fillId="11" borderId="28" xfId="58" applyNumberFormat="1" applyFont="1" applyFill="1" applyBorder="1" applyAlignment="1" applyProtection="1">
      <alignment horizontal="right" vertical="center"/>
    </xf>
    <xf numFmtId="2" fontId="25" fillId="7" borderId="0" xfId="58" applyNumberFormat="1" applyFont="1" applyFill="1" applyBorder="1" applyAlignment="1" applyProtection="1">
      <alignment horizontal="left" vertical="center" indent="1"/>
    </xf>
    <xf numFmtId="2" fontId="24" fillId="0" borderId="0" xfId="58" applyNumberFormat="1" applyFont="1" applyFill="1" applyBorder="1" applyAlignment="1" applyProtection="1">
      <alignment vertical="center"/>
    </xf>
    <xf numFmtId="2" fontId="24" fillId="0" borderId="17" xfId="58" applyNumberFormat="1" applyFont="1" applyFill="1" applyBorder="1" applyAlignment="1" applyProtection="1">
      <alignment horizontal="left" vertical="center" indent="1"/>
    </xf>
    <xf numFmtId="2" fontId="24" fillId="0" borderId="8" xfId="58" applyNumberFormat="1" applyFont="1" applyFill="1" applyBorder="1" applyAlignment="1" applyProtection="1">
      <alignment horizontal="left" vertical="center" indent="1"/>
    </xf>
    <xf numFmtId="2" fontId="24" fillId="0" borderId="8" xfId="58" applyNumberFormat="1" applyFont="1" applyFill="1" applyBorder="1" applyAlignment="1" applyProtection="1">
      <alignment vertical="center"/>
    </xf>
    <xf numFmtId="2" fontId="24" fillId="0" borderId="0" xfId="58" applyNumberFormat="1" applyFont="1" applyFill="1" applyBorder="1" applyAlignment="1" applyProtection="1">
      <alignment horizontal="left" vertical="center" indent="1"/>
    </xf>
    <xf numFmtId="2" fontId="24" fillId="0" borderId="11" xfId="58" applyNumberFormat="1" applyFont="1" applyFill="1" applyBorder="1" applyAlignment="1" applyProtection="1">
      <alignment horizontal="left" vertical="center" indent="1"/>
    </xf>
    <xf numFmtId="2" fontId="24" fillId="11" borderId="14" xfId="58" applyNumberFormat="1" applyFont="1" applyFill="1" applyBorder="1" applyAlignment="1" applyProtection="1">
      <alignment horizontal="left" vertical="center" indent="1"/>
    </xf>
    <xf numFmtId="2" fontId="24" fillId="0" borderId="18" xfId="58" applyNumberFormat="1" applyFont="1" applyFill="1" applyBorder="1" applyAlignment="1" applyProtection="1">
      <alignment horizontal="left" vertical="center" indent="1"/>
    </xf>
    <xf numFmtId="2" fontId="24" fillId="10" borderId="0" xfId="58" applyNumberFormat="1" applyFont="1" applyFill="1" applyBorder="1" applyAlignment="1" applyProtection="1">
      <alignment horizontal="right" vertical="center"/>
    </xf>
    <xf numFmtId="2" fontId="24" fillId="0" borderId="12" xfId="58" applyNumberFormat="1" applyFont="1" applyFill="1" applyBorder="1" applyAlignment="1" applyProtection="1">
      <alignment horizontal="left" vertical="center" indent="1"/>
    </xf>
    <xf numFmtId="2" fontId="24" fillId="10" borderId="8" xfId="58" applyNumberFormat="1" applyFont="1" applyFill="1" applyBorder="1" applyAlignment="1" applyProtection="1">
      <alignment horizontal="right" vertical="center"/>
    </xf>
    <xf numFmtId="2" fontId="24" fillId="14" borderId="19" xfId="58" applyNumberFormat="1" applyFont="1" applyFill="1" applyBorder="1" applyAlignment="1" applyProtection="1">
      <alignment horizontal="center" vertical="center"/>
    </xf>
    <xf numFmtId="2" fontId="24" fillId="13" borderId="0" xfId="58" applyNumberFormat="1" applyFont="1" applyFill="1" applyBorder="1" applyAlignment="1" applyProtection="1">
      <alignment horizontal="center" vertical="center"/>
    </xf>
    <xf numFmtId="2" fontId="24" fillId="13" borderId="10" xfId="58" applyNumberFormat="1" applyFont="1" applyFill="1" applyBorder="1" applyAlignment="1" applyProtection="1">
      <alignment horizontal="center" vertical="center"/>
    </xf>
    <xf numFmtId="200" fontId="24" fillId="15" borderId="23" xfId="58" applyNumberFormat="1" applyFont="1" applyFill="1" applyBorder="1" applyAlignment="1" applyProtection="1">
      <alignment horizontal="center" vertical="center"/>
    </xf>
    <xf numFmtId="1" fontId="25" fillId="0" borderId="0" xfId="58" applyNumberFormat="1" applyFont="1" applyFill="1" applyBorder="1" applyAlignment="1" applyProtection="1">
      <alignment horizontal="center" vertical="center"/>
    </xf>
    <xf numFmtId="0" fontId="25" fillId="0" borderId="10" xfId="58" applyNumberFormat="1" applyFont="1" applyFill="1" applyBorder="1" applyAlignment="1" applyProtection="1">
      <alignment horizontal="center" vertical="center"/>
    </xf>
    <xf numFmtId="0" fontId="25" fillId="7" borderId="0" xfId="58" applyNumberFormat="1" applyFont="1" applyFill="1" applyBorder="1" applyAlignment="1" applyProtection="1">
      <alignment vertical="center"/>
    </xf>
    <xf numFmtId="0" fontId="24" fillId="0" borderId="17" xfId="58" applyNumberFormat="1" applyFont="1" applyFill="1" applyBorder="1" applyAlignment="1" applyProtection="1">
      <alignment vertical="center"/>
    </xf>
    <xf numFmtId="0" fontId="24" fillId="0" borderId="11" xfId="58" applyNumberFormat="1" applyFont="1" applyFill="1" applyBorder="1" applyAlignment="1" applyProtection="1">
      <alignment vertical="center"/>
    </xf>
    <xf numFmtId="0" fontId="25" fillId="7" borderId="0" xfId="58" applyNumberFormat="1" applyFont="1" applyFill="1" applyBorder="1" applyAlignment="1" applyProtection="1">
      <alignment horizontal="center" vertical="center"/>
    </xf>
    <xf numFmtId="0" fontId="24" fillId="0" borderId="17" xfId="58" applyNumberFormat="1" applyFont="1" applyFill="1" applyBorder="1" applyAlignment="1" applyProtection="1">
      <alignment horizontal="center" vertical="center"/>
    </xf>
    <xf numFmtId="0" fontId="24" fillId="0" borderId="11" xfId="58" applyNumberFormat="1" applyFont="1" applyFill="1" applyBorder="1" applyAlignment="1" applyProtection="1">
      <alignment horizontal="center" vertical="center"/>
    </xf>
    <xf numFmtId="0" fontId="24" fillId="0" borderId="8" xfId="58" applyNumberFormat="1" applyFont="1" applyFill="1" applyBorder="1" applyAlignment="1" applyProtection="1">
      <alignment horizontal="center" vertical="center"/>
    </xf>
    <xf numFmtId="0" fontId="24" fillId="0" borderId="5" xfId="58" applyNumberFormat="1" applyFont="1" applyFill="1" applyBorder="1" applyAlignment="1" applyProtection="1">
      <alignment vertical="center"/>
    </xf>
    <xf numFmtId="1" fontId="25" fillId="0" borderId="10" xfId="58" applyNumberFormat="1" applyFont="1" applyFill="1" applyBorder="1" applyAlignment="1" applyProtection="1">
      <alignment horizontal="center" vertical="center"/>
    </xf>
    <xf numFmtId="2" fontId="25" fillId="7" borderId="0" xfId="58" applyNumberFormat="1" applyFont="1" applyFill="1" applyBorder="1" applyAlignment="1" applyProtection="1">
      <alignment vertical="center"/>
    </xf>
    <xf numFmtId="200" fontId="24" fillId="0" borderId="0" xfId="58" applyNumberFormat="1" applyFont="1" applyFill="1" applyBorder="1" applyAlignment="1" applyProtection="1">
      <alignment vertical="center"/>
    </xf>
    <xf numFmtId="200" fontId="24" fillId="0" borderId="0" xfId="58" applyNumberFormat="1" applyFont="1" applyFill="1" applyBorder="1" applyAlignment="1" applyProtection="1">
      <alignment horizontal="left" vertical="center" indent="1"/>
    </xf>
    <xf numFmtId="1" fontId="25" fillId="0" borderId="0" xfId="58" applyNumberFormat="1" applyFont="1" applyFill="1" applyBorder="1" applyAlignment="1" applyProtection="1">
      <alignment horizontal="right" vertical="center" indent="1"/>
    </xf>
    <xf numFmtId="2" fontId="24" fillId="0" borderId="0" xfId="58" applyNumberFormat="1" applyFont="1" applyFill="1" applyBorder="1" applyAlignment="1" applyProtection="1">
      <alignment horizontal="right" vertical="center" indent="1"/>
    </xf>
    <xf numFmtId="200" fontId="24" fillId="14" borderId="8" xfId="58" applyNumberFormat="1" applyFont="1" applyFill="1" applyBorder="1" applyAlignment="1" applyProtection="1">
      <alignment horizontal="center" vertical="center"/>
    </xf>
    <xf numFmtId="200" fontId="24" fillId="14" borderId="10" xfId="58" applyNumberFormat="1" applyFont="1" applyFill="1" applyBorder="1" applyAlignment="1" applyProtection="1">
      <alignment horizontal="center" vertical="center"/>
    </xf>
    <xf numFmtId="196" fontId="24" fillId="10" borderId="16" xfId="58" applyNumberFormat="1" applyFont="1" applyFill="1" applyBorder="1" applyAlignment="1" applyProtection="1">
      <alignment horizontal="right" vertical="center"/>
    </xf>
    <xf numFmtId="196" fontId="24" fillId="10" borderId="18" xfId="58" applyNumberFormat="1" applyFont="1" applyFill="1" applyBorder="1" applyAlignment="1" applyProtection="1">
      <alignment horizontal="right" vertical="center"/>
    </xf>
    <xf numFmtId="196" fontId="24" fillId="10" borderId="21" xfId="58" applyNumberFormat="1" applyFont="1" applyFill="1" applyBorder="1" applyAlignment="1" applyProtection="1">
      <alignment horizontal="right" vertical="center"/>
    </xf>
    <xf numFmtId="196" fontId="24" fillId="10" borderId="20" xfId="58" applyNumberFormat="1" applyFont="1" applyFill="1" applyBorder="1" applyAlignment="1" applyProtection="1">
      <alignment horizontal="right" vertical="center"/>
    </xf>
    <xf numFmtId="196" fontId="24" fillId="10" borderId="19" xfId="58" applyNumberFormat="1" applyFont="1" applyFill="1" applyBorder="1" applyAlignment="1" applyProtection="1">
      <alignment horizontal="right" vertical="center"/>
    </xf>
    <xf numFmtId="2" fontId="24" fillId="0" borderId="12" xfId="58" applyNumberFormat="1" applyFont="1" applyFill="1" applyBorder="1" applyAlignment="1" applyProtection="1">
      <alignment vertical="center"/>
    </xf>
    <xf numFmtId="0" fontId="25" fillId="0" borderId="0" xfId="58" applyNumberFormat="1" applyFont="1" applyFill="1" applyBorder="1" applyAlignment="1" applyProtection="1">
      <alignment horizontal="right" vertical="center" indent="1"/>
    </xf>
    <xf numFmtId="0" fontId="24" fillId="0" borderId="12" xfId="58" applyNumberFormat="1" applyFont="1" applyFill="1" applyBorder="1" applyAlignment="1" applyProtection="1">
      <alignment horizontal="left" vertical="center" indent="1"/>
    </xf>
    <xf numFmtId="200" fontId="24" fillId="14" borderId="16" xfId="58" applyNumberFormat="1" applyFont="1" applyFill="1" applyBorder="1" applyAlignment="1" applyProtection="1">
      <alignment horizontal="center" vertical="center"/>
    </xf>
    <xf numFmtId="3" fontId="12" fillId="13" borderId="1" xfId="44" applyNumberFormat="1" applyFill="1" applyBorder="1" applyAlignment="1" applyProtection="1">
      <alignment horizontal="left" vertical="center"/>
    </xf>
    <xf numFmtId="3" fontId="9" fillId="13" borderId="1" xfId="55" applyFill="1" applyBorder="1" applyAlignment="1">
      <alignment horizontal="left" vertical="center"/>
    </xf>
    <xf numFmtId="3" fontId="12" fillId="16" borderId="1" xfId="44" applyNumberFormat="1" applyFill="1" applyBorder="1" applyAlignment="1" applyProtection="1">
      <alignment horizontal="left" vertical="center"/>
    </xf>
    <xf numFmtId="3" fontId="9" fillId="16" borderId="1" xfId="56" applyFill="1" applyBorder="1" applyAlignment="1">
      <alignment horizontal="left" vertical="center"/>
    </xf>
    <xf numFmtId="3" fontId="9" fillId="16" borderId="1" xfId="55" applyFill="1" applyBorder="1" applyAlignment="1">
      <alignment horizontal="left" vertical="center"/>
    </xf>
    <xf numFmtId="3" fontId="9" fillId="14" borderId="1" xfId="56" applyFill="1" applyBorder="1" applyAlignment="1">
      <alignment horizontal="left" vertical="center"/>
    </xf>
    <xf numFmtId="3" fontId="12" fillId="17" borderId="1" xfId="44" applyNumberFormat="1" applyFill="1" applyBorder="1" applyAlignment="1" applyProtection="1">
      <alignment horizontal="left" vertical="center"/>
    </xf>
    <xf numFmtId="3" fontId="9" fillId="17" borderId="1" xfId="56" applyFill="1" applyBorder="1" applyAlignment="1">
      <alignment horizontal="left" vertical="center"/>
    </xf>
    <xf numFmtId="3" fontId="9" fillId="17" borderId="1" xfId="55" applyFill="1" applyBorder="1" applyAlignment="1">
      <alignment horizontal="left" vertical="center"/>
    </xf>
    <xf numFmtId="3" fontId="9" fillId="0" borderId="1" xfId="56" applyBorder="1" applyAlignment="1">
      <alignment horizontal="center"/>
    </xf>
    <xf numFmtId="3" fontId="12" fillId="18" borderId="1" xfId="44" applyNumberFormat="1" applyFill="1" applyBorder="1" applyAlignment="1" applyProtection="1">
      <alignment horizontal="left" vertical="center"/>
    </xf>
    <xf numFmtId="3" fontId="9" fillId="18" borderId="1" xfId="56" applyFill="1" applyBorder="1" applyAlignment="1">
      <alignment horizontal="left" vertical="center"/>
    </xf>
    <xf numFmtId="3" fontId="9" fillId="18" borderId="1" xfId="55" applyFill="1" applyBorder="1" applyAlignment="1">
      <alignment horizontal="left" vertical="center"/>
    </xf>
    <xf numFmtId="2" fontId="24" fillId="17" borderId="8" xfId="58" applyNumberFormat="1" applyFont="1" applyFill="1" applyBorder="1" applyAlignment="1" applyProtection="1">
      <alignment horizontal="center" vertical="center"/>
    </xf>
    <xf numFmtId="2" fontId="24" fillId="17" borderId="0" xfId="58" applyNumberFormat="1" applyFont="1" applyFill="1" applyBorder="1" applyAlignment="1" applyProtection="1">
      <alignment horizontal="center" vertical="center"/>
    </xf>
    <xf numFmtId="2" fontId="24" fillId="17" borderId="10" xfId="58" applyNumberFormat="1" applyFont="1" applyFill="1" applyBorder="1" applyAlignment="1" applyProtection="1">
      <alignment horizontal="center" vertical="center"/>
    </xf>
    <xf numFmtId="2" fontId="24" fillId="19" borderId="23" xfId="58" applyNumberFormat="1" applyFont="1" applyFill="1" applyBorder="1" applyAlignment="1" applyProtection="1">
      <alignment horizontal="center" vertical="center"/>
    </xf>
    <xf numFmtId="2" fontId="24" fillId="14" borderId="1" xfId="58" applyNumberFormat="1" applyFont="1" applyFill="1" applyBorder="1" applyAlignment="1" applyProtection="1">
      <alignment horizontal="center" vertical="center"/>
    </xf>
    <xf numFmtId="2" fontId="25" fillId="14" borderId="1" xfId="58" applyNumberFormat="1" applyFont="1" applyFill="1" applyBorder="1" applyAlignment="1" applyProtection="1">
      <alignment horizontal="left" vertical="center"/>
    </xf>
    <xf numFmtId="196" fontId="24" fillId="11" borderId="28" xfId="58" applyNumberFormat="1" applyFont="1" applyFill="1" applyBorder="1" applyAlignment="1" applyProtection="1">
      <alignment horizontal="right" vertical="center"/>
    </xf>
    <xf numFmtId="201" fontId="24" fillId="10" borderId="8" xfId="58" applyNumberFormat="1" applyFont="1" applyFill="1" applyBorder="1" applyAlignment="1" applyProtection="1">
      <alignment horizontal="right" vertical="center"/>
    </xf>
    <xf numFmtId="0" fontId="12" fillId="20" borderId="0" xfId="44" quotePrefix="1" applyFill="1" applyBorder="1" applyAlignment="1" applyProtection="1">
      <alignment vertical="center"/>
    </xf>
    <xf numFmtId="3" fontId="9" fillId="18" borderId="1" xfId="55" applyFill="1" applyBorder="1" applyAlignment="1">
      <alignment horizontal="left" vertical="center" wrapText="1"/>
    </xf>
    <xf numFmtId="0" fontId="12" fillId="20" borderId="0" xfId="44" quotePrefix="1" applyFill="1" applyBorder="1" applyAlignment="1" applyProtection="1">
      <alignment horizontal="right" vertical="center"/>
    </xf>
    <xf numFmtId="3" fontId="12" fillId="20" borderId="0" xfId="44" quotePrefix="1" applyNumberFormat="1" applyFill="1" applyBorder="1" applyAlignment="1" applyProtection="1">
      <alignment horizontal="right" vertical="center"/>
    </xf>
    <xf numFmtId="0" fontId="35" fillId="0" borderId="0" xfId="58" applyNumberFormat="1" applyFont="1" applyFill="1" applyBorder="1" applyAlignment="1" applyProtection="1">
      <alignment horizontal="right" vertical="center" indent="1"/>
    </xf>
    <xf numFmtId="0" fontId="35" fillId="0" borderId="0" xfId="58" applyNumberFormat="1" applyFont="1" applyFill="1" applyBorder="1" applyAlignment="1" applyProtection="1">
      <alignment horizontal="left" vertical="center" indent="1"/>
    </xf>
    <xf numFmtId="0" fontId="35" fillId="0" borderId="0" xfId="58" applyNumberFormat="1" applyFont="1" applyFill="1" applyBorder="1" applyAlignment="1" applyProtection="1">
      <alignment horizontal="right" vertical="center" wrapText="1"/>
    </xf>
    <xf numFmtId="0" fontId="36" fillId="0" borderId="0" xfId="58" applyNumberFormat="1" applyFont="1" applyFill="1" applyBorder="1" applyAlignment="1" applyProtection="1">
      <alignment horizontal="left" vertical="center" indent="1"/>
    </xf>
    <xf numFmtId="0" fontId="35" fillId="0" borderId="16" xfId="58" applyNumberFormat="1" applyFont="1" applyFill="1" applyBorder="1" applyAlignment="1" applyProtection="1">
      <alignment horizontal="left" vertical="center" indent="1"/>
    </xf>
    <xf numFmtId="2" fontId="35" fillId="14" borderId="18" xfId="58" applyNumberFormat="1" applyFont="1" applyFill="1" applyBorder="1" applyAlignment="1" applyProtection="1">
      <alignment horizontal="center" vertical="center"/>
    </xf>
    <xf numFmtId="0" fontId="35" fillId="0" borderId="21" xfId="58" applyNumberFormat="1" applyFont="1" applyFill="1" applyBorder="1" applyAlignment="1" applyProtection="1">
      <alignment horizontal="left" vertical="center" indent="1"/>
    </xf>
    <xf numFmtId="2" fontId="35" fillId="14" borderId="12" xfId="58" applyNumberFormat="1" applyFont="1" applyFill="1" applyBorder="1" applyAlignment="1" applyProtection="1">
      <alignment horizontal="center" vertical="center"/>
    </xf>
    <xf numFmtId="0" fontId="35" fillId="0" borderId="20" xfId="58" applyNumberFormat="1" applyFont="1" applyFill="1" applyBorder="1" applyAlignment="1" applyProtection="1">
      <alignment horizontal="left" vertical="center" indent="1"/>
    </xf>
    <xf numFmtId="2" fontId="35" fillId="14" borderId="19" xfId="58" applyNumberFormat="1" applyFont="1" applyFill="1" applyBorder="1" applyAlignment="1" applyProtection="1">
      <alignment horizontal="center" vertical="center"/>
    </xf>
    <xf numFmtId="0" fontId="36" fillId="9" borderId="1" xfId="58" applyNumberFormat="1" applyFont="1" applyFill="1" applyBorder="1" applyAlignment="1" applyProtection="1">
      <alignment horizontal="left" vertical="center" indent="1"/>
    </xf>
    <xf numFmtId="2" fontId="35" fillId="15" borderId="24" xfId="58" applyNumberFormat="1" applyFont="1" applyFill="1" applyBorder="1" applyAlignment="1" applyProtection="1">
      <alignment horizontal="center" vertical="center"/>
    </xf>
    <xf numFmtId="3" fontId="12" fillId="24" borderId="1" xfId="44" applyNumberFormat="1" applyFill="1" applyBorder="1" applyAlignment="1" applyProtection="1">
      <alignment vertical="center"/>
    </xf>
    <xf numFmtId="3" fontId="9" fillId="24" borderId="1" xfId="56" applyFill="1" applyBorder="1" applyAlignment="1">
      <alignment vertical="center"/>
    </xf>
    <xf numFmtId="3" fontId="12" fillId="9" borderId="0" xfId="44" applyNumberFormat="1" applyFill="1" applyBorder="1" applyAlignment="1" applyProtection="1">
      <alignment vertical="center"/>
    </xf>
    <xf numFmtId="0" fontId="24" fillId="9" borderId="0" xfId="58" applyFont="1" applyFill="1" applyAlignment="1" applyProtection="1">
      <alignment vertical="center"/>
    </xf>
    <xf numFmtId="0" fontId="24" fillId="0" borderId="0" xfId="58" applyFont="1" applyAlignment="1" applyProtection="1">
      <alignment vertical="center"/>
    </xf>
    <xf numFmtId="0" fontId="24" fillId="22" borderId="0" xfId="58" applyFont="1" applyFill="1" applyBorder="1" applyAlignment="1" applyProtection="1">
      <alignment vertical="center"/>
    </xf>
    <xf numFmtId="0" fontId="24" fillId="20" borderId="0" xfId="58" applyFont="1" applyFill="1" applyBorder="1" applyAlignment="1" applyProtection="1">
      <alignment vertical="center"/>
    </xf>
    <xf numFmtId="0" fontId="24" fillId="15" borderId="1" xfId="58" applyFont="1" applyFill="1" applyBorder="1" applyAlignment="1" applyProtection="1">
      <alignment horizontal="center" vertical="center"/>
    </xf>
    <xf numFmtId="0" fontId="24" fillId="14" borderId="4" xfId="58" applyFont="1" applyFill="1" applyBorder="1" applyAlignment="1" applyProtection="1">
      <alignment horizontal="center" vertical="center" wrapText="1"/>
    </xf>
    <xf numFmtId="2" fontId="24" fillId="14" borderId="32" xfId="58" applyNumberFormat="1" applyFont="1" applyFill="1" applyBorder="1" applyAlignment="1" applyProtection="1">
      <alignment horizontal="center" vertical="center"/>
    </xf>
    <xf numFmtId="0" fontId="24" fillId="20" borderId="0" xfId="58" applyFont="1" applyFill="1" applyBorder="1" applyAlignment="1" applyProtection="1">
      <alignment horizontal="left" vertical="center" wrapText="1"/>
    </xf>
    <xf numFmtId="0" fontId="24" fillId="20" borderId="0" xfId="58" applyFont="1" applyFill="1" applyBorder="1" applyAlignment="1" applyProtection="1">
      <alignment horizontal="left" vertical="center"/>
    </xf>
    <xf numFmtId="0" fontId="24" fillId="21" borderId="43" xfId="58" applyFont="1" applyFill="1" applyBorder="1" applyAlignment="1" applyProtection="1">
      <alignment horizontal="left" vertical="center" indent="1"/>
    </xf>
    <xf numFmtId="0" fontId="24" fillId="21" borderId="44" xfId="58" applyFont="1" applyFill="1" applyBorder="1" applyAlignment="1" applyProtection="1">
      <alignment horizontal="left" vertical="center" indent="1"/>
    </xf>
    <xf numFmtId="0" fontId="24" fillId="21" borderId="45" xfId="58" applyFont="1" applyFill="1" applyBorder="1" applyAlignment="1" applyProtection="1">
      <alignment horizontal="left" vertical="center" indent="1"/>
    </xf>
    <xf numFmtId="0" fontId="25" fillId="20" borderId="0" xfId="58" applyFont="1" applyFill="1" applyBorder="1" applyAlignment="1" applyProtection="1">
      <alignment vertical="center"/>
    </xf>
    <xf numFmtId="0" fontId="24" fillId="21" borderId="45" xfId="58" applyFont="1" applyFill="1" applyBorder="1" applyAlignment="1" applyProtection="1">
      <alignment horizontal="left" vertical="center" wrapText="1" indent="1"/>
    </xf>
    <xf numFmtId="3" fontId="0" fillId="9" borderId="0" xfId="0" applyFill="1" applyProtection="1">
      <alignment vertical="center"/>
    </xf>
    <xf numFmtId="3" fontId="0" fillId="0" borderId="0" xfId="0" applyProtection="1">
      <alignment vertical="center"/>
    </xf>
    <xf numFmtId="0" fontId="24" fillId="0" borderId="0" xfId="58" applyFont="1" applyFill="1" applyAlignment="1" applyProtection="1">
      <alignment vertical="center"/>
    </xf>
    <xf numFmtId="0" fontId="24" fillId="13" borderId="16" xfId="58" applyFont="1" applyFill="1" applyBorder="1" applyAlignment="1" applyProtection="1">
      <alignment vertical="center"/>
    </xf>
    <xf numFmtId="0" fontId="24" fillId="13" borderId="8" xfId="58" applyFont="1" applyFill="1" applyBorder="1" applyAlignment="1" applyProtection="1">
      <alignment vertical="center"/>
    </xf>
    <xf numFmtId="0" fontId="24" fillId="13" borderId="18" xfId="58" applyFont="1" applyFill="1" applyBorder="1" applyAlignment="1" applyProtection="1">
      <alignment vertical="center"/>
    </xf>
    <xf numFmtId="0" fontId="24" fillId="13" borderId="21" xfId="58" applyFont="1" applyFill="1" applyBorder="1" applyAlignment="1" applyProtection="1">
      <alignment vertical="center"/>
    </xf>
    <xf numFmtId="0" fontId="24" fillId="13" borderId="0" xfId="58" applyFont="1" applyFill="1" applyBorder="1" applyAlignment="1" applyProtection="1">
      <alignment vertical="center"/>
    </xf>
    <xf numFmtId="0" fontId="24" fillId="13" borderId="12" xfId="58" applyFont="1" applyFill="1" applyBorder="1" applyAlignment="1" applyProtection="1">
      <alignment vertical="center"/>
    </xf>
    <xf numFmtId="2" fontId="24" fillId="14" borderId="38" xfId="58" applyNumberFormat="1" applyFont="1" applyFill="1" applyBorder="1" applyAlignment="1" applyProtection="1">
      <alignment vertical="center"/>
    </xf>
    <xf numFmtId="2" fontId="24" fillId="14" borderId="39" xfId="58" applyNumberFormat="1" applyFont="1" applyFill="1" applyBorder="1" applyAlignment="1" applyProtection="1">
      <alignment vertical="center"/>
    </xf>
    <xf numFmtId="2" fontId="24" fillId="14" borderId="9" xfId="58" applyNumberFormat="1" applyFont="1" applyFill="1" applyBorder="1" applyAlignment="1" applyProtection="1">
      <alignment vertical="center"/>
    </xf>
    <xf numFmtId="2" fontId="24" fillId="14" borderId="32" xfId="58" applyNumberFormat="1" applyFont="1" applyFill="1" applyBorder="1" applyAlignment="1" applyProtection="1">
      <alignment vertical="center"/>
    </xf>
    <xf numFmtId="2" fontId="24" fillId="14" borderId="51" xfId="58" applyNumberFormat="1" applyFont="1" applyFill="1" applyBorder="1" applyAlignment="1" applyProtection="1">
      <alignment vertical="center"/>
    </xf>
    <xf numFmtId="2" fontId="24" fillId="14" borderId="52" xfId="58" applyNumberFormat="1" applyFont="1" applyFill="1" applyBorder="1" applyAlignment="1" applyProtection="1">
      <alignment vertical="center"/>
    </xf>
    <xf numFmtId="0" fontId="24" fillId="22" borderId="21" xfId="58" applyFont="1" applyFill="1" applyBorder="1" applyAlignment="1" applyProtection="1">
      <alignment vertical="center"/>
    </xf>
    <xf numFmtId="0" fontId="24" fillId="22" borderId="12" xfId="58" applyFont="1" applyFill="1" applyBorder="1" applyAlignment="1" applyProtection="1">
      <alignment vertical="center"/>
    </xf>
    <xf numFmtId="0" fontId="24" fillId="20" borderId="21" xfId="58" applyFont="1" applyFill="1" applyBorder="1" applyAlignment="1" applyProtection="1">
      <alignment vertical="center"/>
    </xf>
    <xf numFmtId="0" fontId="33" fillId="20" borderId="0" xfId="58" applyFont="1" applyFill="1" applyBorder="1" applyAlignment="1" applyProtection="1">
      <alignment horizontal="left" vertical="center" indent="1"/>
    </xf>
    <xf numFmtId="0" fontId="24" fillId="20" borderId="12" xfId="58" applyFont="1" applyFill="1" applyBorder="1" applyAlignment="1" applyProtection="1">
      <alignment vertical="center"/>
    </xf>
    <xf numFmtId="0" fontId="24" fillId="20" borderId="21" xfId="58" applyFont="1" applyFill="1" applyBorder="1" applyAlignment="1" applyProtection="1">
      <alignment horizontal="center" vertical="center" wrapText="1"/>
    </xf>
    <xf numFmtId="0" fontId="24" fillId="20" borderId="20" xfId="58" applyFont="1" applyFill="1" applyBorder="1" applyAlignment="1" applyProtection="1">
      <alignment vertical="center"/>
    </xf>
    <xf numFmtId="0" fontId="24" fillId="20" borderId="10" xfId="58" applyFont="1" applyFill="1" applyBorder="1" applyAlignment="1" applyProtection="1">
      <alignment vertical="center"/>
    </xf>
    <xf numFmtId="0" fontId="24" fillId="20" borderId="19" xfId="58" applyFont="1" applyFill="1" applyBorder="1" applyAlignment="1" applyProtection="1">
      <alignment vertical="center"/>
    </xf>
    <xf numFmtId="0" fontId="24" fillId="0" borderId="0" xfId="58" applyFont="1" applyFill="1" applyBorder="1" applyAlignment="1" applyProtection="1">
      <alignment vertical="center"/>
    </xf>
    <xf numFmtId="2" fontId="24" fillId="0" borderId="12" xfId="58" applyNumberFormat="1" applyFont="1" applyFill="1" applyBorder="1" applyAlignment="1" applyProtection="1">
      <alignment horizontal="left" vertical="center" indent="1"/>
      <protection locked="0"/>
    </xf>
    <xf numFmtId="2" fontId="24" fillId="10" borderId="0" xfId="58" applyNumberFormat="1" applyFont="1" applyFill="1" applyBorder="1" applyAlignment="1" applyProtection="1">
      <alignment horizontal="right" vertical="center"/>
      <protection locked="0"/>
    </xf>
    <xf numFmtId="197" fontId="24" fillId="0" borderId="11" xfId="58" applyNumberFormat="1" applyFont="1" applyFill="1" applyBorder="1" applyAlignment="1" applyProtection="1">
      <alignment horizontal="left" vertical="center" indent="1"/>
      <protection locked="0"/>
    </xf>
    <xf numFmtId="196" fontId="24" fillId="0" borderId="11" xfId="58" applyNumberFormat="1" applyFont="1" applyFill="1" applyBorder="1" applyAlignment="1" applyProtection="1">
      <alignment horizontal="left" vertical="center" indent="1"/>
      <protection locked="0"/>
    </xf>
    <xf numFmtId="2" fontId="24" fillId="0" borderId="18" xfId="58" applyNumberFormat="1" applyFont="1" applyFill="1" applyBorder="1" applyAlignment="1" applyProtection="1">
      <alignment vertical="center"/>
    </xf>
    <xf numFmtId="0" fontId="25" fillId="0" borderId="11" xfId="58" applyNumberFormat="1" applyFont="1" applyFill="1" applyBorder="1" applyAlignment="1" applyProtection="1">
      <alignment horizontal="left" vertical="center" indent="1"/>
    </xf>
    <xf numFmtId="0" fontId="25" fillId="0" borderId="17" xfId="58" applyNumberFormat="1" applyFont="1" applyFill="1" applyBorder="1" applyAlignment="1" applyProtection="1">
      <alignment horizontal="left" vertical="center" indent="1"/>
    </xf>
    <xf numFmtId="0" fontId="25" fillId="0" borderId="5" xfId="58" applyNumberFormat="1" applyFont="1" applyFill="1" applyBorder="1" applyAlignment="1" applyProtection="1">
      <alignment horizontal="left" vertical="center" indent="1"/>
    </xf>
    <xf numFmtId="0" fontId="24" fillId="0" borderId="11" xfId="58" quotePrefix="1" applyNumberFormat="1" applyFont="1" applyFill="1" applyBorder="1" applyAlignment="1" applyProtection="1">
      <alignment horizontal="left" vertical="center" indent="1"/>
    </xf>
    <xf numFmtId="9" fontId="24" fillId="0" borderId="11" xfId="58" quotePrefix="1" applyNumberFormat="1" applyFont="1" applyFill="1" applyBorder="1" applyAlignment="1" applyProtection="1">
      <alignment horizontal="left" vertical="center" indent="1"/>
    </xf>
    <xf numFmtId="0" fontId="24" fillId="12" borderId="15" xfId="58" applyNumberFormat="1" applyFont="1" applyFill="1" applyBorder="1" applyAlignment="1" applyProtection="1">
      <alignment horizontal="left" vertical="center" indent="1"/>
    </xf>
    <xf numFmtId="0" fontId="24" fillId="12" borderId="25" xfId="58" applyNumberFormat="1" applyFont="1" applyFill="1" applyBorder="1" applyAlignment="1" applyProtection="1">
      <alignment horizontal="left" vertical="center" indent="1"/>
    </xf>
    <xf numFmtId="0" fontId="24" fillId="12" borderId="26" xfId="58" applyNumberFormat="1" applyFont="1" applyFill="1" applyBorder="1" applyAlignment="1" applyProtection="1">
      <alignment horizontal="left" vertical="center" indent="1"/>
    </xf>
    <xf numFmtId="197" fontId="24" fillId="0" borderId="17" xfId="58" applyNumberFormat="1" applyFont="1" applyFill="1" applyBorder="1" applyAlignment="1" applyProtection="1">
      <alignment horizontal="left" vertical="center" indent="1"/>
    </xf>
    <xf numFmtId="197" fontId="24" fillId="0" borderId="49" xfId="58" applyNumberFormat="1" applyFont="1" applyFill="1" applyBorder="1" applyAlignment="1" applyProtection="1">
      <alignment horizontal="left" vertical="center" indent="1"/>
    </xf>
    <xf numFmtId="0" fontId="24" fillId="12" borderId="14" xfId="58" applyNumberFormat="1" applyFont="1" applyFill="1" applyBorder="1" applyAlignment="1" applyProtection="1">
      <alignment horizontal="left" vertical="center" indent="1"/>
    </xf>
    <xf numFmtId="2" fontId="24" fillId="12" borderId="14" xfId="58" applyNumberFormat="1" applyFont="1" applyFill="1" applyBorder="1" applyAlignment="1" applyProtection="1">
      <alignment horizontal="left" vertical="center" indent="1"/>
    </xf>
    <xf numFmtId="0" fontId="24" fillId="0" borderId="11" xfId="58" applyNumberFormat="1" applyFont="1" applyFill="1" applyBorder="1" applyAlignment="1" applyProtection="1">
      <alignment horizontal="left" vertical="center" indent="1"/>
      <protection locked="0"/>
    </xf>
    <xf numFmtId="0" fontId="24" fillId="12" borderId="27" xfId="58" applyNumberFormat="1" applyFont="1" applyFill="1" applyBorder="1" applyAlignment="1" applyProtection="1">
      <alignment horizontal="left" vertical="center" indent="1"/>
    </xf>
    <xf numFmtId="0" fontId="24" fillId="0" borderId="5" xfId="58" applyNumberFormat="1" applyFont="1" applyFill="1" applyBorder="1" applyAlignment="1" applyProtection="1">
      <alignment horizontal="left" vertical="center" indent="1"/>
      <protection locked="0"/>
    </xf>
    <xf numFmtId="197" fontId="24" fillId="0" borderId="12" xfId="58" applyNumberFormat="1" applyFont="1" applyFill="1" applyBorder="1" applyAlignment="1" applyProtection="1">
      <alignment horizontal="left" vertical="center" indent="1"/>
      <protection locked="0"/>
    </xf>
    <xf numFmtId="196" fontId="24" fillId="10" borderId="0" xfId="58" applyNumberFormat="1" applyFont="1" applyFill="1" applyBorder="1" applyAlignment="1" applyProtection="1">
      <alignment horizontal="right" vertical="center"/>
      <protection locked="0"/>
    </xf>
    <xf numFmtId="197" fontId="24" fillId="0" borderId="19" xfId="58" applyNumberFormat="1" applyFont="1" applyFill="1" applyBorder="1" applyAlignment="1" applyProtection="1">
      <alignment horizontal="left" vertical="center" indent="1"/>
      <protection locked="0"/>
    </xf>
    <xf numFmtId="196" fontId="24" fillId="0" borderId="5" xfId="58" applyNumberFormat="1" applyFont="1" applyFill="1" applyBorder="1" applyAlignment="1" applyProtection="1">
      <alignment horizontal="left" vertical="center" indent="1"/>
      <protection locked="0"/>
    </xf>
    <xf numFmtId="196" fontId="24" fillId="10" borderId="10" xfId="58" applyNumberFormat="1" applyFont="1" applyFill="1" applyBorder="1" applyAlignment="1" applyProtection="1">
      <alignment horizontal="right" vertical="center"/>
      <protection locked="0"/>
    </xf>
    <xf numFmtId="0" fontId="24" fillId="0" borderId="11" xfId="58" quotePrefix="1" applyNumberFormat="1" applyFont="1" applyFill="1" applyBorder="1" applyAlignment="1" applyProtection="1">
      <alignment horizontal="left" vertical="center" indent="1"/>
      <protection locked="0"/>
    </xf>
    <xf numFmtId="9" fontId="24" fillId="0" borderId="11" xfId="58" applyNumberFormat="1" applyFont="1" applyFill="1" applyBorder="1" applyAlignment="1" applyProtection="1">
      <alignment horizontal="left" vertical="center" indent="1"/>
      <protection locked="0"/>
    </xf>
    <xf numFmtId="196" fontId="24" fillId="0" borderId="11" xfId="58" quotePrefix="1" applyNumberFormat="1" applyFont="1" applyFill="1" applyBorder="1" applyAlignment="1" applyProtection="1">
      <alignment horizontal="left" vertical="center" indent="1"/>
      <protection locked="0"/>
    </xf>
    <xf numFmtId="197" fontId="24" fillId="0" borderId="5" xfId="58" applyNumberFormat="1" applyFont="1" applyFill="1" applyBorder="1" applyAlignment="1" applyProtection="1">
      <alignment horizontal="left" vertical="center" indent="1"/>
      <protection locked="0"/>
    </xf>
    <xf numFmtId="0" fontId="24" fillId="0" borderId="5" xfId="58" applyNumberFormat="1" applyFont="1" applyFill="1" applyBorder="1" applyAlignment="1" applyProtection="1">
      <alignment horizontal="right" vertical="center" indent="1"/>
    </xf>
    <xf numFmtId="2" fontId="25" fillId="10" borderId="5" xfId="58" applyNumberFormat="1" applyFont="1" applyFill="1" applyBorder="1" applyAlignment="1" applyProtection="1">
      <alignment horizontal="left" vertical="center"/>
    </xf>
    <xf numFmtId="2" fontId="24" fillId="13" borderId="8" xfId="58" applyNumberFormat="1" applyFont="1" applyFill="1" applyBorder="1" applyAlignment="1" applyProtection="1">
      <alignment horizontal="center" vertical="center"/>
    </xf>
    <xf numFmtId="0" fontId="25" fillId="7" borderId="12" xfId="58" applyNumberFormat="1" applyFont="1" applyFill="1" applyBorder="1" applyAlignment="1" applyProtection="1">
      <alignment horizontal="left" vertical="center"/>
    </xf>
    <xf numFmtId="0" fontId="25" fillId="0" borderId="12" xfId="58" applyNumberFormat="1" applyFont="1" applyFill="1" applyBorder="1" applyAlignment="1" applyProtection="1">
      <alignment horizontal="left" vertical="center" indent="1"/>
    </xf>
    <xf numFmtId="0" fontId="24" fillId="24" borderId="17" xfId="58" applyNumberFormat="1" applyFont="1" applyFill="1" applyBorder="1" applyAlignment="1" applyProtection="1">
      <alignment horizontal="left" vertical="center" indent="1"/>
    </xf>
    <xf numFmtId="0" fontId="24" fillId="24" borderId="11" xfId="58" applyNumberFormat="1" applyFont="1" applyFill="1" applyBorder="1" applyAlignment="1" applyProtection="1">
      <alignment horizontal="left" vertical="center" indent="1"/>
    </xf>
    <xf numFmtId="0" fontId="24" fillId="24" borderId="5" xfId="58" applyNumberFormat="1" applyFont="1" applyFill="1" applyBorder="1" applyAlignment="1" applyProtection="1">
      <alignment horizontal="left" vertical="center" indent="1"/>
    </xf>
    <xf numFmtId="0" fontId="25" fillId="0" borderId="1" xfId="58" applyNumberFormat="1" applyFont="1" applyFill="1" applyBorder="1" applyAlignment="1" applyProtection="1">
      <alignment horizontal="left" vertical="center" indent="1"/>
    </xf>
    <xf numFmtId="0" fontId="24" fillId="23" borderId="11" xfId="58" applyNumberFormat="1" applyFont="1" applyFill="1" applyBorder="1" applyAlignment="1" applyProtection="1">
      <alignment horizontal="left" vertical="center" indent="1"/>
    </xf>
    <xf numFmtId="0" fontId="24" fillId="23" borderId="5" xfId="58" applyNumberFormat="1" applyFont="1" applyFill="1" applyBorder="1" applyAlignment="1" applyProtection="1">
      <alignment horizontal="left" vertical="center" indent="1"/>
    </xf>
    <xf numFmtId="0" fontId="24" fillId="23" borderId="17" xfId="58" applyNumberFormat="1" applyFont="1" applyFill="1" applyBorder="1" applyAlignment="1" applyProtection="1">
      <alignment horizontal="left" vertical="center" indent="1"/>
    </xf>
    <xf numFmtId="0" fontId="24" fillId="0" borderId="16" xfId="58" applyNumberFormat="1" applyFont="1" applyFill="1" applyBorder="1" applyAlignment="1" applyProtection="1">
      <alignment horizontal="left" vertical="center" wrapText="1"/>
    </xf>
    <xf numFmtId="3" fontId="0" fillId="0" borderId="12" xfId="0" applyBorder="1" applyProtection="1">
      <alignment vertical="center"/>
    </xf>
    <xf numFmtId="3" fontId="14" fillId="0" borderId="0" xfId="56" applyFont="1" applyAlignment="1">
      <alignment horizontal="left" vertical="center"/>
    </xf>
    <xf numFmtId="196" fontId="24" fillId="0" borderId="0" xfId="58" applyNumberFormat="1" applyFont="1" applyFill="1" applyBorder="1" applyAlignment="1" applyProtection="1">
      <alignment horizontal="right" vertical="center"/>
    </xf>
    <xf numFmtId="0" fontId="25" fillId="0" borderId="0" xfId="58" applyNumberFormat="1" applyFont="1" applyFill="1" applyBorder="1" applyAlignment="1" applyProtection="1">
      <alignment horizontal="left" vertical="center" wrapText="1" indent="1"/>
    </xf>
    <xf numFmtId="0" fontId="24" fillId="0" borderId="21" xfId="58" applyNumberFormat="1" applyFont="1" applyFill="1" applyBorder="1" applyAlignment="1" applyProtection="1">
      <alignment vertical="center"/>
    </xf>
    <xf numFmtId="0" fontId="24" fillId="0" borderId="23" xfId="58" applyNumberFormat="1" applyFont="1" applyFill="1" applyBorder="1" applyAlignment="1" applyProtection="1">
      <alignment horizontal="right" vertical="center" indent="1"/>
    </xf>
    <xf numFmtId="197" fontId="24" fillId="0" borderId="23" xfId="58" applyNumberFormat="1" applyFont="1" applyFill="1" applyBorder="1" applyAlignment="1" applyProtection="1">
      <alignment horizontal="left" vertical="center" indent="1"/>
    </xf>
    <xf numFmtId="0" fontId="24" fillId="0" borderId="1" xfId="58" applyNumberFormat="1" applyFont="1" applyFill="1" applyBorder="1" applyAlignment="1" applyProtection="1">
      <alignment horizontal="left" vertical="center" indent="1"/>
    </xf>
    <xf numFmtId="0" fontId="25" fillId="0" borderId="46" xfId="58" applyNumberFormat="1" applyFont="1" applyFill="1" applyBorder="1" applyAlignment="1" applyProtection="1">
      <alignment horizontal="left" vertical="center" indent="1"/>
    </xf>
    <xf numFmtId="2" fontId="24" fillId="10" borderId="23" xfId="58" applyNumberFormat="1" applyFont="1" applyFill="1" applyBorder="1" applyAlignment="1" applyProtection="1">
      <alignment horizontal="right" vertical="center"/>
    </xf>
    <xf numFmtId="0" fontId="24" fillId="0" borderId="22" xfId="58" applyNumberFormat="1" applyFont="1" applyFill="1" applyBorder="1" applyAlignment="1" applyProtection="1">
      <alignment vertical="center"/>
    </xf>
    <xf numFmtId="0" fontId="24" fillId="0" borderId="23" xfId="58" applyNumberFormat="1" applyFont="1" applyFill="1" applyBorder="1" applyAlignment="1" applyProtection="1">
      <alignment vertical="center"/>
    </xf>
    <xf numFmtId="2" fontId="24" fillId="10" borderId="22" xfId="58" applyNumberFormat="1" applyFont="1" applyFill="1" applyBorder="1" applyAlignment="1" applyProtection="1">
      <alignment horizontal="right" vertical="center"/>
    </xf>
    <xf numFmtId="196" fontId="24" fillId="0" borderId="0" xfId="58" applyNumberFormat="1" applyFont="1" applyFill="1" applyBorder="1" applyAlignment="1" applyProtection="1">
      <alignment horizontal="left" vertical="center" wrapText="1" indent="1"/>
    </xf>
    <xf numFmtId="196" fontId="24" fillId="0" borderId="0" xfId="58" applyNumberFormat="1" applyFont="1" applyFill="1" applyBorder="1" applyAlignment="1" applyProtection="1">
      <alignment horizontal="left" vertical="center" indent="1"/>
    </xf>
    <xf numFmtId="0" fontId="25" fillId="0" borderId="21" xfId="58" applyNumberFormat="1" applyFont="1" applyFill="1" applyBorder="1" applyAlignment="1" applyProtection="1">
      <alignment vertical="center"/>
    </xf>
    <xf numFmtId="196" fontId="24" fillId="0" borderId="21" xfId="58" applyNumberFormat="1" applyFont="1" applyFill="1" applyBorder="1" applyAlignment="1" applyProtection="1">
      <alignment horizontal="right" vertical="center"/>
    </xf>
    <xf numFmtId="200" fontId="24" fillId="0" borderId="21" xfId="58" applyNumberFormat="1" applyFont="1" applyFill="1" applyBorder="1" applyAlignment="1" applyProtection="1">
      <alignment horizontal="right" vertical="center" indent="1"/>
    </xf>
    <xf numFmtId="200" fontId="24" fillId="0" borderId="21" xfId="58" applyNumberFormat="1" applyFont="1" applyFill="1" applyBorder="1" applyAlignment="1" applyProtection="1">
      <alignment vertical="center"/>
    </xf>
    <xf numFmtId="200" fontId="24" fillId="14" borderId="20" xfId="58" applyNumberFormat="1" applyFont="1" applyFill="1" applyBorder="1" applyAlignment="1" applyProtection="1">
      <alignment horizontal="center" vertical="center"/>
    </xf>
    <xf numFmtId="3" fontId="0" fillId="0" borderId="21" xfId="0" applyBorder="1" applyProtection="1">
      <alignment vertical="center"/>
    </xf>
    <xf numFmtId="3" fontId="0" fillId="0" borderId="0" xfId="0" applyBorder="1" applyProtection="1">
      <alignment vertical="center"/>
    </xf>
    <xf numFmtId="3" fontId="9" fillId="0" borderId="21" xfId="0" applyFont="1" applyBorder="1" applyProtection="1">
      <alignment vertical="center"/>
    </xf>
    <xf numFmtId="2" fontId="24" fillId="0" borderId="21" xfId="58" applyNumberFormat="1" applyFont="1" applyFill="1" applyBorder="1" applyAlignment="1" applyProtection="1">
      <alignment horizontal="right" vertical="center" indent="1"/>
    </xf>
    <xf numFmtId="198" fontId="24" fillId="10" borderId="0" xfId="58" applyNumberFormat="1" applyFont="1" applyFill="1" applyBorder="1" applyAlignment="1" applyProtection="1">
      <alignment horizontal="right" vertical="center"/>
    </xf>
    <xf numFmtId="2" fontId="24" fillId="8" borderId="22" xfId="58" applyNumberFormat="1" applyFont="1" applyFill="1" applyBorder="1" applyAlignment="1" applyProtection="1">
      <alignment horizontal="right" vertical="center"/>
    </xf>
    <xf numFmtId="2" fontId="24" fillId="8" borderId="23" xfId="58" applyNumberFormat="1" applyFont="1" applyFill="1" applyBorder="1" applyAlignment="1" applyProtection="1">
      <alignment horizontal="right" vertical="center"/>
    </xf>
    <xf numFmtId="17" fontId="24" fillId="8" borderId="1" xfId="58" applyNumberFormat="1" applyFont="1" applyFill="1" applyBorder="1" applyAlignment="1" applyProtection="1">
      <alignment horizontal="right" vertical="center"/>
    </xf>
    <xf numFmtId="2" fontId="24" fillId="26" borderId="22" xfId="58" applyNumberFormat="1" applyFont="1" applyFill="1" applyBorder="1" applyAlignment="1" applyProtection="1">
      <alignment horizontal="right" vertical="center"/>
    </xf>
    <xf numFmtId="196" fontId="24" fillId="26" borderId="16" xfId="58" applyNumberFormat="1" applyFont="1" applyFill="1" applyBorder="1" applyAlignment="1" applyProtection="1">
      <alignment horizontal="right" vertical="center"/>
    </xf>
    <xf numFmtId="196" fontId="24" fillId="26" borderId="8" xfId="58" applyNumberFormat="1" applyFont="1" applyFill="1" applyBorder="1" applyAlignment="1" applyProtection="1">
      <alignment horizontal="right" vertical="center"/>
    </xf>
    <xf numFmtId="196" fontId="24" fillId="26" borderId="21" xfId="58" applyNumberFormat="1" applyFont="1" applyFill="1" applyBorder="1" applyAlignment="1" applyProtection="1">
      <alignment horizontal="right" vertical="center"/>
    </xf>
    <xf numFmtId="196" fontId="24" fillId="26" borderId="0" xfId="58" applyNumberFormat="1" applyFont="1" applyFill="1" applyBorder="1" applyAlignment="1" applyProtection="1">
      <alignment horizontal="right" vertical="center"/>
    </xf>
    <xf numFmtId="196" fontId="24" fillId="26" borderId="20" xfId="58" applyNumberFormat="1" applyFont="1" applyFill="1" applyBorder="1" applyAlignment="1" applyProtection="1">
      <alignment horizontal="right" vertical="center"/>
    </xf>
    <xf numFmtId="196" fontId="24" fillId="26" borderId="10" xfId="58" applyNumberFormat="1" applyFont="1" applyFill="1" applyBorder="1" applyAlignment="1" applyProtection="1">
      <alignment horizontal="right" vertical="center"/>
    </xf>
    <xf numFmtId="200" fontId="24" fillId="26" borderId="16" xfId="58" applyNumberFormat="1" applyFont="1" applyFill="1" applyBorder="1" applyAlignment="1" applyProtection="1">
      <alignment horizontal="center" vertical="center"/>
    </xf>
    <xf numFmtId="200" fontId="24" fillId="26" borderId="8" xfId="58" applyNumberFormat="1" applyFont="1" applyFill="1" applyBorder="1" applyAlignment="1" applyProtection="1">
      <alignment horizontal="center" vertical="center"/>
    </xf>
    <xf numFmtId="200" fontId="24" fillId="26" borderId="0" xfId="58" applyNumberFormat="1" applyFont="1" applyFill="1" applyBorder="1" applyAlignment="1" applyProtection="1">
      <alignment horizontal="center" vertical="center"/>
    </xf>
    <xf numFmtId="196" fontId="24" fillId="12" borderId="13" xfId="58" applyNumberFormat="1" applyFont="1" applyFill="1" applyBorder="1" applyAlignment="1" applyProtection="1">
      <alignment horizontal="right" vertical="center"/>
    </xf>
    <xf numFmtId="198" fontId="24" fillId="12" borderId="13" xfId="58" applyNumberFormat="1" applyFont="1" applyFill="1" applyBorder="1" applyAlignment="1" applyProtection="1">
      <alignment horizontal="right" vertical="center"/>
    </xf>
    <xf numFmtId="200" fontId="24" fillId="10" borderId="8" xfId="58" applyNumberFormat="1" applyFont="1" applyFill="1" applyBorder="1" applyAlignment="1" applyProtection="1">
      <alignment horizontal="right" vertical="center"/>
    </xf>
    <xf numFmtId="200" fontId="24" fillId="10" borderId="0" xfId="58" applyNumberFormat="1" applyFont="1" applyFill="1" applyBorder="1" applyAlignment="1" applyProtection="1">
      <alignment horizontal="right" vertical="center"/>
    </xf>
    <xf numFmtId="200" fontId="24" fillId="10" borderId="0" xfId="58" applyNumberFormat="1" applyFont="1" applyFill="1" applyBorder="1" applyAlignment="1" applyProtection="1">
      <alignment horizontal="right" vertical="center"/>
      <protection locked="0"/>
    </xf>
    <xf numFmtId="200" fontId="24" fillId="11" borderId="13" xfId="58" applyNumberFormat="1" applyFont="1" applyFill="1" applyBorder="1" applyAlignment="1" applyProtection="1">
      <alignment horizontal="right" vertical="center"/>
    </xf>
    <xf numFmtId="2" fontId="24" fillId="0" borderId="0" xfId="58" applyNumberFormat="1" applyFont="1" applyFill="1" applyBorder="1" applyAlignment="1" applyProtection="1">
      <alignment horizontal="right" vertical="center"/>
    </xf>
    <xf numFmtId="0" fontId="24" fillId="14" borderId="4" xfId="58" applyFont="1" applyFill="1" applyBorder="1" applyAlignment="1" applyProtection="1">
      <alignment horizontal="left" vertical="center"/>
    </xf>
    <xf numFmtId="2" fontId="24" fillId="10" borderId="11" xfId="58" applyNumberFormat="1" applyFont="1" applyFill="1" applyBorder="1" applyAlignment="1" applyProtection="1">
      <alignment horizontal="right" vertical="center"/>
      <protection locked="0"/>
    </xf>
    <xf numFmtId="2" fontId="24" fillId="10" borderId="5" xfId="58" applyNumberFormat="1" applyFont="1" applyFill="1" applyBorder="1" applyAlignment="1" applyProtection="1">
      <alignment horizontal="right" vertical="center"/>
      <protection locked="0"/>
    </xf>
    <xf numFmtId="2" fontId="24" fillId="11" borderId="25" xfId="58" applyNumberFormat="1" applyFont="1" applyFill="1" applyBorder="1" applyAlignment="1" applyProtection="1">
      <alignment horizontal="right" vertical="center"/>
    </xf>
    <xf numFmtId="200" fontId="24" fillId="0" borderId="8" xfId="58" applyNumberFormat="1" applyFont="1" applyFill="1" applyBorder="1" applyAlignment="1" applyProtection="1">
      <alignment vertical="center"/>
    </xf>
    <xf numFmtId="200" fontId="24" fillId="10" borderId="10" xfId="58" applyNumberFormat="1" applyFont="1" applyFill="1" applyBorder="1" applyAlignment="1" applyProtection="1">
      <alignment horizontal="right" vertical="center"/>
      <protection locked="0"/>
    </xf>
    <xf numFmtId="200" fontId="24" fillId="11" borderId="25" xfId="58" applyNumberFormat="1" applyFont="1" applyFill="1" applyBorder="1" applyAlignment="1" applyProtection="1">
      <alignment horizontal="right" vertical="center"/>
    </xf>
    <xf numFmtId="200" fontId="24" fillId="10" borderId="11" xfId="58" applyNumberFormat="1" applyFont="1" applyFill="1" applyBorder="1" applyAlignment="1" applyProtection="1">
      <alignment horizontal="right" vertical="center"/>
    </xf>
    <xf numFmtId="200" fontId="24" fillId="10" borderId="11" xfId="58" applyNumberFormat="1" applyFont="1" applyFill="1" applyBorder="1" applyAlignment="1" applyProtection="1">
      <alignment horizontal="right" vertical="center"/>
      <protection locked="0"/>
    </xf>
    <xf numFmtId="200" fontId="24" fillId="10" borderId="5" xfId="58" applyNumberFormat="1" applyFont="1" applyFill="1" applyBorder="1" applyAlignment="1" applyProtection="1">
      <alignment horizontal="right" vertical="center"/>
      <protection locked="0"/>
    </xf>
    <xf numFmtId="9" fontId="24" fillId="0" borderId="11" xfId="58" quotePrefix="1" applyNumberFormat="1" applyFont="1" applyFill="1" applyBorder="1" applyAlignment="1" applyProtection="1">
      <alignment horizontal="left" vertical="center" indent="1"/>
      <protection locked="0"/>
    </xf>
    <xf numFmtId="0" fontId="41" fillId="0" borderId="0" xfId="58" applyNumberFormat="1" applyFont="1" applyFill="1" applyBorder="1" applyAlignment="1" applyProtection="1">
      <alignment horizontal="left" vertical="center" indent="1"/>
    </xf>
    <xf numFmtId="0" fontId="24" fillId="21" borderId="25" xfId="58" applyFont="1" applyFill="1" applyBorder="1" applyAlignment="1" applyProtection="1">
      <alignment vertical="center"/>
    </xf>
    <xf numFmtId="0" fontId="24" fillId="21" borderId="40" xfId="58" applyFont="1" applyFill="1" applyBorder="1" applyAlignment="1" applyProtection="1">
      <alignment vertical="center"/>
    </xf>
    <xf numFmtId="2" fontId="24" fillId="14" borderId="49" xfId="58" applyNumberFormat="1" applyFont="1" applyFill="1" applyBorder="1" applyAlignment="1" applyProtection="1">
      <alignment vertical="center"/>
    </xf>
    <xf numFmtId="2" fontId="24" fillId="14" borderId="50" xfId="58" applyNumberFormat="1" applyFont="1" applyFill="1" applyBorder="1" applyAlignment="1" applyProtection="1">
      <alignment vertical="center"/>
    </xf>
    <xf numFmtId="2" fontId="24" fillId="14" borderId="11" xfId="58" applyNumberFormat="1" applyFont="1" applyFill="1" applyBorder="1" applyAlignment="1" applyProtection="1">
      <alignment vertical="center"/>
    </xf>
    <xf numFmtId="2" fontId="24" fillId="14" borderId="54" xfId="58" applyNumberFormat="1" applyFont="1" applyFill="1" applyBorder="1" applyAlignment="1" applyProtection="1">
      <alignment vertical="center"/>
    </xf>
    <xf numFmtId="0" fontId="24" fillId="21" borderId="14" xfId="58" applyFont="1" applyFill="1" applyBorder="1" applyAlignment="1" applyProtection="1">
      <alignment vertical="center"/>
    </xf>
    <xf numFmtId="2" fontId="24" fillId="14" borderId="27" xfId="58" applyNumberFormat="1" applyFont="1" applyFill="1" applyBorder="1" applyAlignment="1" applyProtection="1">
      <alignment vertical="center"/>
    </xf>
    <xf numFmtId="2" fontId="24" fillId="14" borderId="12" xfId="58" applyNumberFormat="1" applyFont="1" applyFill="1" applyBorder="1" applyAlignment="1" applyProtection="1">
      <alignment vertical="center"/>
    </xf>
    <xf numFmtId="2" fontId="24" fillId="14" borderId="55" xfId="58" applyNumberFormat="1" applyFont="1" applyFill="1" applyBorder="1" applyAlignment="1" applyProtection="1">
      <alignment vertical="center"/>
    </xf>
    <xf numFmtId="0" fontId="24" fillId="21" borderId="56" xfId="58" applyFont="1" applyFill="1" applyBorder="1" applyAlignment="1" applyProtection="1">
      <alignment vertical="center"/>
    </xf>
    <xf numFmtId="0" fontId="24" fillId="21" borderId="57" xfId="58" applyFont="1" applyFill="1" applyBorder="1" applyAlignment="1" applyProtection="1">
      <alignment vertical="center"/>
    </xf>
    <xf numFmtId="0" fontId="24" fillId="21" borderId="58" xfId="58" applyFont="1" applyFill="1" applyBorder="1" applyAlignment="1" applyProtection="1">
      <alignment vertical="center"/>
    </xf>
    <xf numFmtId="202" fontId="24" fillId="14" borderId="49" xfId="58" applyNumberFormat="1" applyFont="1" applyFill="1" applyBorder="1" applyAlignment="1" applyProtection="1">
      <alignment vertical="center"/>
    </xf>
    <xf numFmtId="202" fontId="24" fillId="14" borderId="11" xfId="58" applyNumberFormat="1" applyFont="1" applyFill="1" applyBorder="1" applyAlignment="1" applyProtection="1">
      <alignment vertical="center"/>
    </xf>
    <xf numFmtId="202" fontId="24" fillId="14" borderId="54" xfId="58" applyNumberFormat="1" applyFont="1" applyFill="1" applyBorder="1" applyAlignment="1" applyProtection="1">
      <alignment vertical="center"/>
    </xf>
    <xf numFmtId="202" fontId="24" fillId="14" borderId="51" xfId="58" applyNumberFormat="1" applyFont="1" applyFill="1" applyBorder="1" applyAlignment="1" applyProtection="1">
      <alignment vertical="center"/>
    </xf>
    <xf numFmtId="202" fontId="24" fillId="14" borderId="52" xfId="58" applyNumberFormat="1" applyFont="1" applyFill="1" applyBorder="1" applyAlignment="1" applyProtection="1">
      <alignment vertical="center"/>
    </xf>
    <xf numFmtId="202" fontId="24" fillId="14" borderId="12" xfId="58" applyNumberFormat="1" applyFont="1" applyFill="1" applyBorder="1" applyAlignment="1" applyProtection="1">
      <alignment vertical="center"/>
    </xf>
    <xf numFmtId="202" fontId="24" fillId="14" borderId="55" xfId="58" applyNumberFormat="1" applyFont="1" applyFill="1" applyBorder="1" applyAlignment="1" applyProtection="1">
      <alignment vertical="center"/>
    </xf>
    <xf numFmtId="2" fontId="24" fillId="14" borderId="33" xfId="58" applyNumberFormat="1" applyFont="1" applyFill="1" applyBorder="1" applyAlignment="1" applyProtection="1">
      <alignment vertical="center"/>
    </xf>
    <xf numFmtId="2" fontId="24" fillId="14" borderId="31" xfId="58" applyNumberFormat="1" applyFont="1" applyFill="1" applyBorder="1" applyAlignment="1" applyProtection="1">
      <alignment vertical="center"/>
    </xf>
    <xf numFmtId="0" fontId="24" fillId="21" borderId="43" xfId="58" applyFont="1" applyFill="1" applyBorder="1" applyAlignment="1" applyProtection="1">
      <alignment vertical="center"/>
    </xf>
    <xf numFmtId="0" fontId="24" fillId="21" borderId="45" xfId="58" applyFont="1" applyFill="1" applyBorder="1" applyAlignment="1" applyProtection="1">
      <alignment vertical="center"/>
    </xf>
    <xf numFmtId="0" fontId="24" fillId="21" borderId="29" xfId="58" applyFont="1" applyFill="1" applyBorder="1" applyAlignment="1" applyProtection="1">
      <alignment vertical="center"/>
    </xf>
    <xf numFmtId="0" fontId="42" fillId="0" borderId="11" xfId="58" applyNumberFormat="1" applyFont="1" applyFill="1" applyBorder="1" applyAlignment="1" applyProtection="1">
      <alignment horizontal="left" vertical="center" indent="1"/>
      <protection locked="0"/>
    </xf>
    <xf numFmtId="197" fontId="42" fillId="0" borderId="11" xfId="58" applyNumberFormat="1" applyFont="1" applyFill="1" applyBorder="1" applyAlignment="1" applyProtection="1">
      <alignment horizontal="left" vertical="center" indent="1"/>
      <protection locked="0"/>
    </xf>
    <xf numFmtId="0" fontId="42" fillId="0" borderId="11" xfId="58" quotePrefix="1" applyNumberFormat="1" applyFont="1" applyFill="1" applyBorder="1" applyAlignment="1" applyProtection="1">
      <alignment horizontal="left" vertical="center" indent="1"/>
      <protection locked="0"/>
    </xf>
    <xf numFmtId="196" fontId="42" fillId="10" borderId="0" xfId="58" applyNumberFormat="1" applyFont="1" applyFill="1" applyBorder="1" applyAlignment="1" applyProtection="1">
      <alignment horizontal="right" vertical="center"/>
      <protection locked="0"/>
    </xf>
    <xf numFmtId="0" fontId="25" fillId="0" borderId="16" xfId="58" applyNumberFormat="1" applyFont="1" applyFill="1" applyBorder="1" applyAlignment="1" applyProtection="1">
      <alignment horizontal="left" vertical="center" indent="1"/>
    </xf>
    <xf numFmtId="0" fontId="25" fillId="0" borderId="20" xfId="58" applyNumberFormat="1" applyFont="1" applyFill="1" applyBorder="1" applyAlignment="1" applyProtection="1">
      <alignment horizontal="left" vertical="center" indent="1"/>
    </xf>
    <xf numFmtId="2" fontId="24" fillId="0" borderId="21" xfId="58" applyNumberFormat="1" applyFont="1" applyFill="1" applyBorder="1" applyAlignment="1" applyProtection="1">
      <alignment horizontal="center" vertical="center"/>
    </xf>
    <xf numFmtId="2" fontId="35" fillId="15" borderId="22" xfId="58" applyNumberFormat="1" applyFont="1" applyFill="1" applyBorder="1" applyAlignment="1" applyProtection="1">
      <alignment horizontal="center" vertical="center"/>
    </xf>
    <xf numFmtId="2" fontId="24" fillId="0" borderId="16" xfId="58" applyNumberFormat="1" applyFont="1" applyFill="1" applyBorder="1" applyAlignment="1" applyProtection="1">
      <alignment horizontal="center" vertical="center"/>
    </xf>
    <xf numFmtId="2" fontId="35" fillId="0" borderId="21" xfId="58" applyNumberFormat="1" applyFont="1" applyFill="1" applyBorder="1" applyAlignment="1" applyProtection="1">
      <alignment horizontal="center" vertical="center"/>
    </xf>
    <xf numFmtId="2" fontId="24" fillId="15" borderId="22" xfId="58" applyNumberFormat="1" applyFont="1" applyFill="1" applyBorder="1" applyAlignment="1" applyProtection="1">
      <alignment horizontal="center" vertical="center"/>
    </xf>
    <xf numFmtId="0" fontId="24" fillId="0" borderId="0" xfId="58" applyNumberFormat="1" applyFont="1" applyFill="1" applyBorder="1" applyAlignment="1" applyProtection="1">
      <alignment horizontal="right" vertical="center" indent="1"/>
    </xf>
    <xf numFmtId="0" fontId="24" fillId="0" borderId="16" xfId="58" applyNumberFormat="1" applyFont="1" applyFill="1" applyBorder="1" applyAlignment="1" applyProtection="1">
      <alignment horizontal="left" vertical="center" indent="1"/>
    </xf>
    <xf numFmtId="0" fontId="24" fillId="0" borderId="5" xfId="58" applyNumberFormat="1" applyFont="1" applyFill="1" applyBorder="1" applyAlignment="1" applyProtection="1">
      <alignment horizontal="left" vertical="center" indent="1"/>
    </xf>
    <xf numFmtId="0" fontId="24" fillId="0" borderId="21" xfId="58" applyNumberFormat="1" applyFont="1" applyFill="1" applyBorder="1" applyAlignment="1" applyProtection="1">
      <alignment horizontal="left" vertical="center" indent="1"/>
    </xf>
    <xf numFmtId="0" fontId="24" fillId="0" borderId="20" xfId="58" applyNumberFormat="1" applyFont="1" applyFill="1" applyBorder="1" applyAlignment="1" applyProtection="1">
      <alignment horizontal="left" vertical="center" indent="1"/>
    </xf>
    <xf numFmtId="0" fontId="25" fillId="0" borderId="22" xfId="58" applyNumberFormat="1" applyFont="1" applyFill="1" applyBorder="1" applyAlignment="1" applyProtection="1">
      <alignment horizontal="left" vertical="center" indent="1"/>
    </xf>
    <xf numFmtId="2" fontId="24" fillId="0" borderId="8" xfId="58" applyNumberFormat="1" applyFont="1" applyFill="1" applyBorder="1" applyAlignment="1" applyProtection="1">
      <alignment horizontal="center" vertical="center"/>
    </xf>
    <xf numFmtId="2" fontId="24" fillId="10" borderId="0" xfId="58" applyNumberFormat="1" applyFont="1" applyFill="1" applyBorder="1" applyAlignment="1" applyProtection="1">
      <alignment horizontal="center" vertical="center"/>
    </xf>
    <xf numFmtId="2" fontId="24" fillId="14" borderId="10" xfId="58" applyNumberFormat="1" applyFont="1" applyFill="1" applyBorder="1" applyAlignment="1" applyProtection="1">
      <alignment horizontal="center" vertical="center"/>
    </xf>
    <xf numFmtId="2" fontId="24" fillId="14" borderId="20" xfId="58" applyNumberFormat="1" applyFont="1" applyFill="1" applyBorder="1" applyAlignment="1" applyProtection="1">
      <alignment horizontal="center" vertical="center"/>
    </xf>
    <xf numFmtId="1" fontId="24" fillId="10" borderId="0" xfId="58" applyNumberFormat="1" applyFont="1" applyFill="1" applyBorder="1" applyAlignment="1" applyProtection="1">
      <alignment horizontal="center" vertical="center"/>
    </xf>
    <xf numFmtId="2" fontId="35" fillId="0" borderId="0" xfId="58" applyNumberFormat="1" applyFont="1" applyFill="1" applyBorder="1" applyAlignment="1" applyProtection="1">
      <alignment horizontal="center" vertical="center"/>
    </xf>
    <xf numFmtId="2" fontId="35" fillId="14" borderId="16" xfId="58" applyNumberFormat="1" applyFont="1" applyFill="1" applyBorder="1" applyAlignment="1" applyProtection="1">
      <alignment horizontal="center" vertical="center"/>
    </xf>
    <xf numFmtId="2" fontId="35" fillId="14" borderId="8" xfId="58" applyNumberFormat="1" applyFont="1" applyFill="1" applyBorder="1" applyAlignment="1" applyProtection="1">
      <alignment horizontal="center" vertical="center"/>
    </xf>
    <xf numFmtId="2" fontId="35" fillId="14" borderId="21" xfId="58" applyNumberFormat="1" applyFont="1" applyFill="1" applyBorder="1" applyAlignment="1" applyProtection="1">
      <alignment horizontal="center" vertical="center"/>
    </xf>
    <xf numFmtId="2" fontId="35" fillId="14" borderId="0" xfId="58" applyNumberFormat="1" applyFont="1" applyFill="1" applyBorder="1" applyAlignment="1" applyProtection="1">
      <alignment horizontal="center" vertical="center"/>
    </xf>
    <xf numFmtId="2" fontId="35" fillId="14" borderId="20" xfId="58" applyNumberFormat="1" applyFont="1" applyFill="1" applyBorder="1" applyAlignment="1" applyProtection="1">
      <alignment horizontal="center" vertical="center"/>
    </xf>
    <xf numFmtId="2" fontId="35" fillId="14" borderId="10" xfId="58" applyNumberFormat="1" applyFont="1" applyFill="1" applyBorder="1" applyAlignment="1" applyProtection="1">
      <alignment horizontal="center" vertical="center"/>
    </xf>
    <xf numFmtId="2" fontId="35" fillId="15" borderId="23" xfId="58" applyNumberFormat="1" applyFont="1" applyFill="1" applyBorder="1" applyAlignment="1" applyProtection="1">
      <alignment horizontal="center" vertical="center"/>
    </xf>
    <xf numFmtId="0" fontId="24" fillId="0" borderId="21" xfId="58" applyNumberFormat="1" applyFont="1" applyFill="1" applyBorder="1" applyAlignment="1" applyProtection="1">
      <alignment horizontal="right" vertical="center" indent="1"/>
    </xf>
    <xf numFmtId="0" fontId="24" fillId="0" borderId="17" xfId="58" applyNumberFormat="1" applyFont="1" applyFill="1" applyBorder="1" applyAlignment="1" applyProtection="1">
      <alignment horizontal="left" vertical="center" indent="1"/>
    </xf>
    <xf numFmtId="0" fontId="25" fillId="0" borderId="0" xfId="58" applyNumberFormat="1" applyFont="1" applyFill="1" applyBorder="1" applyAlignment="1" applyProtection="1">
      <alignment horizontal="left" vertical="center" indent="1"/>
    </xf>
    <xf numFmtId="2" fontId="24" fillId="14" borderId="8" xfId="58" applyNumberFormat="1" applyFont="1" applyFill="1" applyBorder="1" applyAlignment="1" applyProtection="1">
      <alignment horizontal="center" vertical="center"/>
    </xf>
    <xf numFmtId="2" fontId="24" fillId="14" borderId="18" xfId="58" applyNumberFormat="1" applyFont="1" applyFill="1" applyBorder="1" applyAlignment="1" applyProtection="1">
      <alignment horizontal="center" vertical="center"/>
    </xf>
    <xf numFmtId="2" fontId="24" fillId="15" borderId="23" xfId="58" applyNumberFormat="1" applyFont="1" applyFill="1" applyBorder="1" applyAlignment="1" applyProtection="1">
      <alignment horizontal="center" vertical="center"/>
    </xf>
    <xf numFmtId="2" fontId="24" fillId="15" borderId="24" xfId="58" applyNumberFormat="1" applyFont="1" applyFill="1" applyBorder="1" applyAlignment="1" applyProtection="1">
      <alignment horizontal="center" vertical="center"/>
    </xf>
    <xf numFmtId="2" fontId="24" fillId="14" borderId="16" xfId="58" applyNumberFormat="1" applyFont="1" applyFill="1" applyBorder="1" applyAlignment="1" applyProtection="1">
      <alignment horizontal="center" vertical="center"/>
    </xf>
    <xf numFmtId="196" fontId="24" fillId="10" borderId="0" xfId="58" applyNumberFormat="1" applyFont="1" applyFill="1" applyBorder="1" applyAlignment="1" applyProtection="1">
      <alignment horizontal="right" vertical="center"/>
    </xf>
    <xf numFmtId="197" fontId="24" fillId="0" borderId="11" xfId="58" applyNumberFormat="1" applyFont="1" applyFill="1" applyBorder="1" applyAlignment="1" applyProtection="1">
      <alignment horizontal="left" vertical="center" indent="1"/>
    </xf>
    <xf numFmtId="0" fontId="24" fillId="0" borderId="0" xfId="58" applyNumberFormat="1" applyFont="1" applyFill="1" applyBorder="1" applyAlignment="1" applyProtection="1">
      <alignment horizontal="center" vertical="center"/>
    </xf>
    <xf numFmtId="2" fontId="24" fillId="0" borderId="0" xfId="58" applyNumberFormat="1" applyFont="1" applyFill="1" applyBorder="1" applyAlignment="1" applyProtection="1">
      <alignment horizontal="center" vertical="center"/>
    </xf>
    <xf numFmtId="2" fontId="24" fillId="14" borderId="0" xfId="58" applyNumberFormat="1" applyFont="1" applyFill="1" applyBorder="1" applyAlignment="1" applyProtection="1">
      <alignment horizontal="center" vertical="center"/>
    </xf>
    <xf numFmtId="2" fontId="24" fillId="14" borderId="12" xfId="58" applyNumberFormat="1" applyFont="1" applyFill="1" applyBorder="1" applyAlignment="1" applyProtection="1">
      <alignment horizontal="center" vertical="center"/>
    </xf>
    <xf numFmtId="2" fontId="24" fillId="14" borderId="21" xfId="58" applyNumberFormat="1" applyFont="1" applyFill="1" applyBorder="1" applyAlignment="1" applyProtection="1">
      <alignment horizontal="center" vertical="center"/>
    </xf>
    <xf numFmtId="200" fontId="24" fillId="0" borderId="0" xfId="58" applyNumberFormat="1" applyFont="1" applyFill="1" applyBorder="1" applyAlignment="1" applyProtection="1">
      <alignment horizontal="right" vertical="center" indent="1"/>
    </xf>
    <xf numFmtId="200" fontId="24" fillId="14" borderId="0" xfId="58" applyNumberFormat="1" applyFont="1" applyFill="1" applyBorder="1" applyAlignment="1" applyProtection="1">
      <alignment horizontal="center" vertical="center"/>
    </xf>
    <xf numFmtId="200" fontId="24" fillId="14" borderId="21" xfId="58" applyNumberFormat="1" applyFont="1" applyFill="1" applyBorder="1" applyAlignment="1" applyProtection="1">
      <alignment horizontal="center" vertical="center"/>
    </xf>
    <xf numFmtId="196" fontId="24" fillId="0" borderId="11" xfId="58" quotePrefix="1" applyNumberFormat="1" applyFont="1" applyFill="1" applyBorder="1" applyAlignment="1" applyProtection="1">
      <alignment horizontal="left" vertical="center" indent="1"/>
    </xf>
    <xf numFmtId="203" fontId="24" fillId="11" borderId="13" xfId="58" applyNumberFormat="1" applyFont="1" applyFill="1" applyBorder="1" applyAlignment="1" applyProtection="1">
      <alignment horizontal="right" vertical="center"/>
    </xf>
    <xf numFmtId="0" fontId="38" fillId="0" borderId="0" xfId="58" applyNumberFormat="1" applyFont="1" applyFill="1" applyBorder="1" applyAlignment="1" applyProtection="1">
      <alignment horizontal="left" vertical="center" wrapText="1" indent="1"/>
    </xf>
    <xf numFmtId="197" fontId="24" fillId="0" borderId="11" xfId="58" quotePrefix="1" applyNumberFormat="1" applyFont="1" applyFill="1" applyBorder="1" applyAlignment="1" applyProtection="1">
      <alignment horizontal="left" vertical="center" indent="1"/>
    </xf>
    <xf numFmtId="165" fontId="24" fillId="10" borderId="0" xfId="58" applyNumberFormat="1" applyFont="1" applyFill="1" applyBorder="1" applyAlignment="1" applyProtection="1">
      <alignment horizontal="right" vertical="center"/>
    </xf>
    <xf numFmtId="165" fontId="24" fillId="10" borderId="0" xfId="58" applyNumberFormat="1" applyFont="1" applyFill="1" applyBorder="1" applyAlignment="1" applyProtection="1">
      <alignment horizontal="right" vertical="center"/>
      <protection locked="0"/>
    </xf>
    <xf numFmtId="165" fontId="24" fillId="10" borderId="10" xfId="58" applyNumberFormat="1" applyFont="1" applyFill="1" applyBorder="1" applyAlignment="1" applyProtection="1">
      <alignment horizontal="right" vertical="center"/>
      <protection locked="0"/>
    </xf>
    <xf numFmtId="0" fontId="41" fillId="0" borderId="0" xfId="58" applyNumberFormat="1" applyFont="1" applyFill="1" applyBorder="1" applyAlignment="1" applyProtection="1">
      <alignment horizontal="left" vertical="center" wrapText="1" indent="1"/>
    </xf>
    <xf numFmtId="2" fontId="24" fillId="27" borderId="23" xfId="58" applyNumberFormat="1" applyFont="1" applyFill="1" applyBorder="1" applyAlignment="1" applyProtection="1">
      <alignment horizontal="center" vertical="center"/>
    </xf>
    <xf numFmtId="1" fontId="24" fillId="0" borderId="0" xfId="58" applyNumberFormat="1" applyFont="1" applyFill="1" applyBorder="1" applyAlignment="1" applyProtection="1">
      <alignment horizontal="right" vertical="center" indent="1"/>
    </xf>
    <xf numFmtId="2" fontId="24" fillId="0" borderId="21" xfId="58" applyNumberFormat="1" applyFont="1" applyFill="1" applyBorder="1" applyAlignment="1" applyProtection="1">
      <alignment horizontal="left" vertical="center"/>
    </xf>
    <xf numFmtId="2" fontId="24" fillId="0" borderId="12" xfId="58" applyNumberFormat="1" applyFont="1" applyFill="1" applyBorder="1" applyAlignment="1" applyProtection="1">
      <alignment horizontal="center" vertical="center"/>
    </xf>
    <xf numFmtId="2" fontId="24" fillId="0" borderId="18" xfId="58" applyNumberFormat="1" applyFont="1" applyFill="1" applyBorder="1" applyAlignment="1" applyProtection="1">
      <alignment horizontal="center" vertical="center"/>
    </xf>
    <xf numFmtId="2" fontId="24" fillId="27" borderId="24" xfId="58" applyNumberFormat="1" applyFont="1" applyFill="1" applyBorder="1" applyAlignment="1" applyProtection="1">
      <alignment horizontal="center" vertical="center"/>
    </xf>
    <xf numFmtId="2" fontId="35" fillId="0" borderId="12" xfId="58" applyNumberFormat="1" applyFont="1" applyFill="1" applyBorder="1" applyAlignment="1" applyProtection="1">
      <alignment horizontal="center" vertical="center"/>
    </xf>
    <xf numFmtId="196" fontId="24" fillId="0" borderId="21" xfId="58" applyNumberFormat="1" applyFont="1" applyFill="1" applyBorder="1" applyAlignment="1" applyProtection="1">
      <alignment horizontal="left" vertical="center" wrapText="1"/>
    </xf>
    <xf numFmtId="200" fontId="24" fillId="0" borderId="21" xfId="58" applyNumberFormat="1" applyFont="1" applyFill="1" applyBorder="1" applyAlignment="1" applyProtection="1">
      <alignment horizontal="center" vertical="center"/>
    </xf>
    <xf numFmtId="200" fontId="24" fillId="0" borderId="0" xfId="58" applyNumberFormat="1" applyFont="1" applyFill="1" applyBorder="1" applyAlignment="1" applyProtection="1">
      <alignment horizontal="center" vertical="center"/>
    </xf>
    <xf numFmtId="199" fontId="25" fillId="0" borderId="0" xfId="58" applyNumberFormat="1" applyFont="1" applyFill="1" applyBorder="1" applyAlignment="1" applyProtection="1">
      <alignment horizontal="right" vertical="center"/>
    </xf>
    <xf numFmtId="200" fontId="24" fillId="0" borderId="12" xfId="58" applyNumberFormat="1" applyFont="1" applyFill="1" applyBorder="1" applyAlignment="1" applyProtection="1">
      <alignment horizontal="center" vertical="center"/>
    </xf>
    <xf numFmtId="0" fontId="24" fillId="20" borderId="0" xfId="58" applyFont="1" applyFill="1" applyBorder="1" applyAlignment="1" applyProtection="1">
      <alignment horizontal="center" vertical="center" wrapText="1"/>
    </xf>
    <xf numFmtId="0" fontId="25" fillId="0" borderId="0" xfId="58" applyNumberFormat="1" applyFont="1" applyFill="1" applyBorder="1" applyAlignment="1" applyProtection="1">
      <alignment horizontal="left" vertical="center" wrapText="1"/>
    </xf>
    <xf numFmtId="2" fontId="25" fillId="0" borderId="0" xfId="58" applyNumberFormat="1" applyFont="1" applyFill="1" applyBorder="1" applyAlignment="1" applyProtection="1">
      <alignment horizontal="right" vertical="center" indent="1"/>
    </xf>
    <xf numFmtId="0" fontId="45" fillId="0" borderId="0" xfId="58" applyNumberFormat="1" applyFont="1" applyFill="1" applyBorder="1" applyAlignment="1" applyProtection="1">
      <alignment horizontal="left" vertical="center" indent="1"/>
    </xf>
    <xf numFmtId="0" fontId="45" fillId="0" borderId="0" xfId="58" applyNumberFormat="1" applyFont="1" applyFill="1" applyBorder="1" applyAlignment="1" applyProtection="1">
      <alignment horizontal="left" vertical="center" wrapText="1"/>
    </xf>
    <xf numFmtId="0" fontId="45" fillId="0" borderId="0" xfId="58" applyNumberFormat="1" applyFont="1" applyFill="1" applyBorder="1" applyAlignment="1" applyProtection="1">
      <alignment horizontal="right" vertical="center" indent="1"/>
    </xf>
    <xf numFmtId="0" fontId="45" fillId="0" borderId="0" xfId="58" applyNumberFormat="1" applyFont="1" applyFill="1" applyBorder="1" applyAlignment="1" applyProtection="1">
      <alignment vertical="center"/>
    </xf>
    <xf numFmtId="200" fontId="24" fillId="14" borderId="18" xfId="58" applyNumberFormat="1" applyFont="1" applyFill="1" applyBorder="1" applyAlignment="1" applyProtection="1">
      <alignment horizontal="center" vertical="center"/>
    </xf>
    <xf numFmtId="200" fontId="24" fillId="14" borderId="12" xfId="58" applyNumberFormat="1" applyFont="1" applyFill="1" applyBorder="1" applyAlignment="1" applyProtection="1">
      <alignment horizontal="center" vertical="center"/>
    </xf>
    <xf numFmtId="200" fontId="24" fillId="14" borderId="19" xfId="58" applyNumberFormat="1" applyFont="1" applyFill="1" applyBorder="1" applyAlignment="1" applyProtection="1">
      <alignment horizontal="center" vertical="center"/>
    </xf>
    <xf numFmtId="200" fontId="24" fillId="14" borderId="17" xfId="58" applyNumberFormat="1" applyFont="1" applyFill="1" applyBorder="1" applyAlignment="1" applyProtection="1">
      <alignment horizontal="center" vertical="center"/>
    </xf>
    <xf numFmtId="200" fontId="24" fillId="14" borderId="11" xfId="58" applyNumberFormat="1" applyFont="1" applyFill="1" applyBorder="1" applyAlignment="1" applyProtection="1">
      <alignment horizontal="center" vertical="center"/>
    </xf>
    <xf numFmtId="200" fontId="24" fillId="14" borderId="5" xfId="58" applyNumberFormat="1" applyFont="1" applyFill="1" applyBorder="1" applyAlignment="1" applyProtection="1">
      <alignment horizontal="center" vertical="center"/>
    </xf>
    <xf numFmtId="200" fontId="24" fillId="26" borderId="18" xfId="58" applyNumberFormat="1" applyFont="1" applyFill="1" applyBorder="1" applyAlignment="1" applyProtection="1">
      <alignment horizontal="center" vertical="center"/>
    </xf>
    <xf numFmtId="200" fontId="24" fillId="26" borderId="12" xfId="58" applyNumberFormat="1" applyFont="1" applyFill="1" applyBorder="1" applyAlignment="1" applyProtection="1">
      <alignment horizontal="center" vertical="center"/>
    </xf>
    <xf numFmtId="200" fontId="24" fillId="26" borderId="20" xfId="58" applyNumberFormat="1" applyFont="1" applyFill="1" applyBorder="1" applyAlignment="1" applyProtection="1">
      <alignment horizontal="center" vertical="center"/>
    </xf>
    <xf numFmtId="200" fontId="24" fillId="26" borderId="19" xfId="58" applyNumberFormat="1" applyFont="1" applyFill="1" applyBorder="1" applyAlignment="1" applyProtection="1">
      <alignment horizontal="center" vertical="center"/>
    </xf>
    <xf numFmtId="200" fontId="24" fillId="26" borderId="10" xfId="58" applyNumberFormat="1" applyFont="1" applyFill="1" applyBorder="1" applyAlignment="1" applyProtection="1">
      <alignment horizontal="center" vertical="center"/>
    </xf>
    <xf numFmtId="2" fontId="24" fillId="14" borderId="17" xfId="58" applyNumberFormat="1" applyFont="1" applyFill="1" applyBorder="1" applyAlignment="1" applyProtection="1">
      <alignment horizontal="center" vertical="center"/>
    </xf>
    <xf numFmtId="2" fontId="24" fillId="14" borderId="11" xfId="58" applyNumberFormat="1" applyFont="1" applyFill="1" applyBorder="1" applyAlignment="1" applyProtection="1">
      <alignment horizontal="center" vertical="center"/>
    </xf>
    <xf numFmtId="2" fontId="25" fillId="14" borderId="22" xfId="58" applyNumberFormat="1" applyFont="1" applyFill="1" applyBorder="1" applyAlignment="1" applyProtection="1">
      <alignment horizontal="center" vertical="center"/>
    </xf>
    <xf numFmtId="2" fontId="25" fillId="14" borderId="23" xfId="58" applyNumberFormat="1" applyFont="1" applyFill="1" applyBorder="1" applyAlignment="1" applyProtection="1">
      <alignment horizontal="center" vertical="center"/>
    </xf>
    <xf numFmtId="2" fontId="25" fillId="14" borderId="1" xfId="58" applyNumberFormat="1" applyFont="1" applyFill="1" applyBorder="1" applyAlignment="1" applyProtection="1">
      <alignment horizontal="center" vertical="center"/>
    </xf>
    <xf numFmtId="2" fontId="25" fillId="14" borderId="24" xfId="58" applyNumberFormat="1" applyFont="1" applyFill="1" applyBorder="1" applyAlignment="1" applyProtection="1">
      <alignment horizontal="center" vertical="center"/>
    </xf>
    <xf numFmtId="2" fontId="34" fillId="0" borderId="0" xfId="58" applyNumberFormat="1" applyFont="1" applyFill="1" applyBorder="1" applyAlignment="1" applyProtection="1">
      <alignment horizontal="center" vertical="center"/>
    </xf>
    <xf numFmtId="200" fontId="34" fillId="0" borderId="0" xfId="58" applyNumberFormat="1" applyFont="1" applyFill="1" applyBorder="1" applyAlignment="1" applyProtection="1">
      <alignment horizontal="center" vertical="center"/>
    </xf>
    <xf numFmtId="165" fontId="24" fillId="0" borderId="0" xfId="58" applyNumberFormat="1" applyFont="1" applyFill="1" applyBorder="1" applyAlignment="1" applyProtection="1">
      <alignment horizontal="right" vertical="center"/>
    </xf>
    <xf numFmtId="0" fontId="25" fillId="20" borderId="0" xfId="58" applyFont="1" applyFill="1" applyBorder="1" applyAlignment="1" applyProtection="1">
      <alignment horizontal="center" vertical="center" wrapText="1"/>
    </xf>
    <xf numFmtId="0" fontId="25" fillId="21" borderId="25" xfId="58" applyFont="1" applyFill="1" applyBorder="1" applyAlignment="1" applyProtection="1">
      <alignment vertical="center"/>
    </xf>
    <xf numFmtId="0" fontId="25" fillId="21" borderId="40" xfId="58" applyFont="1" applyFill="1" applyBorder="1" applyAlignment="1" applyProtection="1">
      <alignment vertical="center"/>
    </xf>
    <xf numFmtId="0" fontId="24" fillId="14" borderId="4" xfId="58" applyFont="1" applyFill="1" applyBorder="1" applyAlignment="1" applyProtection="1">
      <alignment horizontal="left" vertical="center" wrapText="1"/>
    </xf>
    <xf numFmtId="0" fontId="24" fillId="14" borderId="48" xfId="58" applyFont="1" applyFill="1" applyBorder="1" applyAlignment="1" applyProtection="1">
      <alignment horizontal="center" vertical="center" wrapText="1"/>
    </xf>
    <xf numFmtId="0" fontId="24" fillId="14" borderId="32" xfId="58" applyFont="1" applyFill="1" applyBorder="1" applyAlignment="1" applyProtection="1">
      <alignment horizontal="center" vertical="center" wrapText="1"/>
    </xf>
    <xf numFmtId="0" fontId="24" fillId="14" borderId="39" xfId="58" applyFont="1" applyFill="1" applyBorder="1" applyAlignment="1" applyProtection="1">
      <alignment horizontal="center" vertical="center" wrapText="1"/>
    </xf>
    <xf numFmtId="0" fontId="24" fillId="21" borderId="59" xfId="58" applyFont="1" applyFill="1" applyBorder="1" applyAlignment="1" applyProtection="1">
      <alignment horizontal="left" vertical="center" indent="1"/>
    </xf>
    <xf numFmtId="0" fontId="24" fillId="21" borderId="44" xfId="58" applyFont="1" applyFill="1" applyBorder="1" applyAlignment="1" applyProtection="1">
      <alignment horizontal="left" vertical="center" wrapText="1" indent="1"/>
    </xf>
    <xf numFmtId="196" fontId="24" fillId="10" borderId="12" xfId="58" applyNumberFormat="1" applyFont="1" applyFill="1" applyBorder="1" applyAlignment="1" applyProtection="1">
      <alignment horizontal="right" vertical="center"/>
    </xf>
    <xf numFmtId="0" fontId="46" fillId="0" borderId="0" xfId="58" applyNumberFormat="1" applyFont="1" applyFill="1" applyBorder="1" applyAlignment="1" applyProtection="1">
      <alignment vertical="center"/>
    </xf>
    <xf numFmtId="0" fontId="47" fillId="0" borderId="17" xfId="58" applyNumberFormat="1" applyFont="1" applyFill="1" applyBorder="1" applyAlignment="1" applyProtection="1">
      <alignment horizontal="left" vertical="center" indent="1"/>
    </xf>
    <xf numFmtId="0" fontId="46" fillId="12" borderId="14" xfId="58" applyNumberFormat="1" applyFont="1" applyFill="1" applyBorder="1" applyAlignment="1" applyProtection="1">
      <alignment horizontal="left" vertical="center" indent="1"/>
    </xf>
    <xf numFmtId="197" fontId="46" fillId="11" borderId="14" xfId="58" applyNumberFormat="1" applyFont="1" applyFill="1" applyBorder="1" applyAlignment="1" applyProtection="1">
      <alignment horizontal="left" vertical="center" indent="1"/>
    </xf>
    <xf numFmtId="196" fontId="46" fillId="11" borderId="13" xfId="58" applyNumberFormat="1" applyFont="1" applyFill="1" applyBorder="1" applyAlignment="1" applyProtection="1">
      <alignment horizontal="right" vertical="center"/>
    </xf>
    <xf numFmtId="0" fontId="47" fillId="0" borderId="11" xfId="58" applyNumberFormat="1" applyFont="1" applyFill="1" applyBorder="1" applyAlignment="1" applyProtection="1">
      <alignment horizontal="left" vertical="center" indent="1"/>
    </xf>
    <xf numFmtId="198" fontId="46" fillId="11" borderId="13" xfId="58" applyNumberFormat="1" applyFont="1" applyFill="1" applyBorder="1" applyAlignment="1" applyProtection="1">
      <alignment horizontal="right" vertical="center"/>
    </xf>
    <xf numFmtId="2" fontId="9" fillId="14" borderId="8" xfId="58" applyNumberFormat="1" applyFont="1" applyFill="1" applyBorder="1" applyAlignment="1" applyProtection="1">
      <alignment horizontal="center" vertical="center"/>
    </xf>
    <xf numFmtId="2" fontId="9" fillId="14" borderId="18" xfId="58" applyNumberFormat="1" applyFont="1" applyFill="1" applyBorder="1" applyAlignment="1" applyProtection="1">
      <alignment horizontal="center" vertical="center"/>
    </xf>
    <xf numFmtId="2" fontId="9" fillId="14" borderId="0" xfId="58" applyNumberFormat="1" applyFont="1" applyFill="1" applyBorder="1" applyAlignment="1" applyProtection="1">
      <alignment horizontal="center" vertical="center"/>
    </xf>
    <xf numFmtId="2" fontId="9" fillId="14" borderId="12" xfId="58" applyNumberFormat="1" applyFont="1" applyFill="1" applyBorder="1" applyAlignment="1" applyProtection="1">
      <alignment horizontal="center" vertical="center"/>
    </xf>
    <xf numFmtId="2" fontId="9" fillId="14" borderId="10" xfId="58" applyNumberFormat="1" applyFont="1" applyFill="1" applyBorder="1" applyAlignment="1" applyProtection="1">
      <alignment horizontal="center" vertical="center"/>
    </xf>
    <xf numFmtId="2" fontId="9" fillId="14" borderId="19" xfId="58" applyNumberFormat="1" applyFont="1" applyFill="1" applyBorder="1" applyAlignment="1" applyProtection="1">
      <alignment horizontal="center" vertical="center"/>
    </xf>
    <xf numFmtId="2" fontId="24" fillId="14" borderId="4" xfId="58" applyNumberFormat="1" applyFont="1" applyFill="1" applyBorder="1" applyAlignment="1" applyProtection="1">
      <alignment horizontal="left" vertical="center"/>
    </xf>
    <xf numFmtId="0" fontId="24" fillId="14" borderId="32" xfId="58" applyFont="1" applyFill="1" applyBorder="1" applyAlignment="1" applyProtection="1">
      <alignment horizontal="left" vertical="center"/>
    </xf>
    <xf numFmtId="0" fontId="25" fillId="21" borderId="35" xfId="58" applyFont="1" applyFill="1" applyBorder="1" applyAlignment="1" applyProtection="1">
      <alignment horizontal="left" vertical="center" indent="1"/>
    </xf>
    <xf numFmtId="0" fontId="25" fillId="21" borderId="26" xfId="58" applyFont="1" applyFill="1" applyBorder="1" applyAlignment="1" applyProtection="1">
      <alignment horizontal="center" vertical="center"/>
    </xf>
    <xf numFmtId="0" fontId="24" fillId="14" borderId="1" xfId="58" applyFont="1" applyFill="1" applyBorder="1" applyAlignment="1" applyProtection="1">
      <alignment horizontal="center" vertical="center"/>
    </xf>
    <xf numFmtId="0" fontId="24" fillId="21" borderId="33" xfId="58" applyFont="1" applyFill="1" applyBorder="1" applyAlignment="1" applyProtection="1">
      <alignment horizontal="left" vertical="center" indent="1"/>
    </xf>
    <xf numFmtId="0" fontId="24" fillId="14" borderId="38" xfId="58" applyFont="1" applyFill="1" applyBorder="1" applyAlignment="1" applyProtection="1">
      <alignment horizontal="center" vertical="center"/>
    </xf>
    <xf numFmtId="0" fontId="24" fillId="21" borderId="2" xfId="58" applyFont="1" applyFill="1" applyBorder="1" applyAlignment="1" applyProtection="1">
      <alignment horizontal="left" vertical="center" wrapText="1" indent="1"/>
    </xf>
    <xf numFmtId="0" fontId="24" fillId="21" borderId="31" xfId="58" applyFont="1" applyFill="1" applyBorder="1" applyAlignment="1" applyProtection="1">
      <alignment horizontal="left" vertical="center" wrapText="1" indent="1"/>
    </xf>
    <xf numFmtId="0" fontId="24" fillId="14" borderId="9" xfId="58" applyFont="1" applyFill="1" applyBorder="1" applyAlignment="1" applyProtection="1">
      <alignment horizontal="center" vertical="center"/>
    </xf>
    <xf numFmtId="0" fontId="24" fillId="21" borderId="31" xfId="58" applyFont="1" applyFill="1" applyBorder="1" applyAlignment="1" applyProtection="1">
      <alignment horizontal="left" vertical="center" indent="1"/>
    </xf>
    <xf numFmtId="0" fontId="24" fillId="14" borderId="39" xfId="58" applyFont="1" applyFill="1" applyBorder="1" applyAlignment="1" applyProtection="1">
      <alignment horizontal="left" vertical="center"/>
    </xf>
    <xf numFmtId="0" fontId="24" fillId="14" borderId="39" xfId="58" applyFont="1" applyFill="1" applyBorder="1" applyAlignment="1" applyProtection="1">
      <alignment horizontal="left" vertical="center" wrapText="1"/>
    </xf>
    <xf numFmtId="202" fontId="24" fillId="14" borderId="0" xfId="58" applyNumberFormat="1" applyFont="1" applyFill="1" applyBorder="1" applyAlignment="1" applyProtection="1">
      <alignment vertical="center"/>
    </xf>
    <xf numFmtId="202" fontId="24" fillId="14" borderId="28" xfId="58" applyNumberFormat="1" applyFont="1" applyFill="1" applyBorder="1" applyAlignment="1" applyProtection="1">
      <alignment vertical="center"/>
    </xf>
    <xf numFmtId="202" fontId="24" fillId="14" borderId="36" xfId="58" applyNumberFormat="1" applyFont="1" applyFill="1" applyBorder="1" applyAlignment="1" applyProtection="1">
      <alignment vertical="center"/>
    </xf>
    <xf numFmtId="202" fontId="24" fillId="14" borderId="60" xfId="58" applyNumberFormat="1" applyFont="1" applyFill="1" applyBorder="1" applyAlignment="1" applyProtection="1">
      <alignment vertical="center"/>
    </xf>
    <xf numFmtId="202" fontId="24" fillId="14" borderId="61" xfId="58" applyNumberFormat="1" applyFont="1" applyFill="1" applyBorder="1" applyAlignment="1" applyProtection="1">
      <alignment vertical="center"/>
    </xf>
    <xf numFmtId="202" fontId="24" fillId="14" borderId="62" xfId="58" applyNumberFormat="1" applyFont="1" applyFill="1" applyBorder="1" applyAlignment="1" applyProtection="1">
      <alignment vertical="center"/>
    </xf>
    <xf numFmtId="4" fontId="24" fillId="13" borderId="22" xfId="58" applyNumberFormat="1" applyFont="1" applyFill="1" applyBorder="1" applyAlignment="1" applyProtection="1">
      <alignment horizontal="right" vertical="center"/>
    </xf>
    <xf numFmtId="9" fontId="24" fillId="0" borderId="11" xfId="95" quotePrefix="1" applyFont="1" applyFill="1" applyBorder="1" applyAlignment="1" applyProtection="1">
      <alignment horizontal="left" vertical="center" indent="1"/>
    </xf>
    <xf numFmtId="9" fontId="24" fillId="14" borderId="32" xfId="95" applyFont="1" applyFill="1" applyBorder="1" applyAlignment="1" applyProtection="1">
      <alignment horizontal="center" vertical="center" wrapText="1"/>
    </xf>
    <xf numFmtId="0" fontId="25" fillId="21" borderId="35" xfId="58" applyFont="1" applyFill="1" applyBorder="1" applyAlignment="1" applyProtection="1">
      <alignment horizontal="left" vertical="center" wrapText="1" indent="1"/>
    </xf>
    <xf numFmtId="0" fontId="24" fillId="14" borderId="52" xfId="58" applyFont="1" applyFill="1" applyBorder="1" applyAlignment="1" applyProtection="1">
      <alignment horizontal="center" vertical="center" wrapText="1"/>
    </xf>
    <xf numFmtId="0" fontId="32" fillId="8" borderId="39" xfId="58" applyFont="1" applyFill="1" applyBorder="1" applyAlignment="1" applyProtection="1">
      <alignment vertical="center" wrapText="1"/>
    </xf>
    <xf numFmtId="0" fontId="32" fillId="8" borderId="4" xfId="58" applyFont="1" applyFill="1" applyBorder="1" applyAlignment="1" applyProtection="1">
      <alignment vertical="center" wrapText="1"/>
    </xf>
    <xf numFmtId="0" fontId="32" fillId="8" borderId="32" xfId="58" applyFont="1" applyFill="1" applyBorder="1" applyAlignment="1" applyProtection="1">
      <alignment vertical="center" wrapText="1"/>
    </xf>
    <xf numFmtId="0" fontId="24" fillId="21" borderId="43" xfId="58" applyFont="1" applyFill="1" applyBorder="1" applyAlignment="1" applyProtection="1">
      <alignment horizontal="left" vertical="center" wrapText="1" indent="1"/>
    </xf>
    <xf numFmtId="0" fontId="24" fillId="21" borderId="2" xfId="58" applyFont="1" applyFill="1" applyBorder="1" applyAlignment="1" applyProtection="1">
      <alignment horizontal="left" vertical="center" indent="1"/>
    </xf>
    <xf numFmtId="0" fontId="24" fillId="14" borderId="55" xfId="58" applyFont="1" applyFill="1" applyBorder="1" applyAlignment="1" applyProtection="1">
      <alignment horizontal="center" vertical="center"/>
    </xf>
    <xf numFmtId="0" fontId="24" fillId="21" borderId="58" xfId="58" applyFont="1" applyFill="1" applyBorder="1" applyAlignment="1" applyProtection="1">
      <alignment horizontal="left" vertical="center" wrapText="1" indent="1"/>
    </xf>
    <xf numFmtId="0" fontId="24" fillId="15" borderId="38" xfId="58" applyFont="1" applyFill="1" applyBorder="1" applyAlignment="1" applyProtection="1">
      <alignment horizontal="center" vertical="center"/>
    </xf>
    <xf numFmtId="0" fontId="24" fillId="22" borderId="1" xfId="58" applyFont="1" applyFill="1" applyBorder="1" applyAlignment="1" applyProtection="1">
      <alignment horizontal="center" vertical="center"/>
    </xf>
    <xf numFmtId="0" fontId="24" fillId="22" borderId="9" xfId="58" applyFont="1" applyFill="1" applyBorder="1" applyAlignment="1" applyProtection="1">
      <alignment horizontal="center" vertical="center"/>
    </xf>
    <xf numFmtId="0" fontId="24" fillId="15" borderId="9" xfId="58" applyFont="1" applyFill="1" applyBorder="1" applyAlignment="1" applyProtection="1">
      <alignment horizontal="center" vertical="center"/>
    </xf>
    <xf numFmtId="0" fontId="24" fillId="15" borderId="5" xfId="58" applyFont="1" applyFill="1" applyBorder="1" applyAlignment="1" applyProtection="1">
      <alignment horizontal="center" vertical="center"/>
    </xf>
    <xf numFmtId="0" fontId="24" fillId="15" borderId="51" xfId="58" applyFont="1" applyFill="1" applyBorder="1" applyAlignment="1" applyProtection="1">
      <alignment horizontal="center" vertical="center"/>
    </xf>
    <xf numFmtId="0" fontId="24" fillId="15" borderId="33" xfId="58" applyFont="1" applyFill="1" applyBorder="1" applyAlignment="1" applyProtection="1">
      <alignment horizontal="center" vertical="center"/>
    </xf>
    <xf numFmtId="0" fontId="24" fillId="15" borderId="2" xfId="58" applyFont="1" applyFill="1" applyBorder="1" applyAlignment="1" applyProtection="1">
      <alignment horizontal="center" vertical="center"/>
    </xf>
    <xf numFmtId="0" fontId="24" fillId="15" borderId="31" xfId="58" applyFont="1" applyFill="1" applyBorder="1" applyAlignment="1" applyProtection="1">
      <alignment horizontal="center" vertical="center"/>
    </xf>
    <xf numFmtId="3" fontId="14" fillId="0" borderId="21" xfId="0" applyFont="1" applyBorder="1" applyProtection="1">
      <alignment vertical="center"/>
    </xf>
    <xf numFmtId="165" fontId="0" fillId="0" borderId="21" xfId="0" applyNumberFormat="1" applyBorder="1" applyProtection="1">
      <alignment vertical="center"/>
    </xf>
    <xf numFmtId="3" fontId="9" fillId="23" borderId="1" xfId="0" applyFont="1" applyFill="1" applyBorder="1" applyAlignment="1" applyProtection="1">
      <alignment vertical="center" wrapText="1"/>
    </xf>
    <xf numFmtId="3" fontId="0" fillId="23" borderId="1" xfId="0" applyFill="1" applyBorder="1" applyProtection="1">
      <alignment vertical="center"/>
    </xf>
    <xf numFmtId="4" fontId="0" fillId="0" borderId="0" xfId="0" applyNumberFormat="1" applyProtection="1">
      <alignment vertical="center"/>
    </xf>
    <xf numFmtId="3" fontId="14" fillId="0" borderId="0" xfId="0" applyFont="1" applyProtection="1">
      <alignment vertical="center"/>
    </xf>
    <xf numFmtId="3" fontId="9" fillId="0" borderId="0" xfId="56" applyAlignment="1" applyProtection="1">
      <alignment horizontal="right" vertical="center"/>
    </xf>
    <xf numFmtId="3" fontId="0" fillId="8" borderId="16" xfId="0" applyFill="1" applyBorder="1" applyProtection="1">
      <alignment vertical="center"/>
    </xf>
    <xf numFmtId="3" fontId="0" fillId="8" borderId="8" xfId="0" applyFill="1" applyBorder="1" applyProtection="1">
      <alignment vertical="center"/>
    </xf>
    <xf numFmtId="3" fontId="0" fillId="8" borderId="18" xfId="0" applyFill="1" applyBorder="1" applyProtection="1">
      <alignment vertical="center"/>
    </xf>
    <xf numFmtId="3" fontId="0" fillId="9" borderId="21" xfId="0" applyFill="1" applyBorder="1" applyAlignment="1" applyProtection="1">
      <alignment horizontal="left" vertical="center" indent="1"/>
    </xf>
    <xf numFmtId="3" fontId="0" fillId="9" borderId="0" xfId="0" applyFill="1" applyBorder="1" applyProtection="1">
      <alignment vertical="center"/>
    </xf>
    <xf numFmtId="3" fontId="0" fillId="9" borderId="12" xfId="0" applyFill="1" applyBorder="1" applyProtection="1">
      <alignment vertical="center"/>
    </xf>
    <xf numFmtId="3" fontId="37" fillId="9" borderId="21" xfId="0" applyFont="1" applyFill="1" applyBorder="1" applyAlignment="1" applyProtection="1">
      <alignment horizontal="left" vertical="center" indent="1"/>
    </xf>
    <xf numFmtId="3" fontId="9" fillId="9" borderId="21" xfId="0" applyFont="1" applyFill="1" applyBorder="1" applyAlignment="1" applyProtection="1">
      <alignment horizontal="left" vertical="center" indent="1"/>
    </xf>
    <xf numFmtId="3" fontId="9" fillId="9" borderId="0" xfId="0" applyFont="1" applyFill="1" applyBorder="1" applyProtection="1">
      <alignment vertical="center"/>
    </xf>
    <xf numFmtId="3" fontId="9" fillId="9" borderId="0" xfId="0" applyFont="1" applyFill="1" applyProtection="1">
      <alignment vertical="center"/>
    </xf>
    <xf numFmtId="49" fontId="9" fillId="9" borderId="0" xfId="0" quotePrefix="1" applyNumberFormat="1" applyFont="1" applyFill="1" applyBorder="1" applyProtection="1">
      <alignment vertical="center"/>
    </xf>
    <xf numFmtId="3" fontId="0" fillId="9" borderId="20" xfId="0" applyFill="1" applyBorder="1" applyAlignment="1" applyProtection="1">
      <alignment horizontal="left" vertical="center" indent="1"/>
    </xf>
    <xf numFmtId="3" fontId="0" fillId="9" borderId="10" xfId="0" applyFill="1" applyBorder="1" applyProtection="1">
      <alignment vertical="center"/>
    </xf>
    <xf numFmtId="3" fontId="0" fillId="9" borderId="19" xfId="0" applyFill="1" applyBorder="1" applyProtection="1">
      <alignment vertical="center"/>
    </xf>
    <xf numFmtId="196" fontId="24" fillId="0" borderId="5" xfId="58" applyNumberFormat="1" applyFont="1" applyFill="1" applyBorder="1" applyAlignment="1" applyProtection="1">
      <alignment horizontal="left" vertical="center" indent="1"/>
    </xf>
    <xf numFmtId="0" fontId="24" fillId="0" borderId="0" xfId="58" applyNumberFormat="1" applyFont="1" applyFill="1" applyBorder="1" applyAlignment="1" applyProtection="1">
      <alignment vertical="center"/>
      <protection locked="0"/>
    </xf>
    <xf numFmtId="0" fontId="24" fillId="0" borderId="11" xfId="58" applyNumberFormat="1" applyFont="1" applyFill="1" applyBorder="1" applyAlignment="1" applyProtection="1">
      <alignment vertical="center"/>
      <protection locked="0"/>
    </xf>
    <xf numFmtId="0" fontId="24" fillId="0" borderId="5" xfId="58" applyNumberFormat="1" applyFont="1" applyFill="1" applyBorder="1" applyAlignment="1" applyProtection="1">
      <alignment vertical="center"/>
      <protection locked="0"/>
    </xf>
    <xf numFmtId="201" fontId="24" fillId="10" borderId="0" xfId="58" applyNumberFormat="1" applyFont="1" applyFill="1" applyBorder="1" applyAlignment="1" applyProtection="1">
      <alignment horizontal="right" vertical="center"/>
    </xf>
    <xf numFmtId="2" fontId="0" fillId="0" borderId="0" xfId="0" applyNumberFormat="1" applyAlignment="1" applyProtection="1"/>
    <xf numFmtId="2" fontId="24" fillId="10" borderId="11" xfId="58" applyNumberFormat="1" applyFont="1" applyFill="1" applyBorder="1" applyAlignment="1" applyProtection="1">
      <alignment horizontal="right" vertical="center"/>
    </xf>
    <xf numFmtId="0" fontId="24" fillId="13" borderId="8" xfId="58" applyFont="1" applyFill="1" applyBorder="1" applyAlignment="1" applyProtection="1">
      <alignment horizontal="center" vertical="center"/>
    </xf>
    <xf numFmtId="0" fontId="24" fillId="13" borderId="0" xfId="58" applyFont="1" applyFill="1" applyBorder="1" applyAlignment="1" applyProtection="1">
      <alignment horizontal="center" vertical="center"/>
    </xf>
    <xf numFmtId="0" fontId="24" fillId="14" borderId="41" xfId="58" applyFont="1" applyFill="1" applyBorder="1" applyAlignment="1" applyProtection="1">
      <alignment horizontal="center" vertical="center"/>
    </xf>
    <xf numFmtId="0" fontId="24" fillId="14" borderId="24" xfId="58" applyFont="1" applyFill="1" applyBorder="1" applyAlignment="1" applyProtection="1">
      <alignment horizontal="center" vertical="center"/>
    </xf>
    <xf numFmtId="0" fontId="24" fillId="14" borderId="42" xfId="58" applyFont="1" applyFill="1" applyBorder="1" applyAlignment="1" applyProtection="1">
      <alignment horizontal="center" vertical="center"/>
    </xf>
    <xf numFmtId="0" fontId="32" fillId="8" borderId="32" xfId="58" applyFont="1" applyFill="1" applyBorder="1" applyAlignment="1" applyProtection="1">
      <alignment horizontal="center" vertical="center" wrapText="1"/>
    </xf>
    <xf numFmtId="0" fontId="32" fillId="8" borderId="4" xfId="58" applyFont="1" applyFill="1" applyBorder="1" applyAlignment="1" applyProtection="1">
      <alignment horizontal="center" vertical="center" wrapText="1"/>
    </xf>
    <xf numFmtId="0" fontId="25" fillId="21" borderId="35" xfId="58" applyFont="1" applyFill="1" applyBorder="1" applyAlignment="1" applyProtection="1">
      <alignment horizontal="center" vertical="center"/>
    </xf>
    <xf numFmtId="0" fontId="32" fillId="8" borderId="39" xfId="58" applyFont="1" applyFill="1" applyBorder="1" applyAlignment="1" applyProtection="1">
      <alignment horizontal="center" vertical="center" wrapText="1"/>
    </xf>
    <xf numFmtId="0" fontId="31" fillId="30" borderId="0" xfId="58" applyFont="1" applyFill="1" applyBorder="1" applyAlignment="1" applyProtection="1">
      <alignment horizontal="left" vertical="center"/>
    </xf>
    <xf numFmtId="0" fontId="24" fillId="30" borderId="21" xfId="58" applyFont="1" applyFill="1" applyBorder="1" applyAlignment="1" applyProtection="1">
      <alignment vertical="center"/>
    </xf>
    <xf numFmtId="0" fontId="24" fillId="30" borderId="0" xfId="58" applyFont="1" applyFill="1" applyBorder="1" applyAlignment="1" applyProtection="1">
      <alignment vertical="center"/>
    </xf>
    <xf numFmtId="0" fontId="24" fillId="30" borderId="12" xfId="58" applyFont="1" applyFill="1" applyBorder="1" applyAlignment="1" applyProtection="1">
      <alignment vertical="center"/>
    </xf>
    <xf numFmtId="0" fontId="24" fillId="14" borderId="34" xfId="58" applyFont="1" applyFill="1" applyBorder="1" applyAlignment="1" applyProtection="1">
      <alignment horizontal="center" vertical="center"/>
    </xf>
    <xf numFmtId="0" fontId="24" fillId="14" borderId="22" xfId="58" applyFont="1" applyFill="1" applyBorder="1" applyAlignment="1" applyProtection="1">
      <alignment horizontal="center" vertical="center"/>
    </xf>
    <xf numFmtId="0" fontId="24" fillId="14" borderId="63" xfId="58" applyFont="1" applyFill="1" applyBorder="1" applyAlignment="1" applyProtection="1">
      <alignment horizontal="center" vertical="center"/>
    </xf>
    <xf numFmtId="0" fontId="50" fillId="0" borderId="0" xfId="58" applyNumberFormat="1" applyFont="1" applyFill="1" applyBorder="1" applyAlignment="1" applyProtection="1">
      <alignment vertical="center"/>
    </xf>
    <xf numFmtId="9" fontId="24" fillId="11" borderId="14" xfId="58" applyNumberFormat="1" applyFont="1" applyFill="1" applyBorder="1" applyAlignment="1" applyProtection="1">
      <alignment horizontal="left" vertical="center" indent="1"/>
    </xf>
    <xf numFmtId="197" fontId="24" fillId="11" borderId="14" xfId="58" applyNumberFormat="1" applyFont="1" applyFill="1" applyBorder="1" applyAlignment="1" applyProtection="1">
      <alignment horizontal="left" vertical="center" wrapText="1" indent="1"/>
    </xf>
    <xf numFmtId="0" fontId="24" fillId="0" borderId="11" xfId="58" applyNumberFormat="1" applyFont="1" applyFill="1" applyBorder="1" applyAlignment="1" applyProtection="1">
      <alignment horizontal="left" vertical="center" wrapText="1" indent="1"/>
    </xf>
    <xf numFmtId="197" fontId="24" fillId="0" borderId="27" xfId="58" applyNumberFormat="1" applyFont="1" applyFill="1" applyBorder="1" applyAlignment="1" applyProtection="1">
      <alignment horizontal="left" vertical="center" wrapText="1" indent="1"/>
    </xf>
    <xf numFmtId="1" fontId="24" fillId="10" borderId="0" xfId="58" applyNumberFormat="1" applyFont="1" applyFill="1" applyBorder="1" applyAlignment="1" applyProtection="1">
      <alignment horizontal="right" vertical="center"/>
    </xf>
    <xf numFmtId="0" fontId="24" fillId="0" borderId="11" xfId="58" quotePrefix="1" applyNumberFormat="1" applyFont="1" applyFill="1" applyBorder="1" applyAlignment="1" applyProtection="1">
      <alignment horizontal="left" vertical="center" wrapText="1" indent="1"/>
    </xf>
    <xf numFmtId="0" fontId="24" fillId="8" borderId="39" xfId="58" applyFont="1" applyFill="1" applyBorder="1" applyAlignment="1" applyProtection="1">
      <alignment horizontal="center" vertical="center" wrapText="1"/>
    </xf>
    <xf numFmtId="0" fontId="24" fillId="8" borderId="4" xfId="58" applyFont="1" applyFill="1" applyBorder="1" applyAlignment="1" applyProtection="1">
      <alignment horizontal="center" vertical="center" wrapText="1"/>
    </xf>
    <xf numFmtId="0" fontId="24" fillId="8" borderId="32" xfId="58" applyFont="1" applyFill="1" applyBorder="1" applyAlignment="1" applyProtection="1">
      <alignment horizontal="center" vertical="center" wrapText="1"/>
    </xf>
    <xf numFmtId="0" fontId="24" fillId="8" borderId="39" xfId="58" applyFont="1" applyFill="1" applyBorder="1" applyAlignment="1" applyProtection="1">
      <alignment vertical="center" wrapText="1"/>
    </xf>
    <xf numFmtId="0" fontId="24" fillId="8" borderId="4" xfId="58" applyFont="1" applyFill="1" applyBorder="1" applyAlignment="1" applyProtection="1">
      <alignment vertical="center" wrapText="1"/>
    </xf>
    <xf numFmtId="0" fontId="24" fillId="8" borderId="32" xfId="58" applyFont="1" applyFill="1" applyBorder="1" applyAlignment="1" applyProtection="1">
      <alignment vertical="center" wrapText="1"/>
    </xf>
    <xf numFmtId="198" fontId="24" fillId="10" borderId="8" xfId="58" applyNumberFormat="1" applyFont="1" applyFill="1" applyBorder="1" applyAlignment="1" applyProtection="1">
      <alignment horizontal="right" vertical="center"/>
    </xf>
    <xf numFmtId="0" fontId="31" fillId="22" borderId="0" xfId="58" applyFont="1" applyFill="1" applyBorder="1" applyAlignment="1" applyProtection="1">
      <alignment horizontal="left" vertical="center"/>
      <protection locked="0"/>
    </xf>
    <xf numFmtId="0" fontId="24" fillId="15" borderId="38" xfId="58" applyFont="1" applyFill="1" applyBorder="1" applyAlignment="1" applyProtection="1">
      <alignment horizontal="center" vertical="center"/>
      <protection locked="0"/>
    </xf>
    <xf numFmtId="0" fontId="35" fillId="0" borderId="0" xfId="58" applyFont="1" applyFill="1" applyBorder="1" applyAlignment="1" applyProtection="1">
      <alignment vertical="center"/>
    </xf>
    <xf numFmtId="0" fontId="35" fillId="0" borderId="0" xfId="58" applyNumberFormat="1" applyFont="1" applyFill="1" applyBorder="1" applyAlignment="1" applyProtection="1">
      <alignment vertical="center"/>
    </xf>
    <xf numFmtId="0" fontId="24" fillId="15" borderId="1" xfId="58" applyFont="1" applyFill="1" applyBorder="1" applyAlignment="1" applyProtection="1">
      <alignment horizontal="center" vertical="center"/>
      <protection locked="0"/>
    </xf>
    <xf numFmtId="0" fontId="24" fillId="15" borderId="9" xfId="58" applyFont="1" applyFill="1" applyBorder="1" applyAlignment="1" applyProtection="1">
      <alignment horizontal="center" vertical="center"/>
      <protection locked="0"/>
    </xf>
    <xf numFmtId="0" fontId="24" fillId="15" borderId="5" xfId="58" applyFont="1" applyFill="1" applyBorder="1" applyAlignment="1" applyProtection="1">
      <alignment horizontal="center" vertical="center"/>
      <protection locked="0"/>
    </xf>
    <xf numFmtId="0" fontId="24" fillId="15" borderId="33" xfId="58" applyFont="1" applyFill="1" applyBorder="1" applyAlignment="1" applyProtection="1">
      <alignment horizontal="center" vertical="center"/>
      <protection locked="0"/>
    </xf>
    <xf numFmtId="0" fontId="24" fillId="15" borderId="2" xfId="58" applyFont="1" applyFill="1" applyBorder="1" applyAlignment="1" applyProtection="1">
      <alignment horizontal="center" vertical="center"/>
      <protection locked="0"/>
    </xf>
    <xf numFmtId="0" fontId="24" fillId="15" borderId="31" xfId="58" applyFont="1" applyFill="1" applyBorder="1" applyAlignment="1" applyProtection="1">
      <alignment horizontal="center" vertical="center"/>
      <protection locked="0"/>
    </xf>
    <xf numFmtId="0" fontId="38" fillId="0" borderId="0" xfId="58" applyNumberFormat="1" applyFont="1" applyFill="1" applyBorder="1" applyAlignment="1" applyProtection="1">
      <alignment horizontal="right" vertical="center" indent="1"/>
    </xf>
    <xf numFmtId="200" fontId="9" fillId="10" borderId="8" xfId="58" applyNumberFormat="1" applyFont="1" applyFill="1" applyBorder="1" applyAlignment="1" applyProtection="1">
      <alignment horizontal="right" vertical="center"/>
    </xf>
    <xf numFmtId="9" fontId="24" fillId="0" borderId="0" xfId="58" applyNumberFormat="1" applyFont="1" applyFill="1" applyBorder="1" applyAlignment="1" applyProtection="1">
      <alignment vertical="center"/>
    </xf>
    <xf numFmtId="4" fontId="24" fillId="0" borderId="0" xfId="58" applyNumberFormat="1" applyFont="1" applyFill="1" applyBorder="1" applyAlignment="1" applyProtection="1">
      <alignment vertical="center"/>
    </xf>
    <xf numFmtId="2" fontId="24" fillId="32" borderId="13" xfId="58" applyNumberFormat="1" applyFont="1" applyFill="1" applyBorder="1" applyAlignment="1" applyProtection="1">
      <alignment horizontal="right" vertical="center"/>
    </xf>
    <xf numFmtId="0" fontId="24" fillId="0" borderId="17" xfId="58" applyNumberFormat="1" applyFont="1" applyFill="1" applyBorder="1" applyAlignment="1" applyProtection="1">
      <alignment horizontal="left" vertical="center" wrapText="1" indent="1"/>
    </xf>
    <xf numFmtId="3" fontId="35" fillId="0" borderId="0" xfId="0" applyFont="1" applyAlignment="1" applyProtection="1">
      <alignment horizontal="left" vertical="center" indent="1"/>
    </xf>
    <xf numFmtId="4" fontId="35" fillId="0" borderId="67" xfId="0" applyNumberFormat="1" applyFont="1" applyBorder="1" applyProtection="1">
      <alignment vertical="center"/>
    </xf>
    <xf numFmtId="205" fontId="24" fillId="0" borderId="0" xfId="58" applyNumberFormat="1" applyFont="1" applyFill="1" applyBorder="1" applyAlignment="1" applyProtection="1">
      <alignment horizontal="center" vertical="center"/>
    </xf>
    <xf numFmtId="196" fontId="24" fillId="0" borderId="11" xfId="58" applyNumberFormat="1" applyFont="1" applyFill="1" applyBorder="1" applyAlignment="1" applyProtection="1">
      <alignment horizontal="left" vertical="center" wrapText="1" indent="1"/>
      <protection locked="0"/>
    </xf>
    <xf numFmtId="200" fontId="35" fillId="0" borderId="0" xfId="58" applyNumberFormat="1" applyFont="1" applyFill="1" applyBorder="1" applyAlignment="1" applyProtection="1">
      <alignment horizontal="center" vertical="center"/>
    </xf>
    <xf numFmtId="0" fontId="9" fillId="0" borderId="12" xfId="58" applyNumberFormat="1" applyFont="1" applyFill="1" applyBorder="1" applyAlignment="1" applyProtection="1">
      <alignment horizontal="left" vertical="center" wrapText="1" indent="1"/>
    </xf>
    <xf numFmtId="3" fontId="0" fillId="0" borderId="0" xfId="0" applyAlignment="1">
      <alignment horizontal="center"/>
    </xf>
    <xf numFmtId="3" fontId="9" fillId="17" borderId="1" xfId="55" applyFill="1" applyBorder="1" applyAlignment="1" applyProtection="1">
      <alignment horizontal="left" vertical="center"/>
    </xf>
    <xf numFmtId="197" fontId="24" fillId="0" borderId="21" xfId="58" applyNumberFormat="1" applyFont="1" applyFill="1" applyBorder="1" applyAlignment="1" applyProtection="1">
      <alignment horizontal="left" vertical="center" indent="1"/>
      <protection locked="0"/>
    </xf>
    <xf numFmtId="198" fontId="24" fillId="10" borderId="0" xfId="58" applyNumberFormat="1" applyFont="1" applyFill="1" applyBorder="1" applyAlignment="1" applyProtection="1">
      <alignment horizontal="right" vertical="center"/>
      <protection locked="0"/>
    </xf>
    <xf numFmtId="198" fontId="24" fillId="10" borderId="10" xfId="58" applyNumberFormat="1" applyFont="1" applyFill="1" applyBorder="1" applyAlignment="1" applyProtection="1">
      <alignment horizontal="right" vertical="center"/>
      <protection locked="0"/>
    </xf>
    <xf numFmtId="0" fontId="24" fillId="0" borderId="8" xfId="58" applyNumberFormat="1" applyFont="1" applyFill="1" applyBorder="1" applyAlignment="1" applyProtection="1">
      <alignment horizontal="left" vertical="center" indent="1"/>
      <protection locked="0"/>
    </xf>
    <xf numFmtId="0" fontId="24" fillId="0" borderId="8" xfId="58" applyNumberFormat="1" applyFont="1" applyFill="1" applyBorder="1" applyAlignment="1" applyProtection="1">
      <alignment vertical="center"/>
      <protection locked="0"/>
    </xf>
    <xf numFmtId="204" fontId="24" fillId="10" borderId="0" xfId="58" applyNumberFormat="1" applyFont="1" applyFill="1" applyBorder="1" applyAlignment="1" applyProtection="1">
      <alignment horizontal="right" vertical="center"/>
    </xf>
    <xf numFmtId="197" fontId="24" fillId="0" borderId="12" xfId="58" applyNumberFormat="1" applyFont="1" applyFill="1" applyBorder="1" applyAlignment="1" applyProtection="1">
      <alignment horizontal="left" vertical="center" wrapText="1" indent="1"/>
    </xf>
    <xf numFmtId="197" fontId="24" fillId="11" borderId="13" xfId="58" applyNumberFormat="1" applyFont="1" applyFill="1" applyBorder="1" applyAlignment="1" applyProtection="1">
      <alignment horizontal="left" vertical="center" indent="1"/>
    </xf>
    <xf numFmtId="197" fontId="24" fillId="11" borderId="28" xfId="58" applyNumberFormat="1" applyFont="1" applyFill="1" applyBorder="1" applyAlignment="1" applyProtection="1">
      <alignment horizontal="left" vertical="center" indent="1"/>
    </xf>
    <xf numFmtId="0" fontId="24" fillId="0" borderId="0" xfId="58" quotePrefix="1" applyNumberFormat="1" applyFont="1" applyFill="1" applyBorder="1" applyAlignment="1" applyProtection="1">
      <alignment horizontal="left" vertical="center" indent="1"/>
      <protection locked="0"/>
    </xf>
    <xf numFmtId="196" fontId="24" fillId="0" borderId="0" xfId="58" applyNumberFormat="1" applyFont="1" applyFill="1" applyBorder="1" applyAlignment="1" applyProtection="1">
      <alignment horizontal="left" vertical="center" indent="1"/>
      <protection locked="0"/>
    </xf>
    <xf numFmtId="196" fontId="24" fillId="0" borderId="10" xfId="58" applyNumberFormat="1" applyFont="1" applyFill="1" applyBorder="1" applyAlignment="1" applyProtection="1">
      <alignment horizontal="left" vertical="center" indent="1"/>
      <protection locked="0"/>
    </xf>
    <xf numFmtId="0" fontId="24" fillId="0" borderId="0" xfId="58" quotePrefix="1" applyNumberFormat="1" applyFont="1" applyFill="1" applyBorder="1" applyAlignment="1" applyProtection="1">
      <alignment horizontal="left" vertical="center" indent="1"/>
    </xf>
    <xf numFmtId="196" fontId="24" fillId="0" borderId="0" xfId="58" quotePrefix="1" applyNumberFormat="1" applyFont="1" applyFill="1" applyBorder="1" applyAlignment="1" applyProtection="1">
      <alignment horizontal="left" vertical="center" indent="1"/>
      <protection locked="0"/>
    </xf>
    <xf numFmtId="9" fontId="24" fillId="0" borderId="0" xfId="58" quotePrefix="1" applyNumberFormat="1" applyFont="1" applyFill="1" applyBorder="1" applyAlignment="1" applyProtection="1">
      <alignment horizontal="left" vertical="center" indent="1"/>
    </xf>
    <xf numFmtId="196" fontId="24" fillId="0" borderId="0" xfId="58" applyNumberFormat="1" applyFont="1" applyFill="1" applyBorder="1" applyAlignment="1" applyProtection="1">
      <alignment horizontal="left" vertical="center" wrapText="1" indent="1"/>
      <protection locked="0"/>
    </xf>
    <xf numFmtId="0" fontId="24" fillId="0" borderId="0" xfId="58" quotePrefix="1" applyNumberFormat="1" applyFont="1" applyFill="1" applyBorder="1" applyAlignment="1" applyProtection="1">
      <alignment horizontal="left" vertical="center" wrapText="1" indent="1"/>
    </xf>
    <xf numFmtId="197" fontId="24" fillId="0" borderId="0" xfId="58" applyNumberFormat="1" applyFont="1" applyFill="1" applyBorder="1" applyAlignment="1" applyProtection="1">
      <alignment horizontal="left" vertical="center" wrapText="1" indent="1"/>
    </xf>
    <xf numFmtId="196" fontId="24" fillId="0" borderId="8" xfId="58" applyNumberFormat="1" applyFont="1" applyFill="1" applyBorder="1" applyAlignment="1" applyProtection="1">
      <alignment horizontal="left" vertical="center" indent="1"/>
    </xf>
    <xf numFmtId="9" fontId="24" fillId="0" borderId="0" xfId="58" quotePrefix="1" applyNumberFormat="1" applyFont="1" applyFill="1" applyBorder="1" applyAlignment="1" applyProtection="1">
      <alignment horizontal="left" vertical="center" indent="1"/>
      <protection locked="0"/>
    </xf>
    <xf numFmtId="196" fontId="24" fillId="0" borderId="0" xfId="58" quotePrefix="1" applyNumberFormat="1" applyFont="1" applyFill="1" applyBorder="1" applyAlignment="1" applyProtection="1">
      <alignment horizontal="left" vertical="center" indent="1"/>
    </xf>
    <xf numFmtId="9" fontId="24" fillId="0" borderId="0" xfId="95" quotePrefix="1" applyFont="1" applyFill="1" applyBorder="1" applyAlignment="1" applyProtection="1">
      <alignment horizontal="left" vertical="center" indent="1"/>
    </xf>
    <xf numFmtId="0" fontId="42" fillId="0" borderId="0" xfId="58" quotePrefix="1" applyNumberFormat="1" applyFont="1" applyFill="1" applyBorder="1" applyAlignment="1" applyProtection="1">
      <alignment horizontal="left" vertical="center" indent="1"/>
      <protection locked="0"/>
    </xf>
    <xf numFmtId="197" fontId="24" fillId="0" borderId="0" xfId="58" quotePrefix="1" applyNumberFormat="1" applyFont="1" applyFill="1" applyBorder="1" applyAlignment="1" applyProtection="1">
      <alignment horizontal="left" vertical="center" indent="1"/>
    </xf>
    <xf numFmtId="196" fontId="24" fillId="0" borderId="10" xfId="58" applyNumberFormat="1" applyFont="1" applyFill="1" applyBorder="1" applyAlignment="1" applyProtection="1">
      <alignment horizontal="left" vertical="center" indent="1"/>
    </xf>
    <xf numFmtId="206" fontId="24" fillId="11" borderId="13" xfId="58" applyNumberFormat="1" applyFont="1" applyFill="1" applyBorder="1" applyAlignment="1" applyProtection="1">
      <alignment horizontal="right" vertical="center"/>
    </xf>
    <xf numFmtId="3" fontId="9" fillId="0" borderId="0" xfId="0" applyFont="1" applyProtection="1">
      <alignment vertical="center"/>
    </xf>
    <xf numFmtId="0" fontId="38" fillId="0" borderId="0" xfId="58" applyNumberFormat="1" applyFont="1" applyFill="1" applyBorder="1" applyAlignment="1" applyProtection="1">
      <alignment vertical="center"/>
    </xf>
    <xf numFmtId="0" fontId="24" fillId="0" borderId="5" xfId="58" applyNumberFormat="1" applyFont="1" applyFill="1" applyBorder="1" applyAlignment="1" applyProtection="1">
      <alignment horizontal="left" vertical="center" wrapText="1" indent="1"/>
    </xf>
    <xf numFmtId="0" fontId="72" fillId="0" borderId="0" xfId="58" applyNumberFormat="1" applyFont="1" applyFill="1" applyBorder="1" applyAlignment="1" applyProtection="1">
      <alignment horizontal="left" vertical="center" indent="1"/>
    </xf>
    <xf numFmtId="0" fontId="72" fillId="0" borderId="0" xfId="58" applyFont="1" applyFill="1" applyBorder="1" applyAlignment="1" applyProtection="1">
      <alignment horizontal="left" vertical="center"/>
    </xf>
    <xf numFmtId="3" fontId="72" fillId="0" borderId="0" xfId="0" applyFont="1" applyFill="1" applyAlignment="1" applyProtection="1">
      <alignment horizontal="left" vertical="center"/>
    </xf>
    <xf numFmtId="0" fontId="85" fillId="0" borderId="0" xfId="473"/>
    <xf numFmtId="3" fontId="75" fillId="0" borderId="0" xfId="473" applyNumberFormat="1" applyFont="1" applyFill="1" applyBorder="1"/>
    <xf numFmtId="0" fontId="85" fillId="0" borderId="0" xfId="473" applyFill="1" applyBorder="1"/>
    <xf numFmtId="0" fontId="74" fillId="0" borderId="0" xfId="473" applyFont="1" applyFill="1" applyBorder="1"/>
    <xf numFmtId="204" fontId="75" fillId="0" borderId="0" xfId="473" applyNumberFormat="1" applyFont="1" applyFill="1" applyBorder="1"/>
    <xf numFmtId="2" fontId="38" fillId="0" borderId="0" xfId="58" applyNumberFormat="1" applyFont="1" applyFill="1" applyBorder="1" applyAlignment="1" applyProtection="1">
      <alignment horizontal="left" vertical="center"/>
    </xf>
    <xf numFmtId="0" fontId="24" fillId="61" borderId="22" xfId="58" applyNumberFormat="1" applyFont="1" applyFill="1" applyBorder="1" applyAlignment="1" applyProtection="1">
      <alignment horizontal="left" vertical="center" wrapText="1"/>
    </xf>
    <xf numFmtId="0" fontId="24" fillId="61" borderId="23" xfId="58" applyNumberFormat="1" applyFont="1" applyFill="1" applyBorder="1" applyAlignment="1" applyProtection="1">
      <alignment horizontal="right" vertical="center" indent="1"/>
    </xf>
    <xf numFmtId="1" fontId="25" fillId="61" borderId="23" xfId="58" applyNumberFormat="1" applyFont="1" applyFill="1" applyBorder="1" applyAlignment="1" applyProtection="1">
      <alignment horizontal="center" vertical="center"/>
    </xf>
    <xf numFmtId="1" fontId="25" fillId="61" borderId="24" xfId="58" applyNumberFormat="1" applyFont="1" applyFill="1" applyBorder="1" applyAlignment="1" applyProtection="1">
      <alignment horizontal="center" vertical="center"/>
    </xf>
    <xf numFmtId="0" fontId="24" fillId="61" borderId="16" xfId="58" applyNumberFormat="1" applyFont="1" applyFill="1" applyBorder="1" applyAlignment="1" applyProtection="1">
      <alignment horizontal="left" vertical="center" indent="1"/>
    </xf>
    <xf numFmtId="0" fontId="24" fillId="61" borderId="8" xfId="58" applyNumberFormat="1" applyFont="1" applyFill="1" applyBorder="1" applyAlignment="1" applyProtection="1">
      <alignment horizontal="left" vertical="center" indent="1"/>
    </xf>
    <xf numFmtId="0" fontId="24" fillId="61" borderId="21" xfId="58" applyNumberFormat="1" applyFont="1" applyFill="1" applyBorder="1" applyAlignment="1" applyProtection="1">
      <alignment horizontal="left" vertical="center" indent="1"/>
    </xf>
    <xf numFmtId="0" fontId="24" fillId="61" borderId="0" xfId="58" applyNumberFormat="1" applyFont="1" applyFill="1" applyBorder="1" applyAlignment="1" applyProtection="1">
      <alignment horizontal="left" vertical="center" indent="1"/>
    </xf>
    <xf numFmtId="0" fontId="24" fillId="61" borderId="20" xfId="58" applyNumberFormat="1" applyFont="1" applyFill="1" applyBorder="1" applyAlignment="1" applyProtection="1">
      <alignment horizontal="left" vertical="center" indent="1"/>
    </xf>
    <xf numFmtId="0" fontId="24" fillId="61" borderId="10" xfId="58" applyNumberFormat="1" applyFont="1" applyFill="1" applyBorder="1" applyAlignment="1" applyProtection="1">
      <alignment horizontal="left" vertical="center" indent="1"/>
    </xf>
    <xf numFmtId="0" fontId="24" fillId="61" borderId="0" xfId="58" applyNumberFormat="1" applyFont="1" applyFill="1" applyBorder="1" applyAlignment="1" applyProtection="1">
      <alignment horizontal="right" vertical="center" indent="1"/>
    </xf>
    <xf numFmtId="0" fontId="24" fillId="61" borderId="10" xfId="58" applyNumberFormat="1" applyFont="1" applyFill="1" applyBorder="1" applyAlignment="1" applyProtection="1">
      <alignment horizontal="right" vertical="center" indent="1"/>
    </xf>
    <xf numFmtId="0" fontId="38" fillId="0" borderId="56" xfId="58" applyNumberFormat="1" applyFont="1" applyFill="1" applyBorder="1" applyAlignment="1" applyProtection="1">
      <alignment horizontal="left" vertical="center" wrapText="1"/>
    </xf>
    <xf numFmtId="2" fontId="24" fillId="0" borderId="0" xfId="58" applyNumberFormat="1" applyFont="1" applyFill="1" applyBorder="1" applyAlignment="1" applyProtection="1">
      <alignment horizontal="left" vertical="center"/>
    </xf>
    <xf numFmtId="0" fontId="38" fillId="0" borderId="0" xfId="58" applyNumberFormat="1" applyFont="1" applyFill="1" applyBorder="1" applyAlignment="1" applyProtection="1">
      <alignment horizontal="left" vertical="center" indent="1"/>
    </xf>
    <xf numFmtId="0" fontId="38" fillId="0" borderId="0" xfId="58" applyNumberFormat="1" applyFont="1" applyFill="1" applyBorder="1" applyAlignment="1" applyProtection="1">
      <alignment horizontal="left" vertical="center" wrapText="1"/>
    </xf>
    <xf numFmtId="2" fontId="74" fillId="0" borderId="0" xfId="473" applyNumberFormat="1" applyFont="1" applyFill="1" applyBorder="1"/>
    <xf numFmtId="2" fontId="4" fillId="0" borderId="0" xfId="473" applyNumberFormat="1" applyFont="1" applyFill="1" applyBorder="1"/>
    <xf numFmtId="1" fontId="85" fillId="0" borderId="0" xfId="473" applyNumberFormat="1" applyFill="1" applyBorder="1"/>
    <xf numFmtId="200" fontId="24" fillId="15" borderId="24" xfId="58" applyNumberFormat="1" applyFont="1" applyFill="1" applyBorder="1" applyAlignment="1" applyProtection="1">
      <alignment horizontal="center" vertical="center"/>
    </xf>
    <xf numFmtId="200" fontId="24" fillId="15" borderId="22" xfId="58" applyNumberFormat="1" applyFont="1" applyFill="1" applyBorder="1" applyAlignment="1" applyProtection="1">
      <alignment horizontal="center" vertical="center"/>
    </xf>
    <xf numFmtId="0" fontId="24" fillId="0" borderId="0" xfId="58" applyNumberFormat="1" applyFont="1" applyFill="1" applyBorder="1" applyAlignment="1" applyProtection="1">
      <alignment vertical="center" wrapText="1"/>
    </xf>
    <xf numFmtId="0" fontId="25" fillId="0" borderId="12" xfId="58" applyNumberFormat="1" applyFont="1" applyFill="1" applyBorder="1" applyAlignment="1" applyProtection="1">
      <alignment horizontal="left" vertical="center" indent="3"/>
    </xf>
    <xf numFmtId="2" fontId="24" fillId="17" borderId="18" xfId="58" applyNumberFormat="1" applyFont="1" applyFill="1" applyBorder="1" applyAlignment="1" applyProtection="1">
      <alignment horizontal="center" vertical="center"/>
    </xf>
    <xf numFmtId="2" fontId="24" fillId="17" borderId="12" xfId="58" applyNumberFormat="1" applyFont="1" applyFill="1" applyBorder="1" applyAlignment="1" applyProtection="1">
      <alignment horizontal="center" vertical="center"/>
    </xf>
    <xf numFmtId="2" fontId="24" fillId="17" borderId="19" xfId="58" applyNumberFormat="1" applyFont="1" applyFill="1" applyBorder="1" applyAlignment="1" applyProtection="1">
      <alignment horizontal="center" vertical="center"/>
    </xf>
    <xf numFmtId="165" fontId="0" fillId="0" borderId="0" xfId="0" applyNumberFormat="1" applyBorder="1" applyProtection="1">
      <alignment vertical="center"/>
    </xf>
    <xf numFmtId="3" fontId="9" fillId="0" borderId="0" xfId="0" applyFont="1" applyBorder="1" applyProtection="1">
      <alignment vertical="center"/>
    </xf>
    <xf numFmtId="3" fontId="24" fillId="0" borderId="0" xfId="58" applyNumberFormat="1" applyFont="1" applyFill="1" applyBorder="1" applyAlignment="1" applyProtection="1">
      <alignment horizontal="center" vertical="center"/>
    </xf>
    <xf numFmtId="10" fontId="24" fillId="0" borderId="0" xfId="58" applyNumberFormat="1" applyFont="1" applyFill="1" applyBorder="1" applyAlignment="1" applyProtection="1">
      <alignment horizontal="right" vertical="center" indent="1"/>
    </xf>
    <xf numFmtId="10" fontId="24" fillId="0" borderId="0" xfId="58" applyNumberFormat="1" applyFont="1" applyFill="1" applyBorder="1" applyAlignment="1" applyProtection="1">
      <alignment horizontal="left" vertical="center" indent="1"/>
    </xf>
    <xf numFmtId="10" fontId="24" fillId="0" borderId="0" xfId="58" applyNumberFormat="1" applyFont="1" applyFill="1" applyBorder="1" applyAlignment="1" applyProtection="1">
      <alignment horizontal="left" vertical="center" wrapText="1"/>
    </xf>
    <xf numFmtId="0" fontId="24" fillId="0" borderId="11" xfId="58" applyNumberFormat="1" applyFont="1" applyFill="1" applyBorder="1" applyAlignment="1" applyProtection="1">
      <alignment horizontal="left" vertical="center" wrapText="1" indent="1"/>
      <protection locked="0"/>
    </xf>
    <xf numFmtId="196" fontId="24" fillId="0" borderId="5" xfId="58" applyNumberFormat="1" applyFont="1" applyFill="1" applyBorder="1" applyAlignment="1" applyProtection="1">
      <alignment horizontal="left" vertical="center" wrapText="1" indent="1"/>
      <protection locked="0"/>
    </xf>
    <xf numFmtId="197" fontId="24" fillId="11" borderId="13" xfId="58" applyNumberFormat="1" applyFont="1" applyFill="1" applyBorder="1" applyAlignment="1" applyProtection="1">
      <alignment horizontal="left" vertical="center" wrapText="1" indent="1"/>
    </xf>
    <xf numFmtId="3" fontId="24" fillId="17" borderId="8" xfId="58" applyNumberFormat="1" applyFont="1" applyFill="1" applyBorder="1" applyAlignment="1" applyProtection="1">
      <alignment horizontal="center" vertical="center"/>
    </xf>
    <xf numFmtId="3" fontId="24" fillId="17" borderId="18" xfId="58" applyNumberFormat="1" applyFont="1" applyFill="1" applyBorder="1" applyAlignment="1" applyProtection="1">
      <alignment horizontal="center" vertical="center"/>
    </xf>
    <xf numFmtId="207" fontId="24" fillId="17" borderId="8" xfId="95" applyNumberFormat="1" applyFont="1" applyFill="1" applyBorder="1" applyAlignment="1" applyProtection="1">
      <alignment horizontal="center" vertical="center"/>
    </xf>
    <xf numFmtId="207" fontId="24" fillId="17" borderId="18" xfId="95" applyNumberFormat="1" applyFont="1" applyFill="1" applyBorder="1" applyAlignment="1" applyProtection="1">
      <alignment horizontal="center" vertical="center"/>
    </xf>
    <xf numFmtId="207" fontId="24" fillId="17" borderId="0" xfId="95" applyNumberFormat="1" applyFont="1" applyFill="1" applyBorder="1" applyAlignment="1" applyProtection="1">
      <alignment horizontal="center" vertical="center"/>
    </xf>
    <xf numFmtId="207" fontId="24" fillId="17" borderId="12" xfId="95" applyNumberFormat="1" applyFont="1" applyFill="1" applyBorder="1" applyAlignment="1" applyProtection="1">
      <alignment horizontal="center" vertical="center"/>
    </xf>
    <xf numFmtId="207" fontId="24" fillId="17" borderId="10" xfId="95" applyNumberFormat="1" applyFont="1" applyFill="1" applyBorder="1" applyAlignment="1" applyProtection="1">
      <alignment horizontal="center" vertical="center"/>
    </xf>
    <xf numFmtId="207" fontId="24" fillId="17" borderId="19" xfId="95" applyNumberFormat="1" applyFont="1" applyFill="1" applyBorder="1" applyAlignment="1" applyProtection="1">
      <alignment horizontal="center" vertical="center"/>
    </xf>
    <xf numFmtId="2" fontId="24" fillId="17" borderId="23" xfId="58" applyNumberFormat="1" applyFont="1" applyFill="1" applyBorder="1" applyAlignment="1" applyProtection="1">
      <alignment horizontal="center" vertical="center"/>
    </xf>
    <xf numFmtId="2" fontId="24" fillId="17" borderId="24" xfId="58" applyNumberFormat="1" applyFont="1" applyFill="1" applyBorder="1" applyAlignment="1" applyProtection="1">
      <alignment horizontal="center" vertical="center"/>
    </xf>
    <xf numFmtId="197" fontId="24" fillId="17" borderId="8" xfId="58" applyNumberFormat="1" applyFont="1" applyFill="1" applyBorder="1" applyAlignment="1" applyProtection="1">
      <alignment horizontal="center" vertical="center"/>
    </xf>
    <xf numFmtId="197" fontId="24" fillId="17" borderId="18" xfId="58" applyNumberFormat="1" applyFont="1" applyFill="1" applyBorder="1" applyAlignment="1" applyProtection="1">
      <alignment horizontal="center" vertical="center"/>
    </xf>
    <xf numFmtId="197" fontId="24" fillId="17" borderId="0" xfId="58" applyNumberFormat="1" applyFont="1" applyFill="1" applyBorder="1" applyAlignment="1" applyProtection="1">
      <alignment horizontal="center" vertical="center"/>
    </xf>
    <xf numFmtId="197" fontId="24" fillId="17" borderId="12" xfId="58" applyNumberFormat="1" applyFont="1" applyFill="1" applyBorder="1" applyAlignment="1" applyProtection="1">
      <alignment horizontal="center" vertical="center"/>
    </xf>
    <xf numFmtId="0" fontId="24" fillId="0" borderId="0" xfId="58" quotePrefix="1" applyNumberFormat="1" applyFont="1" applyFill="1" applyBorder="1" applyAlignment="1" applyProtection="1">
      <alignment horizontal="left" vertical="center" wrapText="1" indent="1"/>
      <protection locked="0"/>
    </xf>
    <xf numFmtId="3" fontId="9" fillId="0" borderId="0" xfId="0" applyFont="1">
      <alignment vertical="center"/>
    </xf>
    <xf numFmtId="0" fontId="24" fillId="24" borderId="1" xfId="58" applyNumberFormat="1" applyFont="1" applyFill="1" applyBorder="1" applyAlignment="1" applyProtection="1">
      <alignment horizontal="left" vertical="center" indent="1"/>
    </xf>
    <xf numFmtId="0" fontId="24" fillId="23" borderId="1" xfId="58" applyNumberFormat="1" applyFont="1" applyFill="1" applyBorder="1" applyAlignment="1" applyProtection="1">
      <alignment horizontal="left" vertical="center" indent="1"/>
    </xf>
    <xf numFmtId="207" fontId="24" fillId="13" borderId="23" xfId="95" applyNumberFormat="1" applyFont="1" applyFill="1" applyBorder="1" applyAlignment="1" applyProtection="1">
      <alignment horizontal="center" vertical="center"/>
    </xf>
    <xf numFmtId="207" fontId="24" fillId="13" borderId="24" xfId="95" applyNumberFormat="1" applyFont="1" applyFill="1" applyBorder="1" applyAlignment="1" applyProtection="1">
      <alignment horizontal="center" vertical="center"/>
    </xf>
    <xf numFmtId="2" fontId="9" fillId="15" borderId="22" xfId="58" applyNumberFormat="1" applyFont="1" applyFill="1" applyBorder="1" applyAlignment="1" applyProtection="1">
      <alignment horizontal="center" vertical="center"/>
    </xf>
    <xf numFmtId="2" fontId="9" fillId="15" borderId="23" xfId="58" applyNumberFormat="1" applyFont="1" applyFill="1" applyBorder="1" applyAlignment="1" applyProtection="1">
      <alignment horizontal="center" vertical="center"/>
    </xf>
    <xf numFmtId="2" fontId="9" fillId="15" borderId="24" xfId="58" applyNumberFormat="1" applyFont="1" applyFill="1" applyBorder="1" applyAlignment="1" applyProtection="1">
      <alignment horizontal="center" vertical="center"/>
    </xf>
    <xf numFmtId="0" fontId="24" fillId="15" borderId="1" xfId="58" applyNumberFormat="1" applyFont="1" applyFill="1" applyBorder="1" applyAlignment="1" applyProtection="1">
      <alignment horizontal="center" vertical="center"/>
      <protection locked="0"/>
    </xf>
    <xf numFmtId="0" fontId="24" fillId="61" borderId="1" xfId="58" applyNumberFormat="1" applyFont="1" applyFill="1" applyBorder="1" applyAlignment="1" applyProtection="1">
      <alignment horizontal="left" vertical="center" indent="1"/>
    </xf>
    <xf numFmtId="207" fontId="24" fillId="13" borderId="0" xfId="95" applyNumberFormat="1" applyFont="1" applyFill="1" applyBorder="1" applyAlignment="1" applyProtection="1">
      <alignment horizontal="center" vertical="center"/>
    </xf>
    <xf numFmtId="207" fontId="24" fillId="13" borderId="10" xfId="95" applyNumberFormat="1" applyFont="1" applyFill="1" applyBorder="1" applyAlignment="1" applyProtection="1">
      <alignment horizontal="center" vertical="center"/>
    </xf>
    <xf numFmtId="207" fontId="24" fillId="13" borderId="12" xfId="95" applyNumberFormat="1" applyFont="1" applyFill="1" applyBorder="1" applyAlignment="1" applyProtection="1">
      <alignment horizontal="center" vertical="center"/>
    </xf>
    <xf numFmtId="207" fontId="24" fillId="13" borderId="19" xfId="95" applyNumberFormat="1" applyFont="1" applyFill="1" applyBorder="1" applyAlignment="1" applyProtection="1">
      <alignment horizontal="center" vertical="center"/>
    </xf>
    <xf numFmtId="1" fontId="24" fillId="14" borderId="8" xfId="58" applyNumberFormat="1" applyFont="1" applyFill="1" applyBorder="1" applyAlignment="1" applyProtection="1">
      <alignment horizontal="center" vertical="center"/>
    </xf>
    <xf numFmtId="1" fontId="24" fillId="14" borderId="18" xfId="58" applyNumberFormat="1" applyFont="1" applyFill="1" applyBorder="1" applyAlignment="1" applyProtection="1">
      <alignment horizontal="center" vertical="center"/>
    </xf>
    <xf numFmtId="1" fontId="24" fillId="14" borderId="16" xfId="58" applyNumberFormat="1" applyFont="1" applyFill="1" applyBorder="1" applyAlignment="1" applyProtection="1">
      <alignment horizontal="center" vertical="center"/>
    </xf>
    <xf numFmtId="1" fontId="24" fillId="14" borderId="0" xfId="58" applyNumberFormat="1" applyFont="1" applyFill="1" applyBorder="1" applyAlignment="1" applyProtection="1">
      <alignment horizontal="center" vertical="center"/>
    </xf>
    <xf numFmtId="1" fontId="24" fillId="14" borderId="12" xfId="58" applyNumberFormat="1" applyFont="1" applyFill="1" applyBorder="1" applyAlignment="1" applyProtection="1">
      <alignment horizontal="center" vertical="center"/>
    </xf>
    <xf numFmtId="1" fontId="24" fillId="14" borderId="21" xfId="58" applyNumberFormat="1" applyFont="1" applyFill="1" applyBorder="1" applyAlignment="1" applyProtection="1">
      <alignment horizontal="center" vertical="center"/>
    </xf>
    <xf numFmtId="1" fontId="24" fillId="14" borderId="10" xfId="58" applyNumberFormat="1" applyFont="1" applyFill="1" applyBorder="1" applyAlignment="1" applyProtection="1">
      <alignment horizontal="center" vertical="center"/>
    </xf>
    <xf numFmtId="1" fontId="24" fillId="14" borderId="19" xfId="58" applyNumberFormat="1" applyFont="1" applyFill="1" applyBorder="1" applyAlignment="1" applyProtection="1">
      <alignment horizontal="center" vertical="center"/>
    </xf>
    <xf numFmtId="1" fontId="24" fillId="14" borderId="20" xfId="58" applyNumberFormat="1" applyFont="1" applyFill="1" applyBorder="1" applyAlignment="1" applyProtection="1">
      <alignment horizontal="center" vertical="center"/>
    </xf>
    <xf numFmtId="0" fontId="25" fillId="21" borderId="35" xfId="58" applyFont="1" applyFill="1" applyBorder="1" applyAlignment="1" applyProtection="1">
      <alignment horizontal="center" vertical="center"/>
    </xf>
    <xf numFmtId="2" fontId="24" fillId="13" borderId="16" xfId="58" applyNumberFormat="1" applyFont="1" applyFill="1" applyBorder="1" applyAlignment="1" applyProtection="1">
      <alignment horizontal="center" vertical="center"/>
    </xf>
    <xf numFmtId="2" fontId="24" fillId="13" borderId="21" xfId="58" applyNumberFormat="1" applyFont="1" applyFill="1" applyBorder="1" applyAlignment="1" applyProtection="1">
      <alignment horizontal="center" vertical="center"/>
    </xf>
    <xf numFmtId="0" fontId="12" fillId="20" borderId="67" xfId="44" quotePrefix="1" applyFill="1" applyBorder="1" applyAlignment="1" applyProtection="1">
      <alignment horizontal="right" vertical="center"/>
    </xf>
    <xf numFmtId="2" fontId="24" fillId="13" borderId="20" xfId="58" applyNumberFormat="1" applyFont="1" applyFill="1" applyBorder="1" applyAlignment="1" applyProtection="1">
      <alignment horizontal="center" vertical="center"/>
    </xf>
    <xf numFmtId="0" fontId="24" fillId="61" borderId="20" xfId="58" applyNumberFormat="1" applyFont="1" applyFill="1" applyBorder="1" applyAlignment="1" applyProtection="1">
      <alignment horizontal="left" vertical="center" wrapText="1" indent="1"/>
    </xf>
    <xf numFmtId="0" fontId="24" fillId="9" borderId="7" xfId="58" applyFont="1" applyFill="1" applyBorder="1" applyAlignment="1" applyProtection="1">
      <alignment vertical="center"/>
    </xf>
    <xf numFmtId="0" fontId="24" fillId="9" borderId="60" xfId="58" applyFont="1" applyFill="1" applyBorder="1" applyAlignment="1" applyProtection="1">
      <alignment vertical="center"/>
    </xf>
    <xf numFmtId="0" fontId="24" fillId="9" borderId="66" xfId="58" applyFont="1" applyFill="1" applyBorder="1" applyAlignment="1" applyProtection="1">
      <alignment vertical="center"/>
    </xf>
    <xf numFmtId="0" fontId="24" fillId="9" borderId="62" xfId="58" applyFont="1" applyFill="1" applyBorder="1" applyAlignment="1" applyProtection="1">
      <alignment vertical="center"/>
    </xf>
    <xf numFmtId="0" fontId="24" fillId="9" borderId="29" xfId="58" applyFont="1" applyFill="1" applyBorder="1" applyAlignment="1" applyProtection="1">
      <alignment vertical="center"/>
    </xf>
    <xf numFmtId="208" fontId="9" fillId="0" borderId="0" xfId="0" applyNumberFormat="1" applyFont="1" applyFill="1" applyBorder="1" applyAlignment="1">
      <alignment vertical="center"/>
    </xf>
    <xf numFmtId="208" fontId="9" fillId="0" borderId="12" xfId="0" applyNumberFormat="1" applyFont="1" applyFill="1" applyBorder="1" applyAlignment="1">
      <alignment vertical="center"/>
    </xf>
    <xf numFmtId="196" fontId="24" fillId="0" borderId="0" xfId="58" applyNumberFormat="1" applyFont="1" applyFill="1" applyBorder="1" applyAlignment="1" applyProtection="1">
      <alignment vertical="center"/>
    </xf>
    <xf numFmtId="198" fontId="24" fillId="0" borderId="0" xfId="58" applyNumberFormat="1" applyFont="1" applyFill="1" applyBorder="1" applyAlignment="1" applyProtection="1">
      <alignment horizontal="right" vertical="center"/>
    </xf>
    <xf numFmtId="197" fontId="24" fillId="11" borderId="27" xfId="58" applyNumberFormat="1" applyFont="1" applyFill="1" applyBorder="1" applyAlignment="1" applyProtection="1">
      <alignment horizontal="left" vertical="center" wrapText="1" indent="1"/>
    </xf>
    <xf numFmtId="196" fontId="24" fillId="0" borderId="17" xfId="58" quotePrefix="1" applyNumberFormat="1" applyFont="1" applyFill="1" applyBorder="1" applyAlignment="1" applyProtection="1">
      <alignment horizontal="left" vertical="center" indent="1"/>
    </xf>
    <xf numFmtId="197" fontId="24" fillId="0" borderId="18" xfId="58" applyNumberFormat="1" applyFont="1" applyFill="1" applyBorder="1" applyAlignment="1" applyProtection="1">
      <alignment horizontal="left" vertical="center" wrapText="1" indent="1"/>
    </xf>
    <xf numFmtId="196" fontId="24" fillId="0" borderId="12" xfId="58" applyNumberFormat="1" applyFont="1" applyFill="1" applyBorder="1" applyAlignment="1" applyProtection="1">
      <alignment horizontal="left" vertical="center" indent="1"/>
      <protection locked="0"/>
    </xf>
    <xf numFmtId="196" fontId="24" fillId="0" borderId="19" xfId="58" applyNumberFormat="1" applyFont="1" applyFill="1" applyBorder="1" applyAlignment="1" applyProtection="1">
      <alignment horizontal="left" vertical="center" indent="1"/>
      <protection locked="0"/>
    </xf>
    <xf numFmtId="9" fontId="24" fillId="15" borderId="9" xfId="95" applyFont="1" applyFill="1" applyBorder="1" applyAlignment="1" applyProtection="1">
      <alignment horizontal="center" vertical="center" wrapText="1"/>
      <protection locked="0"/>
    </xf>
    <xf numFmtId="0" fontId="24" fillId="0" borderId="0" xfId="58" applyFont="1" applyFill="1" applyBorder="1" applyAlignment="1" applyProtection="1">
      <alignment horizontal="right" vertical="center" indent="1"/>
    </xf>
    <xf numFmtId="207" fontId="24" fillId="13" borderId="23" xfId="58" applyNumberFormat="1" applyFont="1" applyFill="1" applyBorder="1" applyAlignment="1" applyProtection="1">
      <alignment horizontal="center" vertical="center"/>
    </xf>
    <xf numFmtId="0" fontId="24" fillId="0" borderId="12" xfId="58" applyNumberFormat="1" applyFont="1" applyFill="1" applyBorder="1" applyAlignment="1" applyProtection="1">
      <alignment horizontal="left" vertical="center" wrapText="1" indent="1"/>
    </xf>
    <xf numFmtId="9" fontId="24" fillId="0" borderId="0" xfId="58" quotePrefix="1" applyNumberFormat="1" applyFont="1" applyFill="1" applyBorder="1" applyAlignment="1" applyProtection="1">
      <alignment horizontal="left" vertical="center" wrapText="1" indent="1"/>
    </xf>
    <xf numFmtId="0" fontId="6" fillId="8" borderId="24" xfId="58" applyFont="1" applyFill="1" applyBorder="1" applyAlignment="1" applyProtection="1">
      <alignment horizontal="center" vertical="center"/>
    </xf>
    <xf numFmtId="0" fontId="77" fillId="63" borderId="21" xfId="475" applyFont="1" applyBorder="1" applyAlignment="1" applyProtection="1">
      <alignment vertical="center"/>
    </xf>
    <xf numFmtId="0" fontId="77" fillId="63" borderId="0" xfId="475" applyFont="1" applyBorder="1" applyAlignment="1" applyProtection="1">
      <alignment vertical="center"/>
    </xf>
    <xf numFmtId="0" fontId="77" fillId="63" borderId="12" xfId="475" applyFont="1" applyBorder="1" applyAlignment="1" applyProtection="1">
      <alignment vertical="center"/>
    </xf>
    <xf numFmtId="0" fontId="78" fillId="20" borderId="21" xfId="58" applyFont="1" applyFill="1" applyBorder="1" applyAlignment="1" applyProtection="1">
      <alignment vertical="center"/>
    </xf>
    <xf numFmtId="0" fontId="79" fillId="20" borderId="0" xfId="58" applyFont="1" applyFill="1" applyBorder="1" applyAlignment="1" applyProtection="1">
      <alignment horizontal="left" vertical="center" indent="1"/>
    </xf>
    <xf numFmtId="0" fontId="78" fillId="20" borderId="0" xfId="58" applyFont="1" applyFill="1" applyBorder="1" applyAlignment="1" applyProtection="1">
      <alignment vertical="center"/>
    </xf>
    <xf numFmtId="0" fontId="78" fillId="20" borderId="12" xfId="58" applyFont="1" applyFill="1" applyBorder="1" applyAlignment="1" applyProtection="1">
      <alignment vertical="center"/>
    </xf>
    <xf numFmtId="0" fontId="80" fillId="20" borderId="0" xfId="58" applyFont="1" applyFill="1" applyBorder="1" applyAlignment="1" applyProtection="1">
      <alignment horizontal="center" vertical="center" wrapText="1"/>
    </xf>
    <xf numFmtId="0" fontId="81" fillId="20" borderId="0" xfId="44" quotePrefix="1" applyFont="1" applyFill="1" applyBorder="1" applyAlignment="1" applyProtection="1">
      <alignment horizontal="right" vertical="center"/>
    </xf>
    <xf numFmtId="0" fontId="78" fillId="64" borderId="43" xfId="58" applyFont="1" applyFill="1" applyBorder="1" applyAlignment="1" applyProtection="1">
      <alignment horizontal="left" vertical="center" indent="1"/>
    </xf>
    <xf numFmtId="0" fontId="78" fillId="65" borderId="44" xfId="58" applyFont="1" applyFill="1" applyBorder="1" applyAlignment="1" applyProtection="1">
      <alignment horizontal="left" vertical="center" indent="1"/>
    </xf>
    <xf numFmtId="0" fontId="78" fillId="67" borderId="44" xfId="58" applyFont="1" applyFill="1" applyBorder="1" applyAlignment="1" applyProtection="1">
      <alignment horizontal="left" vertical="center" indent="1"/>
    </xf>
    <xf numFmtId="0" fontId="78" fillId="68" borderId="44" xfId="58" applyFont="1" applyFill="1" applyBorder="1" applyAlignment="1" applyProtection="1">
      <alignment horizontal="left" vertical="center" indent="1"/>
    </xf>
    <xf numFmtId="0" fontId="78" fillId="69" borderId="44" xfId="58" applyFont="1" applyFill="1" applyBorder="1" applyAlignment="1" applyProtection="1">
      <alignment horizontal="left" vertical="center" indent="1"/>
    </xf>
    <xf numFmtId="0" fontId="78" fillId="67" borderId="45" xfId="58" applyFont="1" applyFill="1" applyBorder="1" applyAlignment="1" applyProtection="1">
      <alignment horizontal="left" vertical="center" indent="1"/>
    </xf>
    <xf numFmtId="3" fontId="81" fillId="20" borderId="0" xfId="44" quotePrefix="1" applyNumberFormat="1" applyFont="1" applyFill="1" applyBorder="1" applyAlignment="1" applyProtection="1">
      <alignment horizontal="right" vertical="center"/>
    </xf>
    <xf numFmtId="0" fontId="81" fillId="20" borderId="0" xfId="44" quotePrefix="1" applyFont="1" applyFill="1" applyBorder="1" applyAlignment="1" applyProtection="1">
      <alignment vertical="center"/>
    </xf>
    <xf numFmtId="0" fontId="80" fillId="20" borderId="0" xfId="58" applyFont="1" applyFill="1" applyBorder="1" applyAlignment="1" applyProtection="1">
      <alignment vertical="center"/>
    </xf>
    <xf numFmtId="0" fontId="78" fillId="20" borderId="21" xfId="58" applyFont="1" applyFill="1" applyBorder="1" applyAlignment="1" applyProtection="1">
      <alignment horizontal="center" vertical="center" wrapText="1"/>
    </xf>
    <xf numFmtId="0" fontId="78" fillId="20" borderId="0" xfId="58" applyFont="1" applyFill="1" applyBorder="1" applyAlignment="1" applyProtection="1">
      <alignment horizontal="left" vertical="center"/>
    </xf>
    <xf numFmtId="0" fontId="78" fillId="20" borderId="0" xfId="58" applyFont="1" applyFill="1" applyBorder="1" applyAlignment="1" applyProtection="1">
      <alignment horizontal="center" vertical="center" wrapText="1"/>
    </xf>
    <xf numFmtId="0" fontId="78" fillId="20" borderId="20" xfId="58" applyFont="1" applyFill="1" applyBorder="1" applyAlignment="1" applyProtection="1">
      <alignment vertical="center"/>
    </xf>
    <xf numFmtId="0" fontId="78" fillId="20" borderId="10" xfId="58" applyFont="1" applyFill="1" applyBorder="1" applyAlignment="1" applyProtection="1">
      <alignment vertical="center"/>
    </xf>
    <xf numFmtId="0" fontId="78" fillId="20" borderId="19" xfId="58" applyFont="1" applyFill="1" applyBorder="1" applyAlignment="1" applyProtection="1">
      <alignment vertical="center"/>
    </xf>
    <xf numFmtId="0" fontId="6" fillId="8" borderId="39" xfId="58" applyFont="1" applyFill="1" applyBorder="1" applyAlignment="1" applyProtection="1">
      <alignment horizontal="left" vertical="center"/>
    </xf>
    <xf numFmtId="0" fontId="6" fillId="8" borderId="4" xfId="58" applyFont="1" applyFill="1" applyBorder="1" applyAlignment="1" applyProtection="1">
      <alignment horizontal="left" vertical="center"/>
    </xf>
    <xf numFmtId="2" fontId="6" fillId="8" borderId="4" xfId="58" applyNumberFormat="1" applyFont="1" applyFill="1" applyBorder="1" applyAlignment="1" applyProtection="1">
      <alignment horizontal="left" vertical="center"/>
    </xf>
    <xf numFmtId="0" fontId="6" fillId="22" borderId="1" xfId="58" applyFont="1" applyFill="1" applyBorder="1" applyAlignment="1" applyProtection="1">
      <alignment horizontal="center" vertical="center"/>
      <protection locked="0"/>
    </xf>
    <xf numFmtId="0" fontId="6" fillId="8" borderId="42" xfId="58" applyFont="1" applyFill="1" applyBorder="1" applyAlignment="1" applyProtection="1">
      <alignment horizontal="center" vertical="center"/>
    </xf>
    <xf numFmtId="0" fontId="6" fillId="22" borderId="9" xfId="58" applyFont="1" applyFill="1" applyBorder="1" applyAlignment="1" applyProtection="1">
      <alignment horizontal="center" vertical="center"/>
      <protection locked="0"/>
    </xf>
    <xf numFmtId="0" fontId="6" fillId="8" borderId="32" xfId="58" applyFont="1" applyFill="1" applyBorder="1" applyAlignment="1" applyProtection="1">
      <alignment horizontal="left" vertical="center"/>
    </xf>
    <xf numFmtId="0" fontId="6" fillId="8" borderId="39" xfId="58" applyFont="1" applyFill="1" applyBorder="1" applyAlignment="1" applyProtection="1">
      <alignment horizontal="center" vertical="center" wrapText="1"/>
    </xf>
    <xf numFmtId="9" fontId="6" fillId="8" borderId="4" xfId="95" applyFont="1" applyFill="1" applyBorder="1" applyAlignment="1" applyProtection="1">
      <alignment horizontal="center" vertical="center" wrapText="1"/>
    </xf>
    <xf numFmtId="9" fontId="6" fillId="8" borderId="32" xfId="95" applyFont="1" applyFill="1" applyBorder="1" applyAlignment="1" applyProtection="1">
      <alignment horizontal="center" vertical="center" wrapText="1"/>
    </xf>
    <xf numFmtId="0" fontId="6" fillId="8" borderId="4" xfId="58" applyFont="1" applyFill="1" applyBorder="1" applyAlignment="1" applyProtection="1">
      <alignment horizontal="center" vertical="center" wrapText="1"/>
    </xf>
    <xf numFmtId="0" fontId="6" fillId="8" borderId="32" xfId="58" applyFont="1" applyFill="1" applyBorder="1" applyAlignment="1" applyProtection="1">
      <alignment horizontal="center" vertical="center" wrapText="1"/>
    </xf>
    <xf numFmtId="0" fontId="6" fillId="8" borderId="39" xfId="58" applyFont="1" applyFill="1" applyBorder="1" applyAlignment="1" applyProtection="1">
      <alignment horizontal="left" vertical="center" wrapText="1"/>
    </xf>
    <xf numFmtId="0" fontId="6" fillId="8" borderId="4" xfId="58" applyFont="1" applyFill="1" applyBorder="1" applyAlignment="1" applyProtection="1">
      <alignment horizontal="left" vertical="center" wrapText="1"/>
    </xf>
    <xf numFmtId="2" fontId="6" fillId="8" borderId="24" xfId="58" applyNumberFormat="1" applyFont="1" applyFill="1" applyBorder="1" applyAlignment="1" applyProtection="1">
      <alignment vertical="center"/>
    </xf>
    <xf numFmtId="2" fontId="6" fillId="8" borderId="1" xfId="58" applyNumberFormat="1" applyFont="1" applyFill="1" applyBorder="1" applyAlignment="1" applyProtection="1">
      <alignment vertical="center"/>
    </xf>
    <xf numFmtId="2" fontId="6" fillId="8" borderId="4" xfId="58" applyNumberFormat="1" applyFont="1" applyFill="1" applyBorder="1" applyAlignment="1" applyProtection="1">
      <alignment vertical="center"/>
    </xf>
    <xf numFmtId="207" fontId="6" fillId="8" borderId="42" xfId="95" applyNumberFormat="1" applyFont="1" applyFill="1" applyBorder="1" applyAlignment="1" applyProtection="1">
      <alignment vertical="center"/>
    </xf>
    <xf numFmtId="207" fontId="6" fillId="8" borderId="9" xfId="95" applyNumberFormat="1" applyFont="1" applyFill="1" applyBorder="1" applyAlignment="1" applyProtection="1">
      <alignment vertical="center"/>
    </xf>
    <xf numFmtId="207" fontId="6" fillId="8" borderId="32" xfId="95" applyNumberFormat="1" applyFont="1" applyFill="1" applyBorder="1" applyAlignment="1" applyProtection="1">
      <alignment vertical="center"/>
    </xf>
    <xf numFmtId="202" fontId="6" fillId="8" borderId="38" xfId="58" applyNumberFormat="1" applyFont="1" applyFill="1" applyBorder="1" applyAlignment="1" applyProtection="1">
      <alignment vertical="center"/>
    </xf>
    <xf numFmtId="202" fontId="6" fillId="8" borderId="39" xfId="58" applyNumberFormat="1" applyFont="1" applyFill="1" applyBorder="1" applyAlignment="1" applyProtection="1">
      <alignment vertical="center"/>
    </xf>
    <xf numFmtId="202" fontId="6" fillId="8" borderId="1" xfId="58" applyNumberFormat="1" applyFont="1" applyFill="1" applyBorder="1" applyAlignment="1" applyProtection="1">
      <alignment vertical="center"/>
    </xf>
    <xf numFmtId="202" fontId="6" fillId="8" borderId="4" xfId="58" applyNumberFormat="1" applyFont="1" applyFill="1" applyBorder="1" applyAlignment="1" applyProtection="1">
      <alignment vertical="center"/>
    </xf>
    <xf numFmtId="0" fontId="6" fillId="66" borderId="44" xfId="58" applyFont="1" applyFill="1" applyBorder="1" applyAlignment="1" applyProtection="1">
      <alignment horizontal="left" vertical="center" wrapText="1" indent="1"/>
    </xf>
    <xf numFmtId="3" fontId="80" fillId="31" borderId="22" xfId="0" applyFont="1" applyFill="1" applyBorder="1" applyAlignment="1">
      <alignment horizontal="left" vertical="center" indent="1"/>
    </xf>
    <xf numFmtId="3" fontId="78" fillId="31" borderId="23" xfId="0" applyFont="1" applyFill="1" applyBorder="1">
      <alignment vertical="center"/>
    </xf>
    <xf numFmtId="3" fontId="78" fillId="31" borderId="24" xfId="0" applyFont="1" applyFill="1" applyBorder="1">
      <alignment vertical="center"/>
    </xf>
    <xf numFmtId="3" fontId="0" fillId="70" borderId="16" xfId="0" applyFill="1" applyBorder="1">
      <alignment vertical="center"/>
    </xf>
    <xf numFmtId="3" fontId="0" fillId="70" borderId="8" xfId="0" applyFill="1" applyBorder="1">
      <alignment vertical="center"/>
    </xf>
    <xf numFmtId="3" fontId="0" fillId="70" borderId="18" xfId="0" applyFill="1" applyBorder="1">
      <alignment vertical="center"/>
    </xf>
    <xf numFmtId="3" fontId="0" fillId="70" borderId="21" xfId="0" applyFill="1" applyBorder="1">
      <alignment vertical="center"/>
    </xf>
    <xf numFmtId="3" fontId="0" fillId="70" borderId="0" xfId="0" applyFill="1" applyBorder="1">
      <alignment vertical="center"/>
    </xf>
    <xf numFmtId="3" fontId="0" fillId="70" borderId="12" xfId="0" applyFill="1" applyBorder="1">
      <alignment vertical="center"/>
    </xf>
    <xf numFmtId="0" fontId="24" fillId="70" borderId="0" xfId="58" applyFont="1" applyFill="1" applyBorder="1" applyAlignment="1" applyProtection="1">
      <alignment vertical="center"/>
    </xf>
    <xf numFmtId="3" fontId="0" fillId="70" borderId="20" xfId="0" applyFill="1" applyBorder="1">
      <alignment vertical="center"/>
    </xf>
    <xf numFmtId="3" fontId="0" fillId="70" borderId="10" xfId="0" applyFill="1" applyBorder="1">
      <alignment vertical="center"/>
    </xf>
    <xf numFmtId="3" fontId="0" fillId="70" borderId="19" xfId="0" applyFill="1" applyBorder="1">
      <alignment vertical="center"/>
    </xf>
    <xf numFmtId="2" fontId="24" fillId="9" borderId="26" xfId="58" applyNumberFormat="1" applyFont="1" applyFill="1" applyBorder="1" applyAlignment="1" applyProtection="1">
      <alignment vertical="center"/>
    </xf>
    <xf numFmtId="2" fontId="24" fillId="9" borderId="77" xfId="58" applyNumberFormat="1" applyFont="1" applyFill="1" applyBorder="1" applyAlignment="1" applyProtection="1">
      <alignment vertical="center"/>
    </xf>
    <xf numFmtId="2" fontId="24" fillId="9" borderId="78" xfId="58" applyNumberFormat="1" applyFont="1" applyFill="1" applyBorder="1" applyAlignment="1" applyProtection="1">
      <alignment vertical="center"/>
    </xf>
    <xf numFmtId="2" fontId="24" fillId="9" borderId="41" xfId="58" applyNumberFormat="1" applyFont="1" applyFill="1" applyBorder="1" applyAlignment="1" applyProtection="1">
      <alignment vertical="center"/>
    </xf>
    <xf numFmtId="2" fontId="24" fillId="9" borderId="38" xfId="58" applyNumberFormat="1" applyFont="1" applyFill="1" applyBorder="1" applyAlignment="1" applyProtection="1">
      <alignment vertical="center"/>
    </xf>
    <xf numFmtId="2" fontId="24" fillId="9" borderId="39" xfId="58" applyNumberFormat="1" applyFont="1" applyFill="1" applyBorder="1" applyAlignment="1" applyProtection="1">
      <alignment vertical="center"/>
    </xf>
    <xf numFmtId="2" fontId="24" fillId="9" borderId="24" xfId="58" applyNumberFormat="1" applyFont="1" applyFill="1" applyBorder="1" applyAlignment="1" applyProtection="1">
      <alignment vertical="center"/>
    </xf>
    <xf numFmtId="2" fontId="24" fillId="9" borderId="1" xfId="58" applyNumberFormat="1" applyFont="1" applyFill="1" applyBorder="1" applyAlignment="1" applyProtection="1">
      <alignment vertical="center"/>
    </xf>
    <xf numFmtId="2" fontId="24" fillId="9" borderId="4" xfId="58" applyNumberFormat="1" applyFont="1" applyFill="1" applyBorder="1" applyAlignment="1" applyProtection="1">
      <alignment vertical="center"/>
    </xf>
    <xf numFmtId="207" fontId="24" fillId="9" borderId="42" xfId="95" applyNumberFormat="1" applyFont="1" applyFill="1" applyBorder="1" applyAlignment="1" applyProtection="1">
      <alignment vertical="center"/>
    </xf>
    <xf numFmtId="207" fontId="24" fillId="9" borderId="9" xfId="95" applyNumberFormat="1" applyFont="1" applyFill="1" applyBorder="1" applyAlignment="1" applyProtection="1">
      <alignment vertical="center"/>
    </xf>
    <xf numFmtId="207" fontId="24" fillId="9" borderId="32" xfId="95" applyNumberFormat="1" applyFont="1" applyFill="1" applyBorder="1" applyAlignment="1" applyProtection="1">
      <alignment vertical="center"/>
    </xf>
    <xf numFmtId="202" fontId="24" fillId="9" borderId="33" xfId="58" applyNumberFormat="1" applyFont="1" applyFill="1" applyBorder="1" applyAlignment="1" applyProtection="1">
      <alignment vertical="center"/>
    </xf>
    <xf numFmtId="202" fontId="24" fillId="9" borderId="38" xfId="58" applyNumberFormat="1" applyFont="1" applyFill="1" applyBorder="1" applyAlignment="1" applyProtection="1">
      <alignment vertical="center"/>
    </xf>
    <xf numFmtId="202" fontId="24" fillId="9" borderId="39" xfId="58" applyNumberFormat="1" applyFont="1" applyFill="1" applyBorder="1" applyAlignment="1" applyProtection="1">
      <alignment vertical="center"/>
    </xf>
    <xf numFmtId="202" fontId="24" fillId="9" borderId="2" xfId="58" applyNumberFormat="1" applyFont="1" applyFill="1" applyBorder="1" applyAlignment="1" applyProtection="1">
      <alignment vertical="center"/>
    </xf>
    <xf numFmtId="202" fontId="24" fillId="9" borderId="1" xfId="58" applyNumberFormat="1" applyFont="1" applyFill="1" applyBorder="1" applyAlignment="1" applyProtection="1">
      <alignment vertical="center"/>
    </xf>
    <xf numFmtId="202" fontId="24" fillId="9" borderId="4" xfId="58" applyNumberFormat="1" applyFont="1" applyFill="1" applyBorder="1" applyAlignment="1" applyProtection="1">
      <alignment vertical="center"/>
    </xf>
    <xf numFmtId="207" fontId="24" fillId="9" borderId="31" xfId="95" applyNumberFormat="1" applyFont="1" applyFill="1" applyBorder="1" applyAlignment="1" applyProtection="1">
      <alignment vertical="center"/>
    </xf>
    <xf numFmtId="2" fontId="24" fillId="9" borderId="9" xfId="58" applyNumberFormat="1" applyFont="1" applyFill="1" applyBorder="1" applyAlignment="1" applyProtection="1">
      <alignment vertical="center"/>
    </xf>
    <xf numFmtId="202" fontId="24" fillId="9" borderId="35" xfId="58" applyNumberFormat="1" applyFont="1" applyFill="1" applyBorder="1" applyAlignment="1" applyProtection="1">
      <alignment vertical="center"/>
    </xf>
    <xf numFmtId="202" fontId="24" fillId="9" borderId="56" xfId="58" applyNumberFormat="1" applyFont="1" applyFill="1" applyBorder="1" applyAlignment="1" applyProtection="1">
      <alignment vertical="center"/>
    </xf>
    <xf numFmtId="202" fontId="24" fillId="9" borderId="7" xfId="58" applyNumberFormat="1" applyFont="1" applyFill="1" applyBorder="1" applyAlignment="1" applyProtection="1">
      <alignment vertical="center"/>
    </xf>
    <xf numFmtId="202" fontId="24" fillId="9" borderId="57" xfId="58" applyNumberFormat="1" applyFont="1" applyFill="1" applyBorder="1" applyAlignment="1" applyProtection="1">
      <alignment vertical="center"/>
    </xf>
    <xf numFmtId="202" fontId="24" fillId="9" borderId="66" xfId="58" applyNumberFormat="1" applyFont="1" applyFill="1" applyBorder="1" applyAlignment="1" applyProtection="1">
      <alignment vertical="center"/>
    </xf>
    <xf numFmtId="202" fontId="24" fillId="9" borderId="58" xfId="58" applyNumberFormat="1" applyFont="1" applyFill="1" applyBorder="1" applyAlignment="1" applyProtection="1">
      <alignment vertical="center"/>
    </xf>
    <xf numFmtId="202" fontId="24" fillId="9" borderId="77" xfId="58" applyNumberFormat="1" applyFont="1" applyFill="1" applyBorder="1" applyAlignment="1" applyProtection="1">
      <alignment vertical="center"/>
    </xf>
    <xf numFmtId="202" fontId="24" fillId="9" borderId="78" xfId="58" applyNumberFormat="1" applyFont="1" applyFill="1" applyBorder="1" applyAlignment="1" applyProtection="1">
      <alignment vertical="center"/>
    </xf>
    <xf numFmtId="0" fontId="24" fillId="9" borderId="39" xfId="58" applyFont="1" applyFill="1" applyBorder="1" applyAlignment="1" applyProtection="1">
      <alignment horizontal="left" vertical="center" wrapText="1"/>
    </xf>
    <xf numFmtId="0" fontId="24" fillId="9" borderId="4" xfId="58" applyFont="1" applyFill="1" applyBorder="1" applyAlignment="1" applyProtection="1">
      <alignment horizontal="left" vertical="center" wrapText="1"/>
    </xf>
    <xf numFmtId="2" fontId="24" fillId="9" borderId="4" xfId="58" applyNumberFormat="1" applyFont="1" applyFill="1" applyBorder="1" applyAlignment="1" applyProtection="1">
      <alignment horizontal="left" vertical="center" wrapText="1"/>
    </xf>
    <xf numFmtId="0" fontId="24" fillId="9" borderId="32" xfId="58" applyFont="1" applyFill="1" applyBorder="1" applyAlignment="1" applyProtection="1">
      <alignment horizontal="left" vertical="center" wrapText="1"/>
    </xf>
    <xf numFmtId="0" fontId="24" fillId="9" borderId="39" xfId="58" applyFont="1" applyFill="1" applyBorder="1" applyAlignment="1" applyProtection="1">
      <alignment horizontal="center" vertical="center" wrapText="1"/>
    </xf>
    <xf numFmtId="0" fontId="24" fillId="9" borderId="48" xfId="58" applyFont="1" applyFill="1" applyBorder="1" applyAlignment="1" applyProtection="1">
      <alignment horizontal="center" vertical="center" wrapText="1"/>
    </xf>
    <xf numFmtId="0" fontId="24" fillId="9" borderId="4" xfId="58" applyFont="1" applyFill="1" applyBorder="1" applyAlignment="1" applyProtection="1">
      <alignment horizontal="center" vertical="center" wrapText="1"/>
    </xf>
    <xf numFmtId="2" fontId="24" fillId="9" borderId="32" xfId="58" applyNumberFormat="1"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0" fontId="24" fillId="9" borderId="39" xfId="58" applyFont="1" applyFill="1" applyBorder="1" applyAlignment="1" applyProtection="1">
      <alignment vertical="center" wrapText="1"/>
    </xf>
    <xf numFmtId="0" fontId="24" fillId="9" borderId="4" xfId="58" applyFont="1" applyFill="1" applyBorder="1" applyAlignment="1" applyProtection="1">
      <alignment vertical="center" wrapText="1"/>
    </xf>
    <xf numFmtId="0" fontId="24" fillId="9" borderId="32" xfId="58" applyFont="1" applyFill="1" applyBorder="1" applyAlignment="1" applyProtection="1">
      <alignment vertical="center" wrapText="1"/>
    </xf>
    <xf numFmtId="0" fontId="24" fillId="70" borderId="0" xfId="58" applyFont="1" applyFill="1" applyBorder="1" applyAlignment="1" applyProtection="1">
      <alignment vertical="center" wrapText="1"/>
    </xf>
    <xf numFmtId="0" fontId="12" fillId="70" borderId="0" xfId="44" quotePrefix="1" applyFill="1" applyBorder="1" applyAlignment="1" applyProtection="1">
      <alignment vertical="center" wrapText="1"/>
    </xf>
    <xf numFmtId="0" fontId="24" fillId="70" borderId="0" xfId="58" applyFont="1" applyFill="1" applyBorder="1" applyAlignment="1" applyProtection="1">
      <alignment horizontal="left" vertical="center" wrapText="1"/>
    </xf>
    <xf numFmtId="0" fontId="12" fillId="70" borderId="0" xfId="44" quotePrefix="1" applyFill="1" applyBorder="1" applyAlignment="1" applyProtection="1">
      <alignment horizontal="right" vertical="center" wrapText="1"/>
    </xf>
    <xf numFmtId="3" fontId="12" fillId="70" borderId="0" xfId="44" quotePrefix="1" applyNumberFormat="1" applyFill="1" applyBorder="1" applyAlignment="1" applyProtection="1">
      <alignment horizontal="right" vertical="center" wrapText="1"/>
    </xf>
    <xf numFmtId="3" fontId="0" fillId="70" borderId="0" xfId="0" applyFill="1" applyBorder="1" applyAlignment="1">
      <alignment vertical="center" wrapText="1"/>
    </xf>
    <xf numFmtId="0" fontId="24" fillId="70" borderId="10" xfId="58" applyFont="1" applyFill="1" applyBorder="1" applyAlignment="1" applyProtection="1">
      <alignment vertical="center" wrapText="1"/>
    </xf>
    <xf numFmtId="0" fontId="24" fillId="70" borderId="0" xfId="58" applyFont="1" applyFill="1" applyBorder="1" applyAlignment="1" applyProtection="1">
      <alignment horizontal="center" vertical="center" wrapText="1"/>
    </xf>
    <xf numFmtId="0" fontId="25" fillId="70" borderId="0" xfId="58" applyFont="1" applyFill="1" applyBorder="1" applyAlignment="1" applyProtection="1">
      <alignment vertical="center" wrapText="1"/>
    </xf>
    <xf numFmtId="0" fontId="12" fillId="70" borderId="10" xfId="44" quotePrefix="1" applyFill="1" applyBorder="1" applyAlignment="1" applyProtection="1">
      <alignment horizontal="right" vertical="center" wrapText="1"/>
    </xf>
    <xf numFmtId="0" fontId="24" fillId="9" borderId="41" xfId="58" applyFont="1" applyFill="1" applyBorder="1" applyAlignment="1" applyProtection="1">
      <alignment horizontal="center" vertical="center"/>
    </xf>
    <xf numFmtId="0" fontId="24" fillId="9" borderId="24" xfId="58" applyFont="1" applyFill="1" applyBorder="1" applyAlignment="1" applyProtection="1">
      <alignment horizontal="center" vertical="center"/>
    </xf>
    <xf numFmtId="196" fontId="24" fillId="9" borderId="39" xfId="58" applyNumberFormat="1" applyFont="1" applyFill="1" applyBorder="1" applyAlignment="1" applyProtection="1">
      <alignment horizontal="left" vertical="center"/>
    </xf>
    <xf numFmtId="196" fontId="24" fillId="9" borderId="4" xfId="58" applyNumberFormat="1" applyFont="1" applyFill="1" applyBorder="1" applyAlignment="1" applyProtection="1">
      <alignment horizontal="left" vertical="center"/>
    </xf>
    <xf numFmtId="0" fontId="24" fillId="9" borderId="4" xfId="58" applyFont="1" applyFill="1" applyBorder="1" applyAlignment="1" applyProtection="1">
      <alignment horizontal="left" vertical="center"/>
    </xf>
    <xf numFmtId="0" fontId="24" fillId="9" borderId="32" xfId="58" applyFont="1" applyFill="1" applyBorder="1" applyAlignment="1" applyProtection="1">
      <alignment horizontal="left" vertical="center"/>
    </xf>
    <xf numFmtId="2" fontId="24" fillId="9" borderId="4" xfId="58" applyNumberFormat="1" applyFont="1" applyFill="1" applyBorder="1" applyAlignment="1" applyProtection="1">
      <alignment horizontal="left" vertical="center"/>
    </xf>
    <xf numFmtId="0" fontId="24" fillId="9" borderId="42" xfId="58" applyFont="1" applyFill="1" applyBorder="1" applyAlignment="1" applyProtection="1">
      <alignment horizontal="center" vertical="center"/>
    </xf>
    <xf numFmtId="9" fontId="24" fillId="9" borderId="4" xfId="95" applyFont="1" applyFill="1" applyBorder="1" applyAlignment="1" applyProtection="1">
      <alignment horizontal="center" vertical="center" wrapText="1"/>
    </xf>
    <xf numFmtId="9" fontId="24" fillId="9" borderId="32" xfId="95" applyFont="1" applyFill="1" applyBorder="1" applyAlignment="1" applyProtection="1">
      <alignment horizontal="center" vertical="center" wrapText="1"/>
    </xf>
    <xf numFmtId="2" fontId="24" fillId="9" borderId="32" xfId="58" applyNumberFormat="1" applyFont="1" applyFill="1" applyBorder="1" applyAlignment="1" applyProtection="1">
      <alignment horizontal="center" vertical="center"/>
    </xf>
    <xf numFmtId="0" fontId="24" fillId="9" borderId="1" xfId="58" applyFont="1" applyFill="1" applyBorder="1" applyAlignment="1" applyProtection="1">
      <alignment horizontal="center" vertical="center"/>
    </xf>
    <xf numFmtId="0" fontId="24" fillId="9" borderId="9" xfId="58" applyFont="1" applyFill="1" applyBorder="1" applyAlignment="1" applyProtection="1">
      <alignment horizontal="center" vertical="center"/>
    </xf>
    <xf numFmtId="202" fontId="24" fillId="9" borderId="41" xfId="58" applyNumberFormat="1" applyFont="1" applyFill="1" applyBorder="1" applyAlignment="1" applyProtection="1">
      <alignment vertical="center"/>
    </xf>
    <xf numFmtId="202" fontId="24" fillId="9" borderId="24" xfId="58" applyNumberFormat="1" applyFont="1" applyFill="1" applyBorder="1" applyAlignment="1" applyProtection="1">
      <alignment vertical="center"/>
    </xf>
    <xf numFmtId="0" fontId="78" fillId="60" borderId="21" xfId="58" applyFont="1" applyFill="1" applyBorder="1" applyAlignment="1" applyProtection="1">
      <alignment vertical="center"/>
    </xf>
    <xf numFmtId="0" fontId="83" fillId="60" borderId="0" xfId="58" applyFont="1" applyFill="1" applyBorder="1" applyAlignment="1" applyProtection="1">
      <alignment horizontal="left" vertical="center"/>
    </xf>
    <xf numFmtId="0" fontId="78" fillId="60" borderId="0" xfId="58" applyFont="1" applyFill="1" applyBorder="1" applyAlignment="1" applyProtection="1">
      <alignment vertical="center"/>
    </xf>
    <xf numFmtId="0" fontId="78" fillId="60" borderId="12" xfId="58" applyFont="1" applyFill="1" applyBorder="1" applyAlignment="1" applyProtection="1">
      <alignment vertical="center"/>
    </xf>
    <xf numFmtId="0" fontId="6" fillId="8" borderId="42" xfId="58" applyFont="1" applyFill="1" applyBorder="1" applyAlignment="1" applyProtection="1">
      <alignment horizontal="center" vertical="center"/>
    </xf>
    <xf numFmtId="0" fontId="6" fillId="8" borderId="24" xfId="58" applyFont="1" applyFill="1" applyBorder="1" applyAlignment="1" applyProtection="1">
      <alignment horizontal="center" vertical="center"/>
    </xf>
    <xf numFmtId="0" fontId="6" fillId="8" borderId="41" xfId="58" applyFont="1" applyFill="1" applyBorder="1" applyAlignment="1" applyProtection="1">
      <alignment horizontal="center" vertical="center"/>
    </xf>
    <xf numFmtId="0" fontId="24" fillId="9" borderId="4" xfId="58"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0" fontId="24" fillId="9" borderId="39" xfId="58" applyFont="1" applyFill="1" applyBorder="1" applyAlignment="1" applyProtection="1">
      <alignment horizontal="center" vertical="center" wrapText="1"/>
    </xf>
    <xf numFmtId="2" fontId="24" fillId="9" borderId="56" xfId="58" applyNumberFormat="1" applyFont="1" applyFill="1" applyBorder="1" applyAlignment="1" applyProtection="1">
      <alignment vertical="center"/>
    </xf>
    <xf numFmtId="2" fontId="24" fillId="9" borderId="57" xfId="58" applyNumberFormat="1" applyFont="1" applyFill="1" applyBorder="1" applyAlignment="1" applyProtection="1">
      <alignment vertical="center"/>
    </xf>
    <xf numFmtId="2" fontId="24" fillId="9" borderId="58" xfId="58" applyNumberFormat="1" applyFont="1" applyFill="1" applyBorder="1" applyAlignment="1" applyProtection="1">
      <alignment vertical="center"/>
    </xf>
    <xf numFmtId="0" fontId="79" fillId="63" borderId="0" xfId="475" applyFont="1" applyBorder="1" applyAlignment="1" applyProtection="1">
      <alignment horizontal="left" vertical="center"/>
    </xf>
    <xf numFmtId="0" fontId="80" fillId="77" borderId="35" xfId="58" applyFont="1" applyFill="1" applyBorder="1" applyAlignment="1" applyProtection="1">
      <alignment horizontal="left" vertical="center" indent="1"/>
    </xf>
    <xf numFmtId="0" fontId="80" fillId="77" borderId="26" xfId="58" applyFont="1" applyFill="1" applyBorder="1" applyAlignment="1" applyProtection="1">
      <alignment horizontal="center" vertical="center"/>
    </xf>
    <xf numFmtId="0" fontId="78" fillId="77" borderId="43" xfId="58" applyFont="1" applyFill="1" applyBorder="1" applyAlignment="1" applyProtection="1">
      <alignment horizontal="left" vertical="center" wrapText="1" indent="1"/>
    </xf>
    <xf numFmtId="0" fontId="78" fillId="77" borderId="44" xfId="58" applyFont="1" applyFill="1" applyBorder="1" applyAlignment="1" applyProtection="1">
      <alignment horizontal="left" vertical="center" wrapText="1" indent="1"/>
    </xf>
    <xf numFmtId="0" fontId="78" fillId="77" borderId="45" xfId="58" applyFont="1" applyFill="1" applyBorder="1" applyAlignment="1" applyProtection="1">
      <alignment horizontal="left" vertical="center" wrapText="1" indent="1"/>
    </xf>
    <xf numFmtId="0" fontId="78" fillId="77" borderId="58" xfId="58" applyFont="1" applyFill="1" applyBorder="1" applyAlignment="1" applyProtection="1">
      <alignment horizontal="left" vertical="center" wrapText="1" indent="1"/>
    </xf>
    <xf numFmtId="0" fontId="80" fillId="77" borderId="49" xfId="58" applyFont="1" applyFill="1" applyBorder="1" applyAlignment="1" applyProtection="1">
      <alignment vertical="center"/>
    </xf>
    <xf numFmtId="0" fontId="80" fillId="77" borderId="50" xfId="58" applyFont="1" applyFill="1" applyBorder="1" applyAlignment="1" applyProtection="1">
      <alignment vertical="center"/>
    </xf>
    <xf numFmtId="0" fontId="78" fillId="77" borderId="59" xfId="58" applyFont="1" applyFill="1" applyBorder="1" applyAlignment="1" applyProtection="1">
      <alignment horizontal="left" vertical="center" wrapText="1" indent="1"/>
    </xf>
    <xf numFmtId="0" fontId="6" fillId="8" borderId="19" xfId="58" applyFont="1" applyFill="1" applyBorder="1" applyAlignment="1" applyProtection="1">
      <alignment horizontal="center" vertical="center"/>
    </xf>
    <xf numFmtId="0" fontId="6" fillId="8" borderId="48" xfId="58" applyFont="1" applyFill="1" applyBorder="1" applyAlignment="1" applyProtection="1">
      <alignment horizontal="center" vertical="center" wrapText="1"/>
    </xf>
    <xf numFmtId="0" fontId="80" fillId="77" borderId="46" xfId="58" applyFont="1" applyFill="1" applyBorder="1" applyAlignment="1" applyProtection="1">
      <alignment horizontal="left" vertical="center" wrapText="1" indent="1"/>
    </xf>
    <xf numFmtId="0" fontId="80" fillId="77" borderId="15" xfId="58" applyFont="1" applyFill="1" applyBorder="1" applyAlignment="1" applyProtection="1">
      <alignment horizontal="center" vertical="center"/>
    </xf>
    <xf numFmtId="0" fontId="80" fillId="77" borderId="46" xfId="58" applyFont="1" applyFill="1" applyBorder="1" applyAlignment="1" applyProtection="1">
      <alignment horizontal="center" vertical="center"/>
    </xf>
    <xf numFmtId="0" fontId="25" fillId="77" borderId="47" xfId="58" applyFont="1" applyFill="1" applyBorder="1" applyAlignment="1" applyProtection="1">
      <alignment horizontal="center" vertical="center"/>
    </xf>
    <xf numFmtId="0" fontId="24" fillId="9" borderId="5" xfId="58" applyFont="1" applyFill="1" applyBorder="1" applyAlignment="1" applyProtection="1">
      <alignment horizontal="center" vertical="center"/>
    </xf>
    <xf numFmtId="0" fontId="24" fillId="9" borderId="19" xfId="58" applyFont="1" applyFill="1" applyBorder="1" applyAlignment="1" applyProtection="1">
      <alignment horizontal="center" vertical="center"/>
    </xf>
    <xf numFmtId="0" fontId="24" fillId="8" borderId="48" xfId="58" applyFont="1" applyFill="1" applyBorder="1" applyAlignment="1" applyProtection="1">
      <alignment vertical="center" wrapText="1"/>
    </xf>
    <xf numFmtId="0" fontId="80" fillId="77" borderId="46" xfId="58" applyFont="1" applyFill="1" applyBorder="1" applyAlignment="1" applyProtection="1">
      <alignment horizontal="left" vertical="center" indent="1"/>
    </xf>
    <xf numFmtId="0" fontId="78" fillId="77" borderId="82" xfId="58" applyFont="1" applyFill="1" applyBorder="1" applyAlignment="1" applyProtection="1">
      <alignment horizontal="left" vertical="center"/>
    </xf>
    <xf numFmtId="0" fontId="78" fillId="77" borderId="48" xfId="58" applyFont="1" applyFill="1" applyBorder="1" applyAlignment="1" applyProtection="1">
      <alignment horizontal="left" vertical="center"/>
    </xf>
    <xf numFmtId="0" fontId="78" fillId="77" borderId="31" xfId="58" applyFont="1" applyFill="1" applyBorder="1" applyAlignment="1" applyProtection="1">
      <alignment horizontal="left" vertical="center"/>
    </xf>
    <xf numFmtId="0" fontId="78" fillId="77" borderId="32" xfId="58" applyFont="1" applyFill="1" applyBorder="1" applyAlignment="1" applyProtection="1">
      <alignment horizontal="left" vertical="center"/>
    </xf>
    <xf numFmtId="0" fontId="80" fillId="77" borderId="38" xfId="58" applyFont="1" applyFill="1" applyBorder="1" applyAlignment="1" applyProtection="1">
      <alignment vertical="center"/>
    </xf>
    <xf numFmtId="0" fontId="78" fillId="77" borderId="9" xfId="58" applyFont="1" applyFill="1" applyBorder="1" applyAlignment="1" applyProtection="1">
      <alignment horizontal="right" vertical="center"/>
    </xf>
    <xf numFmtId="0" fontId="78" fillId="77" borderId="32" xfId="58" applyFont="1" applyFill="1" applyBorder="1" applyAlignment="1" applyProtection="1">
      <alignment horizontal="right" vertical="center"/>
    </xf>
    <xf numFmtId="0" fontId="78" fillId="77" borderId="56" xfId="58" applyFont="1" applyFill="1" applyBorder="1" applyAlignment="1" applyProtection="1">
      <alignment vertical="center"/>
    </xf>
    <xf numFmtId="0" fontId="78" fillId="77" borderId="57" xfId="58" applyFont="1" applyFill="1" applyBorder="1" applyAlignment="1" applyProtection="1">
      <alignment vertical="center"/>
    </xf>
    <xf numFmtId="0" fontId="78" fillId="77" borderId="58" xfId="58" applyFont="1" applyFill="1" applyBorder="1" applyAlignment="1" applyProtection="1">
      <alignment vertical="center"/>
    </xf>
    <xf numFmtId="0" fontId="78" fillId="77" borderId="43" xfId="58" applyFont="1" applyFill="1" applyBorder="1" applyAlignment="1" applyProtection="1">
      <alignment horizontal="left" vertical="center" wrapText="1"/>
    </xf>
    <xf numFmtId="0" fontId="78" fillId="77" borderId="44" xfId="58" applyFont="1" applyFill="1" applyBorder="1" applyAlignment="1" applyProtection="1">
      <alignment horizontal="left" vertical="center" wrapText="1"/>
    </xf>
    <xf numFmtId="0" fontId="78" fillId="77" borderId="45" xfId="58" applyFont="1" applyFill="1" applyBorder="1" applyAlignment="1" applyProtection="1">
      <alignment horizontal="left" vertical="center" wrapText="1"/>
    </xf>
    <xf numFmtId="0" fontId="80" fillId="77" borderId="15" xfId="58" applyFont="1" applyFill="1" applyBorder="1" applyAlignment="1" applyProtection="1">
      <alignment horizontal="left" vertical="center" wrapText="1"/>
    </xf>
    <xf numFmtId="3" fontId="0" fillId="0" borderId="0" xfId="0" applyFill="1" applyBorder="1" applyProtection="1">
      <alignment vertical="center"/>
    </xf>
    <xf numFmtId="3" fontId="0" fillId="0" borderId="0" xfId="0" applyFill="1" applyBorder="1" applyAlignment="1" applyProtection="1">
      <alignment horizontal="left" vertical="center" indent="1"/>
    </xf>
    <xf numFmtId="3" fontId="82" fillId="31" borderId="0" xfId="0" applyFont="1" applyFill="1" applyBorder="1" applyAlignment="1" applyProtection="1">
      <alignment horizontal="left" vertical="center" indent="1"/>
    </xf>
    <xf numFmtId="3" fontId="0" fillId="78" borderId="0" xfId="0" applyFill="1" applyBorder="1" applyProtection="1">
      <alignment vertical="center"/>
    </xf>
    <xf numFmtId="3" fontId="0" fillId="78" borderId="0" xfId="0" applyFill="1" applyBorder="1" applyAlignment="1" applyProtection="1">
      <alignment horizontal="left" vertical="center" indent="1"/>
    </xf>
    <xf numFmtId="3" fontId="9" fillId="78" borderId="0" xfId="0" applyFont="1" applyFill="1" applyBorder="1" applyAlignment="1" applyProtection="1">
      <alignment horizontal="left" vertical="center" wrapText="1" indent="1"/>
    </xf>
    <xf numFmtId="3" fontId="14" fillId="78" borderId="0" xfId="0" applyFont="1" applyFill="1" applyBorder="1" applyAlignment="1" applyProtection="1">
      <alignment horizontal="left" vertical="top" wrapText="1" indent="1"/>
    </xf>
    <xf numFmtId="3" fontId="9" fillId="78" borderId="0" xfId="0" applyFont="1" applyFill="1" applyBorder="1" applyAlignment="1" applyProtection="1">
      <alignment horizontal="left" vertical="top" wrapText="1" indent="1"/>
    </xf>
    <xf numFmtId="3" fontId="14" fillId="78" borderId="0" xfId="0" applyFont="1" applyFill="1" applyBorder="1" applyAlignment="1" applyProtection="1">
      <alignment horizontal="left" vertical="center" wrapText="1" indent="1"/>
    </xf>
    <xf numFmtId="3" fontId="12" fillId="78" borderId="0" xfId="44" applyNumberFormat="1" applyFill="1" applyBorder="1" applyAlignment="1" applyProtection="1">
      <alignment horizontal="left" vertical="center" wrapText="1" indent="1"/>
    </xf>
    <xf numFmtId="3" fontId="0" fillId="0" borderId="83" xfId="0" applyFill="1" applyBorder="1" applyProtection="1">
      <alignment vertical="center"/>
    </xf>
    <xf numFmtId="3" fontId="0" fillId="31" borderId="0" xfId="0" applyFill="1" applyBorder="1" applyProtection="1">
      <alignment vertical="center"/>
    </xf>
    <xf numFmtId="0" fontId="78" fillId="77" borderId="33" xfId="58" applyFont="1" applyFill="1" applyBorder="1" applyAlignment="1" applyProtection="1">
      <alignment horizontal="left" vertical="center" wrapText="1"/>
    </xf>
    <xf numFmtId="0" fontId="78" fillId="77" borderId="2" xfId="58" applyFont="1" applyFill="1" applyBorder="1" applyAlignment="1" applyProtection="1">
      <alignment horizontal="left" vertical="center" wrapText="1"/>
    </xf>
    <xf numFmtId="0" fontId="78" fillId="77" borderId="31" xfId="58" applyFont="1" applyFill="1" applyBorder="1" applyAlignment="1" applyProtection="1">
      <alignment horizontal="left" vertical="center" wrapText="1"/>
    </xf>
    <xf numFmtId="0" fontId="33" fillId="20" borderId="10" xfId="58" applyFont="1" applyFill="1" applyBorder="1" applyAlignment="1" applyProtection="1">
      <alignment horizontal="left" vertical="center" indent="1"/>
    </xf>
    <xf numFmtId="3" fontId="0" fillId="79" borderId="0" xfId="0" applyFill="1" applyProtection="1">
      <alignment vertical="center"/>
    </xf>
    <xf numFmtId="0" fontId="24" fillId="79" borderId="0" xfId="58" applyFont="1" applyFill="1" applyAlignment="1" applyProtection="1">
      <alignment vertical="center"/>
    </xf>
    <xf numFmtId="3" fontId="0" fillId="79" borderId="0" xfId="0" applyFill="1">
      <alignment vertical="center"/>
    </xf>
    <xf numFmtId="3" fontId="78" fillId="31" borderId="18" xfId="0" applyFont="1" applyFill="1" applyBorder="1">
      <alignment vertical="center"/>
    </xf>
    <xf numFmtId="0" fontId="24" fillId="70" borderId="12" xfId="58" applyFont="1" applyFill="1" applyBorder="1" applyAlignment="1" applyProtection="1">
      <alignment vertical="center"/>
    </xf>
    <xf numFmtId="0" fontId="24" fillId="70" borderId="19" xfId="58" applyFont="1" applyFill="1" applyBorder="1" applyAlignment="1" applyProtection="1">
      <alignment vertical="center"/>
    </xf>
    <xf numFmtId="0" fontId="24" fillId="79" borderId="0" xfId="58" applyFont="1" applyFill="1" applyBorder="1" applyAlignment="1" applyProtection="1">
      <alignment vertical="center"/>
    </xf>
    <xf numFmtId="2" fontId="24" fillId="24" borderId="8" xfId="58" applyNumberFormat="1" applyFont="1" applyFill="1" applyBorder="1" applyAlignment="1" applyProtection="1">
      <alignment horizontal="center" vertical="center"/>
    </xf>
    <xf numFmtId="2" fontId="24" fillId="24" borderId="0" xfId="58" applyNumberFormat="1" applyFont="1" applyFill="1" applyBorder="1" applyAlignment="1" applyProtection="1">
      <alignment horizontal="center" vertical="center"/>
    </xf>
    <xf numFmtId="2" fontId="24" fillId="24" borderId="10" xfId="58" applyNumberFormat="1" applyFont="1" applyFill="1" applyBorder="1" applyAlignment="1" applyProtection="1">
      <alignment horizontal="center" vertical="center"/>
    </xf>
    <xf numFmtId="2" fontId="24" fillId="24" borderId="16" xfId="58" applyNumberFormat="1" applyFont="1" applyFill="1" applyBorder="1" applyAlignment="1" applyProtection="1">
      <alignment horizontal="center" vertical="center"/>
    </xf>
    <xf numFmtId="2" fontId="24" fillId="24" borderId="18" xfId="58" applyNumberFormat="1" applyFont="1" applyFill="1" applyBorder="1" applyAlignment="1" applyProtection="1">
      <alignment horizontal="center" vertical="center"/>
    </xf>
    <xf numFmtId="2" fontId="24" fillId="24" borderId="21" xfId="58" applyNumberFormat="1" applyFont="1" applyFill="1" applyBorder="1" applyAlignment="1" applyProtection="1">
      <alignment horizontal="center" vertical="center"/>
    </xf>
    <xf numFmtId="2" fontId="24" fillId="24" borderId="12" xfId="58" applyNumberFormat="1" applyFont="1" applyFill="1" applyBorder="1" applyAlignment="1" applyProtection="1">
      <alignment horizontal="center" vertical="center"/>
    </xf>
    <xf numFmtId="2" fontId="24" fillId="24" borderId="20" xfId="58" applyNumberFormat="1" applyFont="1" applyFill="1" applyBorder="1" applyAlignment="1" applyProtection="1">
      <alignment horizontal="center" vertical="center"/>
    </xf>
    <xf numFmtId="2" fontId="24" fillId="24" borderId="19" xfId="58" applyNumberFormat="1" applyFont="1" applyFill="1" applyBorder="1" applyAlignment="1" applyProtection="1">
      <alignment horizontal="center" vertical="center"/>
    </xf>
    <xf numFmtId="207" fontId="24" fillId="24" borderId="22" xfId="95" applyNumberFormat="1" applyFont="1" applyFill="1" applyBorder="1" applyAlignment="1" applyProtection="1">
      <alignment horizontal="center" vertical="center"/>
    </xf>
    <xf numFmtId="207" fontId="24" fillId="24" borderId="23" xfId="58" applyNumberFormat="1" applyFont="1" applyFill="1" applyBorder="1" applyAlignment="1" applyProtection="1">
      <alignment horizontal="center" vertical="center"/>
    </xf>
    <xf numFmtId="207" fontId="24" fillId="24" borderId="24" xfId="58" applyNumberFormat="1" applyFont="1" applyFill="1" applyBorder="1" applyAlignment="1" applyProtection="1">
      <alignment horizontal="center" vertical="center"/>
    </xf>
    <xf numFmtId="3" fontId="14" fillId="0" borderId="0" xfId="56" applyFont="1" applyAlignment="1" applyProtection="1">
      <alignment horizontal="center"/>
    </xf>
    <xf numFmtId="3" fontId="9" fillId="17" borderId="1" xfId="55" applyFill="1" applyBorder="1" applyAlignment="1" applyProtection="1">
      <alignment horizontal="center"/>
    </xf>
    <xf numFmtId="3" fontId="14" fillId="0" borderId="0" xfId="0" applyFont="1" applyAlignment="1">
      <alignment horizontal="left"/>
    </xf>
    <xf numFmtId="3" fontId="14" fillId="17" borderId="5" xfId="55" applyFont="1" applyFill="1" applyBorder="1" applyAlignment="1" applyProtection="1">
      <alignment horizontal="center"/>
    </xf>
    <xf numFmtId="3" fontId="9" fillId="0" borderId="10" xfId="56" applyBorder="1" applyAlignment="1" applyProtection="1">
      <alignment horizontal="center"/>
    </xf>
    <xf numFmtId="3" fontId="0" fillId="0" borderId="10" xfId="0" applyBorder="1">
      <alignment vertical="center"/>
    </xf>
    <xf numFmtId="0" fontId="77" fillId="0" borderId="16" xfId="474" applyFont="1" applyFill="1" applyBorder="1" applyAlignment="1" applyProtection="1">
      <alignment vertical="center"/>
    </xf>
    <xf numFmtId="0" fontId="77" fillId="0" borderId="8" xfId="474" applyFont="1" applyFill="1" applyBorder="1" applyAlignment="1" applyProtection="1">
      <alignment vertical="center"/>
    </xf>
    <xf numFmtId="0" fontId="77" fillId="0" borderId="8" xfId="474" applyFont="1" applyFill="1" applyBorder="1" applyAlignment="1" applyProtection="1">
      <alignment horizontal="center" vertical="center"/>
    </xf>
    <xf numFmtId="0" fontId="77" fillId="0" borderId="18" xfId="474" applyFont="1" applyFill="1" applyBorder="1" applyAlignment="1" applyProtection="1">
      <alignment vertical="center"/>
    </xf>
    <xf numFmtId="0" fontId="77" fillId="0" borderId="21" xfId="474" applyFont="1" applyFill="1" applyBorder="1" applyAlignment="1" applyProtection="1">
      <alignment vertical="center"/>
    </xf>
    <xf numFmtId="0" fontId="77" fillId="0" borderId="0" xfId="474" applyFont="1" applyFill="1" applyBorder="1" applyAlignment="1" applyProtection="1">
      <alignment vertical="center"/>
    </xf>
    <xf numFmtId="0" fontId="77" fillId="0" borderId="0" xfId="474" applyFont="1" applyFill="1" applyBorder="1" applyAlignment="1" applyProtection="1">
      <alignment horizontal="center" vertical="center"/>
    </xf>
    <xf numFmtId="0" fontId="77" fillId="0" borderId="12" xfId="474" applyFont="1" applyFill="1" applyBorder="1" applyAlignment="1" applyProtection="1">
      <alignment vertical="center"/>
    </xf>
    <xf numFmtId="0" fontId="24" fillId="79" borderId="16" xfId="58" applyFont="1" applyFill="1" applyBorder="1" applyAlignment="1" applyProtection="1">
      <alignment vertical="center"/>
    </xf>
    <xf numFmtId="0" fontId="78" fillId="79" borderId="8" xfId="58" applyFont="1" applyFill="1" applyBorder="1" applyAlignment="1" applyProtection="1">
      <alignment vertical="center"/>
    </xf>
    <xf numFmtId="0" fontId="78" fillId="79" borderId="8" xfId="58" applyFont="1" applyFill="1" applyBorder="1" applyAlignment="1" applyProtection="1">
      <alignment horizontal="center" vertical="center"/>
    </xf>
    <xf numFmtId="0" fontId="78" fillId="79" borderId="18" xfId="58" applyFont="1" applyFill="1" applyBorder="1" applyAlignment="1" applyProtection="1">
      <alignment vertical="center"/>
    </xf>
    <xf numFmtId="0" fontId="24" fillId="79" borderId="21" xfId="58" applyFont="1" applyFill="1" applyBorder="1" applyAlignment="1" applyProtection="1">
      <alignment vertical="center"/>
    </xf>
    <xf numFmtId="0" fontId="78" fillId="79" borderId="0" xfId="58" applyFont="1" applyFill="1" applyBorder="1" applyAlignment="1" applyProtection="1">
      <alignment vertical="center"/>
    </xf>
    <xf numFmtId="0" fontId="78" fillId="79" borderId="0" xfId="58" applyFont="1" applyFill="1" applyBorder="1" applyAlignment="1" applyProtection="1">
      <alignment horizontal="center" vertical="center"/>
    </xf>
    <xf numFmtId="0" fontId="78" fillId="79" borderId="12" xfId="58" applyFont="1" applyFill="1" applyBorder="1" applyAlignment="1" applyProtection="1">
      <alignment vertical="center"/>
    </xf>
    <xf numFmtId="0" fontId="24" fillId="79" borderId="8" xfId="58" applyFont="1" applyFill="1" applyBorder="1" applyAlignment="1" applyProtection="1">
      <alignment vertical="center"/>
    </xf>
    <xf numFmtId="0" fontId="24" fillId="79" borderId="8" xfId="58" applyFont="1" applyFill="1" applyBorder="1" applyAlignment="1" applyProtection="1">
      <alignment horizontal="center" vertical="center"/>
    </xf>
    <xf numFmtId="0" fontId="24" fillId="79" borderId="18" xfId="58" applyFont="1" applyFill="1" applyBorder="1" applyAlignment="1" applyProtection="1">
      <alignment vertical="center"/>
    </xf>
    <xf numFmtId="0" fontId="24" fillId="79" borderId="0" xfId="58" applyFont="1" applyFill="1" applyBorder="1" applyAlignment="1" applyProtection="1">
      <alignment horizontal="center" vertical="center"/>
    </xf>
    <xf numFmtId="0" fontId="24" fillId="79" borderId="12" xfId="58" applyFont="1" applyFill="1" applyBorder="1" applyAlignment="1" applyProtection="1">
      <alignment vertical="center"/>
    </xf>
    <xf numFmtId="0" fontId="24" fillId="9" borderId="33" xfId="58" applyFont="1" applyFill="1" applyBorder="1" applyAlignment="1" applyProtection="1">
      <alignment horizontal="center" vertical="center"/>
    </xf>
    <xf numFmtId="0" fontId="24" fillId="9" borderId="2" xfId="58" applyFont="1" applyFill="1" applyBorder="1" applyAlignment="1" applyProtection="1">
      <alignment horizontal="center" vertical="center"/>
    </xf>
    <xf numFmtId="0" fontId="24" fillId="9" borderId="31" xfId="58" applyFont="1" applyFill="1" applyBorder="1" applyAlignment="1" applyProtection="1">
      <alignment horizontal="center" vertical="center"/>
    </xf>
    <xf numFmtId="2" fontId="24" fillId="17" borderId="22" xfId="58" applyNumberFormat="1" applyFont="1" applyFill="1" applyBorder="1" applyAlignment="1" applyProtection="1">
      <alignment horizontal="center" vertical="center"/>
    </xf>
    <xf numFmtId="3" fontId="0" fillId="0" borderId="0" xfId="0" applyAlignment="1"/>
    <xf numFmtId="0" fontId="24" fillId="9" borderId="1" xfId="58" applyFont="1" applyFill="1" applyBorder="1" applyAlignment="1" applyProtection="1">
      <alignment horizontal="center" vertical="center" wrapText="1"/>
    </xf>
    <xf numFmtId="0" fontId="24" fillId="9" borderId="4" xfId="58" applyFont="1" applyFill="1" applyBorder="1" applyAlignment="1" applyProtection="1">
      <alignment horizontal="center" vertical="center" wrapText="1"/>
    </xf>
    <xf numFmtId="0" fontId="24" fillId="9" borderId="38" xfId="58" applyFont="1" applyFill="1" applyBorder="1" applyAlignment="1" applyProtection="1">
      <alignment horizontal="center" vertical="center" wrapText="1"/>
    </xf>
    <xf numFmtId="0" fontId="24" fillId="9" borderId="39" xfId="58" applyFont="1" applyFill="1" applyBorder="1" applyAlignment="1" applyProtection="1">
      <alignment horizontal="center" vertical="center" wrapText="1"/>
    </xf>
    <xf numFmtId="0" fontId="24" fillId="9" borderId="9" xfId="58"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2" fontId="24" fillId="81" borderId="1" xfId="58" applyNumberFormat="1" applyFont="1" applyFill="1" applyBorder="1" applyAlignment="1" applyProtection="1">
      <alignment horizontal="center" vertical="center"/>
    </xf>
    <xf numFmtId="2" fontId="24" fillId="82" borderId="8" xfId="58" applyNumberFormat="1" applyFont="1" applyFill="1" applyBorder="1" applyAlignment="1" applyProtection="1">
      <alignment horizontal="center" vertical="center"/>
    </xf>
    <xf numFmtId="2" fontId="24" fillId="82" borderId="18" xfId="58" applyNumberFormat="1" applyFont="1" applyFill="1" applyBorder="1" applyAlignment="1" applyProtection="1">
      <alignment horizontal="center" vertical="center"/>
    </xf>
    <xf numFmtId="2" fontId="24" fillId="82" borderId="16" xfId="58" applyNumberFormat="1" applyFont="1" applyFill="1" applyBorder="1" applyAlignment="1" applyProtection="1">
      <alignment horizontal="center" vertical="center"/>
    </xf>
    <xf numFmtId="2" fontId="24" fillId="82" borderId="0" xfId="58" applyNumberFormat="1" applyFont="1" applyFill="1" applyBorder="1" applyAlignment="1" applyProtection="1">
      <alignment horizontal="center" vertical="center"/>
    </xf>
    <xf numFmtId="2" fontId="24" fillId="82" borderId="12" xfId="58" applyNumberFormat="1" applyFont="1" applyFill="1" applyBorder="1" applyAlignment="1" applyProtection="1">
      <alignment horizontal="center" vertical="center"/>
    </xf>
    <xf numFmtId="2" fontId="24" fillId="82" borderId="21" xfId="58" applyNumberFormat="1" applyFont="1" applyFill="1" applyBorder="1" applyAlignment="1" applyProtection="1">
      <alignment horizontal="center" vertical="center"/>
    </xf>
    <xf numFmtId="200" fontId="24" fillId="82" borderId="8" xfId="58" applyNumberFormat="1" applyFont="1" applyFill="1" applyBorder="1" applyAlignment="1" applyProtection="1">
      <alignment horizontal="center" vertical="center"/>
    </xf>
    <xf numFmtId="204" fontId="24" fillId="82" borderId="8" xfId="58" applyNumberFormat="1" applyFont="1" applyFill="1" applyBorder="1" applyAlignment="1" applyProtection="1">
      <alignment horizontal="center" vertical="center"/>
    </xf>
    <xf numFmtId="2" fontId="24" fillId="82" borderId="10" xfId="58" applyNumberFormat="1" applyFont="1" applyFill="1" applyBorder="1" applyAlignment="1" applyProtection="1">
      <alignment horizontal="center" vertical="center"/>
    </xf>
    <xf numFmtId="2" fontId="24" fillId="82" borderId="19" xfId="58" applyNumberFormat="1" applyFont="1" applyFill="1" applyBorder="1" applyAlignment="1" applyProtection="1">
      <alignment horizontal="center" vertical="center"/>
    </xf>
    <xf numFmtId="2" fontId="24" fillId="82" borderId="20" xfId="58" applyNumberFormat="1" applyFont="1" applyFill="1" applyBorder="1" applyAlignment="1" applyProtection="1">
      <alignment horizontal="center" vertical="center"/>
    </xf>
    <xf numFmtId="200" fontId="24" fillId="82" borderId="10" xfId="58" applyNumberFormat="1" applyFont="1" applyFill="1" applyBorder="1" applyAlignment="1" applyProtection="1">
      <alignment horizontal="center" vertical="center"/>
    </xf>
    <xf numFmtId="200" fontId="24" fillId="82" borderId="19" xfId="58" applyNumberFormat="1" applyFont="1" applyFill="1" applyBorder="1" applyAlignment="1" applyProtection="1">
      <alignment horizontal="center" vertical="center"/>
    </xf>
    <xf numFmtId="200" fontId="24" fillId="82" borderId="20" xfId="58" applyNumberFormat="1" applyFont="1" applyFill="1" applyBorder="1" applyAlignment="1" applyProtection="1">
      <alignment horizontal="center" vertical="center"/>
    </xf>
    <xf numFmtId="1" fontId="24" fillId="82" borderId="8" xfId="58" applyNumberFormat="1" applyFont="1" applyFill="1" applyBorder="1" applyAlignment="1" applyProtection="1">
      <alignment horizontal="center" vertical="center"/>
    </xf>
    <xf numFmtId="1" fontId="24" fillId="82" borderId="18" xfId="58" applyNumberFormat="1" applyFont="1" applyFill="1" applyBorder="1" applyAlignment="1" applyProtection="1">
      <alignment horizontal="center" vertical="center"/>
    </xf>
    <xf numFmtId="1" fontId="24" fillId="82" borderId="16" xfId="58" applyNumberFormat="1" applyFont="1" applyFill="1" applyBorder="1" applyAlignment="1" applyProtection="1">
      <alignment horizontal="center" vertical="center"/>
    </xf>
    <xf numFmtId="1" fontId="24" fillId="82" borderId="0" xfId="58" applyNumberFormat="1" applyFont="1" applyFill="1" applyBorder="1" applyAlignment="1" applyProtection="1">
      <alignment horizontal="center" vertical="center"/>
    </xf>
    <xf numFmtId="1" fontId="24" fillId="82" borderId="12" xfId="58" applyNumberFormat="1" applyFont="1" applyFill="1" applyBorder="1" applyAlignment="1" applyProtection="1">
      <alignment horizontal="center" vertical="center"/>
    </xf>
    <xf numFmtId="1" fontId="24" fillId="82" borderId="21" xfId="58" applyNumberFormat="1" applyFont="1" applyFill="1" applyBorder="1" applyAlignment="1" applyProtection="1">
      <alignment horizontal="center" vertical="center"/>
    </xf>
    <xf numFmtId="1" fontId="24" fillId="82" borderId="10" xfId="58" applyNumberFormat="1" applyFont="1" applyFill="1" applyBorder="1" applyAlignment="1" applyProtection="1">
      <alignment horizontal="center" vertical="center"/>
    </xf>
    <xf numFmtId="1" fontId="24" fillId="82" borderId="19" xfId="58" applyNumberFormat="1" applyFont="1" applyFill="1" applyBorder="1" applyAlignment="1" applyProtection="1">
      <alignment horizontal="center" vertical="center"/>
    </xf>
    <xf numFmtId="1" fontId="24" fillId="82" borderId="20" xfId="58" applyNumberFormat="1" applyFont="1" applyFill="1" applyBorder="1" applyAlignment="1" applyProtection="1">
      <alignment horizontal="center" vertical="center"/>
    </xf>
    <xf numFmtId="0" fontId="72" fillId="0" borderId="0" xfId="58" applyFont="1" applyFill="1" applyBorder="1" applyAlignment="1" applyProtection="1">
      <alignment horizontal="left" vertical="center" wrapText="1"/>
    </xf>
    <xf numFmtId="0" fontId="41" fillId="0" borderId="0" xfId="58" applyNumberFormat="1" applyFont="1" applyFill="1" applyBorder="1" applyAlignment="1" applyProtection="1">
      <alignment vertical="center"/>
    </xf>
    <xf numFmtId="0" fontId="41" fillId="0" borderId="0" xfId="58" applyNumberFormat="1" applyFont="1" applyFill="1" applyBorder="1" applyAlignment="1" applyProtection="1">
      <alignment horizontal="center" vertical="center"/>
    </xf>
    <xf numFmtId="14" fontId="41" fillId="0" borderId="0" xfId="58" applyNumberFormat="1" applyFont="1" applyFill="1" applyBorder="1" applyAlignment="1" applyProtection="1">
      <alignment horizontal="center" vertical="center"/>
    </xf>
    <xf numFmtId="2" fontId="41" fillId="0" borderId="0" xfId="58" applyNumberFormat="1" applyFont="1" applyFill="1" applyBorder="1" applyAlignment="1" applyProtection="1">
      <alignment horizontal="center" vertical="center"/>
    </xf>
    <xf numFmtId="204" fontId="41" fillId="0" borderId="0" xfId="58" applyNumberFormat="1" applyFont="1" applyFill="1" applyBorder="1" applyAlignment="1" applyProtection="1">
      <alignment horizontal="center" vertical="center"/>
    </xf>
    <xf numFmtId="0" fontId="43" fillId="0" borderId="0" xfId="58" applyNumberFormat="1" applyFont="1" applyFill="1" applyBorder="1" applyAlignment="1" applyProtection="1">
      <alignment horizontal="center" vertical="center"/>
    </xf>
    <xf numFmtId="0" fontId="85" fillId="0" borderId="0" xfId="473" applyProtection="1"/>
    <xf numFmtId="0" fontId="4" fillId="0" borderId="0" xfId="473" applyFont="1" applyProtection="1"/>
    <xf numFmtId="0" fontId="74" fillId="58" borderId="0" xfId="473" applyFont="1" applyFill="1" applyBorder="1" applyAlignment="1" applyProtection="1">
      <alignment vertical="top" wrapText="1"/>
    </xf>
    <xf numFmtId="0" fontId="3" fillId="0" borderId="0" xfId="473" applyFont="1" applyProtection="1"/>
    <xf numFmtId="3" fontId="75" fillId="0" borderId="0" xfId="473" applyNumberFormat="1" applyFont="1" applyFill="1" applyBorder="1" applyProtection="1"/>
    <xf numFmtId="0" fontId="73" fillId="0" borderId="0" xfId="473" applyFont="1" applyProtection="1"/>
    <xf numFmtId="0" fontId="74" fillId="59" borderId="0" xfId="473" applyFont="1" applyFill="1" applyBorder="1" applyProtection="1"/>
    <xf numFmtId="0" fontId="85" fillId="60" borderId="0" xfId="473" applyFill="1" applyProtection="1"/>
    <xf numFmtId="0" fontId="74" fillId="58" borderId="0" xfId="473" applyFont="1" applyFill="1" applyBorder="1" applyAlignment="1" applyProtection="1">
      <alignment vertical="top"/>
    </xf>
    <xf numFmtId="4" fontId="76" fillId="60" borderId="0" xfId="473" applyNumberFormat="1" applyFont="1" applyFill="1" applyProtection="1"/>
    <xf numFmtId="4" fontId="34" fillId="62" borderId="0" xfId="473" applyNumberFormat="1" applyFont="1" applyFill="1" applyBorder="1" applyProtection="1"/>
    <xf numFmtId="2" fontId="41" fillId="0" borderId="0" xfId="58" applyNumberFormat="1" applyFont="1" applyFill="1" applyBorder="1" applyAlignment="1" applyProtection="1">
      <alignment horizontal="left" vertical="center"/>
    </xf>
    <xf numFmtId="207" fontId="24" fillId="0" borderId="0" xfId="95" applyNumberFormat="1" applyFont="1" applyFill="1" applyBorder="1" applyAlignment="1" applyProtection="1">
      <alignment horizontal="center" vertical="center"/>
    </xf>
    <xf numFmtId="10" fontId="41" fillId="0" borderId="0" xfId="58" applyNumberFormat="1" applyFont="1" applyFill="1" applyBorder="1" applyAlignment="1" applyProtection="1">
      <alignment vertical="center"/>
    </xf>
    <xf numFmtId="3" fontId="0" fillId="70" borderId="21" xfId="0" applyFill="1" applyBorder="1" applyProtection="1">
      <alignment vertical="center"/>
    </xf>
    <xf numFmtId="3" fontId="0" fillId="70" borderId="0" xfId="0" applyFill="1" applyBorder="1" applyAlignment="1" applyProtection="1">
      <alignment vertical="center" wrapText="1"/>
    </xf>
    <xf numFmtId="3" fontId="0" fillId="70" borderId="0" xfId="0" applyFill="1" applyBorder="1" applyProtection="1">
      <alignment vertical="center"/>
    </xf>
    <xf numFmtId="3" fontId="0" fillId="70" borderId="12" xfId="0" applyFill="1" applyBorder="1" applyProtection="1">
      <alignment vertical="center"/>
    </xf>
    <xf numFmtId="0" fontId="9" fillId="9" borderId="33" xfId="58" applyFont="1" applyFill="1" applyBorder="1" applyAlignment="1" applyProtection="1">
      <alignment horizontal="center" vertical="center" wrapText="1"/>
    </xf>
    <xf numFmtId="0" fontId="24" fillId="9" borderId="33" xfId="58" applyFont="1" applyFill="1" applyBorder="1" applyAlignment="1" applyProtection="1">
      <alignment horizontal="center" vertical="center" wrapText="1"/>
    </xf>
    <xf numFmtId="0" fontId="9" fillId="9" borderId="2" xfId="58" applyFont="1" applyFill="1" applyBorder="1" applyAlignment="1" applyProtection="1">
      <alignment horizontal="center" vertical="center" wrapText="1"/>
    </xf>
    <xf numFmtId="0" fontId="24" fillId="9" borderId="2" xfId="58" applyFont="1" applyFill="1" applyBorder="1" applyAlignment="1" applyProtection="1">
      <alignment horizontal="center" vertical="center" wrapText="1"/>
    </xf>
    <xf numFmtId="0" fontId="9" fillId="9" borderId="31" xfId="58" applyFont="1" applyFill="1" applyBorder="1" applyAlignment="1" applyProtection="1">
      <alignment horizontal="center" vertical="center" wrapText="1"/>
    </xf>
    <xf numFmtId="0" fontId="24" fillId="9" borderId="31" xfId="58" applyFont="1" applyFill="1" applyBorder="1" applyAlignment="1" applyProtection="1">
      <alignment horizontal="center" vertical="center" wrapText="1"/>
    </xf>
    <xf numFmtId="0" fontId="24" fillId="9" borderId="41" xfId="58" applyFont="1" applyFill="1" applyBorder="1" applyAlignment="1" applyProtection="1">
      <alignment horizontal="center" vertical="center" wrapText="1"/>
    </xf>
    <xf numFmtId="0" fontId="24" fillId="9" borderId="24" xfId="58" applyFont="1" applyFill="1" applyBorder="1" applyAlignment="1" applyProtection="1">
      <alignment horizontal="center" vertical="center" wrapText="1"/>
    </xf>
    <xf numFmtId="9" fontId="24" fillId="9" borderId="42" xfId="95" applyFont="1" applyFill="1" applyBorder="1" applyAlignment="1" applyProtection="1">
      <alignment horizontal="center" vertical="center" wrapText="1"/>
    </xf>
    <xf numFmtId="0" fontId="24" fillId="9" borderId="24" xfId="58" applyNumberFormat="1" applyFont="1" applyFill="1" applyBorder="1" applyAlignment="1" applyProtection="1">
      <alignment horizontal="center" vertical="center" wrapText="1"/>
    </xf>
    <xf numFmtId="0" fontId="24" fillId="9" borderId="42" xfId="58" applyFont="1" applyFill="1" applyBorder="1" applyAlignment="1" applyProtection="1">
      <alignment horizontal="center" vertical="center" wrapText="1"/>
    </xf>
    <xf numFmtId="0" fontId="24" fillId="9" borderId="19" xfId="58" applyFont="1" applyFill="1" applyBorder="1" applyAlignment="1" applyProtection="1">
      <alignment horizontal="center" vertical="center" wrapText="1"/>
    </xf>
    <xf numFmtId="0" fontId="80" fillId="77" borderId="29" xfId="58" applyFont="1" applyFill="1" applyBorder="1" applyAlignment="1" applyProtection="1">
      <alignment horizontal="left" vertical="center" wrapText="1"/>
    </xf>
    <xf numFmtId="3" fontId="0" fillId="70" borderId="20" xfId="0" applyFill="1" applyBorder="1" applyProtection="1">
      <alignment vertical="center"/>
    </xf>
    <xf numFmtId="0" fontId="24" fillId="70" borderId="10" xfId="58" applyFont="1" applyFill="1" applyBorder="1" applyAlignment="1" applyProtection="1">
      <alignment horizontal="left" vertical="center" wrapText="1"/>
    </xf>
    <xf numFmtId="3" fontId="0" fillId="70" borderId="10" xfId="0" applyFill="1" applyBorder="1" applyAlignment="1" applyProtection="1">
      <alignment vertical="center" wrapText="1"/>
    </xf>
    <xf numFmtId="3" fontId="0" fillId="70" borderId="10" xfId="0" applyFill="1" applyBorder="1" applyProtection="1">
      <alignment vertical="center"/>
    </xf>
    <xf numFmtId="3" fontId="0" fillId="70" borderId="19" xfId="0" applyFill="1" applyBorder="1" applyProtection="1">
      <alignment vertical="center"/>
    </xf>
    <xf numFmtId="0" fontId="24" fillId="20" borderId="29" xfId="58" applyNumberFormat="1" applyFont="1" applyFill="1" applyBorder="1" applyAlignment="1" applyProtection="1">
      <alignment horizontal="right" vertical="center" indent="1"/>
      <protection locked="0"/>
    </xf>
    <xf numFmtId="0" fontId="25" fillId="25" borderId="29" xfId="58" applyNumberFormat="1" applyFont="1" applyFill="1" applyBorder="1" applyAlignment="1" applyProtection="1">
      <alignment horizontal="center" vertical="center"/>
    </xf>
    <xf numFmtId="2" fontId="24" fillId="10" borderId="24" xfId="58" applyNumberFormat="1" applyFont="1" applyFill="1" applyBorder="1" applyAlignment="1" applyProtection="1">
      <alignment horizontal="right" vertical="center"/>
    </xf>
    <xf numFmtId="2" fontId="24" fillId="8" borderId="24" xfId="58" applyNumberFormat="1" applyFont="1" applyFill="1" applyBorder="1" applyAlignment="1" applyProtection="1">
      <alignment horizontal="right" vertical="center"/>
    </xf>
    <xf numFmtId="196" fontId="24" fillId="10" borderId="22" xfId="58" applyNumberFormat="1" applyFont="1" applyFill="1" applyBorder="1" applyAlignment="1" applyProtection="1">
      <alignment horizontal="right" vertical="center"/>
    </xf>
    <xf numFmtId="196" fontId="24" fillId="10" borderId="23" xfId="58" applyNumberFormat="1" applyFont="1" applyFill="1" applyBorder="1" applyAlignment="1" applyProtection="1">
      <alignment horizontal="right" vertical="center"/>
    </xf>
    <xf numFmtId="196" fontId="24" fillId="10" borderId="24" xfId="58" applyNumberFormat="1" applyFont="1" applyFill="1" applyBorder="1" applyAlignment="1" applyProtection="1">
      <alignment horizontal="right" vertical="center"/>
    </xf>
    <xf numFmtId="196" fontId="24" fillId="0" borderId="16" xfId="58" applyNumberFormat="1" applyFont="1" applyFill="1" applyBorder="1" applyAlignment="1" applyProtection="1">
      <alignment horizontal="right" vertical="center"/>
    </xf>
    <xf numFmtId="196" fontId="24" fillId="0" borderId="8" xfId="58" applyNumberFormat="1" applyFont="1" applyFill="1" applyBorder="1" applyAlignment="1" applyProtection="1">
      <alignment horizontal="right" vertical="center"/>
    </xf>
    <xf numFmtId="196" fontId="24" fillId="0" borderId="20" xfId="58" applyNumberFormat="1" applyFont="1" applyFill="1" applyBorder="1" applyAlignment="1" applyProtection="1">
      <alignment horizontal="right" vertical="center"/>
    </xf>
    <xf numFmtId="196" fontId="24" fillId="0" borderId="10" xfId="58" applyNumberFormat="1" applyFont="1" applyFill="1" applyBorder="1" applyAlignment="1" applyProtection="1">
      <alignment horizontal="right" vertical="center"/>
    </xf>
    <xf numFmtId="196" fontId="24" fillId="0" borderId="18" xfId="58" applyNumberFormat="1" applyFont="1" applyFill="1" applyBorder="1" applyAlignment="1" applyProtection="1">
      <alignment horizontal="right" vertical="center"/>
    </xf>
    <xf numFmtId="196" fontId="24" fillId="0" borderId="12" xfId="58" applyNumberFormat="1" applyFont="1" applyFill="1" applyBorder="1" applyAlignment="1" applyProtection="1">
      <alignment horizontal="right" vertical="center"/>
    </xf>
    <xf numFmtId="196" fontId="24" fillId="0" borderId="19" xfId="58" applyNumberFormat="1" applyFont="1" applyFill="1" applyBorder="1" applyAlignment="1" applyProtection="1">
      <alignment horizontal="right" vertical="center"/>
    </xf>
    <xf numFmtId="2" fontId="24" fillId="0" borderId="20" xfId="58" applyNumberFormat="1" applyFont="1" applyFill="1" applyBorder="1" applyAlignment="1" applyProtection="1">
      <alignment horizontal="center" vertical="center"/>
    </xf>
    <xf numFmtId="2" fontId="24" fillId="0" borderId="10" xfId="58" applyNumberFormat="1" applyFont="1" applyFill="1" applyBorder="1" applyAlignment="1" applyProtection="1">
      <alignment horizontal="center" vertical="center"/>
    </xf>
    <xf numFmtId="2" fontId="25" fillId="0" borderId="22" xfId="58" applyNumberFormat="1" applyFont="1" applyFill="1" applyBorder="1" applyAlignment="1" applyProtection="1">
      <alignment horizontal="center" vertical="center"/>
    </xf>
    <xf numFmtId="2" fontId="25" fillId="0" borderId="23" xfId="58" applyNumberFormat="1" applyFont="1" applyFill="1" applyBorder="1" applyAlignment="1" applyProtection="1">
      <alignment horizontal="center" vertical="center"/>
    </xf>
    <xf numFmtId="2" fontId="24" fillId="26" borderId="17" xfId="58" applyNumberFormat="1" applyFont="1" applyFill="1" applyBorder="1" applyAlignment="1" applyProtection="1">
      <alignment horizontal="center" vertical="center"/>
    </xf>
    <xf numFmtId="2" fontId="24" fillId="26" borderId="11" xfId="58" applyNumberFormat="1" applyFont="1" applyFill="1" applyBorder="1" applyAlignment="1" applyProtection="1">
      <alignment horizontal="center" vertical="center"/>
    </xf>
    <xf numFmtId="2" fontId="24" fillId="26" borderId="5" xfId="58" applyNumberFormat="1" applyFont="1" applyFill="1" applyBorder="1" applyAlignment="1" applyProtection="1">
      <alignment horizontal="center" vertical="center"/>
    </xf>
    <xf numFmtId="196" fontId="24" fillId="26" borderId="18" xfId="58" applyNumberFormat="1" applyFont="1" applyFill="1" applyBorder="1" applyAlignment="1" applyProtection="1">
      <alignment horizontal="right" vertical="center"/>
    </xf>
    <xf numFmtId="196" fontId="24" fillId="26" borderId="12" xfId="58" applyNumberFormat="1" applyFont="1" applyFill="1" applyBorder="1" applyAlignment="1" applyProtection="1">
      <alignment horizontal="right" vertical="center"/>
    </xf>
    <xf numFmtId="196" fontId="24" fillId="26" borderId="19" xfId="58" applyNumberFormat="1" applyFont="1" applyFill="1" applyBorder="1" applyAlignment="1" applyProtection="1">
      <alignment horizontal="right" vertical="center"/>
    </xf>
    <xf numFmtId="196" fontId="24" fillId="26" borderId="17" xfId="58" applyNumberFormat="1" applyFont="1" applyFill="1" applyBorder="1" applyAlignment="1" applyProtection="1">
      <alignment horizontal="right" vertical="center"/>
    </xf>
    <xf numFmtId="196" fontId="24" fillId="26" borderId="11" xfId="58" applyNumberFormat="1" applyFont="1" applyFill="1" applyBorder="1" applyAlignment="1" applyProtection="1">
      <alignment horizontal="right" vertical="center"/>
    </xf>
    <xf numFmtId="196" fontId="24" fillId="10" borderId="5" xfId="58" applyNumberFormat="1" applyFont="1" applyFill="1" applyBorder="1" applyAlignment="1" applyProtection="1">
      <alignment horizontal="right" vertical="center"/>
    </xf>
    <xf numFmtId="2" fontId="24" fillId="14" borderId="5" xfId="58" applyNumberFormat="1" applyFont="1" applyFill="1" applyBorder="1" applyAlignment="1" applyProtection="1">
      <alignment horizontal="center" vertical="center"/>
    </xf>
    <xf numFmtId="196" fontId="24" fillId="26" borderId="1" xfId="58" applyNumberFormat="1" applyFont="1" applyFill="1" applyBorder="1" applyAlignment="1" applyProtection="1">
      <alignment horizontal="left" vertical="center"/>
    </xf>
    <xf numFmtId="196" fontId="24" fillId="10" borderId="1" xfId="58" applyNumberFormat="1" applyFont="1" applyFill="1" applyBorder="1" applyAlignment="1" applyProtection="1">
      <alignment horizontal="left" vertical="center"/>
    </xf>
    <xf numFmtId="4" fontId="0" fillId="83" borderId="21" xfId="0" applyNumberFormat="1" applyFill="1" applyBorder="1" applyProtection="1">
      <alignment vertical="center"/>
    </xf>
    <xf numFmtId="4" fontId="0" fillId="83" borderId="17" xfId="0" applyNumberFormat="1" applyFill="1" applyBorder="1" applyProtection="1">
      <alignment vertical="center"/>
    </xf>
    <xf numFmtId="2" fontId="25" fillId="83" borderId="53" xfId="58" applyNumberFormat="1" applyFont="1" applyFill="1" applyBorder="1" applyAlignment="1" applyProtection="1">
      <alignment horizontal="right" vertical="center"/>
    </xf>
    <xf numFmtId="196" fontId="24" fillId="10" borderId="83" xfId="58" applyNumberFormat="1" applyFont="1" applyFill="1" applyBorder="1" applyAlignment="1" applyProtection="1">
      <alignment horizontal="right" vertical="center"/>
    </xf>
    <xf numFmtId="3" fontId="0" fillId="0" borderId="0" xfId="0" applyFill="1" applyProtection="1">
      <alignment vertical="center"/>
    </xf>
    <xf numFmtId="196" fontId="25" fillId="0" borderId="13" xfId="58" applyNumberFormat="1" applyFont="1" applyFill="1" applyBorder="1" applyAlignment="1" applyProtection="1">
      <alignment horizontal="right" vertical="center"/>
    </xf>
    <xf numFmtId="2" fontId="25" fillId="0" borderId="47" xfId="58" applyNumberFormat="1" applyFont="1" applyFill="1" applyBorder="1" applyAlignment="1" applyProtection="1">
      <alignment horizontal="right" vertical="center"/>
    </xf>
    <xf numFmtId="0" fontId="25" fillId="26" borderId="56" xfId="58" applyNumberFormat="1" applyFont="1" applyFill="1" applyBorder="1" applyAlignment="1" applyProtection="1">
      <alignment vertical="center"/>
    </xf>
    <xf numFmtId="0" fontId="24" fillId="0" borderId="24" xfId="58" applyNumberFormat="1" applyFont="1" applyFill="1" applyBorder="1" applyAlignment="1" applyProtection="1">
      <alignment vertical="center"/>
    </xf>
    <xf numFmtId="0" fontId="24" fillId="0" borderId="1" xfId="58" applyNumberFormat="1" applyFont="1" applyFill="1" applyBorder="1" applyAlignment="1" applyProtection="1">
      <alignment vertical="center"/>
    </xf>
    <xf numFmtId="0" fontId="90" fillId="13" borderId="0" xfId="473" applyFont="1" applyFill="1" applyBorder="1"/>
    <xf numFmtId="0" fontId="85" fillId="13" borderId="0" xfId="473" applyFill="1" applyBorder="1"/>
    <xf numFmtId="0" fontId="85" fillId="13" borderId="0" xfId="473" applyFill="1"/>
    <xf numFmtId="0" fontId="24" fillId="0" borderId="0" xfId="58" quotePrefix="1" applyFont="1" applyFill="1" applyBorder="1" applyAlignment="1" applyProtection="1">
      <alignment horizontal="left" vertical="center" wrapText="1" indent="1"/>
    </xf>
    <xf numFmtId="0" fontId="42" fillId="0" borderId="0" xfId="58" quotePrefix="1" applyNumberFormat="1" applyFont="1" applyFill="1" applyBorder="1" applyAlignment="1" applyProtection="1">
      <alignment horizontal="left" vertical="center" wrapText="1" indent="1"/>
      <protection locked="0"/>
    </xf>
    <xf numFmtId="0" fontId="24" fillId="0" borderId="11" xfId="58" quotePrefix="1" applyFont="1" applyFill="1" applyBorder="1" applyAlignment="1" applyProtection="1">
      <alignment horizontal="left" vertical="center" wrapText="1" indent="1"/>
    </xf>
    <xf numFmtId="196" fontId="24" fillId="0" borderId="10" xfId="58" applyNumberFormat="1" applyFont="1" applyFill="1" applyBorder="1" applyAlignment="1" applyProtection="1">
      <alignment horizontal="left" vertical="center" wrapText="1" indent="1"/>
      <protection locked="0"/>
    </xf>
    <xf numFmtId="197" fontId="46" fillId="11" borderId="14" xfId="58" applyNumberFormat="1" applyFont="1" applyFill="1" applyBorder="1" applyAlignment="1" applyProtection="1">
      <alignment horizontal="left" vertical="center" wrapText="1" indent="1"/>
    </xf>
    <xf numFmtId="197" fontId="24" fillId="11" borderId="14" xfId="58" quotePrefix="1" applyNumberFormat="1" applyFont="1" applyFill="1" applyBorder="1" applyAlignment="1" applyProtection="1">
      <alignment horizontal="left" vertical="center" indent="1"/>
    </xf>
    <xf numFmtId="197" fontId="24" fillId="11" borderId="25" xfId="58" applyNumberFormat="1" applyFont="1" applyFill="1" applyBorder="1" applyAlignment="1" applyProtection="1">
      <alignment horizontal="left" vertical="center" indent="1"/>
    </xf>
    <xf numFmtId="2" fontId="24" fillId="19" borderId="24" xfId="58" applyNumberFormat="1" applyFont="1" applyFill="1" applyBorder="1" applyAlignment="1" applyProtection="1">
      <alignment horizontal="center" vertical="center"/>
    </xf>
    <xf numFmtId="2" fontId="24" fillId="13" borderId="18" xfId="58" applyNumberFormat="1" applyFont="1" applyFill="1" applyBorder="1" applyAlignment="1" applyProtection="1">
      <alignment horizontal="center" vertical="center"/>
    </xf>
    <xf numFmtId="2" fontId="24" fillId="13" borderId="12" xfId="58" applyNumberFormat="1" applyFont="1" applyFill="1" applyBorder="1" applyAlignment="1" applyProtection="1">
      <alignment horizontal="center" vertical="center"/>
    </xf>
    <xf numFmtId="2" fontId="24" fillId="13" borderId="19" xfId="58" applyNumberFormat="1" applyFont="1" applyFill="1" applyBorder="1" applyAlignment="1" applyProtection="1">
      <alignment horizontal="center" vertical="center"/>
    </xf>
    <xf numFmtId="0" fontId="25" fillId="0" borderId="22" xfId="58" applyNumberFormat="1" applyFont="1" applyFill="1" applyBorder="1" applyAlignment="1" applyProtection="1">
      <alignment horizontal="center" vertical="center"/>
    </xf>
    <xf numFmtId="0" fontId="25" fillId="0" borderId="23" xfId="58" applyNumberFormat="1" applyFont="1" applyFill="1" applyBorder="1" applyAlignment="1" applyProtection="1">
      <alignment horizontal="center" vertical="center"/>
    </xf>
    <xf numFmtId="0" fontId="24" fillId="0" borderId="23" xfId="58" applyNumberFormat="1" applyFont="1" applyFill="1" applyBorder="1" applyAlignment="1" applyProtection="1">
      <alignment vertical="center" wrapText="1"/>
    </xf>
    <xf numFmtId="0" fontId="24" fillId="14" borderId="1" xfId="58" applyNumberFormat="1" applyFont="1" applyFill="1" applyBorder="1" applyAlignment="1" applyProtection="1">
      <alignment horizontal="left" vertical="center" wrapText="1" indent="1"/>
    </xf>
    <xf numFmtId="3" fontId="0" fillId="0" borderId="0" xfId="0" applyAlignment="1" applyProtection="1">
      <alignment horizontal="left" vertical="center" wrapText="1" indent="1"/>
    </xf>
    <xf numFmtId="0" fontId="41" fillId="0" borderId="0" xfId="58" quotePrefix="1" applyNumberFormat="1" applyFont="1" applyFill="1" applyBorder="1" applyAlignment="1" applyProtection="1">
      <alignment horizontal="left" vertical="center" wrapText="1" indent="1"/>
    </xf>
    <xf numFmtId="2" fontId="41" fillId="0" borderId="0" xfId="58" applyNumberFormat="1" applyFont="1" applyFill="1" applyBorder="1" applyAlignment="1" applyProtection="1">
      <alignment horizontal="left" vertical="center" wrapText="1" indent="1"/>
    </xf>
    <xf numFmtId="0" fontId="24" fillId="0" borderId="0" xfId="58" applyNumberFormat="1" applyFont="1" applyFill="1" applyBorder="1" applyAlignment="1" applyProtection="1">
      <alignment horizontal="left" vertical="center" wrapText="1" indent="1"/>
    </xf>
    <xf numFmtId="2" fontId="24" fillId="0" borderId="11" xfId="58" applyNumberFormat="1" applyFont="1" applyFill="1" applyBorder="1" applyAlignment="1" applyProtection="1">
      <alignment horizontal="left" vertical="center" wrapText="1"/>
      <protection locked="0"/>
    </xf>
    <xf numFmtId="2" fontId="24" fillId="0" borderId="0" xfId="58" applyNumberFormat="1" applyFont="1" applyFill="1" applyBorder="1" applyAlignment="1" applyProtection="1">
      <alignment horizontal="left" vertical="center" wrapText="1"/>
      <protection locked="0"/>
    </xf>
    <xf numFmtId="204" fontId="24" fillId="0" borderId="0" xfId="58" applyNumberFormat="1" applyFont="1" applyFill="1" applyBorder="1" applyAlignment="1" applyProtection="1">
      <alignment vertical="center" wrapText="1"/>
    </xf>
    <xf numFmtId="0" fontId="24" fillId="0" borderId="0" xfId="58" applyNumberFormat="1" applyFont="1" applyFill="1" applyBorder="1" applyAlignment="1" applyProtection="1">
      <alignment vertical="center" wrapText="1"/>
      <protection locked="0"/>
    </xf>
    <xf numFmtId="2" fontId="24" fillId="0" borderId="8" xfId="58" applyNumberFormat="1" applyFont="1" applyFill="1" applyBorder="1" applyAlignment="1" applyProtection="1">
      <alignment horizontal="left" vertical="center" wrapText="1" indent="1"/>
    </xf>
    <xf numFmtId="0" fontId="41" fillId="0" borderId="0" xfId="58" applyNumberFormat="1" applyFont="1" applyFill="1" applyBorder="1" applyAlignment="1" applyProtection="1">
      <alignment horizontal="left" vertical="center"/>
    </xf>
    <xf numFmtId="0" fontId="41" fillId="0" borderId="0" xfId="58" quotePrefix="1" applyNumberFormat="1" applyFont="1" applyFill="1" applyBorder="1" applyAlignment="1" applyProtection="1">
      <alignment horizontal="left" vertical="center"/>
    </xf>
    <xf numFmtId="14" fontId="41" fillId="0" borderId="0" xfId="58" applyNumberFormat="1" applyFont="1" applyFill="1" applyBorder="1" applyAlignment="1" applyProtection="1">
      <alignment horizontal="left" vertical="center"/>
    </xf>
    <xf numFmtId="0" fontId="41" fillId="12" borderId="0" xfId="58" applyNumberFormat="1" applyFont="1" applyFill="1" applyBorder="1" applyAlignment="1" applyProtection="1">
      <alignment horizontal="left" vertical="center"/>
    </xf>
    <xf numFmtId="0" fontId="91" fillId="85" borderId="23" xfId="58" applyNumberFormat="1" applyFont="1" applyFill="1" applyBorder="1" applyAlignment="1" applyProtection="1">
      <alignment vertical="center" wrapText="1"/>
    </xf>
    <xf numFmtId="0" fontId="38" fillId="0" borderId="0" xfId="58" applyNumberFormat="1" applyFont="1" applyFill="1" applyBorder="1" applyAlignment="1" applyProtection="1">
      <alignment horizontal="center" vertical="center"/>
    </xf>
    <xf numFmtId="0" fontId="38" fillId="0" borderId="0" xfId="58" applyNumberFormat="1" applyFont="1" applyFill="1" applyBorder="1" applyAlignment="1" applyProtection="1">
      <alignment horizontal="left" vertical="center"/>
    </xf>
    <xf numFmtId="0" fontId="38" fillId="0" borderId="0" xfId="58" quotePrefix="1" applyNumberFormat="1" applyFont="1" applyFill="1" applyBorder="1" applyAlignment="1" applyProtection="1">
      <alignment horizontal="left" vertical="center"/>
    </xf>
    <xf numFmtId="200" fontId="25" fillId="15" borderId="23" xfId="58" applyNumberFormat="1" applyFont="1" applyFill="1" applyBorder="1" applyAlignment="1" applyProtection="1">
      <alignment horizontal="center" vertical="center"/>
    </xf>
    <xf numFmtId="9" fontId="24" fillId="0" borderId="0" xfId="95" applyFont="1" applyFill="1" applyBorder="1" applyAlignment="1" applyProtection="1">
      <alignment horizontal="center" vertical="center"/>
    </xf>
    <xf numFmtId="204" fontId="24" fillId="0" borderId="0" xfId="58" applyNumberFormat="1" applyFont="1" applyFill="1" applyBorder="1" applyAlignment="1" applyProtection="1">
      <alignment horizontal="center" vertical="center"/>
    </xf>
    <xf numFmtId="196" fontId="24" fillId="0" borderId="11" xfId="58" applyNumberFormat="1" applyFont="1" applyFill="1" applyBorder="1" applyAlignment="1" applyProtection="1">
      <alignment horizontal="left" vertical="center" wrapText="1" indent="1"/>
    </xf>
    <xf numFmtId="2" fontId="25" fillId="7" borderId="0" xfId="58" applyNumberFormat="1" applyFont="1" applyFill="1" applyBorder="1" applyAlignment="1" applyProtection="1">
      <alignment horizontal="left" vertical="center" wrapText="1"/>
    </xf>
    <xf numFmtId="2" fontId="24" fillId="0" borderId="8" xfId="58" applyNumberFormat="1" applyFont="1" applyFill="1" applyBorder="1" applyAlignment="1" applyProtection="1">
      <alignment horizontal="left" vertical="center" wrapText="1"/>
    </xf>
    <xf numFmtId="2" fontId="24" fillId="0" borderId="0" xfId="58" applyNumberFormat="1" applyFont="1" applyFill="1" applyBorder="1" applyAlignment="1" applyProtection="1">
      <alignment horizontal="left" vertical="center" wrapText="1"/>
    </xf>
    <xf numFmtId="197" fontId="24" fillId="11" borderId="14" xfId="58" applyNumberFormat="1" applyFont="1" applyFill="1" applyBorder="1" applyAlignment="1" applyProtection="1">
      <alignment horizontal="left" vertical="center" wrapText="1"/>
    </xf>
    <xf numFmtId="0" fontId="24" fillId="0" borderId="0" xfId="58" quotePrefix="1" applyNumberFormat="1" applyFont="1" applyFill="1" applyBorder="1" applyAlignment="1" applyProtection="1">
      <alignment horizontal="left" vertical="center" wrapText="1"/>
    </xf>
    <xf numFmtId="2" fontId="25" fillId="7" borderId="0" xfId="58" applyNumberFormat="1" applyFont="1" applyFill="1" applyBorder="1" applyAlignment="1" applyProtection="1">
      <alignment horizontal="left" vertical="center" wrapText="1" indent="1"/>
    </xf>
    <xf numFmtId="2" fontId="24" fillId="0" borderId="0" xfId="58" applyNumberFormat="1" applyFont="1" applyFill="1" applyBorder="1" applyAlignment="1" applyProtection="1">
      <alignment horizontal="left" vertical="center" wrapText="1" indent="1"/>
    </xf>
    <xf numFmtId="2" fontId="24" fillId="0" borderId="17" xfId="58" applyNumberFormat="1" applyFont="1" applyFill="1" applyBorder="1" applyAlignment="1" applyProtection="1">
      <alignment horizontal="left" vertical="center" wrapText="1" indent="1"/>
    </xf>
    <xf numFmtId="2" fontId="24" fillId="0" borderId="11" xfId="58" applyNumberFormat="1" applyFont="1" applyFill="1" applyBorder="1" applyAlignment="1" applyProtection="1">
      <alignment horizontal="left" vertical="center" wrapText="1" indent="1"/>
    </xf>
    <xf numFmtId="2" fontId="24" fillId="11" borderId="14" xfId="58" applyNumberFormat="1" applyFont="1" applyFill="1" applyBorder="1" applyAlignment="1" applyProtection="1">
      <alignment horizontal="left" vertical="center" wrapText="1" indent="1"/>
    </xf>
    <xf numFmtId="2" fontId="24" fillId="0" borderId="11" xfId="58" applyNumberFormat="1" applyFont="1" applyFill="1" applyBorder="1" applyAlignment="1" applyProtection="1">
      <alignment horizontal="left" vertical="center" wrapText="1" indent="1"/>
      <protection locked="0"/>
    </xf>
    <xf numFmtId="0" fontId="24" fillId="22" borderId="29" xfId="58" applyFont="1" applyFill="1" applyBorder="1" applyAlignment="1" applyProtection="1">
      <alignment horizontal="center" vertical="center" wrapText="1"/>
    </xf>
    <xf numFmtId="0" fontId="24" fillId="15" borderId="29" xfId="58" applyFont="1" applyFill="1" applyBorder="1" applyAlignment="1" applyProtection="1">
      <alignment horizontal="center" vertical="center" wrapText="1"/>
    </xf>
    <xf numFmtId="0" fontId="25" fillId="21" borderId="29" xfId="58" applyFont="1" applyFill="1" applyBorder="1" applyAlignment="1" applyProtection="1">
      <alignment horizontal="center" vertical="center"/>
    </xf>
    <xf numFmtId="0" fontId="78" fillId="77" borderId="29" xfId="58" applyFont="1" applyFill="1" applyBorder="1" applyAlignment="1" applyProtection="1">
      <alignment horizontal="left" vertical="center" wrapText="1" indent="1"/>
    </xf>
    <xf numFmtId="0" fontId="6" fillId="8" borderId="40" xfId="58" applyFont="1" applyFill="1" applyBorder="1" applyAlignment="1" applyProtection="1">
      <alignment horizontal="center" vertical="center" wrapText="1"/>
    </xf>
    <xf numFmtId="0" fontId="6" fillId="8" borderId="15" xfId="58" applyFont="1" applyFill="1" applyBorder="1" applyAlignment="1" applyProtection="1">
      <alignment horizontal="center" vertical="center" wrapText="1"/>
    </xf>
    <xf numFmtId="197" fontId="24" fillId="11" borderId="25" xfId="58" applyNumberFormat="1" applyFont="1" applyFill="1" applyBorder="1" applyAlignment="1" applyProtection="1">
      <alignment horizontal="left" vertical="center" wrapText="1" indent="1"/>
    </xf>
    <xf numFmtId="2" fontId="24" fillId="13" borderId="83" xfId="58" applyNumberFormat="1" applyFont="1" applyFill="1" applyBorder="1" applyAlignment="1" applyProtection="1">
      <alignment horizontal="center" vertical="center"/>
    </xf>
    <xf numFmtId="2" fontId="24" fillId="17" borderId="83" xfId="58" applyNumberFormat="1" applyFont="1" applyFill="1" applyBorder="1" applyAlignment="1" applyProtection="1">
      <alignment horizontal="center" vertical="center"/>
    </xf>
    <xf numFmtId="0" fontId="24" fillId="0" borderId="22" xfId="58" applyNumberFormat="1" applyFont="1" applyFill="1" applyBorder="1" applyAlignment="1" applyProtection="1">
      <alignment horizontal="left" vertical="center" indent="1"/>
    </xf>
    <xf numFmtId="2" fontId="24" fillId="84" borderId="8" xfId="58" applyNumberFormat="1" applyFont="1" applyFill="1" applyBorder="1" applyAlignment="1" applyProtection="1">
      <alignment horizontal="center" vertical="center"/>
    </xf>
    <xf numFmtId="2" fontId="24" fillId="84" borderId="0" xfId="58" applyNumberFormat="1" applyFont="1" applyFill="1" applyBorder="1" applyAlignment="1" applyProtection="1">
      <alignment horizontal="center" vertical="center"/>
    </xf>
    <xf numFmtId="2" fontId="24" fillId="84" borderId="10" xfId="58" applyNumberFormat="1" applyFont="1" applyFill="1" applyBorder="1" applyAlignment="1" applyProtection="1">
      <alignment horizontal="center" vertical="center"/>
    </xf>
    <xf numFmtId="200" fontId="24" fillId="84" borderId="22" xfId="58" applyNumberFormat="1" applyFont="1" applyFill="1" applyBorder="1" applyAlignment="1" applyProtection="1">
      <alignment horizontal="center" vertical="center"/>
    </xf>
    <xf numFmtId="200" fontId="24" fillId="84" borderId="23" xfId="58" applyNumberFormat="1" applyFont="1" applyFill="1" applyBorder="1" applyAlignment="1" applyProtection="1">
      <alignment horizontal="center" vertical="center"/>
    </xf>
    <xf numFmtId="200" fontId="24" fillId="84" borderId="24" xfId="58" applyNumberFormat="1" applyFont="1" applyFill="1" applyBorder="1" applyAlignment="1" applyProtection="1">
      <alignment horizontal="center" vertical="center"/>
    </xf>
    <xf numFmtId="0" fontId="38" fillId="0" borderId="0" xfId="58" applyNumberFormat="1" applyFont="1" applyFill="1" applyBorder="1" applyAlignment="1" applyProtection="1">
      <alignment vertical="center"/>
      <protection locked="0"/>
    </xf>
    <xf numFmtId="196" fontId="38" fillId="10" borderId="0" xfId="58" applyNumberFormat="1" applyFont="1" applyFill="1" applyBorder="1" applyAlignment="1" applyProtection="1">
      <alignment horizontal="right" vertical="center"/>
      <protection locked="0"/>
    </xf>
    <xf numFmtId="2" fontId="9" fillId="0" borderId="11" xfId="58" applyNumberFormat="1" applyFont="1" applyFill="1" applyBorder="1" applyAlignment="1" applyProtection="1">
      <alignment horizontal="left" vertical="center" wrapText="1" indent="1"/>
      <protection locked="0"/>
    </xf>
    <xf numFmtId="2" fontId="9" fillId="0" borderId="0" xfId="58" applyNumberFormat="1" applyFont="1" applyFill="1" applyBorder="1" applyAlignment="1" applyProtection="1">
      <alignment horizontal="left" vertical="center" wrapText="1"/>
      <protection locked="0"/>
    </xf>
    <xf numFmtId="200" fontId="9" fillId="10" borderId="0" xfId="58" applyNumberFormat="1" applyFont="1" applyFill="1" applyBorder="1" applyAlignment="1" applyProtection="1">
      <alignment horizontal="right" vertical="center"/>
      <protection locked="0"/>
    </xf>
    <xf numFmtId="2" fontId="9" fillId="0" borderId="12" xfId="58" quotePrefix="1" applyNumberFormat="1" applyFont="1" applyFill="1" applyBorder="1" applyAlignment="1" applyProtection="1">
      <alignment horizontal="left" vertical="center" indent="1"/>
      <protection locked="0"/>
    </xf>
    <xf numFmtId="201" fontId="24" fillId="11" borderId="13" xfId="58" applyNumberFormat="1" applyFont="1" applyFill="1" applyBorder="1" applyAlignment="1" applyProtection="1">
      <alignment horizontal="right" vertical="center"/>
    </xf>
    <xf numFmtId="200" fontId="24" fillId="82" borderId="0" xfId="58" applyNumberFormat="1" applyFont="1" applyFill="1" applyBorder="1" applyAlignment="1" applyProtection="1">
      <alignment horizontal="center" vertical="center"/>
    </xf>
    <xf numFmtId="204" fontId="24" fillId="82" borderId="0" xfId="58" applyNumberFormat="1" applyFont="1" applyFill="1" applyBorder="1" applyAlignment="1" applyProtection="1">
      <alignment horizontal="center" vertical="center"/>
    </xf>
    <xf numFmtId="204" fontId="24" fillId="82" borderId="10" xfId="58" applyNumberFormat="1" applyFont="1" applyFill="1" applyBorder="1" applyAlignment="1" applyProtection="1">
      <alignment horizontal="center" vertical="center"/>
    </xf>
    <xf numFmtId="0" fontId="9" fillId="0" borderId="0" xfId="58" quotePrefix="1" applyNumberFormat="1" applyFont="1" applyFill="1" applyBorder="1" applyAlignment="1" applyProtection="1">
      <alignment horizontal="left" vertical="center" wrapText="1" indent="1"/>
    </xf>
    <xf numFmtId="201" fontId="24" fillId="12" borderId="13" xfId="58" applyNumberFormat="1" applyFont="1" applyFill="1" applyBorder="1" applyAlignment="1" applyProtection="1">
      <alignment horizontal="right" vertical="center"/>
    </xf>
    <xf numFmtId="4" fontId="24" fillId="11" borderId="13" xfId="58" applyNumberFormat="1" applyFont="1" applyFill="1" applyBorder="1" applyAlignment="1" applyProtection="1">
      <alignment horizontal="right" vertical="center"/>
    </xf>
    <xf numFmtId="209" fontId="24" fillId="0" borderId="0" xfId="58" applyNumberFormat="1" applyFont="1" applyFill="1" applyBorder="1" applyAlignment="1" applyProtection="1">
      <alignment vertical="center"/>
    </xf>
    <xf numFmtId="165" fontId="24" fillId="0" borderId="0" xfId="58" applyNumberFormat="1" applyFont="1" applyFill="1" applyBorder="1" applyAlignment="1" applyProtection="1">
      <alignment horizontal="center" vertical="center"/>
    </xf>
    <xf numFmtId="2" fontId="72" fillId="0" borderId="0" xfId="58" applyNumberFormat="1" applyFont="1" applyFill="1" applyBorder="1" applyAlignment="1" applyProtection="1">
      <alignment horizontal="center" vertical="center"/>
    </xf>
    <xf numFmtId="204" fontId="24" fillId="11" borderId="13" xfId="58" applyNumberFormat="1" applyFont="1" applyFill="1" applyBorder="1" applyAlignment="1" applyProtection="1">
      <alignment horizontal="right" vertical="center"/>
    </xf>
    <xf numFmtId="204" fontId="24" fillId="84" borderId="23" xfId="58" applyNumberFormat="1" applyFont="1" applyFill="1" applyBorder="1" applyAlignment="1" applyProtection="1">
      <alignment horizontal="center" vertical="center"/>
    </xf>
    <xf numFmtId="209" fontId="41" fillId="0" borderId="0" xfId="58" applyNumberFormat="1" applyFont="1" applyFill="1" applyBorder="1" applyAlignment="1" applyProtection="1">
      <alignment horizontal="left" vertical="center" wrapText="1" indent="1"/>
    </xf>
    <xf numFmtId="209" fontId="24" fillId="0" borderId="0" xfId="58" applyNumberFormat="1" applyFont="1" applyFill="1" applyBorder="1" applyAlignment="1" applyProtection="1">
      <alignment horizontal="center" vertical="center"/>
    </xf>
    <xf numFmtId="209" fontId="24" fillId="0" borderId="0" xfId="58" applyNumberFormat="1" applyFont="1" applyFill="1" applyBorder="1" applyAlignment="1" applyProtection="1">
      <alignment horizontal="right" vertical="center"/>
    </xf>
    <xf numFmtId="200" fontId="9" fillId="14" borderId="10" xfId="58" applyNumberFormat="1" applyFont="1" applyFill="1" applyBorder="1" applyAlignment="1" applyProtection="1">
      <alignment horizontal="center" vertical="center"/>
    </xf>
    <xf numFmtId="200" fontId="9" fillId="10" borderId="0" xfId="58" applyNumberFormat="1" applyFont="1" applyFill="1" applyBorder="1" applyAlignment="1" applyProtection="1">
      <alignment horizontal="right" vertical="center"/>
    </xf>
    <xf numFmtId="1" fontId="24" fillId="13" borderId="0" xfId="58" applyNumberFormat="1" applyFont="1" applyFill="1" applyBorder="1" applyAlignment="1" applyProtection="1">
      <alignment horizontal="center" vertical="center"/>
    </xf>
    <xf numFmtId="0" fontId="24" fillId="0" borderId="83" xfId="58" quotePrefix="1" applyNumberFormat="1" applyFont="1" applyFill="1" applyBorder="1" applyAlignment="1" applyProtection="1">
      <alignment horizontal="left" vertical="center" wrapText="1"/>
    </xf>
    <xf numFmtId="2" fontId="24" fillId="15" borderId="10" xfId="58" applyNumberFormat="1" applyFont="1" applyFill="1" applyBorder="1" applyAlignment="1" applyProtection="1">
      <alignment horizontal="center" vertical="center"/>
    </xf>
    <xf numFmtId="0" fontId="14" fillId="0" borderId="0" xfId="58" applyNumberFormat="1" applyFont="1" applyFill="1" applyBorder="1" applyAlignment="1" applyProtection="1">
      <alignment horizontal="left" vertical="center" wrapText="1" indent="1"/>
    </xf>
    <xf numFmtId="3" fontId="0" fillId="79" borderId="0" xfId="0" applyFill="1" applyBorder="1" applyProtection="1">
      <alignment vertical="center"/>
    </xf>
    <xf numFmtId="3" fontId="0" fillId="79" borderId="0" xfId="0" applyFill="1" applyBorder="1" applyAlignment="1" applyProtection="1">
      <alignment horizontal="left" vertical="center" indent="1"/>
    </xf>
    <xf numFmtId="0" fontId="3" fillId="86" borderId="0" xfId="473" applyFont="1" applyFill="1" applyAlignment="1" applyProtection="1">
      <alignment wrapText="1"/>
    </xf>
    <xf numFmtId="0" fontId="2" fillId="13" borderId="0" xfId="473" applyFont="1" applyFill="1" applyProtection="1"/>
    <xf numFmtId="0" fontId="85" fillId="13" borderId="0" xfId="473" applyFill="1" applyProtection="1"/>
    <xf numFmtId="2" fontId="1" fillId="0" borderId="0" xfId="473" applyNumberFormat="1" applyFont="1" applyFill="1" applyBorder="1"/>
    <xf numFmtId="2" fontId="24" fillId="0" borderId="0" xfId="58" applyNumberFormat="1" applyFont="1" applyFill="1" applyBorder="1" applyAlignment="1" applyProtection="1">
      <alignment horizontal="center" vertical="center" wrapText="1"/>
    </xf>
    <xf numFmtId="0" fontId="85" fillId="0" borderId="0" xfId="473" applyFill="1" applyBorder="1" applyAlignment="1">
      <alignment wrapText="1"/>
    </xf>
    <xf numFmtId="2" fontId="74" fillId="0" borderId="0" xfId="473" applyNumberFormat="1" applyFont="1" applyFill="1" applyBorder="1" applyAlignment="1">
      <alignment wrapText="1"/>
    </xf>
    <xf numFmtId="1" fontId="85" fillId="0" borderId="0" xfId="473" applyNumberFormat="1" applyFill="1" applyBorder="1" applyAlignment="1">
      <alignment wrapText="1"/>
    </xf>
    <xf numFmtId="3" fontId="14" fillId="13" borderId="84" xfId="0" applyFont="1" applyFill="1" applyBorder="1">
      <alignment vertical="center"/>
    </xf>
    <xf numFmtId="3" fontId="0" fillId="13" borderId="85" xfId="0" applyFill="1" applyBorder="1" applyProtection="1">
      <alignment vertical="center"/>
    </xf>
    <xf numFmtId="3" fontId="14" fillId="13" borderId="86" xfId="0" applyFont="1" applyFill="1" applyBorder="1">
      <alignment vertical="center"/>
    </xf>
    <xf numFmtId="3" fontId="0" fillId="13" borderId="87" xfId="0" applyFill="1" applyBorder="1" applyProtection="1">
      <alignment vertical="center"/>
    </xf>
    <xf numFmtId="3" fontId="14" fillId="13" borderId="86" xfId="0" applyFont="1" applyFill="1" applyBorder="1" applyAlignment="1">
      <alignment vertical="center" wrapText="1"/>
    </xf>
    <xf numFmtId="3" fontId="14" fillId="13" borderId="88" xfId="0" applyFont="1" applyFill="1" applyBorder="1" applyAlignment="1">
      <alignment vertical="center" wrapText="1"/>
    </xf>
    <xf numFmtId="3" fontId="0" fillId="13" borderId="89" xfId="0" applyFill="1" applyBorder="1" applyProtection="1">
      <alignment vertical="center"/>
    </xf>
    <xf numFmtId="0" fontId="6" fillId="8" borderId="41" xfId="58" applyFont="1" applyFill="1" applyBorder="1" applyAlignment="1" applyProtection="1">
      <alignment horizontal="center" vertical="center"/>
    </xf>
    <xf numFmtId="0" fontId="38" fillId="0" borderId="11" xfId="58" applyNumberFormat="1" applyFont="1" applyFill="1" applyBorder="1" applyAlignment="1" applyProtection="1">
      <alignment horizontal="left" vertical="center" indent="1"/>
      <protection locked="0"/>
    </xf>
    <xf numFmtId="197" fontId="38" fillId="0" borderId="12" xfId="58" applyNumberFormat="1" applyFont="1" applyFill="1" applyBorder="1" applyAlignment="1" applyProtection="1">
      <alignment horizontal="left" vertical="center" indent="1"/>
      <protection locked="0"/>
    </xf>
    <xf numFmtId="196" fontId="38" fillId="0" borderId="11" xfId="58" applyNumberFormat="1" applyFont="1" applyFill="1" applyBorder="1" applyAlignment="1" applyProtection="1">
      <alignment horizontal="left" vertical="center" indent="1"/>
      <protection locked="0"/>
    </xf>
    <xf numFmtId="196" fontId="38" fillId="0" borderId="0" xfId="58" applyNumberFormat="1" applyFont="1" applyFill="1" applyBorder="1" applyAlignment="1" applyProtection="1">
      <alignment horizontal="left" vertical="center" indent="1"/>
      <protection locked="0"/>
    </xf>
    <xf numFmtId="197" fontId="38" fillId="0" borderId="11" xfId="58" applyNumberFormat="1" applyFont="1" applyFill="1" applyBorder="1" applyAlignment="1" applyProtection="1">
      <alignment horizontal="left" vertical="center" indent="1"/>
      <protection locked="0"/>
    </xf>
    <xf numFmtId="0" fontId="38" fillId="0" borderId="11" xfId="58" quotePrefix="1" applyNumberFormat="1" applyFont="1" applyFill="1" applyBorder="1" applyAlignment="1" applyProtection="1">
      <alignment horizontal="left" vertical="center" indent="1"/>
      <protection locked="0"/>
    </xf>
    <xf numFmtId="0" fontId="38" fillId="0" borderId="0" xfId="58" quotePrefix="1" applyNumberFormat="1" applyFont="1" applyFill="1" applyBorder="1" applyAlignment="1" applyProtection="1">
      <alignment horizontal="left" vertical="center" wrapText="1" indent="1"/>
      <protection locked="0"/>
    </xf>
    <xf numFmtId="200" fontId="25" fillId="15" borderId="24" xfId="58" applyNumberFormat="1" applyFont="1" applyFill="1" applyBorder="1" applyAlignment="1" applyProtection="1">
      <alignment horizontal="center" vertical="center"/>
    </xf>
    <xf numFmtId="209" fontId="24" fillId="15" borderId="10" xfId="58" applyNumberFormat="1" applyFont="1" applyFill="1" applyBorder="1" applyAlignment="1" applyProtection="1">
      <alignment horizontal="center" vertical="center"/>
    </xf>
    <xf numFmtId="2" fontId="24" fillId="14" borderId="83" xfId="58" applyNumberFormat="1" applyFont="1" applyFill="1" applyBorder="1" applyAlignment="1" applyProtection="1">
      <alignment horizontal="center" vertical="center"/>
    </xf>
    <xf numFmtId="2" fontId="24" fillId="15" borderId="20" xfId="58" applyNumberFormat="1" applyFont="1" applyFill="1" applyBorder="1" applyAlignment="1" applyProtection="1">
      <alignment horizontal="center" vertical="center"/>
    </xf>
    <xf numFmtId="2" fontId="24" fillId="15" borderId="19" xfId="58" applyNumberFormat="1" applyFont="1" applyFill="1" applyBorder="1" applyAlignment="1" applyProtection="1">
      <alignment horizontal="center" vertical="center"/>
    </xf>
    <xf numFmtId="200" fontId="24" fillId="14" borderId="83" xfId="58" applyNumberFormat="1" applyFont="1" applyFill="1" applyBorder="1" applyAlignment="1" applyProtection="1">
      <alignment horizontal="center" vertical="center"/>
    </xf>
    <xf numFmtId="0" fontId="25" fillId="0" borderId="11" xfId="58" applyNumberFormat="1" applyFont="1" applyFill="1" applyBorder="1" applyAlignment="1" applyProtection="1">
      <alignment horizontal="left" vertical="center" wrapText="1" indent="1"/>
    </xf>
    <xf numFmtId="0" fontId="25" fillId="0" borderId="0" xfId="58" applyNumberFormat="1" applyFont="1" applyFill="1" applyBorder="1" applyAlignment="1" applyProtection="1">
      <alignment vertical="center"/>
    </xf>
    <xf numFmtId="0" fontId="25" fillId="0" borderId="0" xfId="58" applyNumberFormat="1" applyFont="1" applyFill="1" applyBorder="1" applyAlignment="1" applyProtection="1"/>
    <xf numFmtId="0" fontId="9" fillId="0" borderId="17" xfId="58" applyNumberFormat="1" applyFont="1" applyFill="1" applyBorder="1" applyAlignment="1" applyProtection="1">
      <alignment horizontal="left" vertical="center" wrapText="1" indent="1"/>
    </xf>
    <xf numFmtId="3" fontId="0" fillId="9" borderId="0" xfId="0" applyFill="1" applyBorder="1" applyAlignment="1" applyProtection="1">
      <alignment vertical="center" wrapText="1"/>
    </xf>
    <xf numFmtId="204" fontId="24" fillId="14" borderId="21" xfId="58" applyNumberFormat="1" applyFont="1" applyFill="1" applyBorder="1" applyAlignment="1" applyProtection="1">
      <alignment horizontal="center" vertical="center"/>
    </xf>
    <xf numFmtId="204" fontId="24" fillId="14" borderId="20" xfId="58" applyNumberFormat="1" applyFont="1" applyFill="1" applyBorder="1" applyAlignment="1" applyProtection="1">
      <alignment horizontal="center" vertical="center"/>
    </xf>
    <xf numFmtId="200" fontId="25" fillId="15" borderId="22" xfId="58" applyNumberFormat="1" applyFont="1" applyFill="1" applyBorder="1" applyAlignment="1" applyProtection="1">
      <alignment horizontal="center" vertical="center"/>
    </xf>
    <xf numFmtId="200" fontId="24" fillId="9" borderId="41" xfId="58" applyNumberFormat="1" applyFont="1" applyFill="1" applyBorder="1" applyAlignment="1" applyProtection="1">
      <alignment vertical="center"/>
    </xf>
    <xf numFmtId="200" fontId="24" fillId="9" borderId="38" xfId="58" applyNumberFormat="1" applyFont="1" applyFill="1" applyBorder="1" applyAlignment="1" applyProtection="1">
      <alignment vertical="center"/>
    </xf>
    <xf numFmtId="200" fontId="24" fillId="9" borderId="39" xfId="58" applyNumberFormat="1" applyFont="1" applyFill="1" applyBorder="1" applyAlignment="1" applyProtection="1">
      <alignment vertical="center"/>
    </xf>
    <xf numFmtId="200" fontId="6" fillId="8" borderId="41" xfId="58" applyNumberFormat="1" applyFont="1" applyFill="1" applyBorder="1" applyAlignment="1" applyProtection="1">
      <alignment vertical="center"/>
    </xf>
    <xf numFmtId="200" fontId="6" fillId="8" borderId="38" xfId="58" applyNumberFormat="1" applyFont="1" applyFill="1" applyBorder="1" applyAlignment="1" applyProtection="1">
      <alignment vertical="center"/>
    </xf>
    <xf numFmtId="200" fontId="6" fillId="8" borderId="39" xfId="58" applyNumberFormat="1" applyFont="1" applyFill="1" applyBorder="1" applyAlignment="1" applyProtection="1">
      <alignment vertical="center"/>
    </xf>
    <xf numFmtId="200" fontId="24" fillId="10" borderId="83" xfId="58" applyNumberFormat="1" applyFont="1" applyFill="1" applyBorder="1" applyAlignment="1" applyProtection="1">
      <alignment horizontal="right" vertical="center"/>
    </xf>
    <xf numFmtId="210" fontId="24" fillId="0" borderId="0" xfId="58" applyNumberFormat="1" applyFont="1" applyFill="1" applyBorder="1" applyAlignment="1" applyProtection="1">
      <alignment vertical="center"/>
    </xf>
    <xf numFmtId="196" fontId="24" fillId="11" borderId="67" xfId="58" applyNumberFormat="1" applyFont="1" applyFill="1" applyBorder="1" applyAlignment="1" applyProtection="1">
      <alignment horizontal="right" vertical="center"/>
    </xf>
    <xf numFmtId="197" fontId="24" fillId="0" borderId="21" xfId="58" applyNumberFormat="1" applyFont="1" applyFill="1" applyBorder="1" applyAlignment="1" applyProtection="1">
      <alignment horizontal="left" vertical="center" indent="1"/>
    </xf>
    <xf numFmtId="2" fontId="9" fillId="0" borderId="0" xfId="58" applyNumberFormat="1" applyFont="1" applyFill="1" applyBorder="1" applyAlignment="1" applyProtection="1">
      <alignment horizontal="left" vertical="center" indent="1"/>
      <protection locked="0"/>
    </xf>
    <xf numFmtId="2" fontId="24" fillId="0" borderId="0" xfId="58" applyNumberFormat="1" applyFont="1" applyFill="1" applyBorder="1" applyAlignment="1" applyProtection="1">
      <alignment horizontal="left" vertical="center" indent="1"/>
      <protection locked="0"/>
    </xf>
    <xf numFmtId="2" fontId="24" fillId="0" borderId="5" xfId="58" applyNumberFormat="1" applyFont="1" applyFill="1" applyBorder="1" applyAlignment="1" applyProtection="1">
      <alignment horizontal="left" vertical="center" wrapText="1" indent="1"/>
      <protection locked="0"/>
    </xf>
    <xf numFmtId="2" fontId="24" fillId="0" borderId="12" xfId="58" applyNumberFormat="1" applyFont="1" applyFill="1" applyBorder="1" applyAlignment="1" applyProtection="1">
      <alignment horizontal="left" vertical="center" wrapText="1"/>
      <protection locked="0"/>
    </xf>
    <xf numFmtId="196" fontId="9" fillId="10" borderId="83" xfId="58" applyNumberFormat="1" applyFont="1" applyFill="1" applyBorder="1" applyAlignment="1" applyProtection="1">
      <alignment horizontal="right" vertical="center"/>
    </xf>
    <xf numFmtId="197" fontId="24" fillId="0" borderId="83" xfId="58" applyNumberFormat="1" applyFont="1" applyFill="1" applyBorder="1" applyAlignment="1" applyProtection="1">
      <alignment horizontal="left" vertical="center" indent="1"/>
    </xf>
    <xf numFmtId="197" fontId="24" fillId="0" borderId="0" xfId="58" applyNumberFormat="1" applyFont="1" applyFill="1" applyBorder="1" applyAlignment="1" applyProtection="1">
      <alignment horizontal="left" vertical="center" indent="1"/>
      <protection locked="0"/>
    </xf>
    <xf numFmtId="197" fontId="24" fillId="0" borderId="10" xfId="58" applyNumberFormat="1" applyFont="1" applyFill="1" applyBorder="1" applyAlignment="1" applyProtection="1">
      <alignment horizontal="left" vertical="center" indent="1"/>
      <protection locked="0"/>
    </xf>
    <xf numFmtId="197" fontId="24" fillId="0" borderId="17" xfId="58" applyNumberFormat="1" applyFont="1" applyFill="1" applyBorder="1" applyAlignment="1" applyProtection="1">
      <alignment horizontal="left" vertical="center" wrapText="1" indent="1"/>
    </xf>
    <xf numFmtId="197" fontId="24" fillId="0" borderId="11" xfId="58" applyNumberFormat="1" applyFont="1" applyFill="1" applyBorder="1" applyAlignment="1" applyProtection="1">
      <alignment horizontal="left" vertical="center" wrapText="1" indent="1"/>
    </xf>
    <xf numFmtId="2" fontId="24" fillId="0" borderId="17" xfId="58" applyNumberFormat="1" applyFont="1" applyFill="1" applyBorder="1" applyAlignment="1" applyProtection="1">
      <alignment horizontal="left" vertical="center" wrapText="1"/>
    </xf>
    <xf numFmtId="4" fontId="24" fillId="0" borderId="0" xfId="58" applyNumberFormat="1" applyFont="1" applyFill="1" applyBorder="1" applyAlignment="1" applyProtection="1">
      <alignment vertical="center"/>
      <protection locked="0"/>
    </xf>
    <xf numFmtId="196" fontId="9" fillId="10" borderId="0" xfId="58" applyNumberFormat="1" applyFont="1" applyFill="1" applyBorder="1" applyAlignment="1" applyProtection="1">
      <alignment horizontal="right" vertical="center"/>
    </xf>
    <xf numFmtId="0" fontId="24" fillId="0" borderId="21" xfId="58" applyNumberFormat="1" applyFont="1" applyFill="1" applyBorder="1" applyAlignment="1" applyProtection="1">
      <alignment horizontal="left" vertical="center" indent="1"/>
      <protection locked="0"/>
    </xf>
    <xf numFmtId="197" fontId="24" fillId="0" borderId="16" xfId="58" applyNumberFormat="1" applyFont="1" applyFill="1" applyBorder="1" applyAlignment="1" applyProtection="1">
      <alignment horizontal="left" vertical="center" indent="1"/>
    </xf>
    <xf numFmtId="2" fontId="24" fillId="0" borderId="0" xfId="58" quotePrefix="1" applyNumberFormat="1" applyFont="1" applyFill="1" applyBorder="1" applyAlignment="1" applyProtection="1">
      <alignment horizontal="left" vertical="center" wrapText="1"/>
    </xf>
    <xf numFmtId="9" fontId="24" fillId="0" borderId="11" xfId="58" applyNumberFormat="1" applyFont="1" applyFill="1" applyBorder="1" applyAlignment="1" applyProtection="1">
      <alignment horizontal="left" vertical="center" indent="1"/>
    </xf>
    <xf numFmtId="0" fontId="38" fillId="0" borderId="11" xfId="58" applyNumberFormat="1" applyFont="1" applyFill="1" applyBorder="1" applyAlignment="1" applyProtection="1">
      <alignment vertical="center"/>
    </xf>
    <xf numFmtId="2" fontId="9" fillId="0" borderId="12" xfId="58" quotePrefix="1" applyNumberFormat="1" applyFont="1" applyFill="1" applyBorder="1" applyAlignment="1" applyProtection="1">
      <alignment horizontal="left" vertical="center" indent="1"/>
    </xf>
    <xf numFmtId="2" fontId="9" fillId="0" borderId="0" xfId="58" applyNumberFormat="1" applyFont="1" applyFill="1" applyBorder="1" applyAlignment="1" applyProtection="1">
      <alignment horizontal="left" vertical="center" indent="1"/>
    </xf>
    <xf numFmtId="2" fontId="9" fillId="0" borderId="11" xfId="58" applyNumberFormat="1" applyFont="1" applyFill="1" applyBorder="1" applyAlignment="1" applyProtection="1">
      <alignment horizontal="left" vertical="center" wrapText="1" indent="1"/>
    </xf>
    <xf numFmtId="2" fontId="9" fillId="0" borderId="0" xfId="58" applyNumberFormat="1" applyFont="1" applyFill="1" applyBorder="1" applyAlignment="1" applyProtection="1">
      <alignment horizontal="left" vertical="center" wrapText="1"/>
    </xf>
    <xf numFmtId="2" fontId="9" fillId="0" borderId="12" xfId="58" applyNumberFormat="1" applyFont="1" applyFill="1" applyBorder="1" applyAlignment="1" applyProtection="1">
      <alignment horizontal="left" vertical="center" indent="1"/>
    </xf>
    <xf numFmtId="2" fontId="24" fillId="0" borderId="11" xfId="58" applyNumberFormat="1" applyFont="1" applyFill="1" applyBorder="1" applyAlignment="1" applyProtection="1">
      <alignment horizontal="left" vertical="center" wrapText="1"/>
    </xf>
    <xf numFmtId="200" fontId="24" fillId="10" borderId="0" xfId="58" applyNumberFormat="1" applyFont="1" applyFill="1" applyBorder="1" applyAlignment="1" applyProtection="1">
      <alignment horizontal="right" vertical="center" wrapText="1"/>
    </xf>
    <xf numFmtId="0" fontId="25" fillId="0" borderId="17" xfId="58" applyNumberFormat="1" applyFont="1" applyFill="1" applyBorder="1" applyAlignment="1" applyProtection="1">
      <alignment horizontal="left" vertical="center" wrapText="1"/>
    </xf>
    <xf numFmtId="2" fontId="24" fillId="0" borderId="83" xfId="58" applyNumberFormat="1" applyFont="1" applyFill="1" applyBorder="1" applyAlignment="1" applyProtection="1">
      <alignment horizontal="left" vertical="center" wrapText="1"/>
    </xf>
    <xf numFmtId="0" fontId="24" fillId="0" borderId="17" xfId="58" applyNumberFormat="1" applyFont="1" applyFill="1" applyBorder="1" applyAlignment="1" applyProtection="1">
      <alignment horizontal="left" vertical="center" wrapText="1"/>
    </xf>
    <xf numFmtId="200" fontId="9" fillId="10" borderId="8" xfId="58" applyNumberFormat="1" applyFont="1" applyFill="1" applyBorder="1" applyAlignment="1" applyProtection="1">
      <alignment horizontal="right" vertical="center" wrapText="1"/>
    </xf>
    <xf numFmtId="0" fontId="24" fillId="0" borderId="11" xfId="58" applyNumberFormat="1" applyFont="1" applyFill="1" applyBorder="1" applyAlignment="1" applyProtection="1">
      <alignment vertical="center" wrapText="1"/>
    </xf>
    <xf numFmtId="2" fontId="24" fillId="0" borderId="12" xfId="58" applyNumberFormat="1" applyFont="1" applyFill="1" applyBorder="1" applyAlignment="1" applyProtection="1">
      <alignment horizontal="left" vertical="center" wrapText="1"/>
    </xf>
    <xf numFmtId="200" fontId="9" fillId="10" borderId="0" xfId="58" applyNumberFormat="1" applyFont="1" applyFill="1" applyBorder="1" applyAlignment="1" applyProtection="1">
      <alignment horizontal="right" vertical="center" wrapText="1"/>
    </xf>
    <xf numFmtId="0" fontId="24" fillId="0" borderId="11" xfId="58" applyNumberFormat="1" applyFont="1" applyFill="1" applyBorder="1" applyAlignment="1" applyProtection="1">
      <alignment horizontal="left" vertical="center" wrapText="1"/>
    </xf>
    <xf numFmtId="197" fontId="24" fillId="0" borderId="21" xfId="58" applyNumberFormat="1" applyFont="1" applyFill="1" applyBorder="1" applyAlignment="1" applyProtection="1">
      <alignment horizontal="left" vertical="center" wrapText="1"/>
    </xf>
    <xf numFmtId="0" fontId="24" fillId="0" borderId="11" xfId="58" quotePrefix="1" applyNumberFormat="1" applyFont="1" applyFill="1" applyBorder="1" applyAlignment="1" applyProtection="1">
      <alignment horizontal="left" vertical="center" wrapText="1"/>
    </xf>
    <xf numFmtId="203" fontId="24" fillId="10" borderId="0" xfId="58" applyNumberFormat="1" applyFont="1" applyFill="1" applyBorder="1" applyAlignment="1" applyProtection="1">
      <alignment horizontal="right" vertical="center" wrapText="1"/>
    </xf>
    <xf numFmtId="0" fontId="24" fillId="0" borderId="12" xfId="58" quotePrefix="1" applyNumberFormat="1" applyFont="1" applyFill="1" applyBorder="1" applyAlignment="1" applyProtection="1">
      <alignment horizontal="left" vertical="center" indent="1"/>
    </xf>
    <xf numFmtId="196" fontId="6" fillId="10" borderId="0" xfId="58" applyNumberFormat="1" applyFont="1" applyFill="1" applyBorder="1" applyAlignment="1" applyProtection="1">
      <alignment horizontal="right" vertical="center"/>
    </xf>
    <xf numFmtId="0" fontId="24" fillId="0" borderId="11" xfId="58" quotePrefix="1" applyNumberFormat="1" applyFont="1" applyFill="1" applyBorder="1" applyAlignment="1" applyProtection="1">
      <alignment horizontal="left" vertical="center" wrapText="1" indent="1"/>
      <protection locked="0"/>
    </xf>
    <xf numFmtId="0" fontId="24" fillId="0" borderId="0" xfId="58" quotePrefix="1" applyNumberFormat="1" applyFont="1" applyFill="1" applyBorder="1" applyAlignment="1" applyProtection="1">
      <alignment horizontal="left" vertical="center" wrapText="1"/>
      <protection locked="0"/>
    </xf>
    <xf numFmtId="197" fontId="24" fillId="0" borderId="11" xfId="58" applyNumberFormat="1" applyFont="1" applyFill="1" applyBorder="1" applyAlignment="1" applyProtection="1">
      <alignment horizontal="left" vertical="center" wrapText="1" indent="1"/>
      <protection locked="0"/>
    </xf>
    <xf numFmtId="9" fontId="24" fillId="0" borderId="0" xfId="58" quotePrefix="1" applyNumberFormat="1" applyFont="1" applyFill="1" applyBorder="1" applyAlignment="1" applyProtection="1">
      <alignment horizontal="left" vertical="center" wrapText="1" indent="1"/>
      <protection locked="0"/>
    </xf>
    <xf numFmtId="9" fontId="24" fillId="0" borderId="0" xfId="95" applyFont="1" applyFill="1" applyBorder="1" applyAlignment="1" applyProtection="1">
      <alignment horizontal="left" vertical="center" indent="1"/>
    </xf>
    <xf numFmtId="197" fontId="24" fillId="0" borderId="11" xfId="58" quotePrefix="1" applyNumberFormat="1" applyFont="1" applyFill="1" applyBorder="1" applyAlignment="1" applyProtection="1">
      <alignment horizontal="left" vertical="center" indent="1"/>
      <protection locked="0"/>
    </xf>
    <xf numFmtId="9" fontId="38" fillId="0" borderId="11" xfId="58" applyNumberFormat="1" applyFont="1" applyFill="1" applyBorder="1" applyAlignment="1" applyProtection="1">
      <alignment horizontal="left" vertical="center" indent="1"/>
      <protection locked="0"/>
    </xf>
    <xf numFmtId="196" fontId="38" fillId="0" borderId="11" xfId="58" quotePrefix="1" applyNumberFormat="1" applyFont="1" applyFill="1" applyBorder="1" applyAlignment="1" applyProtection="1">
      <alignment horizontal="left" vertical="center" indent="1"/>
      <protection locked="0"/>
    </xf>
    <xf numFmtId="196" fontId="38" fillId="0" borderId="0" xfId="58" quotePrefix="1" applyNumberFormat="1" applyFont="1" applyFill="1" applyBorder="1" applyAlignment="1" applyProtection="1">
      <alignment horizontal="left" vertical="center" indent="1"/>
      <protection locked="0"/>
    </xf>
    <xf numFmtId="165" fontId="38" fillId="10" borderId="0" xfId="58" applyNumberFormat="1" applyFont="1" applyFill="1" applyBorder="1" applyAlignment="1" applyProtection="1">
      <alignment horizontal="right" vertical="center"/>
      <protection locked="0"/>
    </xf>
    <xf numFmtId="197" fontId="38" fillId="0" borderId="0" xfId="58" applyNumberFormat="1" applyFont="1" applyFill="1" applyBorder="1" applyAlignment="1" applyProtection="1">
      <alignment horizontal="left" vertical="center" indent="1"/>
      <protection locked="0"/>
    </xf>
    <xf numFmtId="197" fontId="24" fillId="0" borderId="49" xfId="58" applyNumberFormat="1" applyFont="1" applyFill="1" applyBorder="1" applyAlignment="1" applyProtection="1">
      <alignment horizontal="left" vertical="center" indent="1"/>
      <protection locked="0"/>
    </xf>
    <xf numFmtId="197" fontId="24" fillId="0" borderId="0" xfId="58" applyNumberFormat="1" applyFont="1" applyFill="1" applyBorder="1" applyAlignment="1" applyProtection="1">
      <alignment horizontal="left" vertical="center" wrapText="1" indent="1"/>
      <protection locked="0"/>
    </xf>
    <xf numFmtId="196" fontId="38" fillId="10" borderId="0" xfId="58" applyNumberFormat="1" applyFont="1" applyFill="1" applyBorder="1" applyAlignment="1" applyProtection="1">
      <alignment horizontal="left" vertical="center"/>
      <protection locked="0"/>
    </xf>
    <xf numFmtId="0" fontId="24" fillId="0" borderId="21" xfId="58" applyNumberFormat="1" applyFont="1" applyFill="1" applyBorder="1" applyAlignment="1" applyProtection="1">
      <alignment horizontal="left" vertical="center" wrapText="1" indent="1"/>
    </xf>
    <xf numFmtId="0" fontId="9" fillId="0" borderId="11" xfId="58" applyNumberFormat="1" applyFont="1" applyFill="1" applyBorder="1" applyAlignment="1" applyProtection="1">
      <alignment horizontal="left" vertical="center" wrapText="1" indent="1"/>
    </xf>
    <xf numFmtId="198" fontId="24" fillId="84" borderId="0" xfId="58" applyNumberFormat="1" applyFont="1" applyFill="1" applyBorder="1" applyAlignment="1" applyProtection="1">
      <alignment horizontal="right" vertical="center"/>
    </xf>
    <xf numFmtId="0" fontId="25" fillId="0" borderId="0" xfId="58" applyNumberFormat="1" applyFont="1" applyFill="1" applyBorder="1" applyAlignment="1" applyProtection="1">
      <alignment horizontal="left" vertical="center"/>
    </xf>
    <xf numFmtId="197" fontId="24" fillId="0" borderId="27" xfId="58" quotePrefix="1" applyNumberFormat="1" applyFont="1" applyFill="1" applyBorder="1" applyAlignment="1" applyProtection="1">
      <alignment horizontal="left" vertical="center" wrapText="1" indent="1"/>
    </xf>
    <xf numFmtId="0" fontId="38" fillId="0" borderId="0" xfId="58" quotePrefix="1" applyNumberFormat="1" applyFont="1" applyFill="1" applyBorder="1" applyAlignment="1" applyProtection="1">
      <alignment horizontal="center" vertical="center"/>
    </xf>
    <xf numFmtId="0" fontId="25" fillId="0" borderId="11" xfId="58" applyNumberFormat="1" applyFont="1" applyFill="1" applyBorder="1" applyAlignment="1" applyProtection="1">
      <alignment horizontal="left" vertical="center" wrapText="1"/>
    </xf>
    <xf numFmtId="204" fontId="9" fillId="10" borderId="0" xfId="58" applyNumberFormat="1" applyFont="1" applyFill="1" applyBorder="1" applyAlignment="1" applyProtection="1">
      <alignment horizontal="right" vertical="center"/>
    </xf>
    <xf numFmtId="211" fontId="24" fillId="17" borderId="8" xfId="58" applyNumberFormat="1" applyFont="1" applyFill="1" applyBorder="1" applyAlignment="1" applyProtection="1">
      <alignment horizontal="center" vertical="center"/>
    </xf>
    <xf numFmtId="3" fontId="13" fillId="0" borderId="0" xfId="0" applyFont="1">
      <alignment vertical="center"/>
    </xf>
    <xf numFmtId="0" fontId="80" fillId="77" borderId="46" xfId="58" applyFont="1" applyFill="1" applyBorder="1" applyAlignment="1" applyProtection="1">
      <alignment horizontal="center" vertical="center"/>
    </xf>
    <xf numFmtId="0" fontId="24" fillId="9" borderId="4" xfId="58" applyFont="1" applyFill="1" applyBorder="1" applyAlignment="1" applyProtection="1">
      <alignment horizontal="center" vertical="center" wrapText="1"/>
    </xf>
    <xf numFmtId="3" fontId="72" fillId="0" borderId="0" xfId="0" quotePrefix="1" applyFont="1" applyFill="1" applyAlignment="1" applyProtection="1">
      <alignment horizontal="left" vertical="center"/>
    </xf>
    <xf numFmtId="0" fontId="97" fillId="70" borderId="12" xfId="58" applyNumberFormat="1" applyFont="1" applyFill="1" applyBorder="1" applyAlignment="1" applyProtection="1">
      <alignment horizontal="left" vertical="center" indent="1"/>
    </xf>
    <xf numFmtId="2" fontId="45" fillId="70" borderId="0" xfId="58" applyNumberFormat="1" applyFont="1" applyFill="1" applyBorder="1" applyAlignment="1" applyProtection="1">
      <alignment horizontal="center" vertical="center"/>
    </xf>
    <xf numFmtId="0" fontId="6" fillId="15" borderId="1" xfId="58" applyFont="1" applyFill="1" applyBorder="1" applyAlignment="1" applyProtection="1">
      <alignment horizontal="center" vertical="center"/>
      <protection locked="0"/>
    </xf>
    <xf numFmtId="0" fontId="78" fillId="77" borderId="2" xfId="58" applyFont="1" applyFill="1" applyBorder="1" applyAlignment="1" applyProtection="1">
      <alignment horizontal="left" vertical="center" wrapText="1" indent="1"/>
    </xf>
    <xf numFmtId="0" fontId="78" fillId="77" borderId="31" xfId="58" applyFont="1" applyFill="1" applyBorder="1" applyAlignment="1" applyProtection="1">
      <alignment horizontal="left" vertical="center" wrapText="1" indent="1"/>
    </xf>
    <xf numFmtId="0" fontId="24" fillId="9" borderId="47" xfId="58" applyFont="1" applyFill="1" applyBorder="1" applyAlignment="1" applyProtection="1">
      <alignment vertical="center" wrapText="1"/>
    </xf>
    <xf numFmtId="0" fontId="25" fillId="20" borderId="62" xfId="58" applyFont="1" applyFill="1" applyBorder="1" applyAlignment="1" applyProtection="1">
      <alignment vertical="center"/>
    </xf>
    <xf numFmtId="201" fontId="24" fillId="0" borderId="0" xfId="58" applyNumberFormat="1" applyFont="1" applyFill="1" applyBorder="1" applyAlignment="1" applyProtection="1">
      <alignment horizontal="right" vertical="center"/>
    </xf>
    <xf numFmtId="196" fontId="9" fillId="0" borderId="83" xfId="58" applyNumberFormat="1" applyFont="1" applyFill="1" applyBorder="1" applyAlignment="1" applyProtection="1">
      <alignment horizontal="right" vertical="center"/>
    </xf>
    <xf numFmtId="1" fontId="24" fillId="0" borderId="0" xfId="58" applyNumberFormat="1" applyFont="1" applyFill="1" applyBorder="1" applyAlignment="1" applyProtection="1">
      <alignment vertical="center"/>
    </xf>
    <xf numFmtId="197" fontId="24" fillId="0" borderId="0" xfId="58" applyNumberFormat="1" applyFont="1" applyFill="1" applyBorder="1" applyAlignment="1" applyProtection="1">
      <alignment horizontal="center" vertical="center"/>
    </xf>
    <xf numFmtId="196" fontId="9" fillId="11" borderId="13" xfId="58" applyNumberFormat="1" applyFont="1" applyFill="1" applyBorder="1" applyAlignment="1" applyProtection="1">
      <alignment horizontal="right" vertical="center"/>
    </xf>
    <xf numFmtId="199" fontId="24" fillId="10" borderId="83" xfId="58" applyNumberFormat="1" applyFont="1" applyFill="1" applyBorder="1" applyAlignment="1" applyProtection="1">
      <alignment horizontal="right" vertical="center"/>
    </xf>
    <xf numFmtId="200" fontId="24" fillId="13" borderId="0" xfId="58" applyNumberFormat="1" applyFont="1" applyFill="1" applyBorder="1" applyAlignment="1" applyProtection="1">
      <alignment horizontal="center" vertical="center"/>
    </xf>
    <xf numFmtId="0" fontId="24" fillId="0" borderId="83" xfId="58" applyNumberFormat="1" applyFont="1" applyFill="1" applyBorder="1" applyAlignment="1" applyProtection="1">
      <alignment horizontal="right" vertical="center" indent="1"/>
    </xf>
    <xf numFmtId="200" fontId="24" fillId="87" borderId="20" xfId="58" applyNumberFormat="1" applyFont="1" applyFill="1" applyBorder="1" applyAlignment="1" applyProtection="1">
      <alignment horizontal="center" vertical="center"/>
    </xf>
    <xf numFmtId="200" fontId="24" fillId="87" borderId="10" xfId="58" applyNumberFormat="1" applyFont="1" applyFill="1" applyBorder="1" applyAlignment="1" applyProtection="1">
      <alignment horizontal="center" vertical="center"/>
    </xf>
    <xf numFmtId="200" fontId="24" fillId="87" borderId="19" xfId="58" applyNumberFormat="1" applyFont="1" applyFill="1" applyBorder="1" applyAlignment="1" applyProtection="1">
      <alignment horizontal="center" vertical="center"/>
    </xf>
    <xf numFmtId="2" fontId="24" fillId="10" borderId="16" xfId="58" applyNumberFormat="1" applyFont="1" applyFill="1" applyBorder="1" applyAlignment="1" applyProtection="1">
      <alignment horizontal="center" vertical="center"/>
    </xf>
    <xf numFmtId="2" fontId="24" fillId="87" borderId="83" xfId="58" applyNumberFormat="1" applyFont="1" applyFill="1" applyBorder="1" applyAlignment="1" applyProtection="1">
      <alignment horizontal="center" vertical="center"/>
    </xf>
    <xf numFmtId="2" fontId="24" fillId="10" borderId="18" xfId="58" applyNumberFormat="1" applyFont="1" applyFill="1" applyBorder="1" applyAlignment="1" applyProtection="1">
      <alignment horizontal="center" vertical="center"/>
    </xf>
    <xf numFmtId="2" fontId="24" fillId="10" borderId="83" xfId="58" applyNumberFormat="1" applyFont="1" applyFill="1" applyBorder="1" applyAlignment="1" applyProtection="1">
      <alignment horizontal="center" vertical="center"/>
    </xf>
    <xf numFmtId="206" fontId="24" fillId="12" borderId="13" xfId="58" applyNumberFormat="1" applyFont="1" applyFill="1" applyBorder="1" applyAlignment="1" applyProtection="1">
      <alignment horizontal="right" vertical="center"/>
    </xf>
    <xf numFmtId="196" fontId="24" fillId="0" borderId="12" xfId="58" applyNumberFormat="1" applyFont="1" applyFill="1" applyBorder="1" applyAlignment="1" applyProtection="1">
      <alignment horizontal="left" vertical="center" wrapText="1" indent="1"/>
      <protection locked="0"/>
    </xf>
    <xf numFmtId="3" fontId="14" fillId="0" borderId="0" xfId="0" applyFont="1">
      <alignment vertical="center"/>
    </xf>
    <xf numFmtId="196" fontId="24" fillId="88" borderId="13" xfId="58" applyNumberFormat="1" applyFont="1" applyFill="1" applyBorder="1" applyAlignment="1" applyProtection="1">
      <alignment horizontal="right" vertical="center"/>
    </xf>
    <xf numFmtId="198" fontId="24" fillId="88" borderId="13" xfId="58" applyNumberFormat="1" applyFont="1" applyFill="1" applyBorder="1" applyAlignment="1" applyProtection="1">
      <alignment horizontal="right" vertical="center"/>
    </xf>
    <xf numFmtId="206" fontId="24" fillId="88" borderId="13" xfId="58" applyNumberFormat="1" applyFont="1" applyFill="1" applyBorder="1" applyAlignment="1" applyProtection="1">
      <alignment horizontal="right" vertical="center"/>
    </xf>
    <xf numFmtId="196" fontId="24" fillId="23" borderId="13" xfId="58" applyNumberFormat="1" applyFont="1" applyFill="1" applyBorder="1" applyAlignment="1" applyProtection="1">
      <alignment horizontal="right" vertical="center"/>
    </xf>
    <xf numFmtId="206" fontId="24" fillId="23" borderId="13" xfId="58" applyNumberFormat="1" applyFont="1" applyFill="1" applyBorder="1" applyAlignment="1" applyProtection="1">
      <alignment horizontal="right" vertical="center"/>
    </xf>
    <xf numFmtId="198" fontId="24" fillId="23" borderId="13" xfId="58" applyNumberFormat="1" applyFont="1" applyFill="1" applyBorder="1" applyAlignment="1" applyProtection="1">
      <alignment horizontal="right" vertical="center"/>
    </xf>
    <xf numFmtId="204" fontId="9" fillId="0" borderId="8" xfId="58" applyNumberFormat="1" applyFont="1" applyFill="1" applyBorder="1" applyAlignment="1" applyProtection="1">
      <alignment horizontal="right" vertical="center"/>
    </xf>
    <xf numFmtId="200" fontId="9" fillId="0" borderId="8" xfId="58" applyNumberFormat="1" applyFont="1" applyFill="1" applyBorder="1" applyAlignment="1" applyProtection="1">
      <alignment horizontal="right" vertical="center"/>
    </xf>
    <xf numFmtId="200" fontId="24" fillId="0" borderId="8" xfId="58" applyNumberFormat="1" applyFont="1" applyFill="1" applyBorder="1" applyAlignment="1" applyProtection="1">
      <alignment horizontal="right" vertical="center"/>
    </xf>
    <xf numFmtId="2" fontId="24" fillId="0" borderId="16" xfId="58" applyNumberFormat="1" applyFont="1" applyFill="1" applyBorder="1" applyAlignment="1" applyProtection="1">
      <alignment horizontal="left" vertical="center" wrapText="1"/>
    </xf>
    <xf numFmtId="200" fontId="9" fillId="0" borderId="0" xfId="58" applyNumberFormat="1" applyFont="1" applyFill="1" applyBorder="1" applyAlignment="1" applyProtection="1">
      <alignment horizontal="right" vertical="center" wrapText="1"/>
    </xf>
    <xf numFmtId="196" fontId="24" fillId="0" borderId="83" xfId="58" applyNumberFormat="1" applyFont="1" applyFill="1" applyBorder="1" applyAlignment="1" applyProtection="1">
      <alignment horizontal="right" vertical="center"/>
    </xf>
    <xf numFmtId="199" fontId="24" fillId="0" borderId="83" xfId="58" applyNumberFormat="1" applyFont="1" applyFill="1" applyBorder="1" applyAlignment="1" applyProtection="1">
      <alignment horizontal="right" vertical="center"/>
    </xf>
    <xf numFmtId="199" fontId="9" fillId="0" borderId="83" xfId="58" applyNumberFormat="1" applyFont="1" applyFill="1" applyBorder="1" applyAlignment="1" applyProtection="1">
      <alignment horizontal="right" vertical="center"/>
    </xf>
    <xf numFmtId="4" fontId="24" fillId="0" borderId="0" xfId="58" applyNumberFormat="1" applyFont="1" applyFill="1" applyBorder="1" applyAlignment="1" applyProtection="1">
      <alignment horizontal="right" vertical="center"/>
    </xf>
    <xf numFmtId="206" fontId="98" fillId="0" borderId="0" xfId="58" applyNumberFormat="1" applyFont="1" applyFill="1" applyBorder="1" applyAlignment="1" applyProtection="1">
      <alignment horizontal="right" vertical="center"/>
    </xf>
    <xf numFmtId="206" fontId="24" fillId="0" borderId="0" xfId="58" applyNumberFormat="1" applyFont="1" applyFill="1" applyBorder="1" applyAlignment="1" applyProtection="1">
      <alignment horizontal="right" vertical="center"/>
    </xf>
    <xf numFmtId="196" fontId="6" fillId="10" borderId="8" xfId="58" applyNumberFormat="1" applyFont="1" applyFill="1" applyBorder="1" applyAlignment="1" applyProtection="1">
      <alignment horizontal="right" vertical="center"/>
    </xf>
    <xf numFmtId="3" fontId="0" fillId="0" borderId="11" xfId="0" applyFill="1" applyBorder="1" applyAlignment="1">
      <alignment wrapText="1"/>
    </xf>
    <xf numFmtId="2" fontId="24" fillId="89" borderId="0" xfId="58" applyNumberFormat="1" applyFont="1" applyFill="1" applyBorder="1" applyAlignment="1" applyProtection="1">
      <alignment horizontal="center" vertical="center"/>
    </xf>
    <xf numFmtId="196" fontId="9" fillId="10" borderId="0" xfId="58" applyNumberFormat="1" applyFont="1" applyFill="1" applyBorder="1" applyAlignment="1" applyProtection="1">
      <alignment horizontal="right" vertical="center"/>
      <protection locked="0"/>
    </xf>
    <xf numFmtId="196" fontId="24" fillId="32" borderId="13" xfId="58" applyNumberFormat="1" applyFont="1" applyFill="1" applyBorder="1" applyAlignment="1" applyProtection="1">
      <alignment horizontal="right" vertical="center"/>
    </xf>
    <xf numFmtId="2" fontId="24" fillId="90" borderId="10" xfId="58" applyNumberFormat="1" applyFont="1" applyFill="1" applyBorder="1" applyAlignment="1" applyProtection="1">
      <alignment horizontal="center" vertical="center"/>
    </xf>
    <xf numFmtId="196" fontId="24" fillId="10" borderId="0" xfId="58" applyNumberFormat="1" applyFill="1" applyAlignment="1">
      <alignment horizontal="right" vertical="center"/>
    </xf>
    <xf numFmtId="197" fontId="24" fillId="32" borderId="14" xfId="58" applyNumberFormat="1" applyFont="1" applyFill="1" applyBorder="1" applyAlignment="1" applyProtection="1">
      <alignment horizontal="left" vertical="center" indent="1"/>
    </xf>
    <xf numFmtId="197" fontId="24" fillId="32" borderId="14" xfId="58" applyNumberFormat="1" applyFont="1" applyFill="1" applyBorder="1" applyAlignment="1" applyProtection="1">
      <alignment horizontal="left" vertical="center" wrapText="1" indent="1"/>
    </xf>
    <xf numFmtId="197" fontId="24" fillId="32" borderId="27" xfId="58" applyNumberFormat="1" applyFont="1" applyFill="1" applyBorder="1" applyAlignment="1" applyProtection="1">
      <alignment horizontal="left" vertical="center" wrapText="1" indent="1"/>
    </xf>
    <xf numFmtId="196" fontId="24" fillId="87" borderId="0" xfId="58" applyNumberFormat="1" applyFont="1" applyFill="1" applyBorder="1" applyAlignment="1" applyProtection="1">
      <alignment horizontal="right" vertical="center"/>
    </xf>
    <xf numFmtId="2" fontId="24" fillId="91" borderId="23" xfId="58" applyNumberFormat="1" applyFont="1" applyFill="1" applyBorder="1" applyAlignment="1" applyProtection="1">
      <alignment horizontal="center" vertical="center"/>
    </xf>
    <xf numFmtId="2" fontId="35" fillId="89" borderId="8" xfId="58" applyNumberFormat="1" applyFont="1" applyFill="1" applyBorder="1" applyAlignment="1" applyProtection="1">
      <alignment horizontal="center" vertical="center"/>
    </xf>
    <xf numFmtId="2" fontId="35" fillId="89" borderId="0" xfId="58" applyNumberFormat="1" applyFont="1" applyFill="1" applyBorder="1" applyAlignment="1" applyProtection="1">
      <alignment horizontal="center" vertical="center"/>
    </xf>
    <xf numFmtId="2" fontId="35" fillId="89" borderId="10" xfId="58" applyNumberFormat="1" applyFont="1" applyFill="1" applyBorder="1" applyAlignment="1" applyProtection="1">
      <alignment horizontal="center" vertical="center"/>
    </xf>
    <xf numFmtId="4" fontId="24" fillId="10" borderId="0" xfId="58" applyNumberFormat="1" applyFont="1" applyFill="1" applyBorder="1" applyAlignment="1" applyProtection="1">
      <alignment horizontal="right" vertical="center"/>
      <protection locked="0"/>
    </xf>
    <xf numFmtId="4" fontId="35" fillId="0" borderId="0" xfId="58" applyNumberFormat="1" applyFont="1" applyFill="1" applyBorder="1" applyAlignment="1" applyProtection="1">
      <alignment horizontal="right" vertical="center" indent="1"/>
    </xf>
    <xf numFmtId="4" fontId="38" fillId="0" borderId="0" xfId="58" applyNumberFormat="1" applyFont="1" applyFill="1" applyBorder="1" applyAlignment="1" applyProtection="1">
      <alignment horizontal="right" vertical="center" indent="1"/>
    </xf>
    <xf numFmtId="0" fontId="25" fillId="14" borderId="29" xfId="58" applyNumberFormat="1" applyFont="1" applyFill="1" applyBorder="1" applyAlignment="1" applyProtection="1">
      <alignment horizontal="center" vertical="center" wrapText="1"/>
      <protection locked="0"/>
    </xf>
    <xf numFmtId="3" fontId="9" fillId="0" borderId="11" xfId="0" applyFont="1" applyFill="1" applyBorder="1" applyAlignment="1">
      <alignment wrapText="1"/>
    </xf>
    <xf numFmtId="14" fontId="9" fillId="9" borderId="0" xfId="0" quotePrefix="1" applyNumberFormat="1" applyFont="1" applyFill="1" applyAlignment="1" applyProtection="1">
      <alignment horizontal="left" vertical="center"/>
    </xf>
    <xf numFmtId="0" fontId="78" fillId="92" borderId="0" xfId="58" applyFont="1" applyFill="1" applyBorder="1" applyAlignment="1" applyProtection="1">
      <alignment vertical="center"/>
    </xf>
    <xf numFmtId="0" fontId="25" fillId="0" borderId="0" xfId="58" applyNumberFormat="1" applyFont="1" applyFill="1" applyBorder="1" applyAlignment="1" applyProtection="1">
      <alignment horizontal="left" vertical="top" indent="1"/>
    </xf>
    <xf numFmtId="2" fontId="25" fillId="0" borderId="0" xfId="58" applyNumberFormat="1" applyFont="1" applyFill="1" applyBorder="1" applyAlignment="1" applyProtection="1">
      <alignment horizontal="center" vertical="center"/>
    </xf>
    <xf numFmtId="6" fontId="24" fillId="0" borderId="11" xfId="58" applyNumberFormat="1" applyFont="1" applyFill="1" applyBorder="1" applyAlignment="1" applyProtection="1">
      <alignment horizontal="left" vertical="center" indent="1"/>
      <protection locked="0"/>
    </xf>
    <xf numFmtId="9" fontId="24" fillId="10" borderId="0" xfId="95" applyFont="1" applyFill="1" applyBorder="1" applyAlignment="1" applyProtection="1">
      <alignment horizontal="right" vertical="center"/>
      <protection locked="0"/>
    </xf>
    <xf numFmtId="212" fontId="24" fillId="14" borderId="8" xfId="58" applyNumberFormat="1" applyFont="1" applyFill="1" applyBorder="1" applyAlignment="1" applyProtection="1">
      <alignment horizontal="center" vertical="center"/>
    </xf>
    <xf numFmtId="212" fontId="24" fillId="14" borderId="18" xfId="58" applyNumberFormat="1" applyFont="1" applyFill="1" applyBorder="1" applyAlignment="1" applyProtection="1">
      <alignment horizontal="center" vertical="center"/>
    </xf>
    <xf numFmtId="212" fontId="24" fillId="14" borderId="0" xfId="58" applyNumberFormat="1" applyFont="1" applyFill="1" applyBorder="1" applyAlignment="1" applyProtection="1">
      <alignment horizontal="center" vertical="center"/>
    </xf>
    <xf numFmtId="212" fontId="24" fillId="14" borderId="12" xfId="58" applyNumberFormat="1" applyFont="1" applyFill="1" applyBorder="1" applyAlignment="1" applyProtection="1">
      <alignment horizontal="center" vertical="center"/>
    </xf>
    <xf numFmtId="212" fontId="0" fillId="14" borderId="0" xfId="0" applyNumberFormat="1" applyFill="1" applyBorder="1" applyAlignment="1">
      <alignment horizontal="center" vertical="center"/>
    </xf>
    <xf numFmtId="212" fontId="24" fillId="14" borderId="10" xfId="58" applyNumberFormat="1" applyFont="1" applyFill="1" applyBorder="1" applyAlignment="1" applyProtection="1">
      <alignment horizontal="center" vertical="center"/>
    </xf>
    <xf numFmtId="212" fontId="24" fillId="14" borderId="19" xfId="58" applyNumberFormat="1" applyFont="1" applyFill="1" applyBorder="1" applyAlignment="1" applyProtection="1">
      <alignment horizontal="center" vertical="center"/>
    </xf>
    <xf numFmtId="0" fontId="25" fillId="0" borderId="22" xfId="58" applyNumberFormat="1" applyFont="1" applyFill="1" applyBorder="1" applyAlignment="1" applyProtection="1">
      <alignment horizontal="right" vertical="center" indent="1"/>
    </xf>
    <xf numFmtId="2" fontId="25" fillId="15" borderId="23" xfId="58" applyNumberFormat="1" applyFont="1" applyFill="1" applyBorder="1" applyAlignment="1" applyProtection="1">
      <alignment horizontal="center" vertical="center"/>
    </xf>
    <xf numFmtId="2" fontId="25" fillId="15" borderId="24" xfId="58" applyNumberFormat="1" applyFont="1" applyFill="1" applyBorder="1" applyAlignment="1" applyProtection="1">
      <alignment horizontal="center" vertical="center"/>
    </xf>
    <xf numFmtId="213" fontId="24" fillId="14" borderId="8" xfId="58" applyNumberFormat="1" applyFont="1" applyFill="1" applyBorder="1" applyAlignment="1" applyProtection="1">
      <alignment horizontal="center" vertical="center"/>
    </xf>
    <xf numFmtId="213" fontId="24" fillId="14" borderId="18" xfId="58" applyNumberFormat="1" applyFont="1" applyFill="1" applyBorder="1" applyAlignment="1" applyProtection="1">
      <alignment horizontal="center" vertical="center"/>
    </xf>
    <xf numFmtId="213" fontId="24" fillId="14" borderId="0" xfId="58" applyNumberFormat="1" applyFont="1" applyFill="1" applyBorder="1" applyAlignment="1" applyProtection="1">
      <alignment horizontal="center" vertical="center"/>
    </xf>
    <xf numFmtId="213" fontId="24" fillId="14" borderId="12" xfId="58" applyNumberFormat="1" applyFont="1" applyFill="1" applyBorder="1" applyAlignment="1" applyProtection="1">
      <alignment horizontal="center" vertical="center"/>
    </xf>
    <xf numFmtId="213" fontId="24" fillId="14" borderId="10" xfId="58" applyNumberFormat="1" applyFont="1" applyFill="1" applyBorder="1" applyAlignment="1" applyProtection="1">
      <alignment horizontal="center" vertical="center"/>
    </xf>
    <xf numFmtId="213" fontId="24" fillId="14" borderId="19" xfId="58" applyNumberFormat="1" applyFont="1" applyFill="1" applyBorder="1" applyAlignment="1" applyProtection="1">
      <alignment horizontal="center" vertical="center"/>
    </xf>
    <xf numFmtId="213" fontId="25" fillId="15" borderId="23" xfId="58" applyNumberFormat="1" applyFont="1" applyFill="1" applyBorder="1" applyAlignment="1" applyProtection="1">
      <alignment horizontal="center" vertical="center"/>
    </xf>
    <xf numFmtId="213" fontId="25" fillId="15" borderId="24" xfId="58" applyNumberFormat="1" applyFont="1" applyFill="1" applyBorder="1" applyAlignment="1" applyProtection="1">
      <alignment horizontal="center" vertical="center"/>
    </xf>
    <xf numFmtId="0" fontId="85" fillId="0" borderId="0" xfId="481" applyFont="1"/>
    <xf numFmtId="0" fontId="85" fillId="0" borderId="35" xfId="481" applyFont="1" applyBorder="1"/>
    <xf numFmtId="0" fontId="85" fillId="0" borderId="7" xfId="481" applyFont="1" applyBorder="1"/>
    <xf numFmtId="2" fontId="85" fillId="0" borderId="7" xfId="481" applyNumberFormat="1" applyFont="1" applyBorder="1"/>
    <xf numFmtId="2" fontId="85" fillId="0" borderId="0" xfId="481" applyNumberFormat="1" applyFont="1"/>
    <xf numFmtId="2" fontId="85" fillId="0" borderId="60" xfId="481" applyNumberFormat="1" applyFont="1" applyBorder="1"/>
    <xf numFmtId="0" fontId="85" fillId="0" borderId="66" xfId="481" applyFont="1" applyBorder="1"/>
    <xf numFmtId="0" fontId="85" fillId="0" borderId="0" xfId="481" applyFont="1" applyFill="1"/>
    <xf numFmtId="0" fontId="85" fillId="0" borderId="28" xfId="481" applyFont="1" applyBorder="1"/>
    <xf numFmtId="0" fontId="85" fillId="0" borderId="46" xfId="481" applyFont="1" applyBorder="1"/>
    <xf numFmtId="0" fontId="85" fillId="0" borderId="13" xfId="481" applyFont="1" applyBorder="1"/>
    <xf numFmtId="0" fontId="85" fillId="0" borderId="60" xfId="481" applyFont="1" applyBorder="1"/>
    <xf numFmtId="0" fontId="85" fillId="0" borderId="0" xfId="481" applyFont="1" applyAlignment="1">
      <alignment horizontal="left" indent="2"/>
    </xf>
    <xf numFmtId="3" fontId="85" fillId="0" borderId="0" xfId="481" applyNumberFormat="1" applyFont="1"/>
    <xf numFmtId="3" fontId="85" fillId="93" borderId="90" xfId="0" applyFont="1" applyFill="1" applyBorder="1" applyAlignment="1"/>
    <xf numFmtId="3" fontId="85" fillId="93" borderId="91" xfId="0" applyFont="1" applyFill="1" applyBorder="1" applyAlignment="1"/>
    <xf numFmtId="4" fontId="85" fillId="0" borderId="0" xfId="481" applyNumberFormat="1" applyFont="1"/>
    <xf numFmtId="197" fontId="85" fillId="0" borderId="0" xfId="481" applyNumberFormat="1" applyFont="1"/>
    <xf numFmtId="0" fontId="38" fillId="0" borderId="0" xfId="58" applyNumberFormat="1" applyFont="1" applyFill="1" applyBorder="1" applyAlignment="1" applyProtection="1">
      <alignment vertical="center" wrapText="1"/>
    </xf>
    <xf numFmtId="204" fontId="24" fillId="89" borderId="20" xfId="58" applyNumberFormat="1" applyFont="1" applyFill="1" applyBorder="1" applyAlignment="1" applyProtection="1">
      <alignment horizontal="center" vertical="center"/>
    </xf>
    <xf numFmtId="0" fontId="80" fillId="77" borderId="35" xfId="58" applyFont="1" applyFill="1" applyBorder="1" applyAlignment="1" applyProtection="1">
      <alignment horizontal="center" vertical="center"/>
    </xf>
    <xf numFmtId="0" fontId="80" fillId="77" borderId="27" xfId="58" applyFont="1" applyFill="1" applyBorder="1" applyAlignment="1" applyProtection="1">
      <alignment horizontal="center" vertical="center"/>
    </xf>
    <xf numFmtId="0" fontId="78" fillId="77" borderId="30" xfId="58" applyFont="1" applyFill="1" applyBorder="1" applyAlignment="1" applyProtection="1">
      <alignment horizontal="left" vertical="center"/>
    </xf>
    <xf numFmtId="0" fontId="78" fillId="77" borderId="81" xfId="58" applyFont="1" applyFill="1" applyBorder="1" applyAlignment="1" applyProtection="1">
      <alignment horizontal="left" vertical="center"/>
    </xf>
    <xf numFmtId="2" fontId="6" fillId="8" borderId="53" xfId="58" applyNumberFormat="1" applyFont="1" applyFill="1" applyBorder="1" applyAlignment="1" applyProtection="1">
      <alignment vertical="center"/>
    </xf>
    <xf numFmtId="3" fontId="0" fillId="0" borderId="14" xfId="0" applyBorder="1" applyAlignment="1">
      <alignment vertical="center"/>
    </xf>
    <xf numFmtId="4" fontId="35" fillId="0" borderId="67" xfId="0" applyNumberFormat="1" applyFont="1" applyFill="1" applyBorder="1" applyProtection="1">
      <alignment vertical="center"/>
    </xf>
    <xf numFmtId="2" fontId="24" fillId="87" borderId="22" xfId="58" applyNumberFormat="1" applyFont="1" applyFill="1" applyBorder="1" applyAlignment="1" applyProtection="1">
      <alignment horizontal="right" vertical="center"/>
    </xf>
    <xf numFmtId="3" fontId="0" fillId="94" borderId="21" xfId="0" applyNumberFormat="1" applyFill="1" applyBorder="1" applyProtection="1">
      <alignment vertical="center"/>
    </xf>
    <xf numFmtId="2" fontId="25" fillId="94" borderId="53" xfId="58" applyNumberFormat="1" applyFont="1" applyFill="1" applyBorder="1" applyAlignment="1" applyProtection="1">
      <alignment horizontal="right" vertical="center"/>
    </xf>
    <xf numFmtId="0" fontId="80" fillId="77" borderId="46" xfId="58" applyFont="1" applyFill="1" applyBorder="1" applyAlignment="1" applyProtection="1">
      <alignment vertical="center"/>
    </xf>
    <xf numFmtId="0" fontId="80" fillId="77" borderId="13" xfId="58" applyFont="1" applyFill="1" applyBorder="1" applyAlignment="1" applyProtection="1">
      <alignment vertical="center"/>
    </xf>
    <xf numFmtId="0" fontId="80" fillId="77" borderId="47" xfId="58" applyFont="1" applyFill="1" applyBorder="1" applyAlignment="1" applyProtection="1">
      <alignment vertical="center"/>
    </xf>
    <xf numFmtId="0" fontId="80" fillId="76" borderId="46" xfId="58" applyFont="1" applyFill="1" applyBorder="1" applyAlignment="1" applyProtection="1">
      <alignment vertical="center"/>
    </xf>
    <xf numFmtId="0" fontId="80" fillId="76" borderId="13" xfId="58" applyFont="1" applyFill="1" applyBorder="1" applyAlignment="1" applyProtection="1">
      <alignment vertical="center"/>
    </xf>
    <xf numFmtId="0" fontId="80" fillId="76" borderId="47" xfId="58" applyFont="1" applyFill="1" applyBorder="1" applyAlignment="1" applyProtection="1">
      <alignment vertical="center"/>
    </xf>
    <xf numFmtId="0" fontId="78" fillId="77" borderId="6" xfId="58" applyFont="1" applyFill="1" applyBorder="1" applyAlignment="1" applyProtection="1">
      <alignment vertical="center"/>
    </xf>
    <xf numFmtId="0" fontId="78" fillId="77" borderId="80" xfId="58" applyFont="1" applyFill="1" applyBorder="1" applyAlignment="1" applyProtection="1">
      <alignment vertical="center"/>
    </xf>
    <xf numFmtId="0" fontId="78" fillId="77" borderId="37" xfId="58" applyFont="1" applyFill="1" applyBorder="1" applyAlignment="1" applyProtection="1">
      <alignment vertical="center"/>
    </xf>
    <xf numFmtId="0" fontId="78" fillId="77" borderId="65" xfId="58" applyFont="1" applyFill="1" applyBorder="1" applyAlignment="1" applyProtection="1">
      <alignment vertical="center"/>
    </xf>
    <xf numFmtId="0" fontId="80" fillId="77" borderId="14" xfId="58" applyFont="1" applyFill="1" applyBorder="1" applyAlignment="1" applyProtection="1">
      <alignment vertical="center"/>
    </xf>
    <xf numFmtId="0" fontId="78" fillId="77" borderId="30" xfId="58" applyFont="1" applyFill="1" applyBorder="1" applyAlignment="1" applyProtection="1">
      <alignment vertical="center"/>
    </xf>
    <xf numFmtId="0" fontId="78" fillId="77" borderId="81" xfId="58" applyFont="1" applyFill="1" applyBorder="1" applyAlignment="1" applyProtection="1">
      <alignment vertical="center"/>
    </xf>
    <xf numFmtId="3" fontId="78" fillId="0" borderId="0" xfId="0" applyFont="1" applyFill="1" applyBorder="1">
      <alignment vertical="center"/>
    </xf>
    <xf numFmtId="3" fontId="0" fillId="0" borderId="0" xfId="0" applyFill="1" applyBorder="1">
      <alignment vertical="center"/>
    </xf>
    <xf numFmtId="0" fontId="78" fillId="77" borderId="66" xfId="58" applyFont="1" applyFill="1" applyBorder="1" applyAlignment="1" applyProtection="1">
      <alignment vertical="center"/>
    </xf>
    <xf numFmtId="0" fontId="78" fillId="77" borderId="62" xfId="58" applyFont="1" applyFill="1" applyBorder="1" applyAlignment="1" applyProtection="1">
      <alignment vertical="center"/>
    </xf>
    <xf numFmtId="0" fontId="78" fillId="20" borderId="7" xfId="58" applyFont="1" applyFill="1" applyBorder="1" applyAlignment="1" applyProtection="1">
      <alignment vertical="center"/>
    </xf>
    <xf numFmtId="0" fontId="100" fillId="0" borderId="0" xfId="58" applyNumberFormat="1" applyFont="1" applyFill="1" applyBorder="1" applyAlignment="1" applyProtection="1">
      <alignment vertical="center"/>
    </xf>
    <xf numFmtId="0" fontId="99" fillId="89" borderId="28" xfId="481" applyFont="1" applyFill="1" applyBorder="1"/>
    <xf numFmtId="2" fontId="85" fillId="0" borderId="35" xfId="481" applyNumberFormat="1" applyFont="1" applyFill="1" applyBorder="1"/>
    <xf numFmtId="2" fontId="85" fillId="0" borderId="7" xfId="481" applyNumberFormat="1" applyFont="1" applyFill="1" applyBorder="1"/>
    <xf numFmtId="2" fontId="85" fillId="89" borderId="7" xfId="481" applyNumberFormat="1" applyFont="1" applyFill="1" applyBorder="1"/>
    <xf numFmtId="2" fontId="85" fillId="0" borderId="0" xfId="481" applyNumberFormat="1" applyFont="1" applyFill="1"/>
    <xf numFmtId="2" fontId="85" fillId="89" borderId="0" xfId="481" applyNumberFormat="1" applyFont="1" applyFill="1"/>
    <xf numFmtId="2" fontId="85" fillId="0" borderId="60" xfId="481" applyNumberFormat="1" applyFont="1" applyFill="1" applyBorder="1"/>
    <xf numFmtId="2" fontId="85" fillId="89" borderId="60" xfId="481" applyNumberFormat="1" applyFont="1" applyFill="1" applyBorder="1"/>
    <xf numFmtId="2" fontId="85" fillId="94" borderId="7" xfId="481" applyNumberFormat="1" applyFont="1" applyFill="1" applyBorder="1"/>
    <xf numFmtId="2" fontId="85" fillId="94" borderId="0" xfId="481" applyNumberFormat="1" applyFont="1" applyFill="1"/>
    <xf numFmtId="2" fontId="85" fillId="0" borderId="66" xfId="481" applyNumberFormat="1" applyFont="1" applyFill="1" applyBorder="1"/>
    <xf numFmtId="2" fontId="85" fillId="0" borderId="61" xfId="481" applyNumberFormat="1" applyFont="1" applyFill="1" applyBorder="1"/>
    <xf numFmtId="2" fontId="85" fillId="0" borderId="62" xfId="481" applyNumberFormat="1" applyFont="1" applyFill="1" applyBorder="1"/>
    <xf numFmtId="2" fontId="85" fillId="0" borderId="46" xfId="481" applyNumberFormat="1" applyFont="1" applyFill="1" applyBorder="1"/>
    <xf numFmtId="2" fontId="85" fillId="0" borderId="28" xfId="481" applyNumberFormat="1" applyFont="1" applyFill="1" applyBorder="1"/>
    <xf numFmtId="2" fontId="85" fillId="0" borderId="36" xfId="481" applyNumberFormat="1" applyFont="1" applyFill="1" applyBorder="1"/>
    <xf numFmtId="2" fontId="85" fillId="0" borderId="13" xfId="481" applyNumberFormat="1" applyFont="1" applyFill="1" applyBorder="1"/>
    <xf numFmtId="2" fontId="85" fillId="0" borderId="47" xfId="481" applyNumberFormat="1" applyFont="1" applyFill="1" applyBorder="1"/>
    <xf numFmtId="2" fontId="85" fillId="94" borderId="12" xfId="481" applyNumberFormat="1" applyFont="1" applyFill="1" applyBorder="1"/>
    <xf numFmtId="0" fontId="24" fillId="9" borderId="1" xfId="58" applyFont="1" applyFill="1" applyBorder="1" applyAlignment="1" applyProtection="1">
      <alignment horizontal="center" vertical="center"/>
    </xf>
    <xf numFmtId="0" fontId="80" fillId="76" borderId="46" xfId="58" applyFont="1" applyFill="1" applyBorder="1" applyAlignment="1" applyProtection="1">
      <alignment horizontal="center" vertical="center" wrapText="1"/>
    </xf>
    <xf numFmtId="0" fontId="80" fillId="76" borderId="47" xfId="58" applyFont="1" applyFill="1" applyBorder="1" applyAlignment="1" applyProtection="1">
      <alignment horizontal="center" vertical="center" wrapText="1"/>
    </xf>
    <xf numFmtId="0" fontId="80" fillId="76" borderId="46" xfId="58" applyFont="1" applyFill="1" applyBorder="1" applyAlignment="1" applyProtection="1">
      <alignment horizontal="center" vertical="center"/>
    </xf>
    <xf numFmtId="0" fontId="80" fillId="76" borderId="13" xfId="58" applyFont="1" applyFill="1" applyBorder="1" applyAlignment="1" applyProtection="1">
      <alignment horizontal="center" vertical="center"/>
    </xf>
    <xf numFmtId="0" fontId="80" fillId="76" borderId="47" xfId="58" applyFont="1" applyFill="1" applyBorder="1" applyAlignment="1" applyProtection="1">
      <alignment horizontal="center" vertical="center"/>
    </xf>
    <xf numFmtId="0" fontId="24" fillId="9" borderId="6" xfId="58" applyFont="1" applyFill="1" applyBorder="1" applyAlignment="1" applyProtection="1">
      <alignment horizontal="center" vertical="center"/>
    </xf>
    <xf numFmtId="0" fontId="24" fillId="9" borderId="24" xfId="58" applyFont="1" applyFill="1" applyBorder="1" applyAlignment="1" applyProtection="1">
      <alignment horizontal="center" vertical="center"/>
    </xf>
    <xf numFmtId="0" fontId="24" fillId="9" borderId="37" xfId="58" applyFont="1" applyFill="1" applyBorder="1" applyAlignment="1" applyProtection="1">
      <alignment horizontal="center" vertical="center"/>
    </xf>
    <xf numFmtId="0" fontId="24" fillId="9" borderId="42" xfId="58" applyFont="1" applyFill="1" applyBorder="1" applyAlignment="1" applyProtection="1">
      <alignment horizontal="center" vertical="center"/>
    </xf>
    <xf numFmtId="0" fontId="80" fillId="77" borderId="46" xfId="58" applyFont="1" applyFill="1" applyBorder="1" applyAlignment="1" applyProtection="1">
      <alignment horizontal="center" vertical="center"/>
    </xf>
    <xf numFmtId="0" fontId="80" fillId="77" borderId="14" xfId="58" applyFont="1" applyFill="1" applyBorder="1" applyAlignment="1" applyProtection="1">
      <alignment horizontal="center" vertical="center"/>
    </xf>
    <xf numFmtId="0" fontId="37" fillId="79" borderId="8" xfId="58" applyFont="1" applyFill="1" applyBorder="1" applyAlignment="1" applyProtection="1">
      <alignment horizontal="left" vertical="center"/>
    </xf>
    <xf numFmtId="0" fontId="37" fillId="79" borderId="0" xfId="58" applyFont="1" applyFill="1" applyBorder="1" applyAlignment="1" applyProtection="1">
      <alignment horizontal="left" vertical="center"/>
    </xf>
    <xf numFmtId="0" fontId="80" fillId="76" borderId="13" xfId="58" applyFont="1" applyFill="1" applyBorder="1" applyAlignment="1" applyProtection="1">
      <alignment horizontal="center" vertical="center" wrapText="1"/>
    </xf>
    <xf numFmtId="0" fontId="80" fillId="77" borderId="64" xfId="58" applyFont="1" applyFill="1" applyBorder="1" applyAlignment="1" applyProtection="1">
      <alignment horizontal="center" vertical="center"/>
    </xf>
    <xf numFmtId="0" fontId="80" fillId="77" borderId="36" xfId="58" applyFont="1" applyFill="1" applyBorder="1" applyAlignment="1" applyProtection="1">
      <alignment horizontal="center" vertical="center"/>
    </xf>
    <xf numFmtId="0" fontId="24" fillId="9" borderId="30" xfId="58" applyFont="1" applyFill="1" applyBorder="1" applyAlignment="1" applyProtection="1">
      <alignment horizontal="center" vertical="center"/>
    </xf>
    <xf numFmtId="0" fontId="24" fillId="9" borderId="41" xfId="58" applyFont="1" applyFill="1" applyBorder="1" applyAlignment="1" applyProtection="1">
      <alignment horizontal="center" vertical="center"/>
    </xf>
    <xf numFmtId="0" fontId="80" fillId="77" borderId="53" xfId="58" applyFont="1" applyFill="1" applyBorder="1" applyAlignment="1" applyProtection="1">
      <alignment horizontal="center" vertical="center"/>
    </xf>
    <xf numFmtId="0" fontId="80" fillId="77" borderId="47" xfId="58" applyFont="1" applyFill="1" applyBorder="1" applyAlignment="1" applyProtection="1">
      <alignment horizontal="center" vertical="center"/>
    </xf>
    <xf numFmtId="0" fontId="24" fillId="9" borderId="38" xfId="58" applyFont="1" applyFill="1" applyBorder="1" applyAlignment="1" applyProtection="1">
      <alignment horizontal="center" vertical="center"/>
    </xf>
    <xf numFmtId="0" fontId="24" fillId="9" borderId="9" xfId="58" applyFont="1" applyFill="1" applyBorder="1" applyAlignment="1" applyProtection="1">
      <alignment horizontal="center" vertical="center"/>
    </xf>
    <xf numFmtId="0" fontId="9" fillId="79" borderId="8" xfId="58" applyFont="1" applyFill="1" applyBorder="1" applyAlignment="1" applyProtection="1">
      <alignment horizontal="center" vertical="center"/>
    </xf>
    <xf numFmtId="0" fontId="9" fillId="79" borderId="0" xfId="58" applyFont="1" applyFill="1" applyBorder="1" applyAlignment="1" applyProtection="1">
      <alignment horizontal="center" vertical="center"/>
    </xf>
    <xf numFmtId="0" fontId="80" fillId="77" borderId="35" xfId="58" applyFont="1" applyFill="1" applyBorder="1" applyAlignment="1" applyProtection="1">
      <alignment horizontal="center" vertical="center"/>
    </xf>
    <xf numFmtId="0" fontId="80" fillId="77" borderId="27" xfId="58" applyFont="1" applyFill="1" applyBorder="1" applyAlignment="1" applyProtection="1">
      <alignment horizontal="center" vertical="center"/>
    </xf>
    <xf numFmtId="0" fontId="25" fillId="9" borderId="46" xfId="58" applyFont="1" applyFill="1" applyBorder="1" applyAlignment="1" applyProtection="1">
      <alignment horizontal="right" vertical="center" wrapText="1"/>
    </xf>
    <xf numFmtId="0" fontId="25" fillId="9" borderId="13" xfId="58" applyFont="1" applyFill="1" applyBorder="1" applyAlignment="1" applyProtection="1">
      <alignment horizontal="right" vertical="center" wrapText="1"/>
    </xf>
    <xf numFmtId="0" fontId="25" fillId="9" borderId="47" xfId="58" applyFont="1" applyFill="1" applyBorder="1" applyAlignment="1" applyProtection="1">
      <alignment horizontal="right" vertical="center" wrapText="1"/>
    </xf>
    <xf numFmtId="0" fontId="80" fillId="77" borderId="13" xfId="58" applyFont="1" applyFill="1" applyBorder="1" applyAlignment="1" applyProtection="1">
      <alignment horizontal="center" vertical="center"/>
    </xf>
    <xf numFmtId="0" fontId="24" fillId="9" borderId="78" xfId="58" applyFont="1" applyFill="1" applyBorder="1" applyAlignment="1" applyProtection="1">
      <alignment horizontal="center" vertical="center"/>
    </xf>
    <xf numFmtId="0" fontId="24" fillId="9" borderId="51" xfId="58" applyFont="1" applyFill="1" applyBorder="1" applyAlignment="1" applyProtection="1">
      <alignment horizontal="center" vertical="center"/>
    </xf>
    <xf numFmtId="0" fontId="80" fillId="76" borderId="14" xfId="58" applyFont="1" applyFill="1" applyBorder="1" applyAlignment="1" applyProtection="1">
      <alignment horizontal="center" vertical="center"/>
    </xf>
    <xf numFmtId="0" fontId="25" fillId="21" borderId="53" xfId="58" applyFont="1" applyFill="1" applyBorder="1" applyAlignment="1" applyProtection="1">
      <alignment horizontal="center" vertical="center"/>
    </xf>
    <xf numFmtId="0" fontId="25" fillId="21" borderId="47" xfId="58" applyFont="1" applyFill="1" applyBorder="1" applyAlignment="1" applyProtection="1">
      <alignment horizontal="center" vertical="center"/>
    </xf>
    <xf numFmtId="0" fontId="24" fillId="14" borderId="37" xfId="58" applyFont="1" applyFill="1" applyBorder="1" applyAlignment="1" applyProtection="1">
      <alignment horizontal="center" vertical="center"/>
    </xf>
    <xf numFmtId="0" fontId="24" fillId="14" borderId="42" xfId="58" applyFont="1" applyFill="1" applyBorder="1" applyAlignment="1" applyProtection="1">
      <alignment horizontal="center" vertical="center"/>
    </xf>
    <xf numFmtId="0" fontId="30" fillId="13" borderId="8" xfId="58" applyFont="1" applyFill="1" applyBorder="1" applyAlignment="1" applyProtection="1">
      <alignment horizontal="left" vertical="center"/>
    </xf>
    <xf numFmtId="0" fontId="30" fillId="13" borderId="0" xfId="58" applyFont="1" applyFill="1" applyBorder="1" applyAlignment="1" applyProtection="1">
      <alignment horizontal="left" vertical="center"/>
    </xf>
    <xf numFmtId="0" fontId="48" fillId="28" borderId="46" xfId="58" applyFont="1" applyFill="1" applyBorder="1" applyAlignment="1" applyProtection="1">
      <alignment horizontal="center" vertical="center" wrapText="1"/>
    </xf>
    <xf numFmtId="0" fontId="48" fillId="28" borderId="13" xfId="58" applyFont="1" applyFill="1" applyBorder="1" applyAlignment="1" applyProtection="1">
      <alignment horizontal="center" vertical="center" wrapText="1"/>
    </xf>
    <xf numFmtId="0" fontId="48" fillId="28" borderId="47" xfId="58" applyFont="1" applyFill="1" applyBorder="1" applyAlignment="1" applyProtection="1">
      <alignment horizontal="center" vertical="center" wrapText="1"/>
    </xf>
    <xf numFmtId="0" fontId="48" fillId="28" borderId="46" xfId="58" applyFont="1" applyFill="1" applyBorder="1" applyAlignment="1" applyProtection="1">
      <alignment horizontal="center" vertical="center"/>
    </xf>
    <xf numFmtId="0" fontId="48" fillId="28" borderId="13" xfId="58" applyFont="1" applyFill="1" applyBorder="1" applyAlignment="1" applyProtection="1">
      <alignment horizontal="center" vertical="center"/>
    </xf>
    <xf numFmtId="0" fontId="48" fillId="28" borderId="47" xfId="58" applyFont="1" applyFill="1" applyBorder="1" applyAlignment="1" applyProtection="1">
      <alignment horizontal="center" vertical="center"/>
    </xf>
    <xf numFmtId="0" fontId="25" fillId="21" borderId="46" xfId="58" applyFont="1" applyFill="1" applyBorder="1" applyAlignment="1" applyProtection="1">
      <alignment horizontal="center" vertical="center"/>
    </xf>
    <xf numFmtId="0" fontId="25" fillId="21" borderId="14" xfId="58" applyFont="1" applyFill="1" applyBorder="1" applyAlignment="1" applyProtection="1">
      <alignment horizontal="center" vertical="center"/>
    </xf>
    <xf numFmtId="0" fontId="24" fillId="14" borderId="30" xfId="58" applyFont="1" applyFill="1" applyBorder="1" applyAlignment="1" applyProtection="1">
      <alignment horizontal="center" vertical="center"/>
    </xf>
    <xf numFmtId="0" fontId="24" fillId="14" borderId="41" xfId="58" applyFont="1" applyFill="1" applyBorder="1" applyAlignment="1" applyProtection="1">
      <alignment horizontal="center" vertical="center"/>
    </xf>
    <xf numFmtId="0" fontId="24" fillId="14" borderId="6" xfId="58" applyFont="1" applyFill="1" applyBorder="1" applyAlignment="1" applyProtection="1">
      <alignment horizontal="center" vertical="center"/>
    </xf>
    <xf numFmtId="0" fontId="24" fillId="14" borderId="24" xfId="58" applyFont="1" applyFill="1" applyBorder="1" applyAlignment="1" applyProtection="1">
      <alignment horizontal="center" vertical="center"/>
    </xf>
    <xf numFmtId="0" fontId="24" fillId="13" borderId="8" xfId="58" applyFont="1" applyFill="1" applyBorder="1" applyAlignment="1" applyProtection="1">
      <alignment horizontal="center" vertical="center"/>
    </xf>
    <xf numFmtId="0" fontId="24" fillId="13" borderId="0" xfId="58" applyFont="1" applyFill="1" applyBorder="1" applyAlignment="1" applyProtection="1">
      <alignment horizontal="center" vertical="center"/>
    </xf>
    <xf numFmtId="0" fontId="48" fillId="29" borderId="46" xfId="58" applyFont="1" applyFill="1" applyBorder="1" applyAlignment="1" applyProtection="1">
      <alignment horizontal="center" vertical="center" wrapText="1"/>
    </xf>
    <xf numFmtId="0" fontId="48" fillId="29" borderId="13" xfId="58" applyFont="1" applyFill="1" applyBorder="1" applyAlignment="1" applyProtection="1">
      <alignment horizontal="center" vertical="center" wrapText="1"/>
    </xf>
    <xf numFmtId="0" fontId="48" fillId="29" borderId="47" xfId="58" applyFont="1" applyFill="1" applyBorder="1" applyAlignment="1" applyProtection="1">
      <alignment horizontal="center" vertical="center" wrapText="1"/>
    </xf>
    <xf numFmtId="0" fontId="48" fillId="29" borderId="46" xfId="58" applyFont="1" applyFill="1" applyBorder="1" applyAlignment="1" applyProtection="1">
      <alignment horizontal="center" vertical="center"/>
    </xf>
    <xf numFmtId="0" fontId="48" fillId="29" borderId="13" xfId="58" applyFont="1" applyFill="1" applyBorder="1" applyAlignment="1" applyProtection="1">
      <alignment horizontal="center" vertical="center"/>
    </xf>
    <xf numFmtId="0" fontId="48" fillId="29" borderId="47" xfId="58" applyFont="1" applyFill="1" applyBorder="1" applyAlignment="1" applyProtection="1">
      <alignment horizontal="center" vertical="center"/>
    </xf>
    <xf numFmtId="0" fontId="25" fillId="21" borderId="13" xfId="58" applyFont="1" applyFill="1" applyBorder="1" applyAlignment="1" applyProtection="1">
      <alignment horizontal="center" vertical="center"/>
    </xf>
    <xf numFmtId="0" fontId="24" fillId="21" borderId="56" xfId="58" applyFont="1" applyFill="1" applyBorder="1" applyAlignment="1" applyProtection="1">
      <alignment horizontal="center" vertical="center" textRotation="90" wrapText="1"/>
    </xf>
    <xf numFmtId="0" fontId="24" fillId="21" borderId="57" xfId="58" applyFont="1" applyFill="1" applyBorder="1" applyAlignment="1" applyProtection="1">
      <alignment horizontal="center" vertical="center" textRotation="90" wrapText="1"/>
    </xf>
    <xf numFmtId="0" fontId="24" fillId="21" borderId="58" xfId="58" applyFont="1" applyFill="1" applyBorder="1" applyAlignment="1" applyProtection="1">
      <alignment horizontal="center" vertical="center" textRotation="90" wrapText="1"/>
    </xf>
    <xf numFmtId="0" fontId="76" fillId="9" borderId="46" xfId="58" applyFont="1" applyFill="1" applyBorder="1" applyAlignment="1" applyProtection="1">
      <alignment horizontal="right" vertical="center" wrapText="1"/>
    </xf>
    <xf numFmtId="0" fontId="76" fillId="9" borderId="13" xfId="58" applyFont="1" applyFill="1" applyBorder="1" applyAlignment="1" applyProtection="1">
      <alignment horizontal="right" vertical="center" wrapText="1"/>
    </xf>
    <xf numFmtId="0" fontId="76" fillId="9" borderId="47" xfId="58" applyFont="1" applyFill="1" applyBorder="1" applyAlignment="1" applyProtection="1">
      <alignment horizontal="right" vertical="center" wrapText="1"/>
    </xf>
    <xf numFmtId="0" fontId="6" fillId="8" borderId="9" xfId="58" applyFont="1" applyFill="1" applyBorder="1" applyAlignment="1" applyProtection="1">
      <alignment horizontal="center" vertical="center"/>
    </xf>
    <xf numFmtId="0" fontId="6" fillId="8" borderId="1" xfId="58" applyFont="1" applyFill="1" applyBorder="1" applyAlignment="1" applyProtection="1">
      <alignment horizontal="center" vertical="center"/>
    </xf>
    <xf numFmtId="0" fontId="6" fillId="8" borderId="30" xfId="58" applyFont="1" applyFill="1" applyBorder="1" applyAlignment="1" applyProtection="1">
      <alignment horizontal="center" vertical="center"/>
    </xf>
    <xf numFmtId="0" fontId="6" fillId="8" borderId="41" xfId="58" applyFont="1" applyFill="1" applyBorder="1" applyAlignment="1" applyProtection="1">
      <alignment horizontal="center" vertical="center"/>
    </xf>
    <xf numFmtId="0" fontId="87" fillId="0" borderId="8" xfId="474" applyFont="1" applyFill="1" applyBorder="1" applyAlignment="1" applyProtection="1">
      <alignment horizontal="center" vertical="center"/>
    </xf>
    <xf numFmtId="0" fontId="87" fillId="0" borderId="0" xfId="474" applyFont="1" applyFill="1" applyBorder="1" applyAlignment="1" applyProtection="1">
      <alignment horizontal="center" vertical="center"/>
    </xf>
    <xf numFmtId="0" fontId="6" fillId="8" borderId="37" xfId="58" applyFont="1" applyFill="1" applyBorder="1" applyAlignment="1" applyProtection="1">
      <alignment horizontal="center" vertical="center"/>
    </xf>
    <xf numFmtId="0" fontId="6" fillId="8" borderId="42" xfId="58" applyFont="1" applyFill="1" applyBorder="1" applyAlignment="1" applyProtection="1">
      <alignment horizontal="center" vertical="center"/>
    </xf>
    <xf numFmtId="0" fontId="6" fillId="8" borderId="6" xfId="58" applyFont="1" applyFill="1" applyBorder="1" applyAlignment="1" applyProtection="1">
      <alignment horizontal="center" vertical="center"/>
    </xf>
    <xf numFmtId="0" fontId="6" fillId="8" borderId="24" xfId="58" applyFont="1" applyFill="1" applyBorder="1" applyAlignment="1" applyProtection="1">
      <alignment horizontal="center" vertical="center"/>
    </xf>
    <xf numFmtId="0" fontId="89" fillId="0" borderId="8" xfId="474" applyFont="1" applyFill="1" applyBorder="1" applyAlignment="1" applyProtection="1">
      <alignment horizontal="left" vertical="center"/>
    </xf>
    <xf numFmtId="0" fontId="89" fillId="0" borderId="0" xfId="474" applyFont="1" applyFill="1" applyBorder="1" applyAlignment="1" applyProtection="1">
      <alignment horizontal="left" vertical="center"/>
    </xf>
    <xf numFmtId="0" fontId="80" fillId="77" borderId="13" xfId="58" applyFont="1" applyFill="1" applyBorder="1" applyAlignment="1" applyProtection="1">
      <alignment horizontal="center" vertical="center" wrapText="1"/>
    </xf>
    <xf numFmtId="0" fontId="80" fillId="77" borderId="47" xfId="58" applyFont="1" applyFill="1" applyBorder="1" applyAlignment="1" applyProtection="1">
      <alignment horizontal="center" vertical="center" wrapText="1"/>
    </xf>
    <xf numFmtId="0" fontId="24" fillId="9" borderId="1" xfId="58" applyFont="1" applyFill="1" applyBorder="1" applyAlignment="1" applyProtection="1">
      <alignment horizontal="center" vertical="center" wrapText="1"/>
    </xf>
    <xf numFmtId="0" fontId="24" fillId="9" borderId="4" xfId="58" applyFont="1" applyFill="1" applyBorder="1" applyAlignment="1" applyProtection="1">
      <alignment horizontal="center" vertical="center" wrapText="1"/>
    </xf>
    <xf numFmtId="0" fontId="24" fillId="9" borderId="9" xfId="58" applyFont="1" applyFill="1" applyBorder="1" applyAlignment="1" applyProtection="1">
      <alignment horizontal="center" vertical="center" wrapText="1"/>
    </xf>
    <xf numFmtId="0" fontId="24" fillId="9" borderId="32" xfId="58" applyFont="1" applyFill="1" applyBorder="1" applyAlignment="1" applyProtection="1">
      <alignment horizontal="center" vertical="center" wrapText="1"/>
    </xf>
    <xf numFmtId="0" fontId="78" fillId="77" borderId="2" xfId="58" applyFont="1" applyFill="1" applyBorder="1" applyAlignment="1" applyProtection="1">
      <alignment horizontal="left" vertical="center" wrapText="1"/>
    </xf>
    <xf numFmtId="0" fontId="78" fillId="77" borderId="1" xfId="58" applyFont="1" applyFill="1" applyBorder="1" applyAlignment="1" applyProtection="1">
      <alignment horizontal="left" vertical="center" wrapText="1"/>
    </xf>
    <xf numFmtId="0" fontId="78" fillId="77" borderId="4" xfId="58" applyFont="1" applyFill="1" applyBorder="1" applyAlignment="1" applyProtection="1">
      <alignment horizontal="left" vertical="center" wrapText="1"/>
    </xf>
    <xf numFmtId="0" fontId="78" fillId="77" borderId="31" xfId="58" applyFont="1" applyFill="1" applyBorder="1" applyAlignment="1" applyProtection="1">
      <alignment horizontal="left" vertical="center" wrapText="1"/>
    </xf>
    <xf numFmtId="0" fontId="78" fillId="77" borderId="9" xfId="58" applyFont="1" applyFill="1" applyBorder="1" applyAlignment="1" applyProtection="1">
      <alignment horizontal="left" vertical="center" wrapText="1"/>
    </xf>
    <xf numFmtId="0" fontId="78" fillId="77" borderId="32" xfId="58" applyFont="1" applyFill="1" applyBorder="1" applyAlignment="1" applyProtection="1">
      <alignment horizontal="left" vertical="center" wrapText="1"/>
    </xf>
    <xf numFmtId="0" fontId="24" fillId="9" borderId="38" xfId="58" applyFont="1" applyFill="1" applyBorder="1" applyAlignment="1" applyProtection="1">
      <alignment horizontal="center" vertical="center" wrapText="1"/>
    </xf>
    <xf numFmtId="0" fontId="24" fillId="9" borderId="39" xfId="58" applyFont="1" applyFill="1" applyBorder="1" applyAlignment="1" applyProtection="1">
      <alignment horizontal="center" vertical="center" wrapText="1"/>
    </xf>
    <xf numFmtId="0" fontId="78" fillId="77" borderId="6" xfId="58" applyFont="1" applyFill="1" applyBorder="1" applyAlignment="1" applyProtection="1">
      <alignment horizontal="left" vertical="center" wrapText="1"/>
    </xf>
    <xf numFmtId="0" fontId="78" fillId="77" borderId="23" xfId="58" applyFont="1" applyFill="1" applyBorder="1" applyAlignment="1" applyProtection="1">
      <alignment horizontal="left" vertical="center" wrapText="1"/>
    </xf>
    <xf numFmtId="0" fontId="78" fillId="77" borderId="80" xfId="58" applyFont="1" applyFill="1" applyBorder="1" applyAlignment="1" applyProtection="1">
      <alignment horizontal="left" vertical="center" wrapText="1"/>
    </xf>
    <xf numFmtId="0" fontId="78" fillId="77" borderId="37" xfId="58" applyFont="1" applyFill="1" applyBorder="1" applyAlignment="1" applyProtection="1">
      <alignment horizontal="left" vertical="center" wrapText="1"/>
    </xf>
    <xf numFmtId="0" fontId="78" fillId="77" borderId="79" xfId="58" applyFont="1" applyFill="1" applyBorder="1" applyAlignment="1" applyProtection="1">
      <alignment horizontal="left" vertical="center" wrapText="1"/>
    </xf>
    <xf numFmtId="0" fontId="78" fillId="77" borderId="65" xfId="58" applyFont="1" applyFill="1" applyBorder="1" applyAlignment="1" applyProtection="1">
      <alignment horizontal="left" vertical="center" wrapText="1"/>
    </xf>
    <xf numFmtId="0" fontId="78" fillId="77" borderId="30" xfId="58" applyFont="1" applyFill="1" applyBorder="1" applyAlignment="1" applyProtection="1">
      <alignment horizontal="left" vertical="center" wrapText="1"/>
    </xf>
    <xf numFmtId="0" fontId="78" fillId="77" borderId="67" xfId="58" applyFont="1" applyFill="1" applyBorder="1" applyAlignment="1" applyProtection="1">
      <alignment horizontal="left" vertical="center" wrapText="1"/>
    </xf>
    <xf numFmtId="0" fontId="78" fillId="77" borderId="81" xfId="58" applyFont="1" applyFill="1" applyBorder="1" applyAlignment="1" applyProtection="1">
      <alignment horizontal="left" vertical="center" wrapText="1"/>
    </xf>
    <xf numFmtId="0" fontId="80" fillId="76" borderId="15" xfId="58" applyFont="1" applyFill="1" applyBorder="1" applyAlignment="1" applyProtection="1">
      <alignment horizontal="center" vertical="center" wrapText="1"/>
    </xf>
    <xf numFmtId="0" fontId="80" fillId="76" borderId="25" xfId="58" applyFont="1" applyFill="1" applyBorder="1" applyAlignment="1" applyProtection="1">
      <alignment horizontal="center" vertical="center" wrapText="1"/>
    </xf>
    <xf numFmtId="0" fontId="80" fillId="76" borderId="40" xfId="58" applyFont="1" applyFill="1" applyBorder="1" applyAlignment="1" applyProtection="1">
      <alignment horizontal="center" vertical="center" wrapText="1"/>
    </xf>
    <xf numFmtId="9" fontId="24" fillId="9" borderId="1" xfId="95" applyFont="1" applyFill="1" applyBorder="1" applyAlignment="1" applyProtection="1">
      <alignment horizontal="center" vertical="center" wrapText="1"/>
    </xf>
    <xf numFmtId="9" fontId="24" fillId="9" borderId="4" xfId="95" applyFont="1" applyFill="1" applyBorder="1" applyAlignment="1" applyProtection="1">
      <alignment horizontal="center" vertical="center" wrapText="1"/>
    </xf>
    <xf numFmtId="0" fontId="80" fillId="77" borderId="46" xfId="58" applyFont="1" applyFill="1" applyBorder="1" applyAlignment="1" applyProtection="1">
      <alignment horizontal="center" vertical="center" wrapText="1"/>
    </xf>
    <xf numFmtId="0" fontId="80" fillId="77" borderId="15" xfId="58" applyFont="1" applyFill="1" applyBorder="1" applyAlignment="1" applyProtection="1">
      <alignment horizontal="left" vertical="center" wrapText="1"/>
    </xf>
    <xf numFmtId="0" fontId="80" fillId="77" borderId="25" xfId="58" applyFont="1" applyFill="1" applyBorder="1" applyAlignment="1" applyProtection="1">
      <alignment horizontal="left" vertical="center" wrapText="1"/>
    </xf>
    <xf numFmtId="0" fontId="80" fillId="77" borderId="40" xfId="58" applyFont="1" applyFill="1" applyBorder="1" applyAlignment="1" applyProtection="1">
      <alignment horizontal="left" vertical="center" wrapText="1"/>
    </xf>
    <xf numFmtId="0" fontId="80" fillId="77" borderId="14" xfId="58" applyFont="1" applyFill="1" applyBorder="1" applyAlignment="1" applyProtection="1">
      <alignment horizontal="center" vertical="center" wrapText="1"/>
    </xf>
    <xf numFmtId="0" fontId="80" fillId="77" borderId="40" xfId="58" applyFont="1" applyFill="1" applyBorder="1" applyAlignment="1" applyProtection="1">
      <alignment horizontal="center" vertical="center" wrapText="1"/>
    </xf>
    <xf numFmtId="0" fontId="78" fillId="77" borderId="33" xfId="58" applyFont="1" applyFill="1" applyBorder="1" applyAlignment="1" applyProtection="1">
      <alignment horizontal="left" vertical="center" wrapText="1"/>
    </xf>
    <xf numFmtId="0" fontId="78" fillId="77" borderId="38" xfId="58" applyFont="1" applyFill="1" applyBorder="1" applyAlignment="1" applyProtection="1">
      <alignment horizontal="left" vertical="center" wrapText="1"/>
    </xf>
    <xf numFmtId="0" fontId="78" fillId="77" borderId="39" xfId="58" applyFont="1" applyFill="1" applyBorder="1" applyAlignment="1" applyProtection="1">
      <alignment horizontal="left" vertical="center" wrapText="1"/>
    </xf>
    <xf numFmtId="0" fontId="80" fillId="77" borderId="28" xfId="58" applyFont="1" applyFill="1" applyBorder="1" applyAlignment="1" applyProtection="1">
      <alignment horizontal="center" vertical="center" wrapText="1"/>
    </xf>
    <xf numFmtId="0" fontId="80" fillId="77" borderId="36" xfId="58" applyFont="1" applyFill="1" applyBorder="1" applyAlignment="1" applyProtection="1">
      <alignment horizontal="center" vertical="center" wrapText="1"/>
    </xf>
    <xf numFmtId="9" fontId="24" fillId="9" borderId="9" xfId="95" applyFont="1" applyFill="1" applyBorder="1" applyAlignment="1" applyProtection="1">
      <alignment horizontal="center" vertical="center" wrapText="1"/>
    </xf>
    <xf numFmtId="9" fontId="24" fillId="9" borderId="32" xfId="95" applyFont="1" applyFill="1" applyBorder="1" applyAlignment="1" applyProtection="1">
      <alignment horizontal="center" vertical="center" wrapText="1"/>
    </xf>
    <xf numFmtId="0" fontId="80" fillId="77" borderId="46" xfId="58" applyFont="1" applyFill="1" applyBorder="1" applyAlignment="1" applyProtection="1">
      <alignment horizontal="left" vertical="center" wrapText="1"/>
    </xf>
    <xf numFmtId="0" fontId="80" fillId="77" borderId="13" xfId="58" applyFont="1" applyFill="1" applyBorder="1" applyAlignment="1" applyProtection="1">
      <alignment horizontal="left" vertical="center" wrapText="1"/>
    </xf>
    <xf numFmtId="0" fontId="80" fillId="77" borderId="47" xfId="58" applyFont="1" applyFill="1" applyBorder="1" applyAlignment="1" applyProtection="1">
      <alignment horizontal="left" vertical="center" wrapText="1"/>
    </xf>
    <xf numFmtId="196" fontId="24" fillId="9" borderId="1" xfId="58" applyNumberFormat="1" applyFont="1" applyFill="1" applyBorder="1" applyAlignment="1" applyProtection="1">
      <alignment horizontal="center" vertical="center" wrapText="1"/>
    </xf>
    <xf numFmtId="196" fontId="24" fillId="9" borderId="4" xfId="58" applyNumberFormat="1" applyFont="1" applyFill="1" applyBorder="1" applyAlignment="1" applyProtection="1">
      <alignment horizontal="center" vertical="center" wrapText="1"/>
    </xf>
    <xf numFmtId="196" fontId="24" fillId="9" borderId="38" xfId="58" applyNumberFormat="1" applyFont="1" applyFill="1" applyBorder="1" applyAlignment="1" applyProtection="1">
      <alignment horizontal="center" vertical="center" wrapText="1"/>
    </xf>
    <xf numFmtId="196" fontId="24" fillId="9" borderId="39" xfId="58" applyNumberFormat="1" applyFont="1" applyFill="1" applyBorder="1" applyAlignment="1" applyProtection="1">
      <alignment horizontal="center" vertical="center" wrapText="1"/>
    </xf>
    <xf numFmtId="0" fontId="78" fillId="77" borderId="56" xfId="58" applyFont="1" applyFill="1" applyBorder="1" applyAlignment="1" applyProtection="1">
      <alignment horizontal="center" vertical="center" textRotation="90" wrapText="1"/>
    </xf>
    <xf numFmtId="0" fontId="78" fillId="77" borderId="57" xfId="58" applyFont="1" applyFill="1" applyBorder="1" applyAlignment="1" applyProtection="1">
      <alignment horizontal="center" vertical="center" textRotation="90" wrapText="1"/>
    </xf>
    <xf numFmtId="0" fontId="78" fillId="77" borderId="58" xfId="58" applyFont="1" applyFill="1" applyBorder="1" applyAlignment="1" applyProtection="1">
      <alignment horizontal="center" vertical="center" textRotation="90" wrapText="1"/>
    </xf>
    <xf numFmtId="0" fontId="88" fillId="80" borderId="8" xfId="474" applyFont="1" applyFill="1" applyBorder="1" applyAlignment="1" applyProtection="1">
      <alignment horizontal="left" vertical="center"/>
    </xf>
    <xf numFmtId="0" fontId="88" fillId="80" borderId="0" xfId="474" applyFont="1" applyFill="1" applyBorder="1" applyAlignment="1" applyProtection="1">
      <alignment horizontal="left" vertical="center"/>
    </xf>
    <xf numFmtId="0" fontId="25" fillId="9" borderId="35" xfId="58" applyFont="1" applyFill="1" applyBorder="1" applyAlignment="1" applyProtection="1">
      <alignment horizontal="center" vertical="center" wrapText="1"/>
    </xf>
    <xf numFmtId="0" fontId="25" fillId="9" borderId="36" xfId="58" applyFont="1" applyFill="1" applyBorder="1" applyAlignment="1" applyProtection="1">
      <alignment horizontal="center" vertical="center" wrapText="1"/>
    </xf>
    <xf numFmtId="0" fontId="25" fillId="9" borderId="7" xfId="58" applyFont="1" applyFill="1" applyBorder="1" applyAlignment="1" applyProtection="1">
      <alignment horizontal="center" vertical="center" wrapText="1"/>
    </xf>
    <xf numFmtId="0" fontId="25" fillId="9" borderId="60" xfId="58" applyFont="1" applyFill="1" applyBorder="1" applyAlignment="1" applyProtection="1">
      <alignment horizontal="center" vertical="center" wrapText="1"/>
    </xf>
    <xf numFmtId="0" fontId="25" fillId="9" borderId="66" xfId="58" applyFont="1" applyFill="1" applyBorder="1" applyAlignment="1" applyProtection="1">
      <alignment horizontal="center" vertical="center" wrapText="1"/>
    </xf>
    <xf numFmtId="0" fontId="25" fillId="9" borderId="62" xfId="58" applyFont="1" applyFill="1" applyBorder="1" applyAlignment="1" applyProtection="1">
      <alignment horizontal="center" vertical="center" wrapText="1"/>
    </xf>
    <xf numFmtId="0" fontId="25" fillId="25" borderId="46" xfId="58" applyNumberFormat="1" applyFont="1" applyFill="1" applyBorder="1" applyAlignment="1" applyProtection="1">
      <alignment horizontal="center" vertical="center"/>
    </xf>
    <xf numFmtId="0" fontId="25" fillId="25" borderId="47" xfId="58" applyNumberFormat="1" applyFont="1" applyFill="1" applyBorder="1" applyAlignment="1" applyProtection="1">
      <alignment horizontal="center" vertical="center"/>
    </xf>
    <xf numFmtId="0" fontId="43" fillId="9" borderId="35" xfId="58" applyFont="1" applyFill="1" applyBorder="1" applyAlignment="1" applyProtection="1">
      <alignment horizontal="center" vertical="center"/>
    </xf>
    <xf numFmtId="0" fontId="43" fillId="9" borderId="36" xfId="58" applyFont="1" applyFill="1" applyBorder="1" applyAlignment="1" applyProtection="1">
      <alignment horizontal="center" vertical="center"/>
    </xf>
    <xf numFmtId="3" fontId="0" fillId="7" borderId="0" xfId="56" applyFont="1" applyFill="1" applyAlignment="1">
      <alignment horizontal="center" vertical="center"/>
    </xf>
    <xf numFmtId="3" fontId="9" fillId="7" borderId="0" xfId="56" applyFill="1" applyAlignment="1">
      <alignment horizontal="center" vertical="center"/>
    </xf>
  </cellXfs>
  <cellStyles count="482">
    <cellStyle name="0mitP" xfId="1" xr:uid="{00000000-0005-0000-0000-000000000000}"/>
    <cellStyle name="0mitP 2" xfId="67" xr:uid="{00000000-0005-0000-0000-000001000000}"/>
    <cellStyle name="0ohneP" xfId="2" xr:uid="{00000000-0005-0000-0000-000002000000}"/>
    <cellStyle name="0ohneP 2" xfId="68" xr:uid="{00000000-0005-0000-0000-000003000000}"/>
    <cellStyle name="10mitP" xfId="3" xr:uid="{00000000-0005-0000-0000-000004000000}"/>
    <cellStyle name="10mitP 2" xfId="69" xr:uid="{00000000-0005-0000-0000-000005000000}"/>
    <cellStyle name="12mitP" xfId="4" xr:uid="{00000000-0005-0000-0000-000006000000}"/>
    <cellStyle name="12mitP 2" xfId="70" xr:uid="{00000000-0005-0000-0000-000007000000}"/>
    <cellStyle name="12ohneP" xfId="5" xr:uid="{00000000-0005-0000-0000-000008000000}"/>
    <cellStyle name="12ohneP 2" xfId="71" xr:uid="{00000000-0005-0000-0000-000009000000}"/>
    <cellStyle name="13mitP" xfId="6" xr:uid="{00000000-0005-0000-0000-00000A000000}"/>
    <cellStyle name="13mitP 2" xfId="72" xr:uid="{00000000-0005-0000-0000-00000B000000}"/>
    <cellStyle name="1mitP" xfId="7" xr:uid="{00000000-0005-0000-0000-00000C000000}"/>
    <cellStyle name="1mitP 2" xfId="73" xr:uid="{00000000-0005-0000-0000-00000D000000}"/>
    <cellStyle name="1ohneP" xfId="8" xr:uid="{00000000-0005-0000-0000-00000E000000}"/>
    <cellStyle name="20% - Akzent1" xfId="97" xr:uid="{00000000-0005-0000-0000-00000F000000}"/>
    <cellStyle name="20% - Akzent1 2" xfId="98" xr:uid="{00000000-0005-0000-0000-000010000000}"/>
    <cellStyle name="20% - Akzent1 3" xfId="99" xr:uid="{00000000-0005-0000-0000-000011000000}"/>
    <cellStyle name="20% - Akzent1 4" xfId="100" xr:uid="{00000000-0005-0000-0000-000012000000}"/>
    <cellStyle name="20% - Akzent1 5" xfId="101" xr:uid="{00000000-0005-0000-0000-000013000000}"/>
    <cellStyle name="20% - Akzent1 6" xfId="102" xr:uid="{00000000-0005-0000-0000-000014000000}"/>
    <cellStyle name="20% - Akzent1_XY Diagramm 1 jg.ms" xfId="103" xr:uid="{00000000-0005-0000-0000-000015000000}"/>
    <cellStyle name="20% - Akzent2" xfId="104" xr:uid="{00000000-0005-0000-0000-000016000000}"/>
    <cellStyle name="20% - Akzent2 2" xfId="105" xr:uid="{00000000-0005-0000-0000-000017000000}"/>
    <cellStyle name="20% - Akzent2 3" xfId="106" xr:uid="{00000000-0005-0000-0000-000018000000}"/>
    <cellStyle name="20% - Akzent2 4" xfId="107" xr:uid="{00000000-0005-0000-0000-000019000000}"/>
    <cellStyle name="20% - Akzent2 5" xfId="108" xr:uid="{00000000-0005-0000-0000-00001A000000}"/>
    <cellStyle name="20% - Akzent2 6" xfId="109" xr:uid="{00000000-0005-0000-0000-00001B000000}"/>
    <cellStyle name="20% - Akzent2_XY Diagramm 1 jg.ms" xfId="110" xr:uid="{00000000-0005-0000-0000-00001C000000}"/>
    <cellStyle name="20% - Akzent3" xfId="111" xr:uid="{00000000-0005-0000-0000-00001D000000}"/>
    <cellStyle name="20% - Akzent3 2" xfId="112" xr:uid="{00000000-0005-0000-0000-00001E000000}"/>
    <cellStyle name="20% - Akzent3 3" xfId="113" xr:uid="{00000000-0005-0000-0000-00001F000000}"/>
    <cellStyle name="20% - Akzent3 4" xfId="114" xr:uid="{00000000-0005-0000-0000-000020000000}"/>
    <cellStyle name="20% - Akzent3 5" xfId="115" xr:uid="{00000000-0005-0000-0000-000021000000}"/>
    <cellStyle name="20% - Akzent3 6" xfId="116" xr:uid="{00000000-0005-0000-0000-000022000000}"/>
    <cellStyle name="20% - Akzent3_XY Diagramm 1 jg.ms" xfId="117" xr:uid="{00000000-0005-0000-0000-000023000000}"/>
    <cellStyle name="20% - Akzent4" xfId="118" xr:uid="{00000000-0005-0000-0000-000024000000}"/>
    <cellStyle name="20% - Akzent4 2" xfId="119" xr:uid="{00000000-0005-0000-0000-000025000000}"/>
    <cellStyle name="20% - Akzent4 3" xfId="120" xr:uid="{00000000-0005-0000-0000-000026000000}"/>
    <cellStyle name="20% - Akzent4 4" xfId="121" xr:uid="{00000000-0005-0000-0000-000027000000}"/>
    <cellStyle name="20% - Akzent4 5" xfId="122" xr:uid="{00000000-0005-0000-0000-000028000000}"/>
    <cellStyle name="20% - Akzent4 6" xfId="123" xr:uid="{00000000-0005-0000-0000-000029000000}"/>
    <cellStyle name="20% - Akzent4_XY Diagramm 1 jg.ms" xfId="124" xr:uid="{00000000-0005-0000-0000-00002A000000}"/>
    <cellStyle name="20% - Akzent5" xfId="125" xr:uid="{00000000-0005-0000-0000-00002B000000}"/>
    <cellStyle name="20% - Akzent5 2" xfId="126" xr:uid="{00000000-0005-0000-0000-00002C000000}"/>
    <cellStyle name="20% - Akzent5 3" xfId="127" xr:uid="{00000000-0005-0000-0000-00002D000000}"/>
    <cellStyle name="20% - Akzent5 4" xfId="128" xr:uid="{00000000-0005-0000-0000-00002E000000}"/>
    <cellStyle name="20% - Akzent5 5" xfId="129" xr:uid="{00000000-0005-0000-0000-00002F000000}"/>
    <cellStyle name="20% - Akzent5 6" xfId="130" xr:uid="{00000000-0005-0000-0000-000030000000}"/>
    <cellStyle name="20% - Akzent5_XY Diagramm 1 jg.ms" xfId="131" xr:uid="{00000000-0005-0000-0000-000031000000}"/>
    <cellStyle name="20% - Akzent6" xfId="132" xr:uid="{00000000-0005-0000-0000-000032000000}"/>
    <cellStyle name="20% - Akzent6 2" xfId="133" xr:uid="{00000000-0005-0000-0000-000033000000}"/>
    <cellStyle name="20% - Akzent6 3" xfId="134" xr:uid="{00000000-0005-0000-0000-000034000000}"/>
    <cellStyle name="20% - Akzent6 4" xfId="135" xr:uid="{00000000-0005-0000-0000-000035000000}"/>
    <cellStyle name="20% - Akzent6 5" xfId="136" xr:uid="{00000000-0005-0000-0000-000036000000}"/>
    <cellStyle name="20% - Akzent6 6" xfId="137" xr:uid="{00000000-0005-0000-0000-000037000000}"/>
    <cellStyle name="20% - Akzent6_XY Diagramm 1 jg.ms" xfId="138" xr:uid="{00000000-0005-0000-0000-000038000000}"/>
    <cellStyle name="2mitP" xfId="9" xr:uid="{00000000-0005-0000-0000-000039000000}"/>
    <cellStyle name="2ohneP" xfId="10" xr:uid="{00000000-0005-0000-0000-00003A000000}"/>
    <cellStyle name="2x indented GHG Textfiels" xfId="11" xr:uid="{00000000-0005-0000-0000-00003B000000}"/>
    <cellStyle name="3mitP" xfId="12" xr:uid="{00000000-0005-0000-0000-00003C000000}"/>
    <cellStyle name="3mitP 2" xfId="74" xr:uid="{00000000-0005-0000-0000-00003D000000}"/>
    <cellStyle name="3ohneP" xfId="13" xr:uid="{00000000-0005-0000-0000-00003E000000}"/>
    <cellStyle name="3ohneP 2" xfId="75" xr:uid="{00000000-0005-0000-0000-00003F000000}"/>
    <cellStyle name="40% - Akzent1" xfId="139" xr:uid="{00000000-0005-0000-0000-000040000000}"/>
    <cellStyle name="40% - Akzent1 2" xfId="140" xr:uid="{00000000-0005-0000-0000-000041000000}"/>
    <cellStyle name="40% - Akzent1 3" xfId="141" xr:uid="{00000000-0005-0000-0000-000042000000}"/>
    <cellStyle name="40% - Akzent1 4" xfId="142" xr:uid="{00000000-0005-0000-0000-000043000000}"/>
    <cellStyle name="40% - Akzent1 5" xfId="143" xr:uid="{00000000-0005-0000-0000-000044000000}"/>
    <cellStyle name="40% - Akzent1 6" xfId="144" xr:uid="{00000000-0005-0000-0000-000045000000}"/>
    <cellStyle name="40% - Akzent1_XY Diagramm 1 jg.ms" xfId="145" xr:uid="{00000000-0005-0000-0000-000046000000}"/>
    <cellStyle name="40% - Akzent2" xfId="146" xr:uid="{00000000-0005-0000-0000-000047000000}"/>
    <cellStyle name="40% - Akzent2 2" xfId="147" xr:uid="{00000000-0005-0000-0000-000048000000}"/>
    <cellStyle name="40% - Akzent2 3" xfId="148" xr:uid="{00000000-0005-0000-0000-000049000000}"/>
    <cellStyle name="40% - Akzent2 4" xfId="149" xr:uid="{00000000-0005-0000-0000-00004A000000}"/>
    <cellStyle name="40% - Akzent2 5" xfId="150" xr:uid="{00000000-0005-0000-0000-00004B000000}"/>
    <cellStyle name="40% - Akzent2 6" xfId="151" xr:uid="{00000000-0005-0000-0000-00004C000000}"/>
    <cellStyle name="40% - Akzent2_XY Diagramm 1 jg.ms" xfId="152" xr:uid="{00000000-0005-0000-0000-00004D000000}"/>
    <cellStyle name="40% - Akzent3" xfId="153" xr:uid="{00000000-0005-0000-0000-00004E000000}"/>
    <cellStyle name="40% - Akzent3 2" xfId="154" xr:uid="{00000000-0005-0000-0000-00004F000000}"/>
    <cellStyle name="40% - Akzent3 3" xfId="155" xr:uid="{00000000-0005-0000-0000-000050000000}"/>
    <cellStyle name="40% - Akzent3 4" xfId="156" xr:uid="{00000000-0005-0000-0000-000051000000}"/>
    <cellStyle name="40% - Akzent3 5" xfId="157" xr:uid="{00000000-0005-0000-0000-000052000000}"/>
    <cellStyle name="40% - Akzent3 6" xfId="158" xr:uid="{00000000-0005-0000-0000-000053000000}"/>
    <cellStyle name="40% - Akzent3_XY Diagramm 1 jg.ms" xfId="159" xr:uid="{00000000-0005-0000-0000-000054000000}"/>
    <cellStyle name="40% - Akzent4" xfId="160" xr:uid="{00000000-0005-0000-0000-000055000000}"/>
    <cellStyle name="40% - Akzent4 2" xfId="161" xr:uid="{00000000-0005-0000-0000-000056000000}"/>
    <cellStyle name="40% - Akzent4 3" xfId="162" xr:uid="{00000000-0005-0000-0000-000057000000}"/>
    <cellStyle name="40% - Akzent4 4" xfId="163" xr:uid="{00000000-0005-0000-0000-000058000000}"/>
    <cellStyle name="40% - Akzent4 5" xfId="164" xr:uid="{00000000-0005-0000-0000-000059000000}"/>
    <cellStyle name="40% - Akzent4 6" xfId="165" xr:uid="{00000000-0005-0000-0000-00005A000000}"/>
    <cellStyle name="40% - Akzent4_XY Diagramm 1 jg.ms" xfId="166" xr:uid="{00000000-0005-0000-0000-00005B000000}"/>
    <cellStyle name="40% - Akzent5" xfId="167" xr:uid="{00000000-0005-0000-0000-00005C000000}"/>
    <cellStyle name="40% - Akzent5 2" xfId="168" xr:uid="{00000000-0005-0000-0000-00005D000000}"/>
    <cellStyle name="40% - Akzent5 3" xfId="169" xr:uid="{00000000-0005-0000-0000-00005E000000}"/>
    <cellStyle name="40% - Akzent5 4" xfId="170" xr:uid="{00000000-0005-0000-0000-00005F000000}"/>
    <cellStyle name="40% - Akzent5 5" xfId="171" xr:uid="{00000000-0005-0000-0000-000060000000}"/>
    <cellStyle name="40% - Akzent5 6" xfId="172" xr:uid="{00000000-0005-0000-0000-000061000000}"/>
    <cellStyle name="40% - Akzent5_XY Diagramm 1 jg.ms" xfId="173" xr:uid="{00000000-0005-0000-0000-000062000000}"/>
    <cellStyle name="40% - Akzent6" xfId="174" xr:uid="{00000000-0005-0000-0000-000063000000}"/>
    <cellStyle name="40% - Akzent6 2" xfId="175" xr:uid="{00000000-0005-0000-0000-000064000000}"/>
    <cellStyle name="40% - Akzent6 3" xfId="176" xr:uid="{00000000-0005-0000-0000-000065000000}"/>
    <cellStyle name="40% - Akzent6 4" xfId="177" xr:uid="{00000000-0005-0000-0000-000066000000}"/>
    <cellStyle name="40% - Akzent6 5" xfId="178" xr:uid="{00000000-0005-0000-0000-000067000000}"/>
    <cellStyle name="40% - Akzent6 6" xfId="179" xr:uid="{00000000-0005-0000-0000-000068000000}"/>
    <cellStyle name="40% - Akzent6_XY Diagramm 1 jg.ms" xfId="180" xr:uid="{00000000-0005-0000-0000-000069000000}"/>
    <cellStyle name="4mitP" xfId="14" xr:uid="{00000000-0005-0000-0000-00006A000000}"/>
    <cellStyle name="4mitP 2" xfId="76" xr:uid="{00000000-0005-0000-0000-00006B000000}"/>
    <cellStyle name="4ohneP" xfId="15" xr:uid="{00000000-0005-0000-0000-00006C000000}"/>
    <cellStyle name="5x indented GHG Textfiels" xfId="16" xr:uid="{00000000-0005-0000-0000-00006D000000}"/>
    <cellStyle name="60 % - Akzent3" xfId="476" builtinId="40" customBuiltin="1"/>
    <cellStyle name="60 % - Akzent4" xfId="477" builtinId="44" customBuiltin="1"/>
    <cellStyle name="60 % - Akzent5" xfId="478" builtinId="48" customBuiltin="1"/>
    <cellStyle name="60 % - Akzent6" xfId="479" builtinId="52" customBuiltin="1"/>
    <cellStyle name="60% - Akzent1" xfId="181" xr:uid="{00000000-0005-0000-0000-000072000000}"/>
    <cellStyle name="60% - Akzent1 2" xfId="182" xr:uid="{00000000-0005-0000-0000-000073000000}"/>
    <cellStyle name="60% - Akzent1 3" xfId="183" xr:uid="{00000000-0005-0000-0000-000074000000}"/>
    <cellStyle name="60% - Akzent1 4" xfId="184" xr:uid="{00000000-0005-0000-0000-000075000000}"/>
    <cellStyle name="60% - Akzent1 5" xfId="185" xr:uid="{00000000-0005-0000-0000-000076000000}"/>
    <cellStyle name="60% - Akzent1 6" xfId="186" xr:uid="{00000000-0005-0000-0000-000077000000}"/>
    <cellStyle name="60% - Akzent1_XY Diagramm 1 jg.ms" xfId="187" xr:uid="{00000000-0005-0000-0000-000078000000}"/>
    <cellStyle name="60% - Akzent2" xfId="188" xr:uid="{00000000-0005-0000-0000-000079000000}"/>
    <cellStyle name="60% - Akzent2 2" xfId="189" xr:uid="{00000000-0005-0000-0000-00007A000000}"/>
    <cellStyle name="60% - Akzent2 3" xfId="190" xr:uid="{00000000-0005-0000-0000-00007B000000}"/>
    <cellStyle name="60% - Akzent2 4" xfId="191" xr:uid="{00000000-0005-0000-0000-00007C000000}"/>
    <cellStyle name="60% - Akzent2 5" xfId="192" xr:uid="{00000000-0005-0000-0000-00007D000000}"/>
    <cellStyle name="60% - Akzent2 6" xfId="193" xr:uid="{00000000-0005-0000-0000-00007E000000}"/>
    <cellStyle name="60% - Akzent2_XY Diagramm 1 jg.ms" xfId="194" xr:uid="{00000000-0005-0000-0000-00007F000000}"/>
    <cellStyle name="60% - Akzent3" xfId="195" xr:uid="{00000000-0005-0000-0000-000080000000}"/>
    <cellStyle name="60% - Akzent3 2" xfId="196" xr:uid="{00000000-0005-0000-0000-000081000000}"/>
    <cellStyle name="60% - Akzent3 3" xfId="197" xr:uid="{00000000-0005-0000-0000-000082000000}"/>
    <cellStyle name="60% - Akzent3 4" xfId="198" xr:uid="{00000000-0005-0000-0000-000083000000}"/>
    <cellStyle name="60% - Akzent3 5" xfId="199" xr:uid="{00000000-0005-0000-0000-000084000000}"/>
    <cellStyle name="60% - Akzent3 6" xfId="200" xr:uid="{00000000-0005-0000-0000-000085000000}"/>
    <cellStyle name="60% - Akzent3_XY Diagramm 1 jg.ms" xfId="201" xr:uid="{00000000-0005-0000-0000-000086000000}"/>
    <cellStyle name="60% - Akzent4" xfId="202" xr:uid="{00000000-0005-0000-0000-000087000000}"/>
    <cellStyle name="60% - Akzent4 2" xfId="203" xr:uid="{00000000-0005-0000-0000-000088000000}"/>
    <cellStyle name="60% - Akzent4 3" xfId="204" xr:uid="{00000000-0005-0000-0000-000089000000}"/>
    <cellStyle name="60% - Akzent4 4" xfId="205" xr:uid="{00000000-0005-0000-0000-00008A000000}"/>
    <cellStyle name="60% - Akzent4 5" xfId="206" xr:uid="{00000000-0005-0000-0000-00008B000000}"/>
    <cellStyle name="60% - Akzent4 6" xfId="207" xr:uid="{00000000-0005-0000-0000-00008C000000}"/>
    <cellStyle name="60% - Akzent4_XY Diagramm 1 jg.ms" xfId="208" xr:uid="{00000000-0005-0000-0000-00008D000000}"/>
    <cellStyle name="60% - Akzent5" xfId="209" xr:uid="{00000000-0005-0000-0000-00008E000000}"/>
    <cellStyle name="60% - Akzent5 2" xfId="210" xr:uid="{00000000-0005-0000-0000-00008F000000}"/>
    <cellStyle name="60% - Akzent5 3" xfId="211" xr:uid="{00000000-0005-0000-0000-000090000000}"/>
    <cellStyle name="60% - Akzent5 4" xfId="212" xr:uid="{00000000-0005-0000-0000-000091000000}"/>
    <cellStyle name="60% - Akzent5 5" xfId="213" xr:uid="{00000000-0005-0000-0000-000092000000}"/>
    <cellStyle name="60% - Akzent5 6" xfId="214" xr:uid="{00000000-0005-0000-0000-000093000000}"/>
    <cellStyle name="60% - Akzent5_XY Diagramm 1 jg.ms" xfId="215" xr:uid="{00000000-0005-0000-0000-000094000000}"/>
    <cellStyle name="60% - Akzent6" xfId="216" xr:uid="{00000000-0005-0000-0000-000095000000}"/>
    <cellStyle name="60% - Akzent6 2" xfId="217" xr:uid="{00000000-0005-0000-0000-000096000000}"/>
    <cellStyle name="60% - Akzent6 3" xfId="218" xr:uid="{00000000-0005-0000-0000-000097000000}"/>
    <cellStyle name="60% - Akzent6 4" xfId="219" xr:uid="{00000000-0005-0000-0000-000098000000}"/>
    <cellStyle name="60% - Akzent6 5" xfId="220" xr:uid="{00000000-0005-0000-0000-000099000000}"/>
    <cellStyle name="60% - Akzent6 6" xfId="221" xr:uid="{00000000-0005-0000-0000-00009A000000}"/>
    <cellStyle name="60% - Akzent6_XY Diagramm 1 jg.ms" xfId="222" xr:uid="{00000000-0005-0000-0000-00009B000000}"/>
    <cellStyle name="6mitP" xfId="17" xr:uid="{00000000-0005-0000-0000-00009C000000}"/>
    <cellStyle name="6mitP 2" xfId="77" xr:uid="{00000000-0005-0000-0000-00009D000000}"/>
    <cellStyle name="6ohneP" xfId="18" xr:uid="{00000000-0005-0000-0000-00009E000000}"/>
    <cellStyle name="6ohneP 2" xfId="78" xr:uid="{00000000-0005-0000-0000-00009F000000}"/>
    <cellStyle name="7mitP" xfId="19" xr:uid="{00000000-0005-0000-0000-0000A0000000}"/>
    <cellStyle name="7mitP 2" xfId="79" xr:uid="{00000000-0005-0000-0000-0000A1000000}"/>
    <cellStyle name="9mitP" xfId="20" xr:uid="{00000000-0005-0000-0000-0000A2000000}"/>
    <cellStyle name="9mitP 2" xfId="80" xr:uid="{00000000-0005-0000-0000-0000A3000000}"/>
    <cellStyle name="9ohneP" xfId="21" xr:uid="{00000000-0005-0000-0000-0000A4000000}"/>
    <cellStyle name="9ohneP 2" xfId="81" xr:uid="{00000000-0005-0000-0000-0000A5000000}"/>
    <cellStyle name="A4 Auto Format" xfId="22" xr:uid="{00000000-0005-0000-0000-0000A6000000}"/>
    <cellStyle name="A4 Auto Format 2" xfId="223" xr:uid="{00000000-0005-0000-0000-0000A7000000}"/>
    <cellStyle name="A4 Auto Format 2 2" xfId="426" xr:uid="{00000000-0005-0000-0000-0000A8000000}"/>
    <cellStyle name="A4 Auto Format 3" xfId="425" xr:uid="{00000000-0005-0000-0000-0000A9000000}"/>
    <cellStyle name="A4 Gg" xfId="23" xr:uid="{00000000-0005-0000-0000-0000AA000000}"/>
    <cellStyle name="A4 Gg 2" xfId="82" xr:uid="{00000000-0005-0000-0000-0000AB000000}"/>
    <cellStyle name="A4 kg" xfId="24" xr:uid="{00000000-0005-0000-0000-0000AC000000}"/>
    <cellStyle name="A4 kg 2" xfId="83" xr:uid="{00000000-0005-0000-0000-0000AD000000}"/>
    <cellStyle name="A4 kt" xfId="25" xr:uid="{00000000-0005-0000-0000-0000AE000000}"/>
    <cellStyle name="A4 kt 2" xfId="84" xr:uid="{00000000-0005-0000-0000-0000AF000000}"/>
    <cellStyle name="A4 No Format" xfId="26" xr:uid="{00000000-0005-0000-0000-0000B0000000}"/>
    <cellStyle name="A4 No Format 2" xfId="224" xr:uid="{00000000-0005-0000-0000-0000B1000000}"/>
    <cellStyle name="A4 No Format 2 2" xfId="428" xr:uid="{00000000-0005-0000-0000-0000B2000000}"/>
    <cellStyle name="A4 No Format 3" xfId="427" xr:uid="{00000000-0005-0000-0000-0000B3000000}"/>
    <cellStyle name="A4 Normal" xfId="27" xr:uid="{00000000-0005-0000-0000-0000B4000000}"/>
    <cellStyle name="A4 Normal 2" xfId="225" xr:uid="{00000000-0005-0000-0000-0000B5000000}"/>
    <cellStyle name="A4 Normal 2 2" xfId="430" xr:uid="{00000000-0005-0000-0000-0000B6000000}"/>
    <cellStyle name="A4 Normal 3" xfId="429" xr:uid="{00000000-0005-0000-0000-0000B7000000}"/>
    <cellStyle name="A4 Stck" xfId="28" xr:uid="{00000000-0005-0000-0000-0000B8000000}"/>
    <cellStyle name="A4 Stck 2" xfId="85" xr:uid="{00000000-0005-0000-0000-0000B9000000}"/>
    <cellStyle name="A4 Stk" xfId="29" xr:uid="{00000000-0005-0000-0000-0000BA000000}"/>
    <cellStyle name="A4 Stk 2" xfId="86" xr:uid="{00000000-0005-0000-0000-0000BB000000}"/>
    <cellStyle name="A4 T.Stk" xfId="30" xr:uid="{00000000-0005-0000-0000-0000BC000000}"/>
    <cellStyle name="A4 T.Stk 2" xfId="87" xr:uid="{00000000-0005-0000-0000-0000BD000000}"/>
    <cellStyle name="A4 TJ" xfId="31" xr:uid="{00000000-0005-0000-0000-0000BE000000}"/>
    <cellStyle name="A4 TJ 2" xfId="88" xr:uid="{00000000-0005-0000-0000-0000BF000000}"/>
    <cellStyle name="A4 TStk" xfId="32" xr:uid="{00000000-0005-0000-0000-0000C0000000}"/>
    <cellStyle name="A4 TStk 2" xfId="89" xr:uid="{00000000-0005-0000-0000-0000C1000000}"/>
    <cellStyle name="A4 Year" xfId="33" xr:uid="{00000000-0005-0000-0000-0000C2000000}"/>
    <cellStyle name="A4 Year 2" xfId="90" xr:uid="{00000000-0005-0000-0000-0000C3000000}"/>
    <cellStyle name="AggblueBoldCels" xfId="226" xr:uid="{00000000-0005-0000-0000-0000C4000000}"/>
    <cellStyle name="AggblueCels" xfId="227" xr:uid="{00000000-0005-0000-0000-0000C5000000}"/>
    <cellStyle name="AggBoldCells" xfId="228" xr:uid="{00000000-0005-0000-0000-0000C6000000}"/>
    <cellStyle name="AggCels" xfId="34" xr:uid="{00000000-0005-0000-0000-0000C7000000}"/>
    <cellStyle name="AggGreen" xfId="229" xr:uid="{00000000-0005-0000-0000-0000C8000000}"/>
    <cellStyle name="AggGreen12" xfId="230" xr:uid="{00000000-0005-0000-0000-0000C9000000}"/>
    <cellStyle name="AggOrange" xfId="231" xr:uid="{00000000-0005-0000-0000-0000CA000000}"/>
    <cellStyle name="AggOrange9" xfId="232" xr:uid="{00000000-0005-0000-0000-0000CB000000}"/>
    <cellStyle name="AggOrangeLB_2x" xfId="233" xr:uid="{00000000-0005-0000-0000-0000CC000000}"/>
    <cellStyle name="AggOrangeLBorder" xfId="234" xr:uid="{00000000-0005-0000-0000-0000CD000000}"/>
    <cellStyle name="AggOrangeRBorder" xfId="235" xr:uid="{00000000-0005-0000-0000-0000CE000000}"/>
    <cellStyle name="Akzent1" xfId="474" builtinId="29" customBuiltin="1"/>
    <cellStyle name="Akzent1 2" xfId="236" xr:uid="{00000000-0005-0000-0000-0000D0000000}"/>
    <cellStyle name="Akzent1 3" xfId="237" xr:uid="{00000000-0005-0000-0000-0000D1000000}"/>
    <cellStyle name="Akzent1 4" xfId="238" xr:uid="{00000000-0005-0000-0000-0000D2000000}"/>
    <cellStyle name="Akzent1 5" xfId="239" xr:uid="{00000000-0005-0000-0000-0000D3000000}"/>
    <cellStyle name="Akzent1 6" xfId="240" xr:uid="{00000000-0005-0000-0000-0000D4000000}"/>
    <cellStyle name="Akzent1 7" xfId="241" xr:uid="{00000000-0005-0000-0000-0000D5000000}"/>
    <cellStyle name="Akzent2" xfId="475" builtinId="33" customBuiltin="1"/>
    <cellStyle name="Akzent2 2" xfId="242" xr:uid="{00000000-0005-0000-0000-0000D7000000}"/>
    <cellStyle name="Akzent2 3" xfId="243" xr:uid="{00000000-0005-0000-0000-0000D8000000}"/>
    <cellStyle name="Akzent2 4" xfId="244" xr:uid="{00000000-0005-0000-0000-0000D9000000}"/>
    <cellStyle name="Akzent2 5" xfId="245" xr:uid="{00000000-0005-0000-0000-0000DA000000}"/>
    <cellStyle name="Akzent2 6" xfId="246" xr:uid="{00000000-0005-0000-0000-0000DB000000}"/>
    <cellStyle name="Akzent2 7" xfId="247" xr:uid="{00000000-0005-0000-0000-0000DC000000}"/>
    <cellStyle name="Akzent3 2" xfId="248" xr:uid="{00000000-0005-0000-0000-0000DD000000}"/>
    <cellStyle name="Akzent3 3" xfId="249" xr:uid="{00000000-0005-0000-0000-0000DE000000}"/>
    <cellStyle name="Akzent3 4" xfId="250" xr:uid="{00000000-0005-0000-0000-0000DF000000}"/>
    <cellStyle name="Akzent3 5" xfId="251" xr:uid="{00000000-0005-0000-0000-0000E0000000}"/>
    <cellStyle name="Akzent3 6" xfId="252" xr:uid="{00000000-0005-0000-0000-0000E1000000}"/>
    <cellStyle name="Akzent3 7" xfId="253" xr:uid="{00000000-0005-0000-0000-0000E2000000}"/>
    <cellStyle name="Akzent4 2" xfId="254" xr:uid="{00000000-0005-0000-0000-0000E3000000}"/>
    <cellStyle name="Akzent4 3" xfId="255" xr:uid="{00000000-0005-0000-0000-0000E4000000}"/>
    <cellStyle name="Akzent4 4" xfId="256" xr:uid="{00000000-0005-0000-0000-0000E5000000}"/>
    <cellStyle name="Akzent4 5" xfId="257" xr:uid="{00000000-0005-0000-0000-0000E6000000}"/>
    <cellStyle name="Akzent4 6" xfId="258" xr:uid="{00000000-0005-0000-0000-0000E7000000}"/>
    <cellStyle name="Akzent4 7" xfId="259" xr:uid="{00000000-0005-0000-0000-0000E8000000}"/>
    <cellStyle name="Akzent5 2" xfId="260" xr:uid="{00000000-0005-0000-0000-0000E9000000}"/>
    <cellStyle name="Akzent5 3" xfId="261" xr:uid="{00000000-0005-0000-0000-0000EA000000}"/>
    <cellStyle name="Akzent5 4" xfId="262" xr:uid="{00000000-0005-0000-0000-0000EB000000}"/>
    <cellStyle name="Akzent5 5" xfId="263" xr:uid="{00000000-0005-0000-0000-0000EC000000}"/>
    <cellStyle name="Akzent5 6" xfId="264" xr:uid="{00000000-0005-0000-0000-0000ED000000}"/>
    <cellStyle name="Akzent5 7" xfId="265" xr:uid="{00000000-0005-0000-0000-0000EE000000}"/>
    <cellStyle name="Akzent6 2" xfId="266" xr:uid="{00000000-0005-0000-0000-0000EF000000}"/>
    <cellStyle name="Akzent6 3" xfId="267" xr:uid="{00000000-0005-0000-0000-0000F0000000}"/>
    <cellStyle name="Akzent6 4" xfId="268" xr:uid="{00000000-0005-0000-0000-0000F1000000}"/>
    <cellStyle name="Akzent6 5" xfId="269" xr:uid="{00000000-0005-0000-0000-0000F2000000}"/>
    <cellStyle name="Akzent6 6" xfId="270" xr:uid="{00000000-0005-0000-0000-0000F3000000}"/>
    <cellStyle name="Akzent6 7" xfId="271" xr:uid="{00000000-0005-0000-0000-0000F4000000}"/>
    <cellStyle name="Ausgabe 2" xfId="272" xr:uid="{00000000-0005-0000-0000-0000F5000000}"/>
    <cellStyle name="Ausgabe 3" xfId="273" xr:uid="{00000000-0005-0000-0000-0000F6000000}"/>
    <cellStyle name="Ausgabe 4" xfId="274" xr:uid="{00000000-0005-0000-0000-0000F7000000}"/>
    <cellStyle name="Ausgabe 5" xfId="275" xr:uid="{00000000-0005-0000-0000-0000F8000000}"/>
    <cellStyle name="Ausgabe 6" xfId="276" xr:uid="{00000000-0005-0000-0000-0000F9000000}"/>
    <cellStyle name="Ausgabe 7" xfId="277" xr:uid="{00000000-0005-0000-0000-0000FA000000}"/>
    <cellStyle name="Berechnung 2" xfId="278" xr:uid="{00000000-0005-0000-0000-0000FB000000}"/>
    <cellStyle name="Berechnung 3" xfId="279" xr:uid="{00000000-0005-0000-0000-0000FC000000}"/>
    <cellStyle name="Berechnung 4" xfId="280" xr:uid="{00000000-0005-0000-0000-0000FD000000}"/>
    <cellStyle name="Berechnung 5" xfId="281" xr:uid="{00000000-0005-0000-0000-0000FE000000}"/>
    <cellStyle name="Berechnung 6" xfId="282" xr:uid="{00000000-0005-0000-0000-0000FF000000}"/>
    <cellStyle name="Berechnung 7" xfId="283" xr:uid="{00000000-0005-0000-0000-000000010000}"/>
    <cellStyle name="Bold GHG Numbers (0.00)" xfId="35" xr:uid="{00000000-0005-0000-0000-000001010000}"/>
    <cellStyle name="Constants" xfId="284" xr:uid="{00000000-0005-0000-0000-000002010000}"/>
    <cellStyle name="CustomCellsOrange" xfId="285" xr:uid="{00000000-0005-0000-0000-000003010000}"/>
    <cellStyle name="CustomizationCells" xfId="36" xr:uid="{00000000-0005-0000-0000-000004010000}"/>
    <cellStyle name="CustomizationGreenCells" xfId="37" xr:uid="{00000000-0005-0000-0000-000005010000}"/>
    <cellStyle name="Datum" xfId="38" xr:uid="{00000000-0005-0000-0000-000006010000}"/>
    <cellStyle name="Datum 2" xfId="286" xr:uid="{00000000-0005-0000-0000-000007010000}"/>
    <cellStyle name="Datum 2 2" xfId="432" xr:uid="{00000000-0005-0000-0000-000008010000}"/>
    <cellStyle name="Datum 3" xfId="431" xr:uid="{00000000-0005-0000-0000-000009010000}"/>
    <cellStyle name="Datum, Uhrzeit" xfId="39" xr:uid="{00000000-0005-0000-0000-00000A010000}"/>
    <cellStyle name="Datum, Uhrzeit 2" xfId="287" xr:uid="{00000000-0005-0000-0000-00000B010000}"/>
    <cellStyle name="Datum, Uhrzeit 2 2" xfId="434" xr:uid="{00000000-0005-0000-0000-00000C010000}"/>
    <cellStyle name="Datum, Uhrzeit 3" xfId="433" xr:uid="{00000000-0005-0000-0000-00000D010000}"/>
    <cellStyle name="Datum_Tabelle" xfId="40" xr:uid="{00000000-0005-0000-0000-00000E010000}"/>
    <cellStyle name="DocBox_EmptyRow" xfId="288" xr:uid="{00000000-0005-0000-0000-00000F010000}"/>
    <cellStyle name="Eingabe 2" xfId="289" xr:uid="{00000000-0005-0000-0000-000010010000}"/>
    <cellStyle name="Eingabe 3" xfId="290" xr:uid="{00000000-0005-0000-0000-000011010000}"/>
    <cellStyle name="Eingabe 4" xfId="291" xr:uid="{00000000-0005-0000-0000-000012010000}"/>
    <cellStyle name="Eingabe 5" xfId="292" xr:uid="{00000000-0005-0000-0000-000013010000}"/>
    <cellStyle name="Eingabe 6" xfId="293" xr:uid="{00000000-0005-0000-0000-000014010000}"/>
    <cellStyle name="Eingabe 7" xfId="294" xr:uid="{00000000-0005-0000-0000-000015010000}"/>
    <cellStyle name="Empty_B_border" xfId="295" xr:uid="{00000000-0005-0000-0000-000016010000}"/>
    <cellStyle name="Ergebnis 2" xfId="296" xr:uid="{00000000-0005-0000-0000-000017010000}"/>
    <cellStyle name="Ergebnis 3" xfId="297" xr:uid="{00000000-0005-0000-0000-000018010000}"/>
    <cellStyle name="Ergebnis 4" xfId="298" xr:uid="{00000000-0005-0000-0000-000019010000}"/>
    <cellStyle name="Ergebnis 5" xfId="299" xr:uid="{00000000-0005-0000-0000-00001A010000}"/>
    <cellStyle name="Ergebnis 6" xfId="300" xr:uid="{00000000-0005-0000-0000-00001B010000}"/>
    <cellStyle name="Ergebnis 7" xfId="301" xr:uid="{00000000-0005-0000-0000-00001C010000}"/>
    <cellStyle name="Erklärender Text 2" xfId="302" xr:uid="{00000000-0005-0000-0000-00001D010000}"/>
    <cellStyle name="Erklärender Text 3" xfId="303" xr:uid="{00000000-0005-0000-0000-00001E010000}"/>
    <cellStyle name="Erklärender Text 4" xfId="304" xr:uid="{00000000-0005-0000-0000-00001F010000}"/>
    <cellStyle name="Erklärender Text 5" xfId="305" xr:uid="{00000000-0005-0000-0000-000020010000}"/>
    <cellStyle name="Erklärender Text 6" xfId="306" xr:uid="{00000000-0005-0000-0000-000021010000}"/>
    <cellStyle name="Erklärender Text 7" xfId="307" xr:uid="{00000000-0005-0000-0000-000022010000}"/>
    <cellStyle name="Euro" xfId="41" xr:uid="{00000000-0005-0000-0000-000023010000}"/>
    <cellStyle name="Euro 2" xfId="308" xr:uid="{00000000-0005-0000-0000-000024010000}"/>
    <cellStyle name="Euro 2 2" xfId="436" xr:uid="{00000000-0005-0000-0000-000025010000}"/>
    <cellStyle name="Euro 3" xfId="435" xr:uid="{00000000-0005-0000-0000-000026010000}"/>
    <cellStyle name="Fuss" xfId="42" xr:uid="{00000000-0005-0000-0000-000027010000}"/>
    <cellStyle name="Fuss 2" xfId="91" xr:uid="{00000000-0005-0000-0000-000028010000}"/>
    <cellStyle name="Gut 2" xfId="309" xr:uid="{00000000-0005-0000-0000-000029010000}"/>
    <cellStyle name="Gut 3" xfId="310" xr:uid="{00000000-0005-0000-0000-00002A010000}"/>
    <cellStyle name="Gut 4" xfId="311" xr:uid="{00000000-0005-0000-0000-00002B010000}"/>
    <cellStyle name="Gut 5" xfId="312" xr:uid="{00000000-0005-0000-0000-00002C010000}"/>
    <cellStyle name="Gut 6" xfId="313" xr:uid="{00000000-0005-0000-0000-00002D010000}"/>
    <cellStyle name="Gut 7" xfId="314" xr:uid="{00000000-0005-0000-0000-00002E010000}"/>
    <cellStyle name="Headline" xfId="43" xr:uid="{00000000-0005-0000-0000-00002F010000}"/>
    <cellStyle name="InputCells" xfId="45" xr:uid="{00000000-0005-0000-0000-000031010000}"/>
    <cellStyle name="InputCells12" xfId="315" xr:uid="{00000000-0005-0000-0000-000032010000}"/>
    <cellStyle name="IntCells" xfId="316" xr:uid="{00000000-0005-0000-0000-000033010000}"/>
    <cellStyle name="interpoliert" xfId="46" xr:uid="{00000000-0005-0000-0000-000034010000}"/>
    <cellStyle name="Komma 2" xfId="317" xr:uid="{00000000-0005-0000-0000-000035010000}"/>
    <cellStyle name="Komma 2 2" xfId="437" xr:uid="{00000000-0005-0000-0000-000036010000}"/>
    <cellStyle name="Link" xfId="44" builtinId="8"/>
    <cellStyle name="mitP" xfId="47" xr:uid="{00000000-0005-0000-0000-000037010000}"/>
    <cellStyle name="Navadno_CRFReport-template" xfId="318" xr:uid="{00000000-0005-0000-0000-000038010000}"/>
    <cellStyle name="Neutral 2" xfId="319" xr:uid="{00000000-0005-0000-0000-000039010000}"/>
    <cellStyle name="Neutral 3" xfId="320" xr:uid="{00000000-0005-0000-0000-00003A010000}"/>
    <cellStyle name="Neutral 4" xfId="321" xr:uid="{00000000-0005-0000-0000-00003B010000}"/>
    <cellStyle name="Neutral 5" xfId="322" xr:uid="{00000000-0005-0000-0000-00003C010000}"/>
    <cellStyle name="Neutral 6" xfId="323" xr:uid="{00000000-0005-0000-0000-00003D010000}"/>
    <cellStyle name="Neutral 7" xfId="324" xr:uid="{00000000-0005-0000-0000-00003E010000}"/>
    <cellStyle name="Normaali_CRFReport-template" xfId="325" xr:uid="{00000000-0005-0000-0000-00003F010000}"/>
    <cellStyle name="Normaallaad_CRFReport-template" xfId="326" xr:uid="{00000000-0005-0000-0000-000040010000}"/>
    <cellStyle name="Normal 2" xfId="327" xr:uid="{00000000-0005-0000-0000-000041010000}"/>
    <cellStyle name="Normal 2 2" xfId="438" xr:uid="{00000000-0005-0000-0000-000042010000}"/>
    <cellStyle name="Normal GHG Numbers (0.00)" xfId="48" xr:uid="{00000000-0005-0000-0000-000043010000}"/>
    <cellStyle name="Normal GHG Textfiels Bold" xfId="49" xr:uid="{00000000-0005-0000-0000-000044010000}"/>
    <cellStyle name="Normal GHG whole table" xfId="50" xr:uid="{00000000-0005-0000-0000-000045010000}"/>
    <cellStyle name="Normal GHG-Shade" xfId="51" xr:uid="{00000000-0005-0000-0000-000046010000}"/>
    <cellStyle name="Normal GHG-Shade 2" xfId="92" xr:uid="{00000000-0005-0000-0000-000047010000}"/>
    <cellStyle name="Normal GHG-Shade 2 2" xfId="440" xr:uid="{00000000-0005-0000-0000-000048010000}"/>
    <cellStyle name="Normal GHG-Shade 2 3" xfId="328" xr:uid="{00000000-0005-0000-0000-000049010000}"/>
    <cellStyle name="Normal GHG-Shade 3" xfId="439" xr:uid="{00000000-0005-0000-0000-00004A010000}"/>
    <cellStyle name="Normal_AppendixAU" xfId="59" xr:uid="{00000000-0005-0000-0000-00004B010000}"/>
    <cellStyle name="Normál_CRFReport-template" xfId="329" xr:uid="{00000000-0005-0000-0000-00004C010000}"/>
    <cellStyle name="Normal_harmonisation" xfId="330" xr:uid="{00000000-0005-0000-0000-00004D010000}"/>
    <cellStyle name="Normale_CRFReport-template" xfId="331" xr:uid="{00000000-0005-0000-0000-00004E010000}"/>
    <cellStyle name="normálne_CRFReport-template" xfId="332" xr:uid="{00000000-0005-0000-0000-00004F010000}"/>
    <cellStyle name="normální_CRFReport-template" xfId="333" xr:uid="{00000000-0005-0000-0000-000050010000}"/>
    <cellStyle name="Normalny_CRFReport-template" xfId="334" xr:uid="{00000000-0005-0000-0000-000051010000}"/>
    <cellStyle name="Notiz 2" xfId="335" xr:uid="{00000000-0005-0000-0000-000052010000}"/>
    <cellStyle name="Notiz 2 2" xfId="441" xr:uid="{00000000-0005-0000-0000-000053010000}"/>
    <cellStyle name="Notiz 3" xfId="336" xr:uid="{00000000-0005-0000-0000-000054010000}"/>
    <cellStyle name="Notiz 3 2" xfId="442" xr:uid="{00000000-0005-0000-0000-000055010000}"/>
    <cellStyle name="Notiz 4" xfId="337" xr:uid="{00000000-0005-0000-0000-000056010000}"/>
    <cellStyle name="Notiz 4 2" xfId="443" xr:uid="{00000000-0005-0000-0000-000057010000}"/>
    <cellStyle name="Notiz 5" xfId="338" xr:uid="{00000000-0005-0000-0000-000058010000}"/>
    <cellStyle name="Notiz 5 2" xfId="444" xr:uid="{00000000-0005-0000-0000-000059010000}"/>
    <cellStyle name="Notiz 6" xfId="339" xr:uid="{00000000-0005-0000-0000-00005A010000}"/>
    <cellStyle name="Notiz 6 2" xfId="445" xr:uid="{00000000-0005-0000-0000-00005B010000}"/>
    <cellStyle name="Notiz 7" xfId="340" xr:uid="{00000000-0005-0000-0000-00005C010000}"/>
    <cellStyle name="Notiz 7 2" xfId="446" xr:uid="{00000000-0005-0000-0000-00005D010000}"/>
    <cellStyle name="ohneP" xfId="52" xr:uid="{00000000-0005-0000-0000-00005E010000}"/>
    <cellStyle name="Parameterfeld" xfId="53" xr:uid="{00000000-0005-0000-0000-00005F010000}"/>
    <cellStyle name="Pattern" xfId="54" xr:uid="{00000000-0005-0000-0000-000060010000}"/>
    <cellStyle name="Prozent" xfId="95" builtinId="5"/>
    <cellStyle name="Prozent 2" xfId="61" xr:uid="{00000000-0005-0000-0000-000062010000}"/>
    <cellStyle name="Prozent 2 2" xfId="447" xr:uid="{00000000-0005-0000-0000-000063010000}"/>
    <cellStyle name="Prozent 3" xfId="64" xr:uid="{00000000-0005-0000-0000-000064010000}"/>
    <cellStyle name="Prozent 3 2" xfId="94" xr:uid="{00000000-0005-0000-0000-000065010000}"/>
    <cellStyle name="Prozent 3 2 2" xfId="448" xr:uid="{00000000-0005-0000-0000-000066010000}"/>
    <cellStyle name="Prozent 3 2 3" xfId="471" xr:uid="{00000000-0005-0000-0000-000067010000}"/>
    <cellStyle name="Prozent 3 3" xfId="342" xr:uid="{00000000-0005-0000-0000-000068010000}"/>
    <cellStyle name="Prozent 3 4" xfId="469" xr:uid="{00000000-0005-0000-0000-000069010000}"/>
    <cellStyle name="Prozent 4" xfId="423" xr:uid="{00000000-0005-0000-0000-00006A010000}"/>
    <cellStyle name="Prozent 4 2" xfId="466" xr:uid="{00000000-0005-0000-0000-00006B010000}"/>
    <cellStyle name="Prozent 4 3" xfId="472" xr:uid="{00000000-0005-0000-0000-00006C010000}"/>
    <cellStyle name="Schlecht 2" xfId="343" xr:uid="{00000000-0005-0000-0000-00006D010000}"/>
    <cellStyle name="Schlecht 3" xfId="344" xr:uid="{00000000-0005-0000-0000-00006E010000}"/>
    <cellStyle name="Schlecht 4" xfId="345" xr:uid="{00000000-0005-0000-0000-00006F010000}"/>
    <cellStyle name="Schlecht 5" xfId="346" xr:uid="{00000000-0005-0000-0000-000070010000}"/>
    <cellStyle name="Schlecht 6" xfId="347" xr:uid="{00000000-0005-0000-0000-000071010000}"/>
    <cellStyle name="Schlecht 7" xfId="348" xr:uid="{00000000-0005-0000-0000-000072010000}"/>
    <cellStyle name="Shade" xfId="349" xr:uid="{00000000-0005-0000-0000-000073010000}"/>
    <cellStyle name="Standard" xfId="0" builtinId="0"/>
    <cellStyle name="Standard 10" xfId="350" xr:uid="{00000000-0005-0000-0000-000075010000}"/>
    <cellStyle name="Standard 11" xfId="62" xr:uid="{00000000-0005-0000-0000-000076010000}"/>
    <cellStyle name="Standard 11 2" xfId="449" xr:uid="{00000000-0005-0000-0000-000077010000}"/>
    <cellStyle name="Standard 11 3" xfId="351" xr:uid="{00000000-0005-0000-0000-000078010000}"/>
    <cellStyle name="Standard 12" xfId="65" xr:uid="{00000000-0005-0000-0000-000079010000}"/>
    <cellStyle name="Standard 12 2" xfId="467" xr:uid="{00000000-0005-0000-0000-00007A010000}"/>
    <cellStyle name="Standard 12 3" xfId="424" xr:uid="{00000000-0005-0000-0000-00007B010000}"/>
    <cellStyle name="Standard 13" xfId="96" xr:uid="{00000000-0005-0000-0000-00007C010000}"/>
    <cellStyle name="Standard 14" xfId="401" xr:uid="{00000000-0005-0000-0000-00007D010000}"/>
    <cellStyle name="Standard 15" xfId="473" xr:uid="{00000000-0005-0000-0000-00007E010000}"/>
    <cellStyle name="Standard 16" xfId="480" xr:uid="{00000000-0005-0000-0000-00007F010000}"/>
    <cellStyle name="Standard 17" xfId="481" xr:uid="{7DCC9F0F-AC28-48BF-AC04-8B7D0E812B98}"/>
    <cellStyle name="Standard 2" xfId="58" xr:uid="{00000000-0005-0000-0000-000080010000}"/>
    <cellStyle name="Standard 2 2" xfId="353" xr:uid="{00000000-0005-0000-0000-000081010000}"/>
    <cellStyle name="Standard 2 2 2" xfId="451" xr:uid="{00000000-0005-0000-0000-000082010000}"/>
    <cellStyle name="Standard 2 3" xfId="354" xr:uid="{00000000-0005-0000-0000-000083010000}"/>
    <cellStyle name="Standard 2 3 2" xfId="452" xr:uid="{00000000-0005-0000-0000-000084010000}"/>
    <cellStyle name="Standard 2 4" xfId="355" xr:uid="{00000000-0005-0000-0000-000085010000}"/>
    <cellStyle name="Standard 2 4 2" xfId="453" xr:uid="{00000000-0005-0000-0000-000086010000}"/>
    <cellStyle name="Standard 2 5" xfId="356" xr:uid="{00000000-0005-0000-0000-000087010000}"/>
    <cellStyle name="Standard 2 5 2" xfId="454" xr:uid="{00000000-0005-0000-0000-000088010000}"/>
    <cellStyle name="Standard 2 6" xfId="357" xr:uid="{00000000-0005-0000-0000-000089010000}"/>
    <cellStyle name="Standard 2 6 2" xfId="455" xr:uid="{00000000-0005-0000-0000-00008A010000}"/>
    <cellStyle name="Standard 2 7" xfId="450" xr:uid="{00000000-0005-0000-0000-00008B010000}"/>
    <cellStyle name="Standard 2 8" xfId="352" xr:uid="{00000000-0005-0000-0000-00008C010000}"/>
    <cellStyle name="Standard 3" xfId="60" xr:uid="{00000000-0005-0000-0000-00008D010000}"/>
    <cellStyle name="Standard 3 2" xfId="456" xr:uid="{00000000-0005-0000-0000-00008E010000}"/>
    <cellStyle name="Standard 3 3" xfId="358" xr:uid="{00000000-0005-0000-0000-00008F010000}"/>
    <cellStyle name="Standard 4" xfId="63" xr:uid="{00000000-0005-0000-0000-000090010000}"/>
    <cellStyle name="Standard 4 2" xfId="93" xr:uid="{00000000-0005-0000-0000-000091010000}"/>
    <cellStyle name="Standard 4 2 2" xfId="457" xr:uid="{00000000-0005-0000-0000-000092010000}"/>
    <cellStyle name="Standard 4 2 3" xfId="470" xr:uid="{00000000-0005-0000-0000-000093010000}"/>
    <cellStyle name="Standard 4 3" xfId="359" xr:uid="{00000000-0005-0000-0000-000094010000}"/>
    <cellStyle name="Standard 4 4" xfId="468" xr:uid="{00000000-0005-0000-0000-000095010000}"/>
    <cellStyle name="Standard 5" xfId="66" xr:uid="{00000000-0005-0000-0000-000096010000}"/>
    <cellStyle name="Standard 5 2" xfId="458" xr:uid="{00000000-0005-0000-0000-000097010000}"/>
    <cellStyle name="Standard 5 3" xfId="360" xr:uid="{00000000-0005-0000-0000-000098010000}"/>
    <cellStyle name="Standard 6" xfId="361" xr:uid="{00000000-0005-0000-0000-000099010000}"/>
    <cellStyle name="Standard 6 2" xfId="459" xr:uid="{00000000-0005-0000-0000-00009A010000}"/>
    <cellStyle name="Standard 6 3" xfId="341" xr:uid="{00000000-0005-0000-0000-00009B010000}"/>
    <cellStyle name="Standard 7" xfId="362" xr:uid="{00000000-0005-0000-0000-00009C010000}"/>
    <cellStyle name="Standard 7 2" xfId="460" xr:uid="{00000000-0005-0000-0000-00009D010000}"/>
    <cellStyle name="Standard 8" xfId="363" xr:uid="{00000000-0005-0000-0000-00009E010000}"/>
    <cellStyle name="Standard 8 2" xfId="461" xr:uid="{00000000-0005-0000-0000-00009F010000}"/>
    <cellStyle name="Standard 9" xfId="364" xr:uid="{00000000-0005-0000-0000-0000A0010000}"/>
    <cellStyle name="Standard_NIR 2007 - Analyse 1A1a" xfId="55" xr:uid="{00000000-0005-0000-0000-0000A1010000}"/>
    <cellStyle name="Standard_PSz IV - Ist-Daten MI1b" xfId="56" xr:uid="{00000000-0005-0000-0000-0000A2010000}"/>
    <cellStyle name="Style 21" xfId="365" xr:uid="{00000000-0005-0000-0000-0000A3010000}"/>
    <cellStyle name="Style 21 2" xfId="462" xr:uid="{00000000-0005-0000-0000-0000A4010000}"/>
    <cellStyle name="Style 22" xfId="366" xr:uid="{00000000-0005-0000-0000-0000A5010000}"/>
    <cellStyle name="Style 23" xfId="367" xr:uid="{00000000-0005-0000-0000-0000A6010000}"/>
    <cellStyle name="Style 24" xfId="368" xr:uid="{00000000-0005-0000-0000-0000A7010000}"/>
    <cellStyle name="Style 25" xfId="369" xr:uid="{00000000-0005-0000-0000-0000A8010000}"/>
    <cellStyle name="Style 25 2" xfId="463" xr:uid="{00000000-0005-0000-0000-0000A9010000}"/>
    <cellStyle name="Style 26" xfId="370" xr:uid="{00000000-0005-0000-0000-0000AA010000}"/>
    <cellStyle name="Überschrift 1 2" xfId="371" xr:uid="{00000000-0005-0000-0000-0000AB010000}"/>
    <cellStyle name="Überschrift 1 3" xfId="372" xr:uid="{00000000-0005-0000-0000-0000AC010000}"/>
    <cellStyle name="Überschrift 1 4" xfId="373" xr:uid="{00000000-0005-0000-0000-0000AD010000}"/>
    <cellStyle name="Überschrift 1 5" xfId="374" xr:uid="{00000000-0005-0000-0000-0000AE010000}"/>
    <cellStyle name="Überschrift 1 6" xfId="375" xr:uid="{00000000-0005-0000-0000-0000AF010000}"/>
    <cellStyle name="Überschrift 1 7" xfId="376" xr:uid="{00000000-0005-0000-0000-0000B0010000}"/>
    <cellStyle name="Überschrift 10" xfId="377" xr:uid="{00000000-0005-0000-0000-0000B1010000}"/>
    <cellStyle name="Überschrift 2 2" xfId="378" xr:uid="{00000000-0005-0000-0000-0000B2010000}"/>
    <cellStyle name="Überschrift 2 3" xfId="379" xr:uid="{00000000-0005-0000-0000-0000B3010000}"/>
    <cellStyle name="Überschrift 2 4" xfId="380" xr:uid="{00000000-0005-0000-0000-0000B4010000}"/>
    <cellStyle name="Überschrift 2 5" xfId="381" xr:uid="{00000000-0005-0000-0000-0000B5010000}"/>
    <cellStyle name="Überschrift 2 6" xfId="382" xr:uid="{00000000-0005-0000-0000-0000B6010000}"/>
    <cellStyle name="Überschrift 2 7" xfId="383" xr:uid="{00000000-0005-0000-0000-0000B7010000}"/>
    <cellStyle name="Überschrift 3 2" xfId="384" xr:uid="{00000000-0005-0000-0000-0000B8010000}"/>
    <cellStyle name="Überschrift 3 3" xfId="385" xr:uid="{00000000-0005-0000-0000-0000B9010000}"/>
    <cellStyle name="Überschrift 3 4" xfId="386" xr:uid="{00000000-0005-0000-0000-0000BA010000}"/>
    <cellStyle name="Überschrift 3 5" xfId="387" xr:uid="{00000000-0005-0000-0000-0000BB010000}"/>
    <cellStyle name="Überschrift 3 6" xfId="388" xr:uid="{00000000-0005-0000-0000-0000BC010000}"/>
    <cellStyle name="Überschrift 3 7" xfId="389" xr:uid="{00000000-0005-0000-0000-0000BD010000}"/>
    <cellStyle name="Überschrift 4 2" xfId="390" xr:uid="{00000000-0005-0000-0000-0000BE010000}"/>
    <cellStyle name="Überschrift 4 3" xfId="391" xr:uid="{00000000-0005-0000-0000-0000BF010000}"/>
    <cellStyle name="Überschrift 4 4" xfId="392" xr:uid="{00000000-0005-0000-0000-0000C0010000}"/>
    <cellStyle name="Überschrift 4 5" xfId="393" xr:uid="{00000000-0005-0000-0000-0000C1010000}"/>
    <cellStyle name="Überschrift 4 6" xfId="394" xr:uid="{00000000-0005-0000-0000-0000C2010000}"/>
    <cellStyle name="Überschrift 4 7" xfId="395" xr:uid="{00000000-0005-0000-0000-0000C3010000}"/>
    <cellStyle name="Überschrift 5" xfId="396" xr:uid="{00000000-0005-0000-0000-0000C4010000}"/>
    <cellStyle name="Überschrift 6" xfId="397" xr:uid="{00000000-0005-0000-0000-0000C5010000}"/>
    <cellStyle name="Überschrift 7" xfId="398" xr:uid="{00000000-0005-0000-0000-0000C6010000}"/>
    <cellStyle name="Überschrift 8" xfId="399" xr:uid="{00000000-0005-0000-0000-0000C7010000}"/>
    <cellStyle name="Überschrift 9" xfId="400" xr:uid="{00000000-0005-0000-0000-0000C8010000}"/>
    <cellStyle name="Uhrzeit" xfId="57" xr:uid="{00000000-0005-0000-0000-0000C9010000}"/>
    <cellStyle name="Uhrzeit 2" xfId="402" xr:uid="{00000000-0005-0000-0000-0000CA010000}"/>
    <cellStyle name="Uhrzeit 2 2" xfId="465" xr:uid="{00000000-0005-0000-0000-0000CB010000}"/>
    <cellStyle name="Uhrzeit 3" xfId="464" xr:uid="{00000000-0005-0000-0000-0000CC010000}"/>
    <cellStyle name="Verknüpfte Zelle 2" xfId="403" xr:uid="{00000000-0005-0000-0000-0000CD010000}"/>
    <cellStyle name="Verknüpfte Zelle 3" xfId="404" xr:uid="{00000000-0005-0000-0000-0000CE010000}"/>
    <cellStyle name="Verknüpfte Zelle 4" xfId="405" xr:uid="{00000000-0005-0000-0000-0000CF010000}"/>
    <cellStyle name="Verknüpfte Zelle 5" xfId="406" xr:uid="{00000000-0005-0000-0000-0000D0010000}"/>
    <cellStyle name="Verknüpfte Zelle 6" xfId="407" xr:uid="{00000000-0005-0000-0000-0000D1010000}"/>
    <cellStyle name="Verknüpfte Zelle 7" xfId="408" xr:uid="{00000000-0005-0000-0000-0000D2010000}"/>
    <cellStyle name="Warnender Text 2" xfId="409" xr:uid="{00000000-0005-0000-0000-0000D3010000}"/>
    <cellStyle name="Warnender Text 3" xfId="410" xr:uid="{00000000-0005-0000-0000-0000D4010000}"/>
    <cellStyle name="Warnender Text 4" xfId="411" xr:uid="{00000000-0005-0000-0000-0000D5010000}"/>
    <cellStyle name="Warnender Text 5" xfId="412" xr:uid="{00000000-0005-0000-0000-0000D6010000}"/>
    <cellStyle name="Warnender Text 6" xfId="413" xr:uid="{00000000-0005-0000-0000-0000D7010000}"/>
    <cellStyle name="Warnender Text 7" xfId="414" xr:uid="{00000000-0005-0000-0000-0000D8010000}"/>
    <cellStyle name="Zelle überprüfen 2" xfId="415" xr:uid="{00000000-0005-0000-0000-0000D9010000}"/>
    <cellStyle name="Zelle überprüfen 3" xfId="416" xr:uid="{00000000-0005-0000-0000-0000DA010000}"/>
    <cellStyle name="Zelle überprüfen 4" xfId="417" xr:uid="{00000000-0005-0000-0000-0000DB010000}"/>
    <cellStyle name="Zelle überprüfen 5" xfId="418" xr:uid="{00000000-0005-0000-0000-0000DC010000}"/>
    <cellStyle name="Zelle überprüfen 6" xfId="419" xr:uid="{00000000-0005-0000-0000-0000DD010000}"/>
    <cellStyle name="Zelle überprüfen 7" xfId="420" xr:uid="{00000000-0005-0000-0000-0000DE010000}"/>
    <cellStyle name="Гиперссылка" xfId="421" xr:uid="{00000000-0005-0000-0000-0000DF010000}"/>
    <cellStyle name="Обычный_2++" xfId="422" xr:uid="{00000000-0005-0000-0000-0000E0010000}"/>
  </cellStyles>
  <dxfs count="270">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bgColor rgb="FFC6EFCE"/>
        </patternFill>
      </fill>
    </dxf>
    <dxf>
      <font>
        <color rgb="FF9C6500"/>
      </font>
      <fill>
        <patternFill>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9C6500"/>
      </font>
      <fill>
        <patternFill>
          <fgColor indexed="64"/>
          <bgColor rgb="FFFFEB9C"/>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FF66"/>
        </patternFill>
      </fill>
      <border>
        <left style="thin">
          <color rgb="FFFF0000"/>
        </left>
        <right style="thin">
          <color rgb="FFFF0000"/>
        </right>
        <top style="thin">
          <color rgb="FFFF0000"/>
        </top>
        <bottom style="thin">
          <color rgb="FFFF0000"/>
        </bottom>
        <vertical/>
        <horizontal/>
      </border>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006100"/>
      </font>
      <fill>
        <patternFill>
          <fgColor indexed="64"/>
          <bgColor rgb="FFC6EFCE"/>
        </patternFill>
      </fill>
    </dxf>
    <dxf>
      <font>
        <color rgb="FF006100"/>
      </font>
      <fill>
        <patternFill>
          <fgColor indexed="64"/>
          <bgColor rgb="FFC6EFCE"/>
        </patternFill>
      </fill>
    </dxf>
    <dxf>
      <font>
        <color rgb="FF9C6500"/>
      </font>
      <fill>
        <patternFill>
          <fgColor indexed="64"/>
          <bgColor rgb="FFFFEB9C"/>
        </patternFill>
      </fill>
    </dxf>
    <dxf>
      <font>
        <color rgb="FF9C0006"/>
      </font>
    </dxf>
    <dxf>
      <font>
        <color rgb="FF9C0006"/>
      </font>
    </dxf>
    <dxf>
      <font>
        <color rgb="FF9C0006"/>
      </font>
    </dxf>
    <dxf>
      <font>
        <color rgb="FF9C0006"/>
      </font>
    </dxf>
    <dxf>
      <font>
        <color rgb="FF9C0006"/>
      </font>
      <fill>
        <patternFill>
          <bgColor rgb="FFFFC7CE"/>
        </patternFill>
      </fill>
    </dxf>
    <dxf>
      <font>
        <color rgb="FF006100"/>
      </font>
      <fill>
        <patternFill>
          <bgColor rgb="FFC6EF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006100"/>
      </font>
      <fill>
        <patternFill>
          <bgColor rgb="FFC6EFCE"/>
        </patternFill>
      </fill>
    </dxf>
    <dxf>
      <font>
        <color rgb="FF9C0006"/>
      </font>
    </dxf>
    <dxf>
      <font>
        <color rgb="FF9C0006"/>
      </font>
    </dxf>
    <dxf>
      <font>
        <color rgb="FF9C0006"/>
      </font>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ABAB"/>
      <color rgb="FFCCFF99"/>
      <color rgb="FF9EA8CC"/>
      <color rgb="FFCCFFFF"/>
      <color rgb="FFFFD744"/>
      <color rgb="FF8393BE"/>
      <color rgb="FFCCFF33"/>
      <color rgb="FF48A8AE"/>
      <color rgb="FF1E83B3"/>
      <color rgb="FF4678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latin typeface="Arial" pitchFamily="34" charset="0"/>
                <a:cs typeface="Arial" pitchFamily="34" charset="0"/>
              </a:defRPr>
            </a:pPr>
            <a:r>
              <a:rPr lang="de-DE" sz="1400">
                <a:latin typeface="Arial" pitchFamily="34" charset="0"/>
                <a:cs typeface="Arial" pitchFamily="34" charset="0"/>
              </a:rPr>
              <a:t>Entwicklung der</a:t>
            </a:r>
          </a:p>
          <a:p>
            <a:pPr algn="l">
              <a:defRPr sz="1400">
                <a:latin typeface="Arial" pitchFamily="34" charset="0"/>
                <a:cs typeface="Arial" pitchFamily="34" charset="0"/>
              </a:defRPr>
            </a:pPr>
            <a:r>
              <a:rPr lang="de-DE" sz="1400">
                <a:latin typeface="Arial" pitchFamily="34" charset="0"/>
                <a:cs typeface="Arial" pitchFamily="34" charset="0"/>
              </a:rPr>
              <a:t>EEG-Umlage</a:t>
            </a:r>
          </a:p>
        </c:rich>
      </c:tx>
      <c:layout>
        <c:manualLayout>
          <c:xMode val="edge"/>
          <c:yMode val="edge"/>
          <c:x val="0.10110475002475836"/>
          <c:y val="5.398074654600829E-2"/>
        </c:manualLayout>
      </c:layout>
      <c:overlay val="1"/>
      <c:spPr>
        <a:solidFill>
          <a:schemeClr val="bg1"/>
        </a:solidFill>
      </c:spPr>
    </c:title>
    <c:autoTitleDeleted val="0"/>
    <c:plotArea>
      <c:layout>
        <c:manualLayout>
          <c:layoutTarget val="inner"/>
          <c:xMode val="edge"/>
          <c:yMode val="edge"/>
          <c:x val="9.1045430353048865E-2"/>
          <c:y val="4.2086647811172669E-2"/>
          <c:w val="0.53804238010145411"/>
          <c:h val="0.87445371667596183"/>
        </c:manualLayout>
      </c:layout>
      <c:barChart>
        <c:barDir val="col"/>
        <c:grouping val="stacked"/>
        <c:varyColors val="0"/>
        <c:ser>
          <c:idx val="7"/>
          <c:order val="0"/>
          <c:tx>
            <c:strRef>
              <c:f>'GrD-Grafikdaten'!$E$124</c:f>
              <c:strCache>
                <c:ptCount val="1"/>
                <c:pt idx="0">
                  <c:v>Einnahmen der Anlagenbetreiber gemäß Vergütungssatz (Baujahr &lt; 2015)</c:v>
                </c:pt>
              </c:strCache>
            </c:strRef>
          </c:tx>
          <c:spPr>
            <a:solidFill>
              <a:schemeClr val="accent2"/>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'GrD-Grafikdaten'!$F$124:$AE$124</c:f>
              <c:numCache>
                <c:formatCode>0.00</c:formatCode>
                <c:ptCount val="26"/>
                <c:pt idx="0">
                  <c:v>3.149123966277187</c:v>
                </c:pt>
                <c:pt idx="1">
                  <c:v>4.1888003025421927</c:v>
                </c:pt>
                <c:pt idx="2">
                  <c:v>4.8064331813660583</c:v>
                </c:pt>
                <c:pt idx="3">
                  <c:v>5.8986442334188212</c:v>
                </c:pt>
                <c:pt idx="4">
                  <c:v>6.6832122779814043</c:v>
                </c:pt>
                <c:pt idx="5">
                  <c:v>7.1886572360120375</c:v>
                </c:pt>
                <c:pt idx="6">
                  <c:v>7.0956148314624299</c:v>
                </c:pt>
                <c:pt idx="7">
                  <c:v>7.0727015380925158</c:v>
                </c:pt>
                <c:pt idx="8">
                  <c:v>7.0900492955319212</c:v>
                </c:pt>
                <c:pt idx="9">
                  <c:v>6.982070043724252</c:v>
                </c:pt>
                <c:pt idx="10">
                  <c:v>6.7765276396295775</c:v>
                </c:pt>
                <c:pt idx="11">
                  <c:v>6.8791381271699699</c:v>
                </c:pt>
                <c:pt idx="12">
                  <c:v>6.491299663111799</c:v>
                </c:pt>
                <c:pt idx="13">
                  <c:v>6.6854333715399257</c:v>
                </c:pt>
                <c:pt idx="14">
                  <c:v>6.5588111570529515</c:v>
                </c:pt>
                <c:pt idx="15">
                  <c:v>6.2532151204352653</c:v>
                </c:pt>
                <c:pt idx="16">
                  <c:v>5.7930294479314277</c:v>
                </c:pt>
                <c:pt idx="17">
                  <c:v>4.9951146295649052</c:v>
                </c:pt>
                <c:pt idx="18">
                  <c:v>4.2774943765331415</c:v>
                </c:pt>
                <c:pt idx="19">
                  <c:v>3.6910580474417412</c:v>
                </c:pt>
                <c:pt idx="20">
                  <c:v>2.8698715992281612</c:v>
                </c:pt>
                <c:pt idx="21">
                  <c:v>1.9143659315083248</c:v>
                </c:pt>
                <c:pt idx="22">
                  <c:v>1.0321088040453661</c:v>
                </c:pt>
                <c:pt idx="23">
                  <c:v>0.53450170606656722</c:v>
                </c:pt>
                <c:pt idx="24">
                  <c:v>0.32419530073947944</c:v>
                </c:pt>
                <c:pt idx="25">
                  <c:v>0.15705668476905912</c:v>
                </c:pt>
              </c:numCache>
            </c:numRef>
          </c:val>
          <c:extLst>
            <c:ext xmlns:c16="http://schemas.microsoft.com/office/drawing/2014/chart" uri="{C3380CC4-5D6E-409C-BE32-E72D297353CC}">
              <c16:uniqueId val="{00000000-9554-4458-B1A8-848D3B5E18A5}"/>
            </c:ext>
          </c:extLst>
        </c:ser>
        <c:ser>
          <c:idx val="2"/>
          <c:order val="1"/>
          <c:tx>
            <c:strRef>
              <c:f>'GrD-Grafikdaten'!$E$118</c:f>
              <c:strCache>
                <c:ptCount val="1"/>
                <c:pt idx="0">
                  <c:v>Einnahmen der Anlagenbetreiber gemäß Vergütungssatz (Baujahr &gt; 2014)</c:v>
                </c:pt>
              </c:strCache>
            </c:strRef>
          </c:tx>
          <c:spPr>
            <a:solidFill>
              <a:srgbClr val="00C1C9"/>
            </a:solidFill>
          </c:spPr>
          <c:invertIfNegative val="0"/>
          <c:dPt>
            <c:idx val="0"/>
            <c:invertIfNegative val="0"/>
            <c:bubble3D val="0"/>
            <c:extLst>
              <c:ext xmlns:c16="http://schemas.microsoft.com/office/drawing/2014/chart" uri="{C3380CC4-5D6E-409C-BE32-E72D297353CC}">
                <c16:uniqueId val="{00000001-9554-4458-B1A8-848D3B5E18A5}"/>
              </c:ext>
            </c:extLst>
          </c:dPt>
          <c:dPt>
            <c:idx val="1"/>
            <c:invertIfNegative val="0"/>
            <c:bubble3D val="0"/>
            <c:extLst>
              <c:ext xmlns:c16="http://schemas.microsoft.com/office/drawing/2014/chart" uri="{C3380CC4-5D6E-409C-BE32-E72D297353CC}">
                <c16:uniqueId val="{00000002-9554-4458-B1A8-848D3B5E18A5}"/>
              </c:ext>
            </c:extLst>
          </c:dPt>
          <c:dPt>
            <c:idx val="2"/>
            <c:invertIfNegative val="0"/>
            <c:bubble3D val="0"/>
            <c:extLst>
              <c:ext xmlns:c16="http://schemas.microsoft.com/office/drawing/2014/chart" uri="{C3380CC4-5D6E-409C-BE32-E72D297353CC}">
                <c16:uniqueId val="{00000003-9554-4458-B1A8-848D3B5E18A5}"/>
              </c:ext>
            </c:extLst>
          </c:dPt>
          <c:dPt>
            <c:idx val="3"/>
            <c:invertIfNegative val="0"/>
            <c:bubble3D val="0"/>
            <c:extLst>
              <c:ext xmlns:c16="http://schemas.microsoft.com/office/drawing/2014/chart" uri="{C3380CC4-5D6E-409C-BE32-E72D297353CC}">
                <c16:uniqueId val="{00000004-9554-4458-B1A8-848D3B5E18A5}"/>
              </c:ext>
            </c:extLst>
          </c:dPt>
          <c:dPt>
            <c:idx val="4"/>
            <c:invertIfNegative val="0"/>
            <c:bubble3D val="0"/>
            <c:extLst>
              <c:ext xmlns:c16="http://schemas.microsoft.com/office/drawing/2014/chart" uri="{C3380CC4-5D6E-409C-BE32-E72D297353CC}">
                <c16:uniqueId val="{00000005-9554-4458-B1A8-848D3B5E18A5}"/>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'GrD-Grafikdaten'!$F$118:$AE$118</c:f>
              <c:numCache>
                <c:formatCode>0.00</c:formatCode>
                <c:ptCount val="26"/>
                <c:pt idx="0">
                  <c:v>0</c:v>
                </c:pt>
                <c:pt idx="1">
                  <c:v>0</c:v>
                </c:pt>
                <c:pt idx="2">
                  <c:v>0</c:v>
                </c:pt>
                <c:pt idx="3">
                  <c:v>0</c:v>
                </c:pt>
                <c:pt idx="4">
                  <c:v>0</c:v>
                </c:pt>
                <c:pt idx="5">
                  <c:v>0.34674016946025665</c:v>
                </c:pt>
                <c:pt idx="6">
                  <c:v>0.90519305019850904</c:v>
                </c:pt>
                <c:pt idx="7">
                  <c:v>1.4807367349706839</c:v>
                </c:pt>
                <c:pt idx="8">
                  <c:v>1.9749077089706597</c:v>
                </c:pt>
                <c:pt idx="9">
                  <c:v>2.3677034569835729</c:v>
                </c:pt>
                <c:pt idx="10">
                  <c:v>2.6768361668385245</c:v>
                </c:pt>
                <c:pt idx="11">
                  <c:v>2.9804641048759821</c:v>
                </c:pt>
                <c:pt idx="12">
                  <c:v>3.1533029559337367</c:v>
                </c:pt>
                <c:pt idx="13">
                  <c:v>3.5710484771982873</c:v>
                </c:pt>
                <c:pt idx="14">
                  <c:v>3.7672126822130898</c:v>
                </c:pt>
                <c:pt idx="15">
                  <c:v>4.1168239747561106</c:v>
                </c:pt>
                <c:pt idx="16">
                  <c:v>4.3885721339349075</c:v>
                </c:pt>
                <c:pt idx="17">
                  <c:v>4.153998612926137</c:v>
                </c:pt>
                <c:pt idx="18">
                  <c:v>4.0504469141749402</c:v>
                </c:pt>
                <c:pt idx="19">
                  <c:v>3.9288741526661854</c:v>
                </c:pt>
                <c:pt idx="20">
                  <c:v>3.9069620929635396</c:v>
                </c:pt>
                <c:pt idx="21">
                  <c:v>3.903461373453601</c:v>
                </c:pt>
                <c:pt idx="22">
                  <c:v>3.9028524983731163</c:v>
                </c:pt>
                <c:pt idx="23">
                  <c:v>3.9015181461490531</c:v>
                </c:pt>
                <c:pt idx="24">
                  <c:v>3.8361792650591706</c:v>
                </c:pt>
                <c:pt idx="25">
                  <c:v>3.7870767940382737</c:v>
                </c:pt>
              </c:numCache>
            </c:numRef>
          </c:val>
          <c:extLst>
            <c:ext xmlns:c16="http://schemas.microsoft.com/office/drawing/2014/chart" uri="{C3380CC4-5D6E-409C-BE32-E72D297353CC}">
              <c16:uniqueId val="{00000006-9554-4458-B1A8-848D3B5E18A5}"/>
            </c:ext>
          </c:extLst>
        </c:ser>
        <c:ser>
          <c:idx val="4"/>
          <c:order val="2"/>
          <c:tx>
            <c:strRef>
              <c:f>'GrD-Grafikdaten'!$E$119</c:f>
              <c:strCache>
                <c:ptCount val="1"/>
                <c:pt idx="0">
                  <c:v>Einnahmen aus Vermarktung</c:v>
                </c:pt>
              </c:strCache>
            </c:strRef>
          </c:tx>
          <c:spPr>
            <a:solidFill>
              <a:srgbClr val="00B0F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'GrD-Grafikdaten'!$F$119:$AE$119</c:f>
              <c:numCache>
                <c:formatCode>0.00</c:formatCode>
                <c:ptCount val="26"/>
                <c:pt idx="0">
                  <c:v>-1.1143275278744671</c:v>
                </c:pt>
                <c:pt idx="1">
                  <c:v>-1.1481771217342542</c:v>
                </c:pt>
                <c:pt idx="2">
                  <c:v>-1.4749351709875336</c:v>
                </c:pt>
                <c:pt idx="3">
                  <c:v>-1.6337029152159672</c:v>
                </c:pt>
                <c:pt idx="4">
                  <c:v>-1.4657694443600116</c:v>
                </c:pt>
                <c:pt idx="5">
                  <c:v>-1.4327617618396029</c:v>
                </c:pt>
                <c:pt idx="6">
                  <c:v>-1.409457795327492</c:v>
                </c:pt>
                <c:pt idx="7">
                  <c:v>-1.3269671439911248</c:v>
                </c:pt>
                <c:pt idx="8">
                  <c:v>-1.6102913072213689</c:v>
                </c:pt>
                <c:pt idx="9">
                  <c:v>-2.2003317493481238</c:v>
                </c:pt>
                <c:pt idx="10">
                  <c:v>-2.5394781566597135</c:v>
                </c:pt>
                <c:pt idx="11">
                  <c:v>-2.0923655388120102</c:v>
                </c:pt>
                <c:pt idx="12">
                  <c:v>-3.882747883441668</c:v>
                </c:pt>
                <c:pt idx="13">
                  <c:v>-5.6634552683789519</c:v>
                </c:pt>
                <c:pt idx="14">
                  <c:v>-4.9219952117284622</c:v>
                </c:pt>
                <c:pt idx="15">
                  <c:v>-4.8825158422907089</c:v>
                </c:pt>
                <c:pt idx="16">
                  <c:v>-4.9969386513938971</c:v>
                </c:pt>
                <c:pt idx="17">
                  <c:v>-4.6731781178572636</c:v>
                </c:pt>
                <c:pt idx="18">
                  <c:v>-4.3466376723096225</c:v>
                </c:pt>
                <c:pt idx="19">
                  <c:v>-4.0925240406859116</c:v>
                </c:pt>
                <c:pt idx="20">
                  <c:v>-3.7943182309391652</c:v>
                </c:pt>
                <c:pt idx="21">
                  <c:v>-3.4996264464321594</c:v>
                </c:pt>
                <c:pt idx="22">
                  <c:v>-3.169108338634762</c:v>
                </c:pt>
                <c:pt idx="23">
                  <c:v>-2.927604733859503</c:v>
                </c:pt>
                <c:pt idx="24">
                  <c:v>-2.7205283517379422</c:v>
                </c:pt>
                <c:pt idx="25">
                  <c:v>-2.4766573974023509</c:v>
                </c:pt>
              </c:numCache>
            </c:numRef>
          </c:val>
          <c:extLst>
            <c:ext xmlns:c16="http://schemas.microsoft.com/office/drawing/2014/chart" uri="{C3380CC4-5D6E-409C-BE32-E72D297353CC}">
              <c16:uniqueId val="{00000007-9554-4458-B1A8-848D3B5E18A5}"/>
            </c:ext>
          </c:extLst>
        </c:ser>
        <c:ser>
          <c:idx val="5"/>
          <c:order val="3"/>
          <c:tx>
            <c:strRef>
              <c:f>'GrD-Grafikdaten'!$E$120</c:f>
              <c:strCache>
                <c:ptCount val="1"/>
                <c:pt idx="0">
                  <c:v>Liquiditätsreserve</c:v>
                </c:pt>
              </c:strCache>
            </c:strRef>
          </c:tx>
          <c:spPr>
            <a:solidFill>
              <a:srgbClr val="AD86B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'GrD-Grafikdaten'!$F$120:$AE$120</c:f>
              <c:numCache>
                <c:formatCode>0.00</c:formatCode>
                <c:ptCount val="26"/>
                <c:pt idx="0">
                  <c:v>0</c:v>
                </c:pt>
                <c:pt idx="1">
                  <c:v>0</c:v>
                </c:pt>
                <c:pt idx="2">
                  <c:v>9.9363640268897269E-2</c:v>
                </c:pt>
                <c:pt idx="3">
                  <c:v>0.41882948767683209</c:v>
                </c:pt>
                <c:pt idx="4">
                  <c:v>0.51450044762037139</c:v>
                </c:pt>
                <c:pt idx="5">
                  <c:v>0.59588029975693935</c:v>
                </c:pt>
                <c:pt idx="6">
                  <c:v>0.63917545747264604</c:v>
                </c:pt>
                <c:pt idx="7">
                  <c:v>0.41973237987297907</c:v>
                </c:pt>
                <c:pt idx="8">
                  <c:v>0.43715441640493991</c:v>
                </c:pt>
                <c:pt idx="9">
                  <c:v>0.42091884484027542</c:v>
                </c:pt>
                <c:pt idx="10">
                  <c:v>0.54619830175326833</c:v>
                </c:pt>
                <c:pt idx="11">
                  <c:v>0.76861898320156619</c:v>
                </c:pt>
                <c:pt idx="12">
                  <c:v>0.28324012362832324</c:v>
                </c:pt>
                <c:pt idx="13">
                  <c:v>0.27137385813731224</c:v>
                </c:pt>
                <c:pt idx="14">
                  <c:v>0.31991132938767008</c:v>
                </c:pt>
                <c:pt idx="15">
                  <c:v>0.32502284748188753</c:v>
                </c:pt>
                <c:pt idx="16">
                  <c:v>0.30703325919733476</c:v>
                </c:pt>
                <c:pt idx="17">
                  <c:v>0.26508662572377822</c:v>
                </c:pt>
                <c:pt idx="18">
                  <c:v>0.23584016269154762</c:v>
                </c:pt>
                <c:pt idx="19">
                  <c:v>0.20883734887461067</c:v>
                </c:pt>
                <c:pt idx="20">
                  <c:v>0.17646599069671065</c:v>
                </c:pt>
                <c:pt idx="21">
                  <c:v>0.13698930152597238</c:v>
                </c:pt>
                <c:pt idx="22">
                  <c:v>0.10440782149466275</c:v>
                </c:pt>
                <c:pt idx="23">
                  <c:v>8.9113700777496918E-2</c:v>
                </c:pt>
                <c:pt idx="24">
                  <c:v>8.5140064233752394E-2</c:v>
                </c:pt>
                <c:pt idx="25">
                  <c:v>8.6857413255096716E-2</c:v>
                </c:pt>
              </c:numCache>
            </c:numRef>
          </c:val>
          <c:extLst>
            <c:ext xmlns:c16="http://schemas.microsoft.com/office/drawing/2014/chart" uri="{C3380CC4-5D6E-409C-BE32-E72D297353CC}">
              <c16:uniqueId val="{00000008-9554-4458-B1A8-848D3B5E18A5}"/>
            </c:ext>
          </c:extLst>
        </c:ser>
        <c:ser>
          <c:idx val="6"/>
          <c:order val="4"/>
          <c:tx>
            <c:strRef>
              <c:f>'GrD-Grafikdaten'!$E$121</c:f>
              <c:strCache>
                <c:ptCount val="1"/>
                <c:pt idx="0">
                  <c:v>Kontostand des Vorjahres</c:v>
                </c:pt>
              </c:strCache>
            </c:strRef>
          </c:tx>
          <c:spPr>
            <a:solidFill>
              <a:srgbClr val="8393BE"/>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'GrD-Grafikdaten'!$F$121:$AE$121</c:f>
              <c:numCache>
                <c:formatCode>0.00</c:formatCode>
                <c:ptCount val="26"/>
                <c:pt idx="0">
                  <c:v>0</c:v>
                </c:pt>
                <c:pt idx="1">
                  <c:v>0.27301911687690317</c:v>
                </c:pt>
                <c:pt idx="2">
                  <c:v>0.18051501743452761</c:v>
                </c:pt>
                <c:pt idx="3">
                  <c:v>0.66987563555484619</c:v>
                </c:pt>
                <c:pt idx="4">
                  <c:v>0.580495076175914</c:v>
                </c:pt>
                <c:pt idx="5">
                  <c:v>-0.38511260956194937</c:v>
                </c:pt>
                <c:pt idx="6">
                  <c:v>-0.69266139247521119</c:v>
                </c:pt>
                <c:pt idx="7">
                  <c:v>-0.55504560755227295</c:v>
                </c:pt>
                <c:pt idx="8">
                  <c:v>-0.94425652016355122</c:v>
                </c:pt>
                <c:pt idx="9">
                  <c:v>-1.0296510992816279</c:v>
                </c:pt>
                <c:pt idx="10">
                  <c:v>-0.61556075984894099</c:v>
                </c:pt>
                <c:pt idx="11">
                  <c:v>1.184837164735316</c:v>
                </c:pt>
                <c:pt idx="12">
                  <c:v>-1.2975310154828803</c:v>
                </c:pt>
                <c:pt idx="13">
                  <c:v>-1.6854955075627092</c:v>
                </c:pt>
                <c:pt idx="14">
                  <c:v>-0.27431059377937422</c:v>
                </c:pt>
                <c:pt idx="15">
                  <c:v>-0.32298219897446123</c:v>
                </c:pt>
                <c:pt idx="16">
                  <c:v>-0.32696418981196645</c:v>
                </c:pt>
                <c:pt idx="17">
                  <c:v>-0.28865975341303451</c:v>
                </c:pt>
                <c:pt idx="18">
                  <c:v>-0.25003265451330225</c:v>
                </c:pt>
                <c:pt idx="19">
                  <c:v>-0.22309207236024953</c:v>
                </c:pt>
                <c:pt idx="20">
                  <c:v>-0.19805382500983618</c:v>
                </c:pt>
                <c:pt idx="21">
                  <c:v>-0.1677994760769958</c:v>
                </c:pt>
                <c:pt idx="22">
                  <c:v>-0.1305748827088945</c:v>
                </c:pt>
                <c:pt idx="23">
                  <c:v>-9.9785312558395664E-2</c:v>
                </c:pt>
                <c:pt idx="24">
                  <c:v>-8.5348310332645963E-2</c:v>
                </c:pt>
                <c:pt idx="25">
                  <c:v>-8.1704299509258851E-2</c:v>
                </c:pt>
              </c:numCache>
            </c:numRef>
          </c:val>
          <c:extLst>
            <c:ext xmlns:c16="http://schemas.microsoft.com/office/drawing/2014/chart" uri="{C3380CC4-5D6E-409C-BE32-E72D297353CC}">
              <c16:uniqueId val="{00000009-9554-4458-B1A8-848D3B5E18A5}"/>
            </c:ext>
          </c:extLst>
        </c:ser>
        <c:ser>
          <c:idx val="10"/>
          <c:order val="5"/>
          <c:tx>
            <c:strRef>
              <c:f>'GrD-Grafikdaten'!$E$123</c:f>
              <c:strCache>
                <c:ptCount val="1"/>
                <c:pt idx="0">
                  <c:v>Sonstige Effekte*
*vermiedene Netzentgelte, Grünstromprivileg, sonstige Kosten</c:v>
                </c:pt>
              </c:strCache>
            </c:strRef>
          </c:tx>
          <c:spPr>
            <a:solidFill>
              <a:schemeClr val="bg2">
                <a:lumMod val="65000"/>
              </a:schemeClr>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'GrD-Grafikdaten'!$F$123:$AE$123</c:f>
              <c:numCache>
                <c:formatCode>0.00</c:formatCode>
                <c:ptCount val="26"/>
                <c:pt idx="0">
                  <c:v>1.2621203479080452E-2</c:v>
                </c:pt>
                <c:pt idx="1">
                  <c:v>0.21705777646400023</c:v>
                </c:pt>
                <c:pt idx="2">
                  <c:v>-2.030389836889188E-2</c:v>
                </c:pt>
                <c:pt idx="3">
                  <c:v>-7.6196695631972927E-2</c:v>
                </c:pt>
                <c:pt idx="4">
                  <c:v>-7.2646252065796002E-2</c:v>
                </c:pt>
                <c:pt idx="5">
                  <c:v>-0.15408249338839253</c:v>
                </c:pt>
                <c:pt idx="6">
                  <c:v>-0.19537762018019211</c:v>
                </c:pt>
                <c:pt idx="7">
                  <c:v>-0.23261197641055825</c:v>
                </c:pt>
                <c:pt idx="8">
                  <c:v>-0.17235341820590774</c:v>
                </c:pt>
                <c:pt idx="9">
                  <c:v>-0.13412767068844386</c:v>
                </c:pt>
                <c:pt idx="10">
                  <c:v>-8.0443426936161966E-2</c:v>
                </c:pt>
                <c:pt idx="11">
                  <c:v>-8.278910044952377E-2</c:v>
                </c:pt>
                <c:pt idx="12">
                  <c:v>-5.3106405646958163E-2</c:v>
                </c:pt>
                <c:pt idx="13">
                  <c:v>-7.0128944737390259E-2</c:v>
                </c:pt>
                <c:pt idx="14">
                  <c:v>-7.2173137743076529E-2</c:v>
                </c:pt>
                <c:pt idx="15">
                  <c:v>-7.0475794869206645E-2</c:v>
                </c:pt>
                <c:pt idx="16">
                  <c:v>-6.7441943850191574E-2</c:v>
                </c:pt>
                <c:pt idx="17">
                  <c:v>-5.7824695904141861E-2</c:v>
                </c:pt>
                <c:pt idx="18">
                  <c:v>-5.0634240205999839E-2</c:v>
                </c:pt>
                <c:pt idx="19">
                  <c:v>-4.6785678178503848E-2</c:v>
                </c:pt>
                <c:pt idx="20">
                  <c:v>-4.1415616307358058E-2</c:v>
                </c:pt>
                <c:pt idx="21">
                  <c:v>-3.5045833096892812E-2</c:v>
                </c:pt>
                <c:pt idx="22">
                  <c:v>-2.5722605539340252E-2</c:v>
                </c:pt>
                <c:pt idx="23">
                  <c:v>-2.3186772064501818E-2</c:v>
                </c:pt>
                <c:pt idx="24">
                  <c:v>-2.0845143498167591E-2</c:v>
                </c:pt>
                <c:pt idx="25">
                  <c:v>-1.9852527153369992E-2</c:v>
                </c:pt>
              </c:numCache>
            </c:numRef>
          </c:val>
          <c:extLst>
            <c:ext xmlns:c16="http://schemas.microsoft.com/office/drawing/2014/chart" uri="{C3380CC4-5D6E-409C-BE32-E72D297353CC}">
              <c16:uniqueId val="{0000000A-9554-4458-B1A8-848D3B5E18A5}"/>
            </c:ext>
          </c:extLst>
        </c:ser>
        <c:ser>
          <c:idx val="0"/>
          <c:order val="8"/>
          <c:tx>
            <c:strRef>
              <c:f>'GrD-Grafikdaten'!$E$122</c:f>
              <c:strCache>
                <c:ptCount val="1"/>
                <c:pt idx="0">
                  <c:v>Zuschüsse aus dem Bundeshaushalt</c:v>
                </c:pt>
              </c:strCache>
            </c:strRef>
          </c:tx>
          <c:invertIfNegative val="0"/>
          <c:val>
            <c:numRef>
              <c:f>'GrD-Grafikdaten'!$F$122:$AE$122</c:f>
              <c:numCache>
                <c:formatCode>0.00</c:formatCode>
                <c:ptCount val="26"/>
                <c:pt idx="0">
                  <c:v>0</c:v>
                </c:pt>
                <c:pt idx="1">
                  <c:v>0</c:v>
                </c:pt>
                <c:pt idx="2">
                  <c:v>0</c:v>
                </c:pt>
                <c:pt idx="3">
                  <c:v>0</c:v>
                </c:pt>
                <c:pt idx="4">
                  <c:v>0</c:v>
                </c:pt>
                <c:pt idx="5">
                  <c:v>0</c:v>
                </c:pt>
                <c:pt idx="6">
                  <c:v>0</c:v>
                </c:pt>
                <c:pt idx="7">
                  <c:v>0</c:v>
                </c:pt>
                <c:pt idx="8">
                  <c:v>0</c:v>
                </c:pt>
                <c:pt idx="9">
                  <c:v>0</c:v>
                </c:pt>
                <c:pt idx="10">
                  <c:v>0</c:v>
                </c:pt>
                <c:pt idx="11">
                  <c:v>-3.1360306162356211</c:v>
                </c:pt>
                <c:pt idx="12">
                  <c:v>-0.92742880856456678</c:v>
                </c:pt>
                <c:pt idx="13">
                  <c:v>-0.88154154979975385</c:v>
                </c:pt>
                <c:pt idx="14">
                  <c:v>-1.3797388765156033</c:v>
                </c:pt>
                <c:pt idx="15">
                  <c:v>-1.8863313701926339</c:v>
                </c:pt>
                <c:pt idx="16">
                  <c:v>-1.7516292151349633</c:v>
                </c:pt>
                <c:pt idx="17">
                  <c:v>-1.6468080970568528</c:v>
                </c:pt>
                <c:pt idx="18">
                  <c:v>-1.5532877181445466</c:v>
                </c:pt>
                <c:pt idx="19">
                  <c:v>-1.4693263948677264</c:v>
                </c:pt>
                <c:pt idx="20">
                  <c:v>-1.3934562675673046</c:v>
                </c:pt>
                <c:pt idx="21">
                  <c:v>-1.3250214996716538</c:v>
                </c:pt>
                <c:pt idx="22">
                  <c:v>-1.2629783857507084</c:v>
                </c:pt>
                <c:pt idx="23">
                  <c:v>-1.2070618002797318</c:v>
                </c:pt>
                <c:pt idx="24">
                  <c:v>-1.1560588800838096</c:v>
                </c:pt>
                <c:pt idx="25">
                  <c:v>-1.1094069735416157</c:v>
                </c:pt>
              </c:numCache>
            </c:numRef>
          </c:val>
          <c:extLst>
            <c:ext xmlns:c16="http://schemas.microsoft.com/office/drawing/2014/chart" uri="{C3380CC4-5D6E-409C-BE32-E72D297353CC}">
              <c16:uniqueId val="{00000005-AC47-423A-A3D6-2D5A2D1F67B7}"/>
            </c:ext>
          </c:extLst>
        </c:ser>
        <c:dLbls>
          <c:showLegendKey val="0"/>
          <c:showVal val="0"/>
          <c:showCatName val="0"/>
          <c:showSerName val="0"/>
          <c:showPercent val="0"/>
          <c:showBubbleSize val="0"/>
        </c:dLbls>
        <c:gapWidth val="20"/>
        <c:overlap val="100"/>
        <c:axId val="331118464"/>
        <c:axId val="332730752"/>
      </c:barChart>
      <c:lineChart>
        <c:grouping val="standard"/>
        <c:varyColors val="0"/>
        <c:ser>
          <c:idx val="8"/>
          <c:order val="6"/>
          <c:tx>
            <c:strRef>
              <c:f>'GrD-Grafikdaten'!$E$126</c:f>
              <c:strCache>
                <c:ptCount val="1"/>
                <c:pt idx="0">
                  <c:v>Umlage (Prognose)</c:v>
                </c:pt>
              </c:strCache>
            </c:strRef>
          </c:tx>
          <c:spPr>
            <a:ln>
              <a:solidFill>
                <a:srgbClr val="FF0000"/>
              </a:solidFill>
              <a:prstDash val="solid"/>
            </a:ln>
          </c:spPr>
          <c:marker>
            <c:symbol val="none"/>
          </c:marker>
          <c:val>
            <c:numRef>
              <c:f>'GrD-Grafikdaten'!$F$126:$AE$126</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B-9554-4458-B1A8-848D3B5E18A5}"/>
            </c:ext>
          </c:extLst>
        </c:ser>
        <c:ser>
          <c:idx val="9"/>
          <c:order val="7"/>
          <c:tx>
            <c:strRef>
              <c:f>'GrD-Grafikdaten'!$E$125</c:f>
              <c:strCache>
                <c:ptCount val="1"/>
                <c:pt idx="0">
                  <c:v>Umlage (Referenz)</c:v>
                </c:pt>
              </c:strCache>
            </c:strRef>
          </c:tx>
          <c:spPr>
            <a:ln>
              <a:solidFill>
                <a:srgbClr val="7030A0"/>
              </a:solidFill>
            </a:ln>
          </c:spPr>
          <c:marker>
            <c:symbol val="circle"/>
            <c:size val="5"/>
            <c:spPr>
              <a:solidFill>
                <a:srgbClr val="7030A0"/>
              </a:solidFill>
              <a:ln>
                <a:solidFill>
                  <a:srgbClr val="7030A0"/>
                </a:solidFill>
              </a:ln>
            </c:spPr>
          </c:marker>
          <c:val>
            <c:numRef>
              <c:f>'GrD-Grafikdaten'!$F$125:$AE$125</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C-9554-4458-B1A8-848D3B5E18A5}"/>
            </c:ext>
          </c:extLst>
        </c:ser>
        <c:dLbls>
          <c:showLegendKey val="0"/>
          <c:showVal val="0"/>
          <c:showCatName val="0"/>
          <c:showSerName val="0"/>
          <c:showPercent val="0"/>
          <c:showBubbleSize val="0"/>
        </c:dLbls>
        <c:marker val="1"/>
        <c:smooth val="0"/>
        <c:axId val="331118464"/>
        <c:axId val="332730752"/>
      </c:lineChart>
      <c:catAx>
        <c:axId val="331118464"/>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332730752"/>
        <c:crosses val="autoZero"/>
        <c:auto val="1"/>
        <c:lblAlgn val="ctr"/>
        <c:lblOffset val="100"/>
        <c:noMultiLvlLbl val="0"/>
      </c:catAx>
      <c:valAx>
        <c:axId val="332730752"/>
        <c:scaling>
          <c:orientation val="minMax"/>
        </c:scaling>
        <c:delete val="0"/>
        <c:axPos val="l"/>
        <c:majorGridlines/>
        <c:title>
          <c:tx>
            <c:strRef>
              <c:f>ControlPanel!$R$13</c:f>
              <c:strCache>
                <c:ptCount val="1"/>
                <c:pt idx="0">
                  <c:v>ct/kWh</c:v>
                </c:pt>
              </c:strCache>
            </c:strRef>
          </c:tx>
          <c:overlay val="0"/>
          <c:txPr>
            <a:bodyPr rot="-5400000" vert="horz"/>
            <a:lstStyle/>
            <a:p>
              <a:pPr>
                <a:defRPr>
                  <a:latin typeface="Arial" pitchFamily="34" charset="0"/>
                  <a:cs typeface="Arial" pitchFamily="34" charset="0"/>
                </a:defRPr>
              </a:pPr>
              <a:endParaRPr lang="en-US"/>
            </a:p>
          </c:txPr>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331118464"/>
        <c:crosses val="autoZero"/>
        <c:crossBetween val="between"/>
      </c:valAx>
      <c:spPr>
        <a:solidFill>
          <a:schemeClr val="bg1"/>
        </a:solidFill>
      </c:spPr>
    </c:plotArea>
    <c:legend>
      <c:legendPos val="r"/>
      <c:layout>
        <c:manualLayout>
          <c:xMode val="edge"/>
          <c:yMode val="edge"/>
          <c:x val="0.64504052997659023"/>
          <c:y val="3.1881195168316223E-2"/>
          <c:w val="0.29426922777067216"/>
          <c:h val="0.90007062219288902"/>
        </c:manualLayout>
      </c:layout>
      <c:overlay val="0"/>
    </c:legend>
    <c:plotVisOnly val="1"/>
    <c:dispBlanksAs val="gap"/>
    <c:showDLblsOverMax val="0"/>
  </c:chart>
  <c:spPr>
    <a:solidFill>
      <a:schemeClr val="bg1"/>
    </a:solidFill>
    <a:ln>
      <a:solidFill>
        <a:schemeClr val="tx1"/>
      </a:solidFill>
    </a:ln>
  </c:sp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sz="1600">
                <a:latin typeface="Arial" panose="020B0604020202020204" pitchFamily="34" charset="0"/>
                <a:cs typeface="Arial" panose="020B0604020202020204" pitchFamily="34" charset="0"/>
              </a:rPr>
              <a:t>Stromverbrauch nach Verbrauchergruppen</a:t>
            </a:r>
          </a:p>
        </c:rich>
      </c:tx>
      <c:layout>
        <c:manualLayout>
          <c:xMode val="edge"/>
          <c:yMode val="edge"/>
          <c:x val="0.11326305505274512"/>
          <c:y val="2.4156901931220671E-2"/>
        </c:manualLayout>
      </c:layout>
      <c:overlay val="0"/>
    </c:title>
    <c:autoTitleDeleted val="0"/>
    <c:plotArea>
      <c:layout>
        <c:manualLayout>
          <c:layoutTarget val="inner"/>
          <c:xMode val="edge"/>
          <c:yMode val="edge"/>
          <c:x val="0.11510940273053517"/>
          <c:y val="0.14252572139420197"/>
          <c:w val="0.45284558736599634"/>
          <c:h val="0.71186997880406211"/>
        </c:manualLayout>
      </c:layout>
      <c:areaChart>
        <c:grouping val="stacked"/>
        <c:varyColors val="0"/>
        <c:ser>
          <c:idx val="1"/>
          <c:order val="0"/>
          <c:tx>
            <c:strRef>
              <c:f>'GrD-Grafikdaten'!$E$157</c:f>
              <c:strCache>
                <c:ptCount val="1"/>
                <c:pt idx="0">
                  <c:v>Nicht privilegierter Letztverbrauch</c:v>
                </c:pt>
              </c:strCache>
            </c:strRef>
          </c:tx>
          <c:spPr>
            <a:solidFill>
              <a:schemeClr val="tx2"/>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'GrD-Grafikdaten'!$F$157:$AE$157</c:f>
              <c:numCache>
                <c:formatCode>0.00</c:formatCode>
                <c:ptCount val="26"/>
                <c:pt idx="0">
                  <c:v>400.59500000000003</c:v>
                </c:pt>
                <c:pt idx="1">
                  <c:v>383.14973227999997</c:v>
                </c:pt>
                <c:pt idx="2">
                  <c:v>386.50834199999997</c:v>
                </c:pt>
                <c:pt idx="3">
                  <c:v>383.25856100000004</c:v>
                </c:pt>
                <c:pt idx="4">
                  <c:v>370.260447</c:v>
                </c:pt>
                <c:pt idx="5">
                  <c:v>350.72573712000002</c:v>
                </c:pt>
                <c:pt idx="6">
                  <c:v>355.8609206000001</c:v>
                </c:pt>
                <c:pt idx="7">
                  <c:v>342.7521021199999</c:v>
                </c:pt>
                <c:pt idx="8">
                  <c:v>343.49791497249993</c:v>
                </c:pt>
                <c:pt idx="9">
                  <c:v>344.26749819460247</c:v>
                </c:pt>
                <c:pt idx="10">
                  <c:v>344.07288462324232</c:v>
                </c:pt>
                <c:pt idx="11">
                  <c:v>331.62972795561251</c:v>
                </c:pt>
                <c:pt idx="12">
                  <c:v>333.98179361441754</c:v>
                </c:pt>
                <c:pt idx="13">
                  <c:v>334.82423049120968</c:v>
                </c:pt>
                <c:pt idx="14">
                  <c:v>330.33941553382203</c:v>
                </c:pt>
                <c:pt idx="15">
                  <c:v>326.47257729939474</c:v>
                </c:pt>
                <c:pt idx="16">
                  <c:v>323.81742528908472</c:v>
                </c:pt>
                <c:pt idx="17">
                  <c:v>345.3913933110569</c:v>
                </c:pt>
                <c:pt idx="18">
                  <c:v>367.19992462821301</c:v>
                </c:pt>
                <c:pt idx="19">
                  <c:v>389.14440328027115</c:v>
                </c:pt>
                <c:pt idx="20">
                  <c:v>411.24882806471254</c:v>
                </c:pt>
                <c:pt idx="21">
                  <c:v>433.35770218593228</c:v>
                </c:pt>
                <c:pt idx="22">
                  <c:v>455.47168616129227</c:v>
                </c:pt>
                <c:pt idx="23">
                  <c:v>477.34754447228744</c:v>
                </c:pt>
                <c:pt idx="24">
                  <c:v>499.14528744982846</c:v>
                </c:pt>
                <c:pt idx="25">
                  <c:v>520.83795517456952</c:v>
                </c:pt>
              </c:numCache>
            </c:numRef>
          </c:val>
          <c:extLst>
            <c:ext xmlns:c16="http://schemas.microsoft.com/office/drawing/2014/chart" uri="{C3380CC4-5D6E-409C-BE32-E72D297353CC}">
              <c16:uniqueId val="{00000000-A6C8-4AF9-8283-08610B8FCDAF}"/>
            </c:ext>
          </c:extLst>
        </c:ser>
        <c:ser>
          <c:idx val="6"/>
          <c:order val="1"/>
          <c:tx>
            <c:strRef>
              <c:f>'GrD-Grafikdaten'!$E$162</c:f>
              <c:strCache>
                <c:ptCount val="1"/>
                <c:pt idx="0">
                  <c:v>Grünstromprivileg</c:v>
                </c:pt>
              </c:strCache>
            </c:strRef>
          </c:tx>
          <c:spPr>
            <a:solidFill>
              <a:srgbClr val="88BB3C"/>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'GrD-Grafikdaten'!$F$162:$AE$162</c:f>
              <c:numCache>
                <c:formatCode>0.00</c:formatCode>
                <c:ptCount val="26"/>
                <c:pt idx="0">
                  <c:v>0</c:v>
                </c:pt>
                <c:pt idx="1">
                  <c:v>24.664059639999998</c:v>
                </c:pt>
                <c:pt idx="2">
                  <c:v>6.3188509999999996</c:v>
                </c:pt>
                <c:pt idx="3">
                  <c:v>2.5983429999999998</c:v>
                </c:pt>
                <c:pt idx="4">
                  <c:v>5.9772400000000001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A6C8-4AF9-8283-08610B8FCDAF}"/>
            </c:ext>
          </c:extLst>
        </c:ser>
        <c:ser>
          <c:idx val="2"/>
          <c:order val="2"/>
          <c:tx>
            <c:strRef>
              <c:f>'GrD-Grafikdaten'!$E$158</c:f>
              <c:strCache>
                <c:ptCount val="1"/>
                <c:pt idx="0">
                  <c:v>Privilegierter Letztverbrauch</c:v>
                </c:pt>
              </c:strCache>
            </c:strRef>
          </c:tx>
          <c:spPr>
            <a:solidFill>
              <a:schemeClr val="accent1"/>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'GrD-Grafikdaten'!$F$158:$AE$158</c:f>
              <c:numCache>
                <c:formatCode>0.00</c:formatCode>
                <c:ptCount val="26"/>
                <c:pt idx="0">
                  <c:v>67.885999999999996</c:v>
                </c:pt>
                <c:pt idx="1">
                  <c:v>74.729966079999997</c:v>
                </c:pt>
                <c:pt idx="2">
                  <c:v>84.727446</c:v>
                </c:pt>
                <c:pt idx="3">
                  <c:v>96.225492000000003</c:v>
                </c:pt>
                <c:pt idx="4">
                  <c:v>106.52299099999999</c:v>
                </c:pt>
                <c:pt idx="5">
                  <c:v>110.247</c:v>
                </c:pt>
                <c:pt idx="6">
                  <c:v>103.9</c:v>
                </c:pt>
                <c:pt idx="7">
                  <c:v>114.145597</c:v>
                </c:pt>
                <c:pt idx="8">
                  <c:v>114.690017</c:v>
                </c:pt>
                <c:pt idx="9">
                  <c:v>113.926688</c:v>
                </c:pt>
                <c:pt idx="10">
                  <c:v>116.17166499999999</c:v>
                </c:pt>
                <c:pt idx="11">
                  <c:v>112.73</c:v>
                </c:pt>
                <c:pt idx="12">
                  <c:v>118.62</c:v>
                </c:pt>
                <c:pt idx="13">
                  <c:v>116.59</c:v>
                </c:pt>
                <c:pt idx="14">
                  <c:v>119.55</c:v>
                </c:pt>
                <c:pt idx="15">
                  <c:v>119.81</c:v>
                </c:pt>
                <c:pt idx="16">
                  <c:v>121.07</c:v>
                </c:pt>
                <c:pt idx="17">
                  <c:v>121.07</c:v>
                </c:pt>
                <c:pt idx="18">
                  <c:v>121.07</c:v>
                </c:pt>
                <c:pt idx="19">
                  <c:v>121.07</c:v>
                </c:pt>
                <c:pt idx="20">
                  <c:v>121.07</c:v>
                </c:pt>
                <c:pt idx="21">
                  <c:v>121.07</c:v>
                </c:pt>
                <c:pt idx="22">
                  <c:v>121.07</c:v>
                </c:pt>
                <c:pt idx="23">
                  <c:v>121.07</c:v>
                </c:pt>
                <c:pt idx="24">
                  <c:v>121.07</c:v>
                </c:pt>
                <c:pt idx="25">
                  <c:v>121.07</c:v>
                </c:pt>
              </c:numCache>
            </c:numRef>
          </c:val>
          <c:extLst>
            <c:ext xmlns:c16="http://schemas.microsoft.com/office/drawing/2014/chart" uri="{C3380CC4-5D6E-409C-BE32-E72D297353CC}">
              <c16:uniqueId val="{00000002-A6C8-4AF9-8283-08610B8FCDAF}"/>
            </c:ext>
          </c:extLst>
        </c:ser>
        <c:ser>
          <c:idx val="3"/>
          <c:order val="3"/>
          <c:tx>
            <c:strRef>
              <c:f>'GrD-Grafikdaten'!$E$159</c:f>
              <c:strCache>
                <c:ptCount val="1"/>
                <c:pt idx="0">
                  <c:v>Eigenverbrauch (Bestand und Bestandsersatz, fossil)</c:v>
                </c:pt>
              </c:strCache>
            </c:strRef>
          </c:tx>
          <c:spPr>
            <a:solidFill>
              <a:schemeClr val="bg1">
                <a:lumMod val="50000"/>
              </a:schemeClr>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'GrD-Grafikdaten'!$F$159:$AE$159</c:f>
              <c:numCache>
                <c:formatCode>0.00</c:formatCode>
                <c:ptCount val="26"/>
                <c:pt idx="0">
                  <c:v>66.919000000000011</c:v>
                </c:pt>
                <c:pt idx="1">
                  <c:v>54.256241999999979</c:v>
                </c:pt>
                <c:pt idx="2">
                  <c:v>62.173272999999973</c:v>
                </c:pt>
                <c:pt idx="3">
                  <c:v>52.680143000000065</c:v>
                </c:pt>
                <c:pt idx="4">
                  <c:v>44.33</c:v>
                </c:pt>
                <c:pt idx="5">
                  <c:v>57.291305999999999</c:v>
                </c:pt>
                <c:pt idx="6">
                  <c:v>48.547290999999994</c:v>
                </c:pt>
                <c:pt idx="7">
                  <c:v>60.951926519999994</c:v>
                </c:pt>
                <c:pt idx="8">
                  <c:v>61.173551851607797</c:v>
                </c:pt>
                <c:pt idx="9">
                  <c:v>69.750429999999994</c:v>
                </c:pt>
                <c:pt idx="10">
                  <c:v>68.086641999999998</c:v>
                </c:pt>
                <c:pt idx="11">
                  <c:v>60.732941999999994</c:v>
                </c:pt>
                <c:pt idx="12">
                  <c:v>47.785909999999994</c:v>
                </c:pt>
                <c:pt idx="13">
                  <c:v>47.785909999999994</c:v>
                </c:pt>
                <c:pt idx="14">
                  <c:v>47.785909999999994</c:v>
                </c:pt>
                <c:pt idx="15">
                  <c:v>47.785909999999994</c:v>
                </c:pt>
                <c:pt idx="16">
                  <c:v>47.785909999999994</c:v>
                </c:pt>
                <c:pt idx="17">
                  <c:v>47.785909999999994</c:v>
                </c:pt>
                <c:pt idx="18">
                  <c:v>47.785909999999994</c:v>
                </c:pt>
                <c:pt idx="19">
                  <c:v>47.785909999999994</c:v>
                </c:pt>
                <c:pt idx="20">
                  <c:v>47.785909999999994</c:v>
                </c:pt>
                <c:pt idx="21">
                  <c:v>47.785909999999994</c:v>
                </c:pt>
                <c:pt idx="22">
                  <c:v>47.785909999999994</c:v>
                </c:pt>
                <c:pt idx="23">
                  <c:v>47.785909999999994</c:v>
                </c:pt>
                <c:pt idx="24">
                  <c:v>47.785909999999994</c:v>
                </c:pt>
                <c:pt idx="25">
                  <c:v>47.785909999999994</c:v>
                </c:pt>
              </c:numCache>
            </c:numRef>
          </c:val>
          <c:extLst>
            <c:ext xmlns:c16="http://schemas.microsoft.com/office/drawing/2014/chart" uri="{C3380CC4-5D6E-409C-BE32-E72D297353CC}">
              <c16:uniqueId val="{00000003-A6C8-4AF9-8283-08610B8FCDAF}"/>
            </c:ext>
          </c:extLst>
        </c:ser>
        <c:ser>
          <c:idx val="4"/>
          <c:order val="4"/>
          <c:tx>
            <c:strRef>
              <c:f>'GrD-Grafikdaten'!$E$160</c:f>
              <c:strCache>
                <c:ptCount val="1"/>
                <c:pt idx="0">
                  <c:v>Eigenverbrauch (Neuanlagen, EE und KWK)</c:v>
                </c:pt>
              </c:strCache>
            </c:strRef>
          </c:tx>
          <c:spPr>
            <a:solidFill>
              <a:srgbClr val="FFD744"/>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'GrD-Grafikdaten'!$F$160:$AE$160</c:f>
              <c:numCache>
                <c:formatCode>0.00</c:formatCode>
                <c:ptCount val="26"/>
                <c:pt idx="0">
                  <c:v>0</c:v>
                </c:pt>
                <c:pt idx="1">
                  <c:v>0</c:v>
                </c:pt>
                <c:pt idx="2">
                  <c:v>0</c:v>
                </c:pt>
                <c:pt idx="3">
                  <c:v>0</c:v>
                </c:pt>
                <c:pt idx="4">
                  <c:v>0</c:v>
                </c:pt>
                <c:pt idx="5">
                  <c:v>0.32726288000000003</c:v>
                </c:pt>
                <c:pt idx="6">
                  <c:v>1.0390793999999999</c:v>
                </c:pt>
                <c:pt idx="7">
                  <c:v>1.21881288</c:v>
                </c:pt>
                <c:pt idx="8">
                  <c:v>1.9339500274999999</c:v>
                </c:pt>
                <c:pt idx="9">
                  <c:v>3.7481448053975073</c:v>
                </c:pt>
                <c:pt idx="10">
                  <c:v>4.0547823767576929</c:v>
                </c:pt>
                <c:pt idx="11">
                  <c:v>6.405829044387545</c:v>
                </c:pt>
                <c:pt idx="12">
                  <c:v>8.210714385582488</c:v>
                </c:pt>
                <c:pt idx="13">
                  <c:v>9.1906144169262518</c:v>
                </c:pt>
                <c:pt idx="14">
                  <c:v>10.252308260351144</c:v>
                </c:pt>
                <c:pt idx="15">
                  <c:v>11.311492495705815</c:v>
                </c:pt>
                <c:pt idx="16">
                  <c:v>12.353045850686588</c:v>
                </c:pt>
                <c:pt idx="17">
                  <c:v>12.799037625958174</c:v>
                </c:pt>
                <c:pt idx="18">
                  <c:v>13.047840380104345</c:v>
                </c:pt>
                <c:pt idx="19">
                  <c:v>13.298083410615384</c:v>
                </c:pt>
                <c:pt idx="20">
                  <c:v>13.549766717491293</c:v>
                </c:pt>
                <c:pt idx="21">
                  <c:v>13.80289030073207</c:v>
                </c:pt>
                <c:pt idx="22">
                  <c:v>14.05745416033772</c:v>
                </c:pt>
                <c:pt idx="23">
                  <c:v>14.313458296308237</c:v>
                </c:pt>
                <c:pt idx="24">
                  <c:v>14.570902708643622</c:v>
                </c:pt>
                <c:pt idx="25">
                  <c:v>14.828234983902535</c:v>
                </c:pt>
              </c:numCache>
            </c:numRef>
          </c:val>
          <c:extLst>
            <c:ext xmlns:c16="http://schemas.microsoft.com/office/drawing/2014/chart" uri="{C3380CC4-5D6E-409C-BE32-E72D297353CC}">
              <c16:uniqueId val="{00000004-A6C8-4AF9-8283-08610B8FCDAF}"/>
            </c:ext>
          </c:extLst>
        </c:ser>
        <c:ser>
          <c:idx val="5"/>
          <c:order val="5"/>
          <c:tx>
            <c:strRef>
              <c:f>'GrD-Grafikdaten'!$E$161</c:f>
              <c:strCache>
                <c:ptCount val="1"/>
                <c:pt idx="0">
                  <c:v>Eigenverbrauch (Neuanlagen, fossil, nicht KWK)</c:v>
                </c:pt>
              </c:strCache>
            </c:strRef>
          </c:tx>
          <c:spPr>
            <a:solidFill>
              <a:schemeClr val="tx1"/>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'GrD-Grafikdaten'!$F$161:$AE$161</c:f>
              <c:numCache>
                <c:formatCode>0.00</c:formatCode>
                <c:ptCount val="26"/>
                <c:pt idx="0">
                  <c:v>0</c:v>
                </c:pt>
                <c:pt idx="1">
                  <c:v>0</c:v>
                </c:pt>
                <c:pt idx="2">
                  <c:v>0</c:v>
                </c:pt>
                <c:pt idx="3">
                  <c:v>0</c:v>
                </c:pt>
                <c:pt idx="4">
                  <c:v>0</c:v>
                </c:pt>
                <c:pt idx="5">
                  <c:v>0</c:v>
                </c:pt>
                <c:pt idx="6">
                  <c:v>0</c:v>
                </c:pt>
                <c:pt idx="7">
                  <c:v>1.1745889999999999</c:v>
                </c:pt>
                <c:pt idx="8">
                  <c:v>1.5439479999999999</c:v>
                </c:pt>
                <c:pt idx="9">
                  <c:v>2.5107649999999997</c:v>
                </c:pt>
                <c:pt idx="10">
                  <c:v>3.6564139999999998</c:v>
                </c:pt>
                <c:pt idx="11">
                  <c:v>3.8827539999999998</c:v>
                </c:pt>
                <c:pt idx="12">
                  <c:v>5.2223569999999997</c:v>
                </c:pt>
                <c:pt idx="13">
                  <c:v>5.2223569999999997</c:v>
                </c:pt>
                <c:pt idx="14">
                  <c:v>5.2223569999999997</c:v>
                </c:pt>
                <c:pt idx="15">
                  <c:v>5.2223569999999997</c:v>
                </c:pt>
                <c:pt idx="16">
                  <c:v>5.2223569999999997</c:v>
                </c:pt>
                <c:pt idx="17">
                  <c:v>5.2223569999999997</c:v>
                </c:pt>
                <c:pt idx="18">
                  <c:v>5.2223569999999997</c:v>
                </c:pt>
                <c:pt idx="19">
                  <c:v>5.2223569999999997</c:v>
                </c:pt>
                <c:pt idx="20">
                  <c:v>5.2223569999999997</c:v>
                </c:pt>
                <c:pt idx="21">
                  <c:v>5.2223569999999997</c:v>
                </c:pt>
                <c:pt idx="22">
                  <c:v>5.2223569999999997</c:v>
                </c:pt>
                <c:pt idx="23">
                  <c:v>5.2223569999999997</c:v>
                </c:pt>
                <c:pt idx="24">
                  <c:v>5.2223569999999997</c:v>
                </c:pt>
                <c:pt idx="25">
                  <c:v>5.2223569999999997</c:v>
                </c:pt>
              </c:numCache>
            </c:numRef>
          </c:val>
          <c:extLst>
            <c:ext xmlns:c16="http://schemas.microsoft.com/office/drawing/2014/chart" uri="{C3380CC4-5D6E-409C-BE32-E72D297353CC}">
              <c16:uniqueId val="{00000005-A6C8-4AF9-8283-08610B8FCDAF}"/>
            </c:ext>
          </c:extLst>
        </c:ser>
        <c:ser>
          <c:idx val="7"/>
          <c:order val="6"/>
          <c:tx>
            <c:strRef>
              <c:f>'GrD-Grafikdaten'!$E$163</c:f>
              <c:strCache>
                <c:ptCount val="1"/>
                <c:pt idx="0">
                  <c:v>Netzverluste und Kraftwerkseigenverbrauch (TWh)</c:v>
                </c:pt>
              </c:strCache>
            </c:strRef>
          </c:tx>
          <c:val>
            <c:numRef>
              <c:f>'GrD-Grafikdaten'!$F$163:$AE$163</c:f>
              <c:numCache>
                <c:formatCode>0.0</c:formatCode>
                <c:ptCount val="26"/>
                <c:pt idx="0">
                  <c:v>79.900000000000006</c:v>
                </c:pt>
                <c:pt idx="1">
                  <c:v>70</c:v>
                </c:pt>
                <c:pt idx="2">
                  <c:v>66.8</c:v>
                </c:pt>
                <c:pt idx="3">
                  <c:v>66.8</c:v>
                </c:pt>
                <c:pt idx="4">
                  <c:v>68.099999999999994</c:v>
                </c:pt>
                <c:pt idx="5">
                  <c:v>79</c:v>
                </c:pt>
                <c:pt idx="6">
                  <c:v>86.5</c:v>
                </c:pt>
                <c:pt idx="7">
                  <c:v>77.2</c:v>
                </c:pt>
                <c:pt idx="8">
                  <c:v>70.3</c:v>
                </c:pt>
                <c:pt idx="9">
                  <c:v>62</c:v>
                </c:pt>
                <c:pt idx="10">
                  <c:v>62</c:v>
                </c:pt>
                <c:pt idx="11">
                  <c:v>62</c:v>
                </c:pt>
                <c:pt idx="12">
                  <c:v>59.714285714285715</c:v>
                </c:pt>
                <c:pt idx="13">
                  <c:v>57.428571428571431</c:v>
                </c:pt>
                <c:pt idx="14">
                  <c:v>55.142857142857146</c:v>
                </c:pt>
                <c:pt idx="15">
                  <c:v>52.857142857142861</c:v>
                </c:pt>
                <c:pt idx="16">
                  <c:v>50.571428571428577</c:v>
                </c:pt>
                <c:pt idx="17">
                  <c:v>48.285714285714292</c:v>
                </c:pt>
                <c:pt idx="18">
                  <c:v>46.000000000000007</c:v>
                </c:pt>
                <c:pt idx="19">
                  <c:v>43.714285714285722</c:v>
                </c:pt>
                <c:pt idx="20">
                  <c:v>41.428571428571438</c:v>
                </c:pt>
                <c:pt idx="21">
                  <c:v>39.142857142857153</c:v>
                </c:pt>
                <c:pt idx="22">
                  <c:v>36.857142857142861</c:v>
                </c:pt>
                <c:pt idx="23">
                  <c:v>34.571428571428577</c:v>
                </c:pt>
                <c:pt idx="24">
                  <c:v>32.285714285714292</c:v>
                </c:pt>
                <c:pt idx="25">
                  <c:v>30</c:v>
                </c:pt>
              </c:numCache>
            </c:numRef>
          </c:val>
          <c:extLst>
            <c:ext xmlns:c16="http://schemas.microsoft.com/office/drawing/2014/chart" uri="{C3380CC4-5D6E-409C-BE32-E72D297353CC}">
              <c16:uniqueId val="{00000006-A6C8-4AF9-8283-08610B8FCDAF}"/>
            </c:ext>
          </c:extLst>
        </c:ser>
        <c:dLbls>
          <c:showLegendKey val="0"/>
          <c:showVal val="0"/>
          <c:showCatName val="0"/>
          <c:showSerName val="0"/>
          <c:showPercent val="0"/>
          <c:showBubbleSize val="0"/>
        </c:dLbls>
        <c:axId val="46512000"/>
        <c:axId val="46513536"/>
      </c:areaChart>
      <c:lineChart>
        <c:grouping val="standard"/>
        <c:varyColors val="0"/>
        <c:ser>
          <c:idx val="0"/>
          <c:order val="7"/>
          <c:tx>
            <c:strRef>
              <c:f>'GrD-Grafikdaten'!$E$167</c:f>
              <c:strCache>
                <c:ptCount val="1"/>
                <c:pt idx="0">
                  <c:v>Anteil nicht privilegierter Letztverbrauch</c:v>
                </c:pt>
              </c:strCache>
            </c:strRef>
          </c:tx>
          <c:spPr>
            <a:ln>
              <a:solidFill>
                <a:sysClr val="windowText" lastClr="000000"/>
              </a:solidFill>
            </a:ln>
          </c:spPr>
          <c:marker>
            <c:symbol val="none"/>
          </c:marker>
          <c:val>
            <c:numRef>
              <c:f>'GrD-Grafikdaten'!$F$167:$AE$167</c:f>
              <c:numCache>
                <c:formatCode>0.0%</c:formatCode>
                <c:ptCount val="26"/>
                <c:pt idx="0">
                  <c:v>0.65105639525434755</c:v>
                </c:pt>
                <c:pt idx="1">
                  <c:v>0.63142671766644698</c:v>
                </c:pt>
                <c:pt idx="2">
                  <c:v>0.6372474116244794</c:v>
                </c:pt>
                <c:pt idx="3">
                  <c:v>0.63710509905936819</c:v>
                </c:pt>
                <c:pt idx="4">
                  <c:v>0.62208710701614844</c:v>
                </c:pt>
                <c:pt idx="5">
                  <c:v>0.58689899534783396</c:v>
                </c:pt>
                <c:pt idx="6">
                  <c:v>0.59723510700663751</c:v>
                </c:pt>
                <c:pt idx="7">
                  <c:v>0.57369838851877142</c:v>
                </c:pt>
                <c:pt idx="8">
                  <c:v>0.57911837501027141</c:v>
                </c:pt>
                <c:pt idx="9">
                  <c:v>0.57743284496207836</c:v>
                </c:pt>
                <c:pt idx="10">
                  <c:v>0.57533193554039908</c:v>
                </c:pt>
                <c:pt idx="11">
                  <c:v>0.57436871431572523</c:v>
                </c:pt>
                <c:pt idx="12">
                  <c:v>0.58232149434504255</c:v>
                </c:pt>
                <c:pt idx="13">
                  <c:v>0.58633938688112353</c:v>
                </c:pt>
                <c:pt idx="14">
                  <c:v>0.58128378129866121</c:v>
                </c:pt>
                <c:pt idx="15">
                  <c:v>0.57940737371370066</c:v>
                </c:pt>
                <c:pt idx="16">
                  <c:v>0.5773997522022738</c:v>
                </c:pt>
                <c:pt idx="17">
                  <c:v>0.59493371515114368</c:v>
                </c:pt>
                <c:pt idx="18">
                  <c:v>0.61166750240663481</c:v>
                </c:pt>
                <c:pt idx="19">
                  <c:v>0.62741441317709912</c:v>
                </c:pt>
                <c:pt idx="20">
                  <c:v>0.64226977741314595</c:v>
                </c:pt>
                <c:pt idx="21">
                  <c:v>0.65622304687312971</c:v>
                </c:pt>
                <c:pt idx="22">
                  <c:v>0.66935402592483317</c:v>
                </c:pt>
                <c:pt idx="23">
                  <c:v>0.68162252212305818</c:v>
                </c:pt>
                <c:pt idx="24">
                  <c:v>0.69318015860476634</c:v>
                </c:pt>
                <c:pt idx="25">
                  <c:v>0.70407821259685743</c:v>
                </c:pt>
              </c:numCache>
            </c:numRef>
          </c:val>
          <c:smooth val="0"/>
          <c:extLst>
            <c:ext xmlns:c16="http://schemas.microsoft.com/office/drawing/2014/chart" uri="{C3380CC4-5D6E-409C-BE32-E72D297353CC}">
              <c16:uniqueId val="{00000007-A6C8-4AF9-8283-08610B8FCDAF}"/>
            </c:ext>
          </c:extLst>
        </c:ser>
        <c:dLbls>
          <c:showLegendKey val="0"/>
          <c:showVal val="0"/>
          <c:showCatName val="0"/>
          <c:showSerName val="0"/>
          <c:showPercent val="0"/>
          <c:showBubbleSize val="0"/>
        </c:dLbls>
        <c:marker val="1"/>
        <c:smooth val="0"/>
        <c:axId val="46992384"/>
        <c:axId val="46990848"/>
      </c:lineChart>
      <c:catAx>
        <c:axId val="46512000"/>
        <c:scaling>
          <c:orientation val="minMax"/>
        </c:scaling>
        <c:delete val="0"/>
        <c:axPos val="b"/>
        <c:numFmt formatCode="0" sourceLinked="1"/>
        <c:majorTickMark val="out"/>
        <c:minorTickMark val="none"/>
        <c:tickLblPos val="nextTo"/>
        <c:crossAx val="46513536"/>
        <c:crosses val="autoZero"/>
        <c:auto val="1"/>
        <c:lblAlgn val="ctr"/>
        <c:lblOffset val="100"/>
        <c:noMultiLvlLbl val="0"/>
      </c:catAx>
      <c:valAx>
        <c:axId val="46513536"/>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TWh</a:t>
                </a:r>
              </a:p>
            </c:rich>
          </c:tx>
          <c:overlay val="0"/>
        </c:title>
        <c:numFmt formatCode="0" sourceLinked="0"/>
        <c:majorTickMark val="out"/>
        <c:minorTickMark val="none"/>
        <c:tickLblPos val="nextTo"/>
        <c:crossAx val="46512000"/>
        <c:crosses val="autoZero"/>
        <c:crossBetween val="between"/>
      </c:valAx>
      <c:valAx>
        <c:axId val="46990848"/>
        <c:scaling>
          <c:orientation val="minMax"/>
          <c:max val="1"/>
          <c:min val="0"/>
        </c:scaling>
        <c:delete val="0"/>
        <c:axPos val="r"/>
        <c:numFmt formatCode="0%" sourceLinked="0"/>
        <c:majorTickMark val="out"/>
        <c:minorTickMark val="none"/>
        <c:tickLblPos val="nextTo"/>
        <c:crossAx val="46992384"/>
        <c:crosses val="max"/>
        <c:crossBetween val="between"/>
      </c:valAx>
      <c:catAx>
        <c:axId val="46992384"/>
        <c:scaling>
          <c:orientation val="minMax"/>
        </c:scaling>
        <c:delete val="1"/>
        <c:axPos val="b"/>
        <c:majorTickMark val="out"/>
        <c:minorTickMark val="none"/>
        <c:tickLblPos val="nextTo"/>
        <c:crossAx val="46990848"/>
        <c:crosses val="autoZero"/>
        <c:auto val="1"/>
        <c:lblAlgn val="ctr"/>
        <c:lblOffset val="100"/>
        <c:noMultiLvlLbl val="0"/>
      </c:catAx>
      <c:spPr>
        <a:solidFill>
          <a:schemeClr val="bg1"/>
        </a:solidFill>
      </c:spPr>
    </c:plotArea>
    <c:legend>
      <c:legendPos val="r"/>
      <c:layout>
        <c:manualLayout>
          <c:xMode val="edge"/>
          <c:yMode val="edge"/>
          <c:x val="0.64606647104591142"/>
          <c:y val="0.12657600725125193"/>
          <c:w val="0.316620998523029"/>
          <c:h val="0.83759851530722418"/>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zero"/>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Beitrag zur Deckungslücke</a:t>
            </a:r>
          </a:p>
        </c:rich>
      </c:tx>
      <c:overlay val="0"/>
    </c:title>
    <c:autoTitleDeleted val="0"/>
    <c:plotArea>
      <c:layout/>
      <c:areaChart>
        <c:grouping val="stacked"/>
        <c:varyColors val="0"/>
        <c:ser>
          <c:idx val="1"/>
          <c:order val="0"/>
          <c:tx>
            <c:strRef>
              <c:f>'GrD-Grafikdaten'!$E$188</c:f>
              <c:strCache>
                <c:ptCount val="1"/>
                <c:pt idx="0">
                  <c:v>Nicht privilegierter Letztverbrauch</c:v>
                </c:pt>
              </c:strCache>
            </c:strRef>
          </c:tx>
          <c:spPr>
            <a:solidFill>
              <a:srgbClr val="00B3C9"/>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'GrD-Grafikdaten'!$F$188:$AE$188</c:f>
              <c:numCache>
                <c:formatCode>0.00</c:formatCode>
                <c:ptCount val="26"/>
                <c:pt idx="0">
                  <c:v>8.200179649999999</c:v>
                </c:pt>
                <c:pt idx="1">
                  <c:v>13.525185549484002</c:v>
                </c:pt>
                <c:pt idx="2">
                  <c:v>13.883379644640002</c:v>
                </c:pt>
                <c:pt idx="3">
                  <c:v>20.224554263969999</c:v>
                </c:pt>
                <c:pt idx="4">
                  <c:v>23.104251892800001</c:v>
                </c:pt>
                <c:pt idx="5">
                  <c:v>21.638272271801092</c:v>
                </c:pt>
                <c:pt idx="6">
                  <c:v>22.555421131422555</c:v>
                </c:pt>
                <c:pt idx="7">
                  <c:v>23.513570322565116</c:v>
                </c:pt>
                <c:pt idx="8">
                  <c:v>23.285053272826968</c:v>
                </c:pt>
                <c:pt idx="9">
                  <c:v>22.055778972951767</c:v>
                </c:pt>
                <c:pt idx="10">
                  <c:v>23.252845747155028</c:v>
                </c:pt>
                <c:pt idx="11">
                  <c:v>21.567921937973843</c:v>
                </c:pt>
                <c:pt idx="12">
                  <c:v>12.434418620167067</c:v>
                </c:pt>
                <c:pt idx="13">
                  <c:v>7.4573205629005477</c:v>
                </c:pt>
                <c:pt idx="14">
                  <c:v>13.206036125008161</c:v>
                </c:pt>
                <c:pt idx="15">
                  <c:v>11.533481966867592</c:v>
                </c:pt>
                <c:pt idx="16">
                  <c:v>10.833832793818962</c:v>
                </c:pt>
                <c:pt idx="17">
                  <c:v>9.4904201820535192</c:v>
                </c:pt>
                <c:pt idx="18">
                  <c:v>8.6776288445485523</c:v>
                </c:pt>
                <c:pt idx="19">
                  <c:v>7.7713746948790545</c:v>
                </c:pt>
                <c:pt idx="20">
                  <c:v>6.2758863589680152</c:v>
                </c:pt>
                <c:pt idx="21">
                  <c:v>4.0186271666380886</c:v>
                </c:pt>
                <c:pt idx="22">
                  <c:v>2.054108579737469</c:v>
                </c:pt>
                <c:pt idx="23">
                  <c:v>1.2768805001393664</c:v>
                </c:pt>
                <c:pt idx="24">
                  <c:v>1.311424101903008</c:v>
                </c:pt>
                <c:pt idx="25">
                  <c:v>1.788399695292934</c:v>
                </c:pt>
              </c:numCache>
            </c:numRef>
          </c:val>
          <c:extLst>
            <c:ext xmlns:c16="http://schemas.microsoft.com/office/drawing/2014/chart" uri="{C3380CC4-5D6E-409C-BE32-E72D297353CC}">
              <c16:uniqueId val="{00000000-B547-4221-B40B-52B2CB4FB365}"/>
            </c:ext>
          </c:extLst>
        </c:ser>
        <c:ser>
          <c:idx val="6"/>
          <c:order val="1"/>
          <c:tx>
            <c:strRef>
              <c:f>'GrD-Grafikdaten'!$E$193</c:f>
              <c:strCache>
                <c:ptCount val="1"/>
                <c:pt idx="0">
                  <c:v>Grünstromprivileg</c:v>
                </c:pt>
              </c:strCache>
            </c:strRef>
          </c:tx>
          <c:spPr>
            <a:solidFill>
              <a:srgbClr val="88BB3C"/>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'GrD-Grafikdaten'!$F$193:$AE$193</c:f>
              <c:numCache>
                <c:formatCode>0.00</c:formatCode>
                <c:ptCount val="26"/>
                <c:pt idx="0">
                  <c:v>0</c:v>
                </c:pt>
                <c:pt idx="1">
                  <c:v>-2.4664059639986332E-4</c:v>
                </c:pt>
                <c:pt idx="2">
                  <c:v>0.10059610792000002</c:v>
                </c:pt>
                <c:pt idx="3">
                  <c:v>8.5147700109999974E-2</c:v>
                </c:pt>
                <c:pt idx="4">
                  <c:v>0.25343497599999992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B547-4221-B40B-52B2CB4FB365}"/>
            </c:ext>
          </c:extLst>
        </c:ser>
        <c:ser>
          <c:idx val="2"/>
          <c:order val="2"/>
          <c:tx>
            <c:strRef>
              <c:f>'GrD-Grafikdaten'!$E$189</c:f>
              <c:strCache>
                <c:ptCount val="1"/>
                <c:pt idx="0">
                  <c:v>Privilegierter Letztverbrauch</c:v>
                </c:pt>
              </c:strCache>
            </c:strRef>
          </c:tx>
          <c:spPr>
            <a:solidFill>
              <a:srgbClr val="733E88"/>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'GrD-Grafikdaten'!$F$189:$AE$189</c:f>
              <c:numCache>
                <c:formatCode>0.00</c:formatCode>
                <c:ptCount val="26"/>
                <c:pt idx="0">
                  <c:v>3.3936076147189527E-2</c:v>
                </c:pt>
                <c:pt idx="1">
                  <c:v>3.7357574237737327E-2</c:v>
                </c:pt>
                <c:pt idx="2">
                  <c:v>4.2365070647105339E-2</c:v>
                </c:pt>
                <c:pt idx="3">
                  <c:v>3.2711856918474516E-2</c:v>
                </c:pt>
                <c:pt idx="4">
                  <c:v>0.13849324742799995</c:v>
                </c:pt>
                <c:pt idx="5">
                  <c:v>0.47544348507015805</c:v>
                </c:pt>
                <c:pt idx="6">
                  <c:v>0.49193394541548258</c:v>
                </c:pt>
                <c:pt idx="7">
                  <c:v>0.44685654303362138</c:v>
                </c:pt>
                <c:pt idx="8">
                  <c:v>0.46668132346493202</c:v>
                </c:pt>
                <c:pt idx="9">
                  <c:v>0.41825657234659014</c:v>
                </c:pt>
                <c:pt idx="10">
                  <c:v>0.44473750674681178</c:v>
                </c:pt>
                <c:pt idx="11">
                  <c:v>0.41990360429802653</c:v>
                </c:pt>
                <c:pt idx="12">
                  <c:v>0.26105747067618401</c:v>
                </c:pt>
                <c:pt idx="13">
                  <c:v>0.15349801007635749</c:v>
                </c:pt>
                <c:pt idx="14">
                  <c:v>0.28251218231608166</c:v>
                </c:pt>
                <c:pt idx="15">
                  <c:v>0.25019712558611273</c:v>
                </c:pt>
                <c:pt idx="16">
                  <c:v>0.23943849287007959</c:v>
                </c:pt>
                <c:pt idx="17">
                  <c:v>0.19664639385423049</c:v>
                </c:pt>
                <c:pt idx="18">
                  <c:v>0.16912606498971383</c:v>
                </c:pt>
                <c:pt idx="19">
                  <c:v>0.14292201058996323</c:v>
                </c:pt>
                <c:pt idx="20">
                  <c:v>0.10921504137276686</c:v>
                </c:pt>
                <c:pt idx="21">
                  <c:v>6.6365634825999525E-2</c:v>
                </c:pt>
                <c:pt idx="22">
                  <c:v>3.2275580998739284E-2</c:v>
                </c:pt>
                <c:pt idx="23">
                  <c:v>1.9143776655478992E-2</c:v>
                </c:pt>
                <c:pt idx="24">
                  <c:v>1.8803047487536396E-2</c:v>
                </c:pt>
                <c:pt idx="25">
                  <c:v>2.4573896174221961E-2</c:v>
                </c:pt>
              </c:numCache>
            </c:numRef>
          </c:val>
          <c:extLst>
            <c:ext xmlns:c16="http://schemas.microsoft.com/office/drawing/2014/chart" uri="{C3380CC4-5D6E-409C-BE32-E72D297353CC}">
              <c16:uniqueId val="{00000002-B547-4221-B40B-52B2CB4FB365}"/>
            </c:ext>
          </c:extLst>
        </c:ser>
        <c:ser>
          <c:idx val="3"/>
          <c:order val="3"/>
          <c:tx>
            <c:strRef>
              <c:f>'GrD-Grafikdaten'!$E$190</c:f>
              <c:strCache>
                <c:ptCount val="1"/>
                <c:pt idx="0">
                  <c:v>Eigenverbrauch (Bestand und Bestandsersatz, fossil)</c:v>
                </c:pt>
              </c:strCache>
            </c:strRef>
          </c:tx>
          <c:spPr>
            <a:solidFill>
              <a:srgbClr val="E6E6E6">
                <a:lumMod val="25000"/>
              </a:srgbClr>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'GrD-Grafikdaten'!$F$190:$AE$190</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B547-4221-B40B-52B2CB4FB365}"/>
            </c:ext>
          </c:extLst>
        </c:ser>
        <c:ser>
          <c:idx val="4"/>
          <c:order val="4"/>
          <c:tx>
            <c:strRef>
              <c:f>'GrD-Grafikdaten'!$E$191</c:f>
              <c:strCache>
                <c:ptCount val="1"/>
                <c:pt idx="0">
                  <c:v>Eigenverbrauch (Neuanlagen, EE und KWK)</c:v>
                </c:pt>
              </c:strCache>
            </c:strRef>
          </c:tx>
          <c:spPr>
            <a:solidFill>
              <a:srgbClr val="FFC000"/>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'GrD-Grafikdaten'!$F$191:$AE$191</c:f>
              <c:numCache>
                <c:formatCode>0.00</c:formatCode>
                <c:ptCount val="26"/>
                <c:pt idx="0">
                  <c:v>0</c:v>
                </c:pt>
                <c:pt idx="1">
                  <c:v>0</c:v>
                </c:pt>
                <c:pt idx="2">
                  <c:v>0</c:v>
                </c:pt>
                <c:pt idx="3">
                  <c:v>0</c:v>
                </c:pt>
                <c:pt idx="4">
                  <c:v>0</c:v>
                </c:pt>
                <c:pt idx="5">
                  <c:v>6.0572144149240595E-3</c:v>
                </c:pt>
                <c:pt idx="6">
                  <c:v>2.3050875313210917E-2</c:v>
                </c:pt>
                <c:pt idx="7">
                  <c:v>3.344538185262718E-2</c:v>
                </c:pt>
                <c:pt idx="8">
                  <c:v>4.4102524528450558E-2</c:v>
                </c:pt>
                <c:pt idx="9">
                  <c:v>8.7158546249925278E-2</c:v>
                </c:pt>
                <c:pt idx="10">
                  <c:v>0.10332735749983345</c:v>
                </c:pt>
                <c:pt idx="11">
                  <c:v>0.15709136125671255</c:v>
                </c:pt>
                <c:pt idx="12">
                  <c:v>0.15693526022298993</c:v>
                </c:pt>
                <c:pt idx="13">
                  <c:v>0.10508660797526576</c:v>
                </c:pt>
                <c:pt idx="14">
                  <c:v>0.21041206361768014</c:v>
                </c:pt>
                <c:pt idx="15">
                  <c:v>0.20514953642636982</c:v>
                </c:pt>
                <c:pt idx="16">
                  <c:v>0.21217434082718034</c:v>
                </c:pt>
                <c:pt idx="17">
                  <c:v>0.18054611197928222</c:v>
                </c:pt>
                <c:pt idx="18">
                  <c:v>0.15829748595126975</c:v>
                </c:pt>
                <c:pt idx="19">
                  <c:v>0.13633677221157803</c:v>
                </c:pt>
                <c:pt idx="20">
                  <c:v>0.10615467151682503</c:v>
                </c:pt>
                <c:pt idx="21">
                  <c:v>6.5711007725785905E-2</c:v>
                </c:pt>
                <c:pt idx="22">
                  <c:v>3.2546596732480358E-2</c:v>
                </c:pt>
                <c:pt idx="23">
                  <c:v>1.9656085558150856E-2</c:v>
                </c:pt>
                <c:pt idx="24">
                  <c:v>1.9653483535879531E-2</c:v>
                </c:pt>
                <c:pt idx="25">
                  <c:v>2.6138960757378558E-2</c:v>
                </c:pt>
              </c:numCache>
            </c:numRef>
          </c:val>
          <c:extLst>
            <c:ext xmlns:c16="http://schemas.microsoft.com/office/drawing/2014/chart" uri="{C3380CC4-5D6E-409C-BE32-E72D297353CC}">
              <c16:uniqueId val="{00000004-B547-4221-B40B-52B2CB4FB365}"/>
            </c:ext>
          </c:extLst>
        </c:ser>
        <c:ser>
          <c:idx val="5"/>
          <c:order val="5"/>
          <c:tx>
            <c:strRef>
              <c:f>'GrD-Grafikdaten'!$E$192</c:f>
              <c:strCache>
                <c:ptCount val="1"/>
                <c:pt idx="0">
                  <c:v>Eigenverbrauch (Neuanlagen, fossil, nicht KWK)</c:v>
                </c:pt>
              </c:strCache>
            </c:strRef>
          </c:tx>
          <c:spPr>
            <a:solidFill>
              <a:srgbClr val="080318"/>
            </a:solidFill>
          </c:spP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'GrD-Grafikdaten'!$F$192:$AE$192</c:f>
              <c:numCache>
                <c:formatCode>0.00</c:formatCode>
                <c:ptCount val="26"/>
                <c:pt idx="0">
                  <c:v>0</c:v>
                </c:pt>
                <c:pt idx="1">
                  <c:v>0</c:v>
                </c:pt>
                <c:pt idx="2">
                  <c:v>0</c:v>
                </c:pt>
                <c:pt idx="3">
                  <c:v>0</c:v>
                </c:pt>
                <c:pt idx="4">
                  <c:v>0</c:v>
                </c:pt>
                <c:pt idx="5">
                  <c:v>0</c:v>
                </c:pt>
                <c:pt idx="6">
                  <c:v>0</c:v>
                </c:pt>
                <c:pt idx="7">
                  <c:v>8.0579465102571135E-2</c:v>
                </c:pt>
                <c:pt idx="8">
                  <c:v>0.10466122169432336</c:v>
                </c:pt>
                <c:pt idx="9">
                  <c:v>0.16085421418934123</c:v>
                </c:pt>
                <c:pt idx="10">
                  <c:v>0.247104711034805</c:v>
                </c:pt>
                <c:pt idx="11">
                  <c:v>0.25251938567933324</c:v>
                </c:pt>
                <c:pt idx="12">
                  <c:v>0.19443267376703069</c:v>
                </c:pt>
                <c:pt idx="13">
                  <c:v>0.11631413349557464</c:v>
                </c:pt>
                <c:pt idx="14">
                  <c:v>0.2087750718098248</c:v>
                </c:pt>
                <c:pt idx="15">
                  <c:v>0.18449316871354998</c:v>
                </c:pt>
                <c:pt idx="16">
                  <c:v>0.17472235311957174</c:v>
                </c:pt>
                <c:pt idx="17">
                  <c:v>0.14349622842527804</c:v>
                </c:pt>
                <c:pt idx="18">
                  <c:v>0.12341417495010061</c:v>
                </c:pt>
                <c:pt idx="19">
                  <c:v>0.10429262940778897</c:v>
                </c:pt>
                <c:pt idx="20">
                  <c:v>7.9696078921843869E-2</c:v>
                </c:pt>
                <c:pt idx="21">
                  <c:v>4.842813594456026E-2</c:v>
                </c:pt>
                <c:pt idx="22">
                  <c:v>2.3552042083145572E-2</c:v>
                </c:pt>
                <c:pt idx="23">
                  <c:v>1.3969540422457233E-2</c:v>
                </c:pt>
                <c:pt idx="24">
                  <c:v>1.3720904535696505E-2</c:v>
                </c:pt>
                <c:pt idx="25">
                  <c:v>1.7931991274292871E-2</c:v>
                </c:pt>
              </c:numCache>
            </c:numRef>
          </c:val>
          <c:extLst>
            <c:ext xmlns:c16="http://schemas.microsoft.com/office/drawing/2014/chart" uri="{C3380CC4-5D6E-409C-BE32-E72D297353CC}">
              <c16:uniqueId val="{00000005-B547-4221-B40B-52B2CB4FB365}"/>
            </c:ext>
          </c:extLst>
        </c:ser>
        <c:dLbls>
          <c:showLegendKey val="0"/>
          <c:showVal val="0"/>
          <c:showCatName val="0"/>
          <c:showSerName val="0"/>
          <c:showPercent val="0"/>
          <c:showBubbleSize val="0"/>
        </c:dLbls>
        <c:axId val="132568576"/>
        <c:axId val="132570112"/>
      </c:areaChart>
      <c:catAx>
        <c:axId val="132568576"/>
        <c:scaling>
          <c:orientation val="minMax"/>
        </c:scaling>
        <c:delete val="0"/>
        <c:axPos val="b"/>
        <c:numFmt formatCode="0" sourceLinked="1"/>
        <c:majorTickMark val="out"/>
        <c:minorTickMark val="none"/>
        <c:tickLblPos val="nextTo"/>
        <c:txPr>
          <a:bodyPr rot="-5400000" vert="horz"/>
          <a:lstStyle/>
          <a:p>
            <a:pPr>
              <a:defRPr/>
            </a:pPr>
            <a:endParaRPr lang="en-US"/>
          </a:p>
        </c:txPr>
        <c:crossAx val="132570112"/>
        <c:crosses val="autoZero"/>
        <c:auto val="1"/>
        <c:lblAlgn val="ctr"/>
        <c:lblOffset val="100"/>
        <c:noMultiLvlLbl val="0"/>
      </c:catAx>
      <c:valAx>
        <c:axId val="132570112"/>
        <c:scaling>
          <c:orientation val="minMax"/>
        </c:scaling>
        <c:delete val="0"/>
        <c:axPos val="l"/>
        <c:majorGridlines/>
        <c:title>
          <c:tx>
            <c:strRef>
              <c:f>ControlPanel!$R$12</c:f>
              <c:strCache>
                <c:ptCount val="1"/>
                <c:pt idx="0">
                  <c:v>Mrd. €</c:v>
                </c:pt>
              </c:strCache>
            </c:strRef>
          </c:tx>
          <c:overlay val="0"/>
          <c:txPr>
            <a:bodyPr rot="-5400000" vert="horz"/>
            <a:lstStyle/>
            <a:p>
              <a:pPr>
                <a:defRPr>
                  <a:latin typeface="Arial" panose="020B0604020202020204" pitchFamily="34" charset="0"/>
                  <a:cs typeface="Arial" panose="020B0604020202020204" pitchFamily="34" charset="0"/>
                </a:defRPr>
              </a:pPr>
              <a:endParaRPr lang="en-US"/>
            </a:p>
          </c:txPr>
        </c:title>
        <c:numFmt formatCode="0" sourceLinked="0"/>
        <c:majorTickMark val="out"/>
        <c:minorTickMark val="none"/>
        <c:tickLblPos val="nextTo"/>
        <c:crossAx val="132568576"/>
        <c:crosses val="autoZero"/>
        <c:crossBetween val="midCat"/>
      </c:valAx>
      <c:spPr>
        <a:solidFill>
          <a:srgbClr val="E6E6E6"/>
        </a:solidFill>
      </c:spPr>
    </c:plotArea>
    <c:legend>
      <c:legendPos val="r"/>
      <c:layout>
        <c:manualLayout>
          <c:xMode val="edge"/>
          <c:yMode val="edge"/>
          <c:x val="0.65031944820008869"/>
          <c:y val="0.26737845775144342"/>
          <c:w val="0.33159544356536436"/>
          <c:h val="0.56460914803196238"/>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zero"/>
    <c:showDLblsOverMax val="0"/>
  </c:chart>
  <c:spPr>
    <a:solidFill>
      <a:srgbClr val="E6E6E6"/>
    </a:solidFill>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Umlagesatz nach Verbrauchergruppen</a:t>
            </a:r>
          </a:p>
        </c:rich>
      </c:tx>
      <c:overlay val="0"/>
    </c:title>
    <c:autoTitleDeleted val="0"/>
    <c:plotArea>
      <c:layout/>
      <c:lineChart>
        <c:grouping val="standard"/>
        <c:varyColors val="0"/>
        <c:ser>
          <c:idx val="6"/>
          <c:order val="0"/>
          <c:tx>
            <c:strRef>
              <c:f>'GrD-Grafikdaten'!$E$185</c:f>
              <c:strCache>
                <c:ptCount val="1"/>
                <c:pt idx="0">
                  <c:v>Grünstromprivileg</c:v>
                </c:pt>
              </c:strCache>
            </c:strRef>
          </c:tx>
          <c:spPr>
            <a:ln>
              <a:solidFill>
                <a:srgbClr val="00B050"/>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'GrD-Grafikdaten'!$F$185:$AE$185</c:f>
              <c:numCache>
                <c:formatCode>0.00</c:formatCode>
                <c:ptCount val="26"/>
                <c:pt idx="0">
                  <c:v>0</c:v>
                </c:pt>
                <c:pt idx="1">
                  <c:v>-9.9999999999944578E-4</c:v>
                </c:pt>
                <c:pt idx="2">
                  <c:v>1.5920000000000005</c:v>
                </c:pt>
                <c:pt idx="3">
                  <c:v>3.2769999999999992</c:v>
                </c:pt>
                <c:pt idx="4">
                  <c:v>4.2399999999999993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0-4000-42F3-A0E2-562A77E802FE}"/>
            </c:ext>
          </c:extLst>
        </c:ser>
        <c:ser>
          <c:idx val="4"/>
          <c:order val="1"/>
          <c:tx>
            <c:strRef>
              <c:f>'GrD-Grafikdaten'!$E$184</c:f>
              <c:strCache>
                <c:ptCount val="1"/>
                <c:pt idx="0">
                  <c:v>Eigenverbrauch (Neuanlagen, fossil, nicht KWK)</c:v>
                </c:pt>
              </c:strCache>
            </c:strRef>
          </c:tx>
          <c:spPr>
            <a:ln>
              <a:solidFill>
                <a:sysClr val="windowText" lastClr="000000"/>
              </a:solidFill>
              <a:prstDash val="dash"/>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'GrD-Grafikdaten'!$F$184:$AE$184</c:f>
              <c:numCache>
                <c:formatCode>0.00</c:formatCode>
                <c:ptCount val="26"/>
                <c:pt idx="0">
                  <c:v>0</c:v>
                </c:pt>
                <c:pt idx="1">
                  <c:v>0</c:v>
                </c:pt>
                <c:pt idx="2">
                  <c:v>0</c:v>
                </c:pt>
                <c:pt idx="3">
                  <c:v>0</c:v>
                </c:pt>
                <c:pt idx="4">
                  <c:v>0</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1-4000-42F3-A0E2-562A77E802FE}"/>
            </c:ext>
          </c:extLst>
        </c:ser>
        <c:ser>
          <c:idx val="5"/>
          <c:order val="2"/>
          <c:tx>
            <c:strRef>
              <c:f>'GrD-Grafikdaten'!$E$183</c:f>
              <c:strCache>
                <c:ptCount val="1"/>
                <c:pt idx="0">
                  <c:v>Eigenverbrauch (Neuanlagen, EE und KWK)</c:v>
                </c:pt>
              </c:strCache>
            </c:strRef>
          </c:tx>
          <c:spPr>
            <a:ln>
              <a:solidFill>
                <a:srgbClr val="FFC000"/>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'GrD-Grafikdaten'!$F$183:$AE$183</c:f>
              <c:numCache>
                <c:formatCode>0.00</c:formatCode>
                <c:ptCount val="26"/>
                <c:pt idx="0">
                  <c:v>0</c:v>
                </c:pt>
                <c:pt idx="1">
                  <c:v>0</c:v>
                </c:pt>
                <c:pt idx="2">
                  <c:v>0</c:v>
                </c:pt>
                <c:pt idx="3">
                  <c:v>0</c:v>
                </c:pt>
                <c:pt idx="4">
                  <c:v>0</c:v>
                </c:pt>
                <c:pt idx="5">
                  <c:v>1.8508712063293151</c:v>
                </c:pt>
                <c:pt idx="6">
                  <c:v>2.2183940239033628</c:v>
                </c:pt>
                <c:pt idx="7">
                  <c:v>2.7440948812936061</c:v>
                </c:pt>
                <c:pt idx="8">
                  <c:v>2.2804376484050883</c:v>
                </c:pt>
                <c:pt idx="9">
                  <c:v>2.3253783078074468</c:v>
                </c:pt>
                <c:pt idx="10">
                  <c:v>2.5482836783575213</c:v>
                </c:pt>
                <c:pt idx="11">
                  <c:v>2.4523189764851416</c:v>
                </c:pt>
                <c:pt idx="12">
                  <c:v>1.9113472086979257</c:v>
                </c:pt>
                <c:pt idx="13">
                  <c:v>1.1434122160726157</c:v>
                </c:pt>
                <c:pt idx="14">
                  <c:v>2.0523384419819761</c:v>
                </c:pt>
                <c:pt idx="15">
                  <c:v>1.8136380897945235</c:v>
                </c:pt>
                <c:pt idx="16">
                  <c:v>1.717587252502488</c:v>
                </c:pt>
                <c:pt idx="17">
                  <c:v>1.4106225581610163</c:v>
                </c:pt>
                <c:pt idx="18">
                  <c:v>1.2132083267407647</c:v>
                </c:pt>
                <c:pt idx="19">
                  <c:v>1.0252362539908968</c:v>
                </c:pt>
                <c:pt idx="20">
                  <c:v>0.78344279816855267</c:v>
                </c:pt>
                <c:pt idx="21">
                  <c:v>0.47606701418398406</c:v>
                </c:pt>
                <c:pt idx="22">
                  <c:v>0.23152554055135155</c:v>
                </c:pt>
                <c:pt idx="23">
                  <c:v>0.13732590091956046</c:v>
                </c:pt>
                <c:pt idx="24">
                  <c:v>0.13488171549056371</c:v>
                </c:pt>
                <c:pt idx="25">
                  <c:v>0.17627830140104267</c:v>
                </c:pt>
              </c:numCache>
            </c:numRef>
          </c:val>
          <c:smooth val="0"/>
          <c:extLst>
            <c:ext xmlns:c16="http://schemas.microsoft.com/office/drawing/2014/chart" uri="{C3380CC4-5D6E-409C-BE32-E72D297353CC}">
              <c16:uniqueId val="{00000002-4000-42F3-A0E2-562A77E802FE}"/>
            </c:ext>
          </c:extLst>
        </c:ser>
        <c:ser>
          <c:idx val="3"/>
          <c:order val="3"/>
          <c:tx>
            <c:strRef>
              <c:f>'GrD-Grafikdaten'!$E$182</c:f>
              <c:strCache>
                <c:ptCount val="1"/>
                <c:pt idx="0">
                  <c:v>Eigenverbrauch (Bestand und Bestandsersatz, fossil)</c:v>
                </c:pt>
              </c:strCache>
            </c:strRef>
          </c:tx>
          <c:spPr>
            <a:ln>
              <a:solidFill>
                <a:sysClr val="windowText" lastClr="000000"/>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'GrD-Grafikdaten'!$F$182:$AE$182</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3-4000-42F3-A0E2-562A77E802FE}"/>
            </c:ext>
          </c:extLst>
        </c:ser>
        <c:ser>
          <c:idx val="2"/>
          <c:order val="4"/>
          <c:tx>
            <c:strRef>
              <c:f>'GrD-Grafikdaten'!$E$181</c:f>
              <c:strCache>
                <c:ptCount val="1"/>
                <c:pt idx="0">
                  <c:v>Privilegierter Letztverbrauch</c:v>
                </c:pt>
              </c:strCache>
            </c:strRef>
          </c:tx>
          <c:spPr>
            <a:ln>
              <a:solidFill>
                <a:srgbClr val="733E88"/>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'GrD-Grafikdaten'!$F$181:$AE$181</c:f>
              <c:numCache>
                <c:formatCode>0.00</c:formatCode>
                <c:ptCount val="26"/>
                <c:pt idx="0">
                  <c:v>4.9989800764796165E-2</c:v>
                </c:pt>
                <c:pt idx="1">
                  <c:v>4.9990085901745571E-2</c:v>
                </c:pt>
                <c:pt idx="2">
                  <c:v>5.0001590567365084E-2</c:v>
                </c:pt>
                <c:pt idx="3">
                  <c:v>3.3995000948890464E-2</c:v>
                </c:pt>
                <c:pt idx="4">
                  <c:v>0.13001254107481827</c:v>
                </c:pt>
                <c:pt idx="5">
                  <c:v>0.43125299107473042</c:v>
                </c:pt>
                <c:pt idx="6">
                  <c:v>0.47346866738737492</c:v>
                </c:pt>
                <c:pt idx="7">
                  <c:v>0.39147943922324174</c:v>
                </c:pt>
                <c:pt idx="8">
                  <c:v>0.40690666517638763</c:v>
                </c:pt>
                <c:pt idx="9">
                  <c:v>0.36712782552459539</c:v>
                </c:pt>
                <c:pt idx="10">
                  <c:v>0.38282786662893387</c:v>
                </c:pt>
                <c:pt idx="11">
                  <c:v>0.37248612108402956</c:v>
                </c:pt>
                <c:pt idx="12">
                  <c:v>0.22007879841189013</c:v>
                </c:pt>
                <c:pt idx="13">
                  <c:v>0.1316562398802277</c:v>
                </c:pt>
                <c:pt idx="14">
                  <c:v>0.23631299231792693</c:v>
                </c:pt>
                <c:pt idx="15">
                  <c:v>0.20882824938328412</c:v>
                </c:pt>
                <c:pt idx="16">
                  <c:v>0.19776864034862443</c:v>
                </c:pt>
                <c:pt idx="17">
                  <c:v>0.16242371673761505</c:v>
                </c:pt>
                <c:pt idx="18">
                  <c:v>0.13969279341679511</c:v>
                </c:pt>
                <c:pt idx="19">
                  <c:v>0.11804907127278702</c:v>
                </c:pt>
                <c:pt idx="20">
                  <c:v>9.0208178221497376E-2</c:v>
                </c:pt>
                <c:pt idx="21">
                  <c:v>5.4815920398116398E-2</c:v>
                </c:pt>
                <c:pt idx="22">
                  <c:v>2.6658611545997593E-2</c:v>
                </c:pt>
                <c:pt idx="23">
                  <c:v>1.5812155493085813E-2</c:v>
                </c:pt>
                <c:pt idx="24">
                  <c:v>1.5530723951050132E-2</c:v>
                </c:pt>
                <c:pt idx="25">
                  <c:v>2.0297262884465154E-2</c:v>
                </c:pt>
              </c:numCache>
            </c:numRef>
          </c:val>
          <c:smooth val="0"/>
          <c:extLst>
            <c:ext xmlns:c16="http://schemas.microsoft.com/office/drawing/2014/chart" uri="{C3380CC4-5D6E-409C-BE32-E72D297353CC}">
              <c16:uniqueId val="{00000004-4000-42F3-A0E2-562A77E802FE}"/>
            </c:ext>
          </c:extLst>
        </c:ser>
        <c:ser>
          <c:idx val="1"/>
          <c:order val="5"/>
          <c:tx>
            <c:strRef>
              <c:f>'GrD-Grafikdaten'!$E$180</c:f>
              <c:strCache>
                <c:ptCount val="1"/>
                <c:pt idx="0">
                  <c:v>Nicht privilegierter Letztverbrauch</c:v>
                </c:pt>
              </c:strCache>
            </c:strRef>
          </c:tx>
          <c:spPr>
            <a:ln w="50800">
              <a:solidFill>
                <a:srgbClr val="080318"/>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'GrD-Grafikdaten'!$F$180:$AE$180</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5-4000-42F3-A0E2-562A77E802FE}"/>
            </c:ext>
          </c:extLst>
        </c:ser>
        <c:dLbls>
          <c:showLegendKey val="0"/>
          <c:showVal val="0"/>
          <c:showCatName val="0"/>
          <c:showSerName val="0"/>
          <c:showPercent val="0"/>
          <c:showBubbleSize val="0"/>
        </c:dLbls>
        <c:smooth val="0"/>
        <c:axId val="132904448"/>
        <c:axId val="132905984"/>
      </c:lineChart>
      <c:catAx>
        <c:axId val="132904448"/>
        <c:scaling>
          <c:orientation val="minMax"/>
        </c:scaling>
        <c:delete val="0"/>
        <c:axPos val="b"/>
        <c:numFmt formatCode="0" sourceLinked="1"/>
        <c:majorTickMark val="out"/>
        <c:minorTickMark val="none"/>
        <c:tickLblPos val="nextTo"/>
        <c:crossAx val="132905984"/>
        <c:crosses val="autoZero"/>
        <c:auto val="1"/>
        <c:lblAlgn val="ctr"/>
        <c:lblOffset val="100"/>
        <c:noMultiLvlLbl val="0"/>
      </c:catAx>
      <c:valAx>
        <c:axId val="132905984"/>
        <c:scaling>
          <c:orientation val="minMax"/>
          <c:min val="0"/>
        </c:scaling>
        <c:delete val="0"/>
        <c:axPos val="l"/>
        <c:majorGridlines/>
        <c:title>
          <c:tx>
            <c:strRef>
              <c:f>ControlPanel!$R$13</c:f>
              <c:strCache>
                <c:ptCount val="1"/>
                <c:pt idx="0">
                  <c:v>ct/kWh</c:v>
                </c:pt>
              </c:strCache>
            </c:strRef>
          </c:tx>
          <c:overlay val="0"/>
          <c:txPr>
            <a:bodyPr rot="-5400000" vert="horz"/>
            <a:lstStyle/>
            <a:p>
              <a:pPr>
                <a:defRPr>
                  <a:latin typeface="Arial" panose="020B0604020202020204" pitchFamily="34" charset="0"/>
                  <a:cs typeface="Arial" panose="020B0604020202020204" pitchFamily="34" charset="0"/>
                </a:defRPr>
              </a:pPr>
              <a:endParaRPr lang="en-US"/>
            </a:p>
          </c:txPr>
        </c:title>
        <c:numFmt formatCode="0" sourceLinked="0"/>
        <c:majorTickMark val="out"/>
        <c:minorTickMark val="none"/>
        <c:tickLblPos val="nextTo"/>
        <c:crossAx val="132904448"/>
        <c:crosses val="autoZero"/>
        <c:crossBetween val="between"/>
      </c:valAx>
      <c:spPr>
        <a:solidFill>
          <a:srgbClr val="E6E6E6"/>
        </a:solidFill>
      </c:spPr>
    </c:plotArea>
    <c:legend>
      <c:legendPos val="r"/>
      <c:layout>
        <c:manualLayout>
          <c:xMode val="edge"/>
          <c:yMode val="edge"/>
          <c:x val="0.64482518836180214"/>
          <c:y val="0.1424647062889535"/>
          <c:w val="0.34061378363726452"/>
          <c:h val="0.80633145890472446"/>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zero"/>
    <c:showDLblsOverMax val="0"/>
  </c:chart>
  <c:spPr>
    <a:solidFill>
      <a:srgbClr val="E6E6E6"/>
    </a:solidFill>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latin typeface="Arial" panose="020B0604020202020204" pitchFamily="34" charset="0"/>
                <a:cs typeface="Arial" panose="020B0604020202020204" pitchFamily="34" charset="0"/>
              </a:defRPr>
            </a:pPr>
            <a:r>
              <a:rPr lang="de-DE" sz="1800">
                <a:latin typeface="Arial" panose="020B0604020202020204" pitchFamily="34" charset="0"/>
                <a:cs typeface="Arial" panose="020B0604020202020204" pitchFamily="34" charset="0"/>
              </a:rPr>
              <a:t>Strompreis und Umlage</a:t>
            </a:r>
          </a:p>
        </c:rich>
      </c:tx>
      <c:layout>
        <c:manualLayout>
          <c:xMode val="edge"/>
          <c:yMode val="edge"/>
          <c:x val="0.13216439408488573"/>
          <c:y val="6.6078032380783858E-2"/>
        </c:manualLayout>
      </c:layout>
      <c:overlay val="1"/>
    </c:title>
    <c:autoTitleDeleted val="0"/>
    <c:plotArea>
      <c:layout>
        <c:manualLayout>
          <c:layoutTarget val="inner"/>
          <c:xMode val="edge"/>
          <c:yMode val="edge"/>
          <c:x val="0.1126586703987395"/>
          <c:y val="4.2524152047853307E-2"/>
          <c:w val="0.66123001337924681"/>
          <c:h val="0.84035802057976827"/>
        </c:manualLayout>
      </c:layout>
      <c:barChart>
        <c:barDir val="col"/>
        <c:grouping val="stacked"/>
        <c:varyColors val="0"/>
        <c:ser>
          <c:idx val="0"/>
          <c:order val="1"/>
          <c:tx>
            <c:strRef>
              <c:f>'GrD-Grafikdaten'!$E$150</c:f>
              <c:strCache>
                <c:ptCount val="1"/>
                <c:pt idx="0">
                  <c:v>Strompreis</c:v>
                </c:pt>
              </c:strCache>
            </c:strRef>
          </c:tx>
          <c:spPr>
            <a:solidFill>
              <a:schemeClr val="accent6">
                <a:lumMod val="75000"/>
              </a:scheme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'GrD-Grafikdaten'!$F$150:$AE$150</c:f>
              <c:numCache>
                <c:formatCode>0.00</c:formatCode>
                <c:ptCount val="26"/>
                <c:pt idx="0">
                  <c:v>5.3650479999999998</c:v>
                </c:pt>
                <c:pt idx="1">
                  <c:v>5.0739089999999996</c:v>
                </c:pt>
                <c:pt idx="2">
                  <c:v>5.5220000000000002</c:v>
                </c:pt>
                <c:pt idx="3">
                  <c:v>5.1150000000000002</c:v>
                </c:pt>
                <c:pt idx="4">
                  <c:v>4.1450000000000005</c:v>
                </c:pt>
                <c:pt idx="5">
                  <c:v>3.5670000000000002</c:v>
                </c:pt>
                <c:pt idx="6">
                  <c:v>3.1260000000000003</c:v>
                </c:pt>
                <c:pt idx="7">
                  <c:v>2.6749999999999998</c:v>
                </c:pt>
                <c:pt idx="8">
                  <c:v>3.222</c:v>
                </c:pt>
                <c:pt idx="9">
                  <c:v>4.6280000000000001</c:v>
                </c:pt>
                <c:pt idx="10">
                  <c:v>4.9340000000000002</c:v>
                </c:pt>
                <c:pt idx="11">
                  <c:v>4.0739999999999998</c:v>
                </c:pt>
                <c:pt idx="12">
                  <c:v>7.8400000000000007</c:v>
                </c:pt>
                <c:pt idx="13">
                  <c:v>8.7519999999999989</c:v>
                </c:pt>
                <c:pt idx="14">
                  <c:v>7.2530000000000001</c:v>
                </c:pt>
                <c:pt idx="15">
                  <c:v>7.1599999999999993</c:v>
                </c:pt>
                <c:pt idx="16">
                  <c:v>7.0620000000000003</c:v>
                </c:pt>
                <c:pt idx="17">
                  <c:v>7.035000000000001</c:v>
                </c:pt>
                <c:pt idx="18">
                  <c:v>6.9610000000000003</c:v>
                </c:pt>
                <c:pt idx="19">
                  <c:v>6.8930000000000007</c:v>
                </c:pt>
                <c:pt idx="20">
                  <c:v>6.8579999999999997</c:v>
                </c:pt>
                <c:pt idx="21">
                  <c:v>6.8170000000000002</c:v>
                </c:pt>
                <c:pt idx="22">
                  <c:v>6.7377500000000001</c:v>
                </c:pt>
                <c:pt idx="23">
                  <c:v>6.658500000000001</c:v>
                </c:pt>
                <c:pt idx="24">
                  <c:v>6.57925</c:v>
                </c:pt>
                <c:pt idx="25">
                  <c:v>6.5</c:v>
                </c:pt>
              </c:numCache>
            </c:numRef>
          </c:val>
          <c:extLst>
            <c:ext xmlns:c16="http://schemas.microsoft.com/office/drawing/2014/chart" uri="{C3380CC4-5D6E-409C-BE32-E72D297353CC}">
              <c16:uniqueId val="{00000000-1DAF-4493-920E-C9D0936CC197}"/>
            </c:ext>
          </c:extLst>
        </c:ser>
        <c:ser>
          <c:idx val="2"/>
          <c:order val="2"/>
          <c:tx>
            <c:strRef>
              <c:f>'GrD-Grafikdaten'!$E$151</c:f>
              <c:strCache>
                <c:ptCount val="1"/>
                <c:pt idx="0">
                  <c:v>Umlage</c:v>
                </c:pt>
              </c:strCache>
            </c:strRef>
          </c:tx>
          <c:spPr>
            <a:solidFill>
              <a:srgbClr val="00B0F0"/>
            </a:solidFill>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'GrD-Grafikdaten'!$F$151:$AE$151</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extLst>
            <c:ext xmlns:c16="http://schemas.microsoft.com/office/drawing/2014/chart" uri="{C3380CC4-5D6E-409C-BE32-E72D297353CC}">
              <c16:uniqueId val="{00000001-1DAF-4493-920E-C9D0936CC197}"/>
            </c:ext>
          </c:extLst>
        </c:ser>
        <c:dLbls>
          <c:showLegendKey val="0"/>
          <c:showVal val="0"/>
          <c:showCatName val="0"/>
          <c:showSerName val="0"/>
          <c:showPercent val="0"/>
          <c:showBubbleSize val="0"/>
        </c:dLbls>
        <c:gapWidth val="10"/>
        <c:overlap val="100"/>
        <c:serLines/>
        <c:axId val="172156416"/>
        <c:axId val="172157952"/>
      </c:barChart>
      <c:lineChart>
        <c:grouping val="standard"/>
        <c:varyColors val="0"/>
        <c:ser>
          <c:idx val="1"/>
          <c:order val="0"/>
          <c:tx>
            <c:strRef>
              <c:f>'GrD-Grafikdaten'!$E$149</c:f>
              <c:strCache>
                <c:ptCount val="1"/>
                <c:pt idx="0">
                  <c:v>Summe Strompreis + Umlage</c:v>
                </c:pt>
              </c:strCache>
            </c:strRef>
          </c:tx>
          <c:spPr>
            <a:ln>
              <a:solidFill>
                <a:srgbClr val="7030A0"/>
              </a:solidFill>
            </a:ln>
          </c:spPr>
          <c:marker>
            <c:symbol val="none"/>
          </c:marker>
          <c:dLbls>
            <c:numFmt formatCode="#,##0.0" sourceLinked="0"/>
            <c:spPr>
              <a:solidFill>
                <a:srgbClr val="FFFFFF">
                  <a:alpha val="69804"/>
                </a:srgbClr>
              </a:solidFill>
              <a:ln cap="rnd">
                <a:solidFill>
                  <a:schemeClr val="accent6">
                    <a:lumMod val="60000"/>
                    <a:lumOff val="40000"/>
                  </a:schemeClr>
                </a:solidFill>
                <a:round/>
              </a:ln>
              <a:effectLst>
                <a:softEdge rad="0"/>
              </a:effectLst>
            </c:spPr>
            <c:txPr>
              <a:bodyPr/>
              <a:lstStyle/>
              <a:p>
                <a:pPr>
                  <a:defRPr sz="900">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'GrD-Grafikdaten'!$F$149:$AE$149</c:f>
              <c:numCache>
                <c:formatCode>0.00</c:formatCode>
                <c:ptCount val="26"/>
                <c:pt idx="0">
                  <c:v>7.4120479999999995</c:v>
                </c:pt>
                <c:pt idx="1">
                  <c:v>8.6039089999999998</c:v>
                </c:pt>
                <c:pt idx="2">
                  <c:v>9.1140000000000008</c:v>
                </c:pt>
                <c:pt idx="3">
                  <c:v>10.391999999999999</c:v>
                </c:pt>
                <c:pt idx="4">
                  <c:v>10.385</c:v>
                </c:pt>
                <c:pt idx="5">
                  <c:v>9.7365706877643845</c:v>
                </c:pt>
                <c:pt idx="6">
                  <c:v>9.464268639723894</c:v>
                </c:pt>
                <c:pt idx="7">
                  <c:v>9.5352264368703565</c:v>
                </c:pt>
                <c:pt idx="8">
                  <c:v>10.00080483632372</c:v>
                </c:pt>
                <c:pt idx="9">
                  <c:v>11.034581826229905</c:v>
                </c:pt>
                <c:pt idx="10">
                  <c:v>11.692116313820181</c:v>
                </c:pt>
                <c:pt idx="11">
                  <c:v>10.577615363716919</c:v>
                </c:pt>
                <c:pt idx="12">
                  <c:v>11.563082772147341</c:v>
                </c:pt>
                <c:pt idx="13">
                  <c:v>10.97923443639672</c:v>
                </c:pt>
                <c:pt idx="14">
                  <c:v>11.250717348887195</c:v>
                </c:pt>
                <c:pt idx="15">
                  <c:v>10.692756736346251</c:v>
                </c:pt>
                <c:pt idx="16">
                  <c:v>10.407660840872651</c:v>
                </c:pt>
                <c:pt idx="17">
                  <c:v>9.7827292039835285</c:v>
                </c:pt>
                <c:pt idx="18">
                  <c:v>9.3241891682261588</c:v>
                </c:pt>
                <c:pt idx="19">
                  <c:v>8.8900413628901465</c:v>
                </c:pt>
                <c:pt idx="20">
                  <c:v>8.3840557430647475</c:v>
                </c:pt>
                <c:pt idx="21">
                  <c:v>7.7443233512101965</c:v>
                </c:pt>
                <c:pt idx="22">
                  <c:v>7.1887349112794388</c:v>
                </c:pt>
                <c:pt idx="23">
                  <c:v>6.9259949342309861</c:v>
                </c:pt>
                <c:pt idx="24">
                  <c:v>6.8419839443798365</c:v>
                </c:pt>
                <c:pt idx="25">
                  <c:v>6.8433696944558342</c:v>
                </c:pt>
              </c:numCache>
            </c:numRef>
          </c:val>
          <c:smooth val="0"/>
          <c:extLst>
            <c:ext xmlns:c16="http://schemas.microsoft.com/office/drawing/2014/chart" uri="{C3380CC4-5D6E-409C-BE32-E72D297353CC}">
              <c16:uniqueId val="{00000002-1DAF-4493-920E-C9D0936CC197}"/>
            </c:ext>
          </c:extLst>
        </c:ser>
        <c:dLbls>
          <c:showLegendKey val="0"/>
          <c:showVal val="0"/>
          <c:showCatName val="0"/>
          <c:showSerName val="0"/>
          <c:showPercent val="0"/>
          <c:showBubbleSize val="0"/>
        </c:dLbls>
        <c:marker val="1"/>
        <c:smooth val="0"/>
        <c:axId val="172156416"/>
        <c:axId val="172157952"/>
      </c:lineChart>
      <c:catAx>
        <c:axId val="172156416"/>
        <c:scaling>
          <c:orientation val="minMax"/>
        </c:scaling>
        <c:delete val="0"/>
        <c:axPos val="b"/>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72157952"/>
        <c:crosses val="autoZero"/>
        <c:auto val="1"/>
        <c:lblAlgn val="ctr"/>
        <c:lblOffset val="100"/>
        <c:noMultiLvlLbl val="0"/>
      </c:catAx>
      <c:valAx>
        <c:axId val="172157952"/>
        <c:scaling>
          <c:orientation val="minMax"/>
          <c:max val="15"/>
          <c:min val="0"/>
        </c:scaling>
        <c:delete val="0"/>
        <c:axPos val="l"/>
        <c:majorGridlines/>
        <c:title>
          <c:tx>
            <c:strRef>
              <c:f>ControlPanel!$R$13</c:f>
              <c:strCache>
                <c:ptCount val="1"/>
                <c:pt idx="0">
                  <c:v>ct/kWh</c:v>
                </c:pt>
              </c:strCache>
            </c:strRef>
          </c:tx>
          <c:layout>
            <c:manualLayout>
              <c:xMode val="edge"/>
              <c:yMode val="edge"/>
              <c:x val="2.4058025417757915E-2"/>
              <c:y val="0.45102308548739756"/>
            </c:manualLayout>
          </c:layout>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72156416"/>
        <c:crosses val="autoZero"/>
        <c:crossBetween val="between"/>
        <c:majorUnit val="2.5"/>
      </c:valAx>
      <c:spPr>
        <a:solidFill>
          <a:schemeClr val="bg1"/>
        </a:solidFill>
      </c:spPr>
    </c:plotArea>
    <c:legend>
      <c:legendPos val="r"/>
      <c:layout>
        <c:manualLayout>
          <c:xMode val="edge"/>
          <c:yMode val="edge"/>
          <c:x val="0.8025792023853896"/>
          <c:y val="0.16655034422193807"/>
          <c:w val="0.18251211330600076"/>
          <c:h val="0.28190427731581741"/>
        </c:manualLayout>
      </c:layout>
      <c:overlay val="0"/>
    </c:legend>
    <c:plotVisOnly val="1"/>
    <c:dispBlanksAs val="gap"/>
    <c:showDLblsOverMax val="0"/>
  </c:chart>
  <c:spPr>
    <a:ln>
      <a:solidFill>
        <a:schemeClr val="tx1"/>
      </a:solid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latin typeface="Arial" panose="020B0604020202020204" pitchFamily="34" charset="0"/>
                <a:cs typeface="Arial" panose="020B0604020202020204" pitchFamily="34" charset="0"/>
              </a:defRPr>
            </a:pPr>
            <a:r>
              <a:rPr lang="en-US" sz="1800">
                <a:latin typeface="Arial" panose="020B0604020202020204" pitchFamily="34" charset="0"/>
                <a:cs typeface="Arial" panose="020B0604020202020204" pitchFamily="34" charset="0"/>
              </a:rPr>
              <a:t>EE-Anteil am Bruttostromverbrauch</a:t>
            </a:r>
          </a:p>
        </c:rich>
      </c:tx>
      <c:overlay val="1"/>
    </c:title>
    <c:autoTitleDeleted val="0"/>
    <c:plotArea>
      <c:layout>
        <c:manualLayout>
          <c:layoutTarget val="inner"/>
          <c:xMode val="edge"/>
          <c:yMode val="edge"/>
          <c:x val="9.0091529653656355E-2"/>
          <c:y val="0.13536589744280189"/>
          <c:w val="0.56628753712729529"/>
          <c:h val="0.73580621527497281"/>
        </c:manualLayout>
      </c:layout>
      <c:barChart>
        <c:barDir val="col"/>
        <c:grouping val="stacked"/>
        <c:varyColors val="0"/>
        <c:ser>
          <c:idx val="2"/>
          <c:order val="0"/>
          <c:tx>
            <c:strRef>
              <c:f>'GrD-Grafikdaten'!$E$227</c:f>
              <c:strCache>
                <c:ptCount val="1"/>
                <c:pt idx="0">
                  <c:v>untere Grenze der Zielmarken</c:v>
                </c:pt>
              </c:strCache>
            </c:strRef>
          </c:tx>
          <c:spPr>
            <a:no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'GrD-Grafikdaten'!$F$227:$AE$227</c:f>
              <c:numCache>
                <c:formatCode>0.0%</c:formatCode>
                <c:ptCount val="26"/>
                <c:pt idx="15">
                  <c:v>0.4</c:v>
                </c:pt>
                <c:pt idx="25">
                  <c:v>0.55000000000000004</c:v>
                </c:pt>
              </c:numCache>
            </c:numRef>
          </c:val>
          <c:extLst>
            <c:ext xmlns:c16="http://schemas.microsoft.com/office/drawing/2014/chart" uri="{C3380CC4-5D6E-409C-BE32-E72D297353CC}">
              <c16:uniqueId val="{00000000-89B9-43CB-BC30-B074D4468F3C}"/>
            </c:ext>
          </c:extLst>
        </c:ser>
        <c:ser>
          <c:idx val="1"/>
          <c:order val="1"/>
          <c:tx>
            <c:strRef>
              <c:f>'GrD-Grafikdaten'!$E$226</c:f>
              <c:strCache>
                <c:ptCount val="1"/>
                <c:pt idx="0">
                  <c:v>Zielmarke gem. EEG:
40-45% in 2025,
55-60% in 2035</c:v>
                </c:pt>
              </c:strCache>
            </c:strRef>
          </c:tx>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'GrD-Grafikdaten'!$F$226:$AE$226</c:f>
              <c:numCache>
                <c:formatCode>0.0%</c:formatCode>
                <c:ptCount val="26"/>
                <c:pt idx="15">
                  <c:v>4.9999999999999989E-2</c:v>
                </c:pt>
                <c:pt idx="25">
                  <c:v>4.9999999999999933E-2</c:v>
                </c:pt>
              </c:numCache>
            </c:numRef>
          </c:val>
          <c:extLst>
            <c:ext xmlns:c16="http://schemas.microsoft.com/office/drawing/2014/chart" uri="{C3380CC4-5D6E-409C-BE32-E72D297353CC}">
              <c16:uniqueId val="{00000001-89B9-43CB-BC30-B074D4468F3C}"/>
            </c:ext>
          </c:extLst>
        </c:ser>
        <c:dLbls>
          <c:showLegendKey val="0"/>
          <c:showVal val="0"/>
          <c:showCatName val="0"/>
          <c:showSerName val="0"/>
          <c:showPercent val="0"/>
          <c:showBubbleSize val="0"/>
        </c:dLbls>
        <c:gapWidth val="0"/>
        <c:overlap val="100"/>
        <c:axId val="173003520"/>
        <c:axId val="173005056"/>
      </c:barChart>
      <c:lineChart>
        <c:grouping val="standard"/>
        <c:varyColors val="0"/>
        <c:ser>
          <c:idx val="0"/>
          <c:order val="2"/>
          <c:tx>
            <c:strRef>
              <c:f>'GrD-Grafikdaten'!$E$225</c:f>
              <c:strCache>
                <c:ptCount val="1"/>
                <c:pt idx="0">
                  <c:v>Anteil Erneuerbarer</c:v>
                </c:pt>
              </c:strCache>
            </c:strRef>
          </c:tx>
          <c:spPr>
            <a:ln>
              <a:solidFill>
                <a:schemeClr val="tx2"/>
              </a:solidFill>
            </a:ln>
          </c:spPr>
          <c:marker>
            <c:symbol val="none"/>
          </c:marker>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'GrD-Grafikdaten'!$F$225:$AE$225</c:f>
              <c:numCache>
                <c:formatCode>0.0%</c:formatCode>
                <c:ptCount val="26"/>
                <c:pt idx="0">
                  <c:v>0.17956606533398342</c:v>
                </c:pt>
                <c:pt idx="1">
                  <c:v>0.20889978081740276</c:v>
                </c:pt>
                <c:pt idx="2">
                  <c:v>0.22202076099489373</c:v>
                </c:pt>
                <c:pt idx="3">
                  <c:v>0.25922769498261294</c:v>
                </c:pt>
                <c:pt idx="4">
                  <c:v>0.28309799017205339</c:v>
                </c:pt>
                <c:pt idx="5">
                  <c:v>0.30059636757838554</c:v>
                </c:pt>
                <c:pt idx="6">
                  <c:v>0.32800036950342748</c:v>
                </c:pt>
                <c:pt idx="7">
                  <c:v>0.34547588818223213</c:v>
                </c:pt>
                <c:pt idx="8">
                  <c:v>0.37587892392510169</c:v>
                </c:pt>
                <c:pt idx="9">
                  <c:v>0.39575235855942015</c:v>
                </c:pt>
                <c:pt idx="10">
                  <c:v>0.41050394895058645</c:v>
                </c:pt>
                <c:pt idx="11">
                  <c:v>0.4325342394860715</c:v>
                </c:pt>
                <c:pt idx="12">
                  <c:v>0.46571829833782635</c:v>
                </c:pt>
                <c:pt idx="13">
                  <c:v>0.50142246529592194</c:v>
                </c:pt>
                <c:pt idx="14">
                  <c:v>0.532142255999694</c:v>
                </c:pt>
                <c:pt idx="15">
                  <c:v>0.56203262172263801</c:v>
                </c:pt>
                <c:pt idx="16">
                  <c:v>0.58528520305834397</c:v>
                </c:pt>
                <c:pt idx="17">
                  <c:v>0.5779596122645192</c:v>
                </c:pt>
                <c:pt idx="18">
                  <c:v>0.56791967004725596</c:v>
                </c:pt>
                <c:pt idx="19">
                  <c:v>0.56209177842234381</c:v>
                </c:pt>
                <c:pt idx="20">
                  <c:v>0.55575636455364708</c:v>
                </c:pt>
                <c:pt idx="21">
                  <c:v>0.54867747835100678</c:v>
                </c:pt>
                <c:pt idx="22">
                  <c:v>0.53761406817443358</c:v>
                </c:pt>
                <c:pt idx="23">
                  <c:v>0.53402881396106749</c:v>
                </c:pt>
                <c:pt idx="24">
                  <c:v>0.53106744125023231</c:v>
                </c:pt>
                <c:pt idx="25">
                  <c:v>0.5210230381623282</c:v>
                </c:pt>
              </c:numCache>
            </c:numRef>
          </c:val>
          <c:smooth val="0"/>
          <c:extLst>
            <c:ext xmlns:c16="http://schemas.microsoft.com/office/drawing/2014/chart" uri="{C3380CC4-5D6E-409C-BE32-E72D297353CC}">
              <c16:uniqueId val="{00000002-89B9-43CB-BC30-B074D4468F3C}"/>
            </c:ext>
          </c:extLst>
        </c:ser>
        <c:ser>
          <c:idx val="3"/>
          <c:order val="3"/>
          <c:tx>
            <c:strRef>
              <c:f>'GrD-Grafikdaten'!$E$229</c:f>
              <c:strCache>
                <c:ptCount val="1"/>
                <c:pt idx="0">
                  <c:v>Zielmarke Koalitionsvertrag 2018 65%</c:v>
                </c:pt>
              </c:strCache>
            </c:strRef>
          </c:tx>
          <c:dPt>
            <c:idx val="20"/>
            <c:marker>
              <c:symbol val="diamond"/>
              <c:size val="10"/>
              <c:spPr>
                <a:solidFill>
                  <a:schemeClr val="accent1"/>
                </a:solidFill>
                <a:ln>
                  <a:solidFill>
                    <a:schemeClr val="accent1"/>
                  </a:solidFill>
                </a:ln>
              </c:spPr>
            </c:marker>
            <c:bubble3D val="0"/>
            <c:extLst>
              <c:ext xmlns:c16="http://schemas.microsoft.com/office/drawing/2014/chart" uri="{C3380CC4-5D6E-409C-BE32-E72D297353CC}">
                <c16:uniqueId val="{00000002-C665-41EE-B58C-B6FDAFAC8B3C}"/>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'GrD-Grafikdaten'!$F$229:$AE$229</c:f>
              <c:numCache>
                <c:formatCode>0.0%</c:formatCode>
                <c:ptCount val="26"/>
                <c:pt idx="20">
                  <c:v>0.65</c:v>
                </c:pt>
              </c:numCache>
            </c:numRef>
          </c:val>
          <c:smooth val="0"/>
          <c:extLst>
            <c:ext xmlns:c16="http://schemas.microsoft.com/office/drawing/2014/chart" uri="{C3380CC4-5D6E-409C-BE32-E72D297353CC}">
              <c16:uniqueId val="{00000001-C665-41EE-B58C-B6FDAFAC8B3C}"/>
            </c:ext>
          </c:extLst>
        </c:ser>
        <c:dLbls>
          <c:showLegendKey val="0"/>
          <c:showVal val="0"/>
          <c:showCatName val="0"/>
          <c:showSerName val="0"/>
          <c:showPercent val="0"/>
          <c:showBubbleSize val="0"/>
        </c:dLbls>
        <c:marker val="1"/>
        <c:smooth val="0"/>
        <c:axId val="173003520"/>
        <c:axId val="173005056"/>
      </c:lineChart>
      <c:catAx>
        <c:axId val="173003520"/>
        <c:scaling>
          <c:orientation val="minMax"/>
        </c:scaling>
        <c:delete val="0"/>
        <c:axPos val="b"/>
        <c:numFmt formatCode="0" sourceLinked="1"/>
        <c:majorTickMark val="out"/>
        <c:minorTickMark val="none"/>
        <c:tickLblPos val="nextTo"/>
        <c:crossAx val="173005056"/>
        <c:crosses val="autoZero"/>
        <c:auto val="1"/>
        <c:lblAlgn val="ctr"/>
        <c:lblOffset val="100"/>
        <c:noMultiLvlLbl val="0"/>
      </c:catAx>
      <c:valAx>
        <c:axId val="173005056"/>
        <c:scaling>
          <c:orientation val="minMax"/>
        </c:scaling>
        <c:delete val="0"/>
        <c:axPos val="l"/>
        <c:majorGridlines/>
        <c:numFmt formatCode="0%" sourceLinked="0"/>
        <c:majorTickMark val="out"/>
        <c:minorTickMark val="none"/>
        <c:tickLblPos val="nextTo"/>
        <c:crossAx val="173003520"/>
        <c:crosses val="autoZero"/>
        <c:crossBetween val="between"/>
      </c:valAx>
      <c:spPr>
        <a:solidFill>
          <a:schemeClr val="bg1"/>
        </a:solidFill>
      </c:spPr>
    </c:plotArea>
    <c:legend>
      <c:legendPos val="r"/>
      <c:legendEntry>
        <c:idx val="1"/>
        <c:delete val="1"/>
      </c:legendEntry>
      <c:overlay val="0"/>
      <c:txPr>
        <a:bodyPr/>
        <a:lstStyle/>
        <a:p>
          <a:pPr>
            <a:defRPr>
              <a:ln>
                <a:noFill/>
              </a:ln>
              <a:solidFill>
                <a:schemeClr val="tx1"/>
              </a:solidFill>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latin typeface="Arial" pitchFamily="34" charset="0"/>
                <a:cs typeface="Arial" pitchFamily="34" charset="0"/>
              </a:defRPr>
            </a:pPr>
            <a:r>
              <a:rPr lang="de-DE" sz="1400">
                <a:latin typeface="Arial" pitchFamily="34" charset="0"/>
                <a:cs typeface="Arial" pitchFamily="34" charset="0"/>
              </a:rPr>
              <a:t>Entwicklung der</a:t>
            </a:r>
          </a:p>
          <a:p>
            <a:pPr algn="l">
              <a:defRPr sz="1400">
                <a:latin typeface="Arial" pitchFamily="34" charset="0"/>
                <a:cs typeface="Arial" pitchFamily="34" charset="0"/>
              </a:defRPr>
            </a:pPr>
            <a:r>
              <a:rPr lang="de-DE" sz="1400">
                <a:latin typeface="Arial" pitchFamily="34" charset="0"/>
                <a:cs typeface="Arial" pitchFamily="34" charset="0"/>
              </a:rPr>
              <a:t>EEG-Umlage</a:t>
            </a:r>
          </a:p>
        </c:rich>
      </c:tx>
      <c:layout>
        <c:manualLayout>
          <c:xMode val="edge"/>
          <c:yMode val="edge"/>
          <c:x val="0.10110475002475836"/>
          <c:y val="5.398074654600829E-2"/>
        </c:manualLayout>
      </c:layout>
      <c:overlay val="1"/>
      <c:spPr>
        <a:solidFill>
          <a:schemeClr val="bg1"/>
        </a:solidFill>
      </c:spPr>
    </c:title>
    <c:autoTitleDeleted val="0"/>
    <c:plotArea>
      <c:layout>
        <c:manualLayout>
          <c:layoutTarget val="inner"/>
          <c:xMode val="edge"/>
          <c:yMode val="edge"/>
          <c:x val="9.1045430353048865E-2"/>
          <c:y val="4.2086647811172669E-2"/>
          <c:w val="0.53804238010145411"/>
          <c:h val="0.87445371667596183"/>
        </c:manualLayout>
      </c:layout>
      <c:barChart>
        <c:barDir val="col"/>
        <c:grouping val="stacked"/>
        <c:varyColors val="0"/>
        <c:ser>
          <c:idx val="7"/>
          <c:order val="0"/>
          <c:tx>
            <c:strRef>
              <c:f>'GrD-Grafikdaten'!$E$124</c:f>
              <c:strCache>
                <c:ptCount val="1"/>
                <c:pt idx="0">
                  <c:v>Einnahmen der Anlagenbetreiber gemäß Vergütungssatz (Baujahr &lt; 2015)</c:v>
                </c:pt>
              </c:strCache>
            </c:strRef>
          </c:tx>
          <c:spPr>
            <a:solidFill>
              <a:schemeClr val="accent2"/>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'GrD-Grafikdaten'!$F$124:$AE$124</c:f>
              <c:numCache>
                <c:formatCode>0.00</c:formatCode>
                <c:ptCount val="26"/>
                <c:pt idx="0">
                  <c:v>3.149123966277187</c:v>
                </c:pt>
                <c:pt idx="1">
                  <c:v>4.1888003025421927</c:v>
                </c:pt>
                <c:pt idx="2">
                  <c:v>4.8064331813660583</c:v>
                </c:pt>
                <c:pt idx="3">
                  <c:v>5.8986442334188212</c:v>
                </c:pt>
                <c:pt idx="4">
                  <c:v>6.6832122779814043</c:v>
                </c:pt>
                <c:pt idx="5">
                  <c:v>7.1886572360120375</c:v>
                </c:pt>
                <c:pt idx="6">
                  <c:v>7.0956148314624299</c:v>
                </c:pt>
                <c:pt idx="7">
                  <c:v>7.0727015380925158</c:v>
                </c:pt>
                <c:pt idx="8">
                  <c:v>7.0900492955319212</c:v>
                </c:pt>
                <c:pt idx="9">
                  <c:v>6.982070043724252</c:v>
                </c:pt>
                <c:pt idx="10">
                  <c:v>6.7765276396295775</c:v>
                </c:pt>
                <c:pt idx="11">
                  <c:v>6.8791381271699699</c:v>
                </c:pt>
                <c:pt idx="12">
                  <c:v>6.491299663111799</c:v>
                </c:pt>
                <c:pt idx="13">
                  <c:v>6.6854333715399257</c:v>
                </c:pt>
                <c:pt idx="14">
                  <c:v>6.5588111570529515</c:v>
                </c:pt>
                <c:pt idx="15">
                  <c:v>6.2532151204352653</c:v>
                </c:pt>
                <c:pt idx="16">
                  <c:v>5.7930294479314277</c:v>
                </c:pt>
                <c:pt idx="17">
                  <c:v>4.9951146295649052</c:v>
                </c:pt>
                <c:pt idx="18">
                  <c:v>4.2774943765331415</c:v>
                </c:pt>
                <c:pt idx="19">
                  <c:v>3.6910580474417412</c:v>
                </c:pt>
                <c:pt idx="20">
                  <c:v>2.8698715992281612</c:v>
                </c:pt>
                <c:pt idx="21">
                  <c:v>1.9143659315083248</c:v>
                </c:pt>
                <c:pt idx="22">
                  <c:v>1.0321088040453661</c:v>
                </c:pt>
                <c:pt idx="23">
                  <c:v>0.53450170606656722</c:v>
                </c:pt>
                <c:pt idx="24">
                  <c:v>0.32419530073947944</c:v>
                </c:pt>
                <c:pt idx="25">
                  <c:v>0.15705668476905912</c:v>
                </c:pt>
              </c:numCache>
            </c:numRef>
          </c:val>
          <c:extLst>
            <c:ext xmlns:c16="http://schemas.microsoft.com/office/drawing/2014/chart" uri="{C3380CC4-5D6E-409C-BE32-E72D297353CC}">
              <c16:uniqueId val="{00000000-87B7-482D-9C24-A9749A93F28F}"/>
            </c:ext>
          </c:extLst>
        </c:ser>
        <c:ser>
          <c:idx val="2"/>
          <c:order val="1"/>
          <c:tx>
            <c:strRef>
              <c:f>'GrD-Grafikdaten'!$E$118</c:f>
              <c:strCache>
                <c:ptCount val="1"/>
                <c:pt idx="0">
                  <c:v>Einnahmen der Anlagenbetreiber gemäß Vergütungssatz (Baujahr &gt; 2014)</c:v>
                </c:pt>
              </c:strCache>
            </c:strRef>
          </c:tx>
          <c:spPr>
            <a:solidFill>
              <a:srgbClr val="00C1C9"/>
            </a:solidFill>
          </c:spPr>
          <c:invertIfNegative val="0"/>
          <c:dPt>
            <c:idx val="0"/>
            <c:invertIfNegative val="0"/>
            <c:bubble3D val="0"/>
            <c:extLst>
              <c:ext xmlns:c16="http://schemas.microsoft.com/office/drawing/2014/chart" uri="{C3380CC4-5D6E-409C-BE32-E72D297353CC}">
                <c16:uniqueId val="{00000001-87B7-482D-9C24-A9749A93F28F}"/>
              </c:ext>
            </c:extLst>
          </c:dPt>
          <c:dPt>
            <c:idx val="1"/>
            <c:invertIfNegative val="0"/>
            <c:bubble3D val="0"/>
            <c:extLst>
              <c:ext xmlns:c16="http://schemas.microsoft.com/office/drawing/2014/chart" uri="{C3380CC4-5D6E-409C-BE32-E72D297353CC}">
                <c16:uniqueId val="{00000002-87B7-482D-9C24-A9749A93F28F}"/>
              </c:ext>
            </c:extLst>
          </c:dPt>
          <c:dPt>
            <c:idx val="2"/>
            <c:invertIfNegative val="0"/>
            <c:bubble3D val="0"/>
            <c:extLst>
              <c:ext xmlns:c16="http://schemas.microsoft.com/office/drawing/2014/chart" uri="{C3380CC4-5D6E-409C-BE32-E72D297353CC}">
                <c16:uniqueId val="{00000003-87B7-482D-9C24-A9749A93F28F}"/>
              </c:ext>
            </c:extLst>
          </c:dPt>
          <c:dPt>
            <c:idx val="3"/>
            <c:invertIfNegative val="0"/>
            <c:bubble3D val="0"/>
            <c:extLst>
              <c:ext xmlns:c16="http://schemas.microsoft.com/office/drawing/2014/chart" uri="{C3380CC4-5D6E-409C-BE32-E72D297353CC}">
                <c16:uniqueId val="{00000004-87B7-482D-9C24-A9749A93F28F}"/>
              </c:ext>
            </c:extLst>
          </c:dPt>
          <c:dPt>
            <c:idx val="4"/>
            <c:invertIfNegative val="0"/>
            <c:bubble3D val="0"/>
            <c:extLst>
              <c:ext xmlns:c16="http://schemas.microsoft.com/office/drawing/2014/chart" uri="{C3380CC4-5D6E-409C-BE32-E72D297353CC}">
                <c16:uniqueId val="{00000005-87B7-482D-9C24-A9749A93F28F}"/>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'GrD-Grafikdaten'!$F$118:$AE$118</c:f>
              <c:numCache>
                <c:formatCode>0.00</c:formatCode>
                <c:ptCount val="26"/>
                <c:pt idx="0">
                  <c:v>0</c:v>
                </c:pt>
                <c:pt idx="1">
                  <c:v>0</c:v>
                </c:pt>
                <c:pt idx="2">
                  <c:v>0</c:v>
                </c:pt>
                <c:pt idx="3">
                  <c:v>0</c:v>
                </c:pt>
                <c:pt idx="4">
                  <c:v>0</c:v>
                </c:pt>
                <c:pt idx="5">
                  <c:v>0.34674016946025665</c:v>
                </c:pt>
                <c:pt idx="6">
                  <c:v>0.90519305019850904</c:v>
                </c:pt>
                <c:pt idx="7">
                  <c:v>1.4807367349706839</c:v>
                </c:pt>
                <c:pt idx="8">
                  <c:v>1.9749077089706597</c:v>
                </c:pt>
                <c:pt idx="9">
                  <c:v>2.3677034569835729</c:v>
                </c:pt>
                <c:pt idx="10">
                  <c:v>2.6768361668385245</c:v>
                </c:pt>
                <c:pt idx="11">
                  <c:v>2.9804641048759821</c:v>
                </c:pt>
                <c:pt idx="12">
                  <c:v>3.1533029559337367</c:v>
                </c:pt>
                <c:pt idx="13">
                  <c:v>3.5710484771982873</c:v>
                </c:pt>
                <c:pt idx="14">
                  <c:v>3.7672126822130898</c:v>
                </c:pt>
                <c:pt idx="15">
                  <c:v>4.1168239747561106</c:v>
                </c:pt>
                <c:pt idx="16">
                  <c:v>4.3885721339349075</c:v>
                </c:pt>
                <c:pt idx="17">
                  <c:v>4.153998612926137</c:v>
                </c:pt>
                <c:pt idx="18">
                  <c:v>4.0504469141749402</c:v>
                </c:pt>
                <c:pt idx="19">
                  <c:v>3.9288741526661854</c:v>
                </c:pt>
                <c:pt idx="20">
                  <c:v>3.9069620929635396</c:v>
                </c:pt>
                <c:pt idx="21">
                  <c:v>3.903461373453601</c:v>
                </c:pt>
                <c:pt idx="22">
                  <c:v>3.9028524983731163</c:v>
                </c:pt>
                <c:pt idx="23">
                  <c:v>3.9015181461490531</c:v>
                </c:pt>
                <c:pt idx="24">
                  <c:v>3.8361792650591706</c:v>
                </c:pt>
                <c:pt idx="25">
                  <c:v>3.7870767940382737</c:v>
                </c:pt>
              </c:numCache>
            </c:numRef>
          </c:val>
          <c:extLst>
            <c:ext xmlns:c16="http://schemas.microsoft.com/office/drawing/2014/chart" uri="{C3380CC4-5D6E-409C-BE32-E72D297353CC}">
              <c16:uniqueId val="{00000006-87B7-482D-9C24-A9749A93F28F}"/>
            </c:ext>
          </c:extLst>
        </c:ser>
        <c:ser>
          <c:idx val="4"/>
          <c:order val="2"/>
          <c:tx>
            <c:strRef>
              <c:f>'GrD-Grafikdaten'!$E$119</c:f>
              <c:strCache>
                <c:ptCount val="1"/>
                <c:pt idx="0">
                  <c:v>Einnahmen aus Vermarktung</c:v>
                </c:pt>
              </c:strCache>
            </c:strRef>
          </c:tx>
          <c:spPr>
            <a:solidFill>
              <a:srgbClr val="00B0F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'GrD-Grafikdaten'!$F$119:$AE$119</c:f>
              <c:numCache>
                <c:formatCode>0.00</c:formatCode>
                <c:ptCount val="26"/>
                <c:pt idx="0">
                  <c:v>-1.1143275278744671</c:v>
                </c:pt>
                <c:pt idx="1">
                  <c:v>-1.1481771217342542</c:v>
                </c:pt>
                <c:pt idx="2">
                  <c:v>-1.4749351709875336</c:v>
                </c:pt>
                <c:pt idx="3">
                  <c:v>-1.6337029152159672</c:v>
                </c:pt>
                <c:pt idx="4">
                  <c:v>-1.4657694443600116</c:v>
                </c:pt>
                <c:pt idx="5">
                  <c:v>-1.4327617618396029</c:v>
                </c:pt>
                <c:pt idx="6">
                  <c:v>-1.409457795327492</c:v>
                </c:pt>
                <c:pt idx="7">
                  <c:v>-1.3269671439911248</c:v>
                </c:pt>
                <c:pt idx="8">
                  <c:v>-1.6102913072213689</c:v>
                </c:pt>
                <c:pt idx="9">
                  <c:v>-2.2003317493481238</c:v>
                </c:pt>
                <c:pt idx="10">
                  <c:v>-2.5394781566597135</c:v>
                </c:pt>
                <c:pt idx="11">
                  <c:v>-2.0923655388120102</c:v>
                </c:pt>
                <c:pt idx="12">
                  <c:v>-3.882747883441668</c:v>
                </c:pt>
                <c:pt idx="13">
                  <c:v>-5.6634552683789519</c:v>
                </c:pt>
                <c:pt idx="14">
                  <c:v>-4.9219952117284622</c:v>
                </c:pt>
                <c:pt idx="15">
                  <c:v>-4.8825158422907089</c:v>
                </c:pt>
                <c:pt idx="16">
                  <c:v>-4.9969386513938971</c:v>
                </c:pt>
                <c:pt idx="17">
                  <c:v>-4.6731781178572636</c:v>
                </c:pt>
                <c:pt idx="18">
                  <c:v>-4.3466376723096225</c:v>
                </c:pt>
                <c:pt idx="19">
                  <c:v>-4.0925240406859116</c:v>
                </c:pt>
                <c:pt idx="20">
                  <c:v>-3.7943182309391652</c:v>
                </c:pt>
                <c:pt idx="21">
                  <c:v>-3.4996264464321594</c:v>
                </c:pt>
                <c:pt idx="22">
                  <c:v>-3.169108338634762</c:v>
                </c:pt>
                <c:pt idx="23">
                  <c:v>-2.927604733859503</c:v>
                </c:pt>
                <c:pt idx="24">
                  <c:v>-2.7205283517379422</c:v>
                </c:pt>
                <c:pt idx="25">
                  <c:v>-2.4766573974023509</c:v>
                </c:pt>
              </c:numCache>
            </c:numRef>
          </c:val>
          <c:extLst>
            <c:ext xmlns:c16="http://schemas.microsoft.com/office/drawing/2014/chart" uri="{C3380CC4-5D6E-409C-BE32-E72D297353CC}">
              <c16:uniqueId val="{00000007-87B7-482D-9C24-A9749A93F28F}"/>
            </c:ext>
          </c:extLst>
        </c:ser>
        <c:ser>
          <c:idx val="5"/>
          <c:order val="3"/>
          <c:tx>
            <c:strRef>
              <c:f>'GrD-Grafikdaten'!$E$120</c:f>
              <c:strCache>
                <c:ptCount val="1"/>
                <c:pt idx="0">
                  <c:v>Liquiditätsreserve</c:v>
                </c:pt>
              </c:strCache>
            </c:strRef>
          </c:tx>
          <c:spPr>
            <a:solidFill>
              <a:srgbClr val="AD86B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'GrD-Grafikdaten'!$F$120:$AE$120</c:f>
              <c:numCache>
                <c:formatCode>0.00</c:formatCode>
                <c:ptCount val="26"/>
                <c:pt idx="0">
                  <c:v>0</c:v>
                </c:pt>
                <c:pt idx="1">
                  <c:v>0</c:v>
                </c:pt>
                <c:pt idx="2">
                  <c:v>9.9363640268897269E-2</c:v>
                </c:pt>
                <c:pt idx="3">
                  <c:v>0.41882948767683209</c:v>
                </c:pt>
                <c:pt idx="4">
                  <c:v>0.51450044762037139</c:v>
                </c:pt>
                <c:pt idx="5">
                  <c:v>0.59588029975693935</c:v>
                </c:pt>
                <c:pt idx="6">
                  <c:v>0.63917545747264604</c:v>
                </c:pt>
                <c:pt idx="7">
                  <c:v>0.41973237987297907</c:v>
                </c:pt>
                <c:pt idx="8">
                  <c:v>0.43715441640493991</c:v>
                </c:pt>
                <c:pt idx="9">
                  <c:v>0.42091884484027542</c:v>
                </c:pt>
                <c:pt idx="10">
                  <c:v>0.54619830175326833</c:v>
                </c:pt>
                <c:pt idx="11">
                  <c:v>0.76861898320156619</c:v>
                </c:pt>
                <c:pt idx="12">
                  <c:v>0.28324012362832324</c:v>
                </c:pt>
                <c:pt idx="13">
                  <c:v>0.27137385813731224</c:v>
                </c:pt>
                <c:pt idx="14">
                  <c:v>0.31991132938767008</c:v>
                </c:pt>
                <c:pt idx="15">
                  <c:v>0.32502284748188753</c:v>
                </c:pt>
                <c:pt idx="16">
                  <c:v>0.30703325919733476</c:v>
                </c:pt>
                <c:pt idx="17">
                  <c:v>0.26508662572377822</c:v>
                </c:pt>
                <c:pt idx="18">
                  <c:v>0.23584016269154762</c:v>
                </c:pt>
                <c:pt idx="19">
                  <c:v>0.20883734887461067</c:v>
                </c:pt>
                <c:pt idx="20">
                  <c:v>0.17646599069671065</c:v>
                </c:pt>
                <c:pt idx="21">
                  <c:v>0.13698930152597238</c:v>
                </c:pt>
                <c:pt idx="22">
                  <c:v>0.10440782149466275</c:v>
                </c:pt>
                <c:pt idx="23">
                  <c:v>8.9113700777496918E-2</c:v>
                </c:pt>
                <c:pt idx="24">
                  <c:v>8.5140064233752394E-2</c:v>
                </c:pt>
                <c:pt idx="25">
                  <c:v>8.6857413255096716E-2</c:v>
                </c:pt>
              </c:numCache>
            </c:numRef>
          </c:val>
          <c:extLst>
            <c:ext xmlns:c16="http://schemas.microsoft.com/office/drawing/2014/chart" uri="{C3380CC4-5D6E-409C-BE32-E72D297353CC}">
              <c16:uniqueId val="{00000008-87B7-482D-9C24-A9749A93F28F}"/>
            </c:ext>
          </c:extLst>
        </c:ser>
        <c:ser>
          <c:idx val="6"/>
          <c:order val="4"/>
          <c:tx>
            <c:strRef>
              <c:f>'GrD-Grafikdaten'!$E$121</c:f>
              <c:strCache>
                <c:ptCount val="1"/>
                <c:pt idx="0">
                  <c:v>Kontostand des Vorjahres</c:v>
                </c:pt>
              </c:strCache>
            </c:strRef>
          </c:tx>
          <c:spPr>
            <a:solidFill>
              <a:srgbClr val="8393BE"/>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'GrD-Grafikdaten'!$F$121:$AE$121</c:f>
              <c:numCache>
                <c:formatCode>0.00</c:formatCode>
                <c:ptCount val="26"/>
                <c:pt idx="0">
                  <c:v>0</c:v>
                </c:pt>
                <c:pt idx="1">
                  <c:v>0.27301911687690317</c:v>
                </c:pt>
                <c:pt idx="2">
                  <c:v>0.18051501743452761</c:v>
                </c:pt>
                <c:pt idx="3">
                  <c:v>0.66987563555484619</c:v>
                </c:pt>
                <c:pt idx="4">
                  <c:v>0.580495076175914</c:v>
                </c:pt>
                <c:pt idx="5">
                  <c:v>-0.38511260956194937</c:v>
                </c:pt>
                <c:pt idx="6">
                  <c:v>-0.69266139247521119</c:v>
                </c:pt>
                <c:pt idx="7">
                  <c:v>-0.55504560755227295</c:v>
                </c:pt>
                <c:pt idx="8">
                  <c:v>-0.94425652016355122</c:v>
                </c:pt>
                <c:pt idx="9">
                  <c:v>-1.0296510992816279</c:v>
                </c:pt>
                <c:pt idx="10">
                  <c:v>-0.61556075984894099</c:v>
                </c:pt>
                <c:pt idx="11">
                  <c:v>1.184837164735316</c:v>
                </c:pt>
                <c:pt idx="12">
                  <c:v>-1.2975310154828803</c:v>
                </c:pt>
                <c:pt idx="13">
                  <c:v>-1.6854955075627092</c:v>
                </c:pt>
                <c:pt idx="14">
                  <c:v>-0.27431059377937422</c:v>
                </c:pt>
                <c:pt idx="15">
                  <c:v>-0.32298219897446123</c:v>
                </c:pt>
                <c:pt idx="16">
                  <c:v>-0.32696418981196645</c:v>
                </c:pt>
                <c:pt idx="17">
                  <c:v>-0.28865975341303451</c:v>
                </c:pt>
                <c:pt idx="18">
                  <c:v>-0.25003265451330225</c:v>
                </c:pt>
                <c:pt idx="19">
                  <c:v>-0.22309207236024953</c:v>
                </c:pt>
                <c:pt idx="20">
                  <c:v>-0.19805382500983618</c:v>
                </c:pt>
                <c:pt idx="21">
                  <c:v>-0.1677994760769958</c:v>
                </c:pt>
                <c:pt idx="22">
                  <c:v>-0.1305748827088945</c:v>
                </c:pt>
                <c:pt idx="23">
                  <c:v>-9.9785312558395664E-2</c:v>
                </c:pt>
                <c:pt idx="24">
                  <c:v>-8.5348310332645963E-2</c:v>
                </c:pt>
                <c:pt idx="25">
                  <c:v>-8.1704299509258851E-2</c:v>
                </c:pt>
              </c:numCache>
            </c:numRef>
          </c:val>
          <c:extLst>
            <c:ext xmlns:c16="http://schemas.microsoft.com/office/drawing/2014/chart" uri="{C3380CC4-5D6E-409C-BE32-E72D297353CC}">
              <c16:uniqueId val="{00000009-87B7-482D-9C24-A9749A93F28F}"/>
            </c:ext>
          </c:extLst>
        </c:ser>
        <c:ser>
          <c:idx val="10"/>
          <c:order val="5"/>
          <c:tx>
            <c:strRef>
              <c:f>'GrD-Grafikdaten'!$E$123</c:f>
              <c:strCache>
                <c:ptCount val="1"/>
                <c:pt idx="0">
                  <c:v>Sonstige Effekte*
*vermiedene Netzentgelte, Grünstromprivileg, sonstige Kosten</c:v>
                </c:pt>
              </c:strCache>
            </c:strRef>
          </c:tx>
          <c:spPr>
            <a:solidFill>
              <a:schemeClr val="bg2">
                <a:lumMod val="65000"/>
              </a:schemeClr>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'GrD-Grafikdaten'!$F$123:$AE$123</c:f>
              <c:numCache>
                <c:formatCode>0.00</c:formatCode>
                <c:ptCount val="26"/>
                <c:pt idx="0">
                  <c:v>1.2621203479080452E-2</c:v>
                </c:pt>
                <c:pt idx="1">
                  <c:v>0.21705777646400023</c:v>
                </c:pt>
                <c:pt idx="2">
                  <c:v>-2.030389836889188E-2</c:v>
                </c:pt>
                <c:pt idx="3">
                  <c:v>-7.6196695631972927E-2</c:v>
                </c:pt>
                <c:pt idx="4">
                  <c:v>-7.2646252065796002E-2</c:v>
                </c:pt>
                <c:pt idx="5">
                  <c:v>-0.15408249338839253</c:v>
                </c:pt>
                <c:pt idx="6">
                  <c:v>-0.19537762018019211</c:v>
                </c:pt>
                <c:pt idx="7">
                  <c:v>-0.23261197641055825</c:v>
                </c:pt>
                <c:pt idx="8">
                  <c:v>-0.17235341820590774</c:v>
                </c:pt>
                <c:pt idx="9">
                  <c:v>-0.13412767068844386</c:v>
                </c:pt>
                <c:pt idx="10">
                  <c:v>-8.0443426936161966E-2</c:v>
                </c:pt>
                <c:pt idx="11">
                  <c:v>-8.278910044952377E-2</c:v>
                </c:pt>
                <c:pt idx="12">
                  <c:v>-5.3106405646958163E-2</c:v>
                </c:pt>
                <c:pt idx="13">
                  <c:v>-7.0128944737390259E-2</c:v>
                </c:pt>
                <c:pt idx="14">
                  <c:v>-7.2173137743076529E-2</c:v>
                </c:pt>
                <c:pt idx="15">
                  <c:v>-7.0475794869206645E-2</c:v>
                </c:pt>
                <c:pt idx="16">
                  <c:v>-6.7441943850191574E-2</c:v>
                </c:pt>
                <c:pt idx="17">
                  <c:v>-5.7824695904141861E-2</c:v>
                </c:pt>
                <c:pt idx="18">
                  <c:v>-5.0634240205999839E-2</c:v>
                </c:pt>
                <c:pt idx="19">
                  <c:v>-4.6785678178503848E-2</c:v>
                </c:pt>
                <c:pt idx="20">
                  <c:v>-4.1415616307358058E-2</c:v>
                </c:pt>
                <c:pt idx="21">
                  <c:v>-3.5045833096892812E-2</c:v>
                </c:pt>
                <c:pt idx="22">
                  <c:v>-2.5722605539340252E-2</c:v>
                </c:pt>
                <c:pt idx="23">
                  <c:v>-2.3186772064501818E-2</c:v>
                </c:pt>
                <c:pt idx="24">
                  <c:v>-2.0845143498167591E-2</c:v>
                </c:pt>
                <c:pt idx="25">
                  <c:v>-1.9852527153369992E-2</c:v>
                </c:pt>
              </c:numCache>
            </c:numRef>
          </c:val>
          <c:extLst>
            <c:ext xmlns:c16="http://schemas.microsoft.com/office/drawing/2014/chart" uri="{C3380CC4-5D6E-409C-BE32-E72D297353CC}">
              <c16:uniqueId val="{0000000A-87B7-482D-9C24-A9749A93F28F}"/>
            </c:ext>
          </c:extLst>
        </c:ser>
        <c:ser>
          <c:idx val="0"/>
          <c:order val="8"/>
          <c:tx>
            <c:strRef>
              <c:f>'GrD-Grafikdaten'!$E$122</c:f>
              <c:strCache>
                <c:ptCount val="1"/>
                <c:pt idx="0">
                  <c:v>Zuschüsse aus dem Bundeshaushalt</c:v>
                </c:pt>
              </c:strCache>
            </c:strRef>
          </c:tx>
          <c:invertIfNegative val="0"/>
          <c:val>
            <c:numRef>
              <c:f>'GrD-Grafikdaten'!$F$122:$AE$122</c:f>
              <c:numCache>
                <c:formatCode>0.00</c:formatCode>
                <c:ptCount val="26"/>
                <c:pt idx="0">
                  <c:v>0</c:v>
                </c:pt>
                <c:pt idx="1">
                  <c:v>0</c:v>
                </c:pt>
                <c:pt idx="2">
                  <c:v>0</c:v>
                </c:pt>
                <c:pt idx="3">
                  <c:v>0</c:v>
                </c:pt>
                <c:pt idx="4">
                  <c:v>0</c:v>
                </c:pt>
                <c:pt idx="5">
                  <c:v>0</c:v>
                </c:pt>
                <c:pt idx="6">
                  <c:v>0</c:v>
                </c:pt>
                <c:pt idx="7">
                  <c:v>0</c:v>
                </c:pt>
                <c:pt idx="8">
                  <c:v>0</c:v>
                </c:pt>
                <c:pt idx="9">
                  <c:v>0</c:v>
                </c:pt>
                <c:pt idx="10">
                  <c:v>0</c:v>
                </c:pt>
                <c:pt idx="11">
                  <c:v>-3.1360306162356211</c:v>
                </c:pt>
                <c:pt idx="12">
                  <c:v>-0.92742880856456678</c:v>
                </c:pt>
                <c:pt idx="13">
                  <c:v>-0.88154154979975385</c:v>
                </c:pt>
                <c:pt idx="14">
                  <c:v>-1.3797388765156033</c:v>
                </c:pt>
                <c:pt idx="15">
                  <c:v>-1.8863313701926339</c:v>
                </c:pt>
                <c:pt idx="16">
                  <c:v>-1.7516292151349633</c:v>
                </c:pt>
                <c:pt idx="17">
                  <c:v>-1.6468080970568528</c:v>
                </c:pt>
                <c:pt idx="18">
                  <c:v>-1.5532877181445466</c:v>
                </c:pt>
                <c:pt idx="19">
                  <c:v>-1.4693263948677264</c:v>
                </c:pt>
                <c:pt idx="20">
                  <c:v>-1.3934562675673046</c:v>
                </c:pt>
                <c:pt idx="21">
                  <c:v>-1.3250214996716538</c:v>
                </c:pt>
                <c:pt idx="22">
                  <c:v>-1.2629783857507084</c:v>
                </c:pt>
                <c:pt idx="23">
                  <c:v>-1.2070618002797318</c:v>
                </c:pt>
                <c:pt idx="24">
                  <c:v>-1.1560588800838096</c:v>
                </c:pt>
                <c:pt idx="25">
                  <c:v>-1.1094069735416157</c:v>
                </c:pt>
              </c:numCache>
            </c:numRef>
          </c:val>
          <c:extLst>
            <c:ext xmlns:c16="http://schemas.microsoft.com/office/drawing/2014/chart" uri="{C3380CC4-5D6E-409C-BE32-E72D297353CC}">
              <c16:uniqueId val="{0000000B-87B7-482D-9C24-A9749A93F28F}"/>
            </c:ext>
          </c:extLst>
        </c:ser>
        <c:dLbls>
          <c:showLegendKey val="0"/>
          <c:showVal val="0"/>
          <c:showCatName val="0"/>
          <c:showSerName val="0"/>
          <c:showPercent val="0"/>
          <c:showBubbleSize val="0"/>
        </c:dLbls>
        <c:gapWidth val="20"/>
        <c:overlap val="100"/>
        <c:axId val="331118464"/>
        <c:axId val="332730752"/>
      </c:barChart>
      <c:lineChart>
        <c:grouping val="standard"/>
        <c:varyColors val="0"/>
        <c:ser>
          <c:idx val="8"/>
          <c:order val="6"/>
          <c:tx>
            <c:strRef>
              <c:f>'GrD-Grafikdaten'!$E$126</c:f>
              <c:strCache>
                <c:ptCount val="1"/>
                <c:pt idx="0">
                  <c:v>Umlage (Prognose)</c:v>
                </c:pt>
              </c:strCache>
            </c:strRef>
          </c:tx>
          <c:spPr>
            <a:ln>
              <a:solidFill>
                <a:srgbClr val="FF0000"/>
              </a:solidFill>
              <a:prstDash val="solid"/>
            </a:ln>
          </c:spPr>
          <c:marker>
            <c:symbol val="none"/>
          </c:marker>
          <c:val>
            <c:numRef>
              <c:f>'GrD-Grafikdaten'!$F$126:$AE$126</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C-87B7-482D-9C24-A9749A93F28F}"/>
            </c:ext>
          </c:extLst>
        </c:ser>
        <c:ser>
          <c:idx val="9"/>
          <c:order val="7"/>
          <c:tx>
            <c:strRef>
              <c:f>'GrD-Grafikdaten'!$E$125</c:f>
              <c:strCache>
                <c:ptCount val="1"/>
                <c:pt idx="0">
                  <c:v>Umlage (Referenz)</c:v>
                </c:pt>
              </c:strCache>
            </c:strRef>
          </c:tx>
          <c:spPr>
            <a:ln>
              <a:solidFill>
                <a:srgbClr val="7030A0"/>
              </a:solidFill>
            </a:ln>
          </c:spPr>
          <c:marker>
            <c:symbol val="circle"/>
            <c:size val="5"/>
            <c:spPr>
              <a:solidFill>
                <a:srgbClr val="7030A0"/>
              </a:solidFill>
              <a:ln>
                <a:solidFill>
                  <a:srgbClr val="7030A0"/>
                </a:solidFill>
              </a:ln>
            </c:spPr>
          </c:marker>
          <c:val>
            <c:numRef>
              <c:f>'GrD-Grafikdaten'!$F$125:$AE$125</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D-87B7-482D-9C24-A9749A93F28F}"/>
            </c:ext>
          </c:extLst>
        </c:ser>
        <c:dLbls>
          <c:showLegendKey val="0"/>
          <c:showVal val="0"/>
          <c:showCatName val="0"/>
          <c:showSerName val="0"/>
          <c:showPercent val="0"/>
          <c:showBubbleSize val="0"/>
        </c:dLbls>
        <c:marker val="1"/>
        <c:smooth val="0"/>
        <c:axId val="331118464"/>
        <c:axId val="332730752"/>
      </c:lineChart>
      <c:catAx>
        <c:axId val="331118464"/>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332730752"/>
        <c:crosses val="autoZero"/>
        <c:auto val="1"/>
        <c:lblAlgn val="ctr"/>
        <c:lblOffset val="100"/>
        <c:noMultiLvlLbl val="0"/>
      </c:catAx>
      <c:valAx>
        <c:axId val="332730752"/>
        <c:scaling>
          <c:orientation val="minMax"/>
        </c:scaling>
        <c:delete val="0"/>
        <c:axPos val="l"/>
        <c:majorGridlines/>
        <c:title>
          <c:tx>
            <c:strRef>
              <c:f>ControlPanel!$R$13</c:f>
              <c:strCache>
                <c:ptCount val="1"/>
                <c:pt idx="0">
                  <c:v>ct/kWh</c:v>
                </c:pt>
              </c:strCache>
            </c:strRef>
          </c:tx>
          <c:overlay val="0"/>
          <c:txPr>
            <a:bodyPr rot="-5400000" vert="horz"/>
            <a:lstStyle/>
            <a:p>
              <a:pPr>
                <a:defRPr>
                  <a:latin typeface="Arial" pitchFamily="34" charset="0"/>
                  <a:cs typeface="Arial" pitchFamily="34" charset="0"/>
                </a:defRPr>
              </a:pPr>
              <a:endParaRPr lang="en-US"/>
            </a:p>
          </c:txPr>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331118464"/>
        <c:crosses val="autoZero"/>
        <c:crossBetween val="between"/>
      </c:valAx>
      <c:spPr>
        <a:solidFill>
          <a:schemeClr val="bg1"/>
        </a:solidFill>
      </c:spPr>
    </c:plotArea>
    <c:legend>
      <c:legendPos val="r"/>
      <c:layout>
        <c:manualLayout>
          <c:xMode val="edge"/>
          <c:yMode val="edge"/>
          <c:x val="0.64504052997659023"/>
          <c:y val="3.1881195168316223E-2"/>
          <c:w val="0.29426922777067216"/>
          <c:h val="0.90007062219288902"/>
        </c:manualLayout>
      </c:layout>
      <c:overlay val="0"/>
    </c:legend>
    <c:plotVisOnly val="1"/>
    <c:dispBlanksAs val="gap"/>
    <c:showDLblsOverMax val="0"/>
  </c:chart>
  <c:spPr>
    <a:solidFill>
      <a:schemeClr val="bg1"/>
    </a:solidFill>
    <a:ln>
      <a:solidFill>
        <a:schemeClr val="tx1"/>
      </a:solidFill>
    </a:ln>
  </c:spPr>
  <c:printSettings>
    <c:headerFooter/>
    <c:pageMargins b="0.78740157499999996" l="0.7" r="0.7" t="0.78740157499999996"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'GrD-Grafikdaten'!$E$236</c:f>
              <c:strCache>
                <c:ptCount val="1"/>
                <c:pt idx="0">
                  <c:v>Einnahmen der Anlagenbetreiber gemäß Vergütungssatz (Baujahr &lt; 2015)</c:v>
                </c:pt>
              </c:strCache>
            </c:strRef>
          </c:tx>
          <c:spPr>
            <a:solidFill>
              <a:schemeClr val="accent2"/>
            </a:solidFill>
          </c:spPr>
          <c:invertIfNegative val="0"/>
          <c:cat>
            <c:numRef>
              <c:f>'GrD-Grafikdaten'!$F$230:$AE$230</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'GrD-Grafikdaten'!$F$236:$AE$236</c:f>
              <c:numCache>
                <c:formatCode>0.00</c:formatCode>
                <c:ptCount val="26"/>
                <c:pt idx="1">
                  <c:v>1.0396763362650057</c:v>
                </c:pt>
                <c:pt idx="2">
                  <c:v>0.61763287882386564</c:v>
                </c:pt>
                <c:pt idx="3">
                  <c:v>1.0922110520527628</c:v>
                </c:pt>
                <c:pt idx="4">
                  <c:v>0.78456804456258311</c:v>
                </c:pt>
                <c:pt idx="5">
                  <c:v>0.50544495803063327</c:v>
                </c:pt>
                <c:pt idx="6">
                  <c:v>-9.304240454960766E-2</c:v>
                </c:pt>
                <c:pt idx="7">
                  <c:v>-2.2913293369914101E-2</c:v>
                </c:pt>
                <c:pt idx="8">
                  <c:v>1.734775743940542E-2</c:v>
                </c:pt>
                <c:pt idx="9">
                  <c:v>-0.10797925180766921</c:v>
                </c:pt>
                <c:pt idx="10">
                  <c:v>-0.2055424040946745</c:v>
                </c:pt>
                <c:pt idx="11">
                  <c:v>0.10261048754039237</c:v>
                </c:pt>
                <c:pt idx="12">
                  <c:v>-0.38783846405817091</c:v>
                </c:pt>
                <c:pt idx="13">
                  <c:v>0.19413370842812672</c:v>
                </c:pt>
                <c:pt idx="14">
                  <c:v>-0.12662221448697419</c:v>
                </c:pt>
                <c:pt idx="15">
                  <c:v>-0.3055960366176862</c:v>
                </c:pt>
                <c:pt idx="16">
                  <c:v>-0.46018567250383757</c:v>
                </c:pt>
                <c:pt idx="17">
                  <c:v>-0.79791481836652256</c:v>
                </c:pt>
                <c:pt idx="18">
                  <c:v>-0.71762025303176369</c:v>
                </c:pt>
                <c:pt idx="19">
                  <c:v>-0.58643632909140031</c:v>
                </c:pt>
                <c:pt idx="20">
                  <c:v>-0.82118644821358</c:v>
                </c:pt>
                <c:pt idx="21">
                  <c:v>-0.95550566771983636</c:v>
                </c:pt>
                <c:pt idx="22">
                  <c:v>-0.8822571274629587</c:v>
                </c:pt>
                <c:pt idx="23">
                  <c:v>-0.49760709797879887</c:v>
                </c:pt>
                <c:pt idx="24">
                  <c:v>-0.21030640532708778</c:v>
                </c:pt>
                <c:pt idx="25">
                  <c:v>-0.16713861597042032</c:v>
                </c:pt>
              </c:numCache>
            </c:numRef>
          </c:val>
          <c:extLst>
            <c:ext xmlns:c16="http://schemas.microsoft.com/office/drawing/2014/chart" uri="{C3380CC4-5D6E-409C-BE32-E72D297353CC}">
              <c16:uniqueId val="{00000000-A712-4C41-B3EF-296072A8B2B8}"/>
            </c:ext>
          </c:extLst>
        </c:ser>
        <c:ser>
          <c:idx val="0"/>
          <c:order val="1"/>
          <c:tx>
            <c:strRef>
              <c:f>'GrD-Grafikdaten'!$E$231</c:f>
              <c:strCache>
                <c:ptCount val="1"/>
                <c:pt idx="0">
                  <c:v>Einnahmen der Anlagenbetreiber gemäß Vergütungssatz (Baujahr &gt; 2014)</c:v>
                </c:pt>
              </c:strCache>
            </c:strRef>
          </c:tx>
          <c:spPr>
            <a:solidFill>
              <a:schemeClr val="tx2"/>
            </a:solidFill>
          </c:spPr>
          <c:invertIfNegative val="0"/>
          <c:cat>
            <c:numRef>
              <c:f>'GrD-Grafikdaten'!$F$230:$AE$230</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'GrD-Grafikdaten'!$F$231:$AE$231</c:f>
              <c:numCache>
                <c:formatCode>0.00</c:formatCode>
                <c:ptCount val="26"/>
                <c:pt idx="1">
                  <c:v>0</c:v>
                </c:pt>
                <c:pt idx="2">
                  <c:v>0</c:v>
                </c:pt>
                <c:pt idx="3">
                  <c:v>0</c:v>
                </c:pt>
                <c:pt idx="4">
                  <c:v>0</c:v>
                </c:pt>
                <c:pt idx="5">
                  <c:v>0.34674016946025665</c:v>
                </c:pt>
                <c:pt idx="6">
                  <c:v>0.55845288073825239</c:v>
                </c:pt>
                <c:pt idx="7">
                  <c:v>0.57554368477217488</c:v>
                </c:pt>
                <c:pt idx="8">
                  <c:v>0.49417097399997578</c:v>
                </c:pt>
                <c:pt idx="9">
                  <c:v>0.39279574801291317</c:v>
                </c:pt>
                <c:pt idx="10">
                  <c:v>0.30913270985495167</c:v>
                </c:pt>
                <c:pt idx="11">
                  <c:v>0.30362793803745758</c:v>
                </c:pt>
                <c:pt idx="12">
                  <c:v>0.17283885105775454</c:v>
                </c:pt>
                <c:pt idx="13">
                  <c:v>0.41774552126455067</c:v>
                </c:pt>
                <c:pt idx="14">
                  <c:v>0.19616420501480247</c:v>
                </c:pt>
                <c:pt idx="15">
                  <c:v>0.34961129254302081</c:v>
                </c:pt>
                <c:pt idx="16">
                  <c:v>0.27174815917879691</c:v>
                </c:pt>
                <c:pt idx="17">
                  <c:v>-0.23457352100877049</c:v>
                </c:pt>
                <c:pt idx="18">
                  <c:v>-0.10355169875119685</c:v>
                </c:pt>
                <c:pt idx="19">
                  <c:v>-0.12157276150875473</c:v>
                </c:pt>
                <c:pt idx="20">
                  <c:v>-2.191205970264587E-2</c:v>
                </c:pt>
                <c:pt idx="21">
                  <c:v>-3.5007195099385768E-3</c:v>
                </c:pt>
                <c:pt idx="22">
                  <c:v>-6.088750804846832E-4</c:v>
                </c:pt>
                <c:pt idx="23">
                  <c:v>-1.3343522240631955E-3</c:v>
                </c:pt>
                <c:pt idx="24">
                  <c:v>-6.5338881089882506E-2</c:v>
                </c:pt>
                <c:pt idx="25">
                  <c:v>-4.9102471020896932E-2</c:v>
                </c:pt>
              </c:numCache>
            </c:numRef>
          </c:val>
          <c:extLst>
            <c:ext xmlns:c16="http://schemas.microsoft.com/office/drawing/2014/chart" uri="{C3380CC4-5D6E-409C-BE32-E72D297353CC}">
              <c16:uniqueId val="{00000001-A712-4C41-B3EF-296072A8B2B8}"/>
            </c:ext>
          </c:extLst>
        </c:ser>
        <c:ser>
          <c:idx val="1"/>
          <c:order val="2"/>
          <c:tx>
            <c:strRef>
              <c:f>'GrD-Grafikdaten'!$E$232</c:f>
              <c:strCache>
                <c:ptCount val="1"/>
                <c:pt idx="0">
                  <c:v>Einnahmen aus Vermarktung</c:v>
                </c:pt>
              </c:strCache>
            </c:strRef>
          </c:tx>
          <c:spPr>
            <a:solidFill>
              <a:srgbClr val="00B0F0"/>
            </a:solidFill>
          </c:spPr>
          <c:invertIfNegative val="0"/>
          <c:cat>
            <c:numRef>
              <c:f>'GrD-Grafikdaten'!$F$230:$AE$230</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'GrD-Grafikdaten'!$F$232:$AE$232</c:f>
              <c:numCache>
                <c:formatCode>0.00</c:formatCode>
                <c:ptCount val="26"/>
                <c:pt idx="1">
                  <c:v>-3.3849593859787142E-2</c:v>
                </c:pt>
                <c:pt idx="2">
                  <c:v>-0.32675804925327934</c:v>
                </c:pt>
                <c:pt idx="3">
                  <c:v>-0.15876774422843365</c:v>
                </c:pt>
                <c:pt idx="4">
                  <c:v>0.16793347085595567</c:v>
                </c:pt>
                <c:pt idx="5">
                  <c:v>3.3007682520408643E-2</c:v>
                </c:pt>
                <c:pt idx="6">
                  <c:v>2.3303966512110863E-2</c:v>
                </c:pt>
                <c:pt idx="7">
                  <c:v>8.2490651336367238E-2</c:v>
                </c:pt>
                <c:pt idx="8">
                  <c:v>-0.28332416323024412</c:v>
                </c:pt>
                <c:pt idx="9">
                  <c:v>-0.59004044212675488</c:v>
                </c:pt>
                <c:pt idx="10">
                  <c:v>-0.33914640731158974</c:v>
                </c:pt>
                <c:pt idx="11">
                  <c:v>0.4471126178477034</c:v>
                </c:pt>
                <c:pt idx="12">
                  <c:v>-1.7903823446296578</c:v>
                </c:pt>
                <c:pt idx="13">
                  <c:v>-1.7807073849372839</c:v>
                </c:pt>
                <c:pt idx="14">
                  <c:v>0.74146005665048964</c:v>
                </c:pt>
                <c:pt idx="15">
                  <c:v>3.947936943775332E-2</c:v>
                </c:pt>
                <c:pt idx="16">
                  <c:v>-0.11442280910318825</c:v>
                </c:pt>
                <c:pt idx="17">
                  <c:v>0.32376053353663359</c:v>
                </c:pt>
                <c:pt idx="18">
                  <c:v>0.32654044554764106</c:v>
                </c:pt>
                <c:pt idx="19">
                  <c:v>0.25411363162371092</c:v>
                </c:pt>
                <c:pt idx="20">
                  <c:v>0.29820580974674638</c:v>
                </c:pt>
                <c:pt idx="21">
                  <c:v>0.29469178450700584</c:v>
                </c:pt>
                <c:pt idx="22">
                  <c:v>0.33051810779739732</c:v>
                </c:pt>
                <c:pt idx="23">
                  <c:v>0.24150360477525901</c:v>
                </c:pt>
                <c:pt idx="24">
                  <c:v>0.20707638212156088</c:v>
                </c:pt>
                <c:pt idx="25">
                  <c:v>0.24387095433559125</c:v>
                </c:pt>
              </c:numCache>
            </c:numRef>
          </c:val>
          <c:extLst>
            <c:ext xmlns:c16="http://schemas.microsoft.com/office/drawing/2014/chart" uri="{C3380CC4-5D6E-409C-BE32-E72D297353CC}">
              <c16:uniqueId val="{00000002-A712-4C41-B3EF-296072A8B2B8}"/>
            </c:ext>
          </c:extLst>
        </c:ser>
        <c:ser>
          <c:idx val="3"/>
          <c:order val="3"/>
          <c:tx>
            <c:strRef>
              <c:f>'GrD-Grafikdaten'!$E$234</c:f>
              <c:strCache>
                <c:ptCount val="1"/>
                <c:pt idx="0">
                  <c:v>Kontostand des Vorjahres</c:v>
                </c:pt>
              </c:strCache>
            </c:strRef>
          </c:tx>
          <c:spPr>
            <a:solidFill>
              <a:srgbClr val="8393BE"/>
            </a:solidFill>
          </c:spPr>
          <c:invertIfNegative val="0"/>
          <c:cat>
            <c:numRef>
              <c:f>'GrD-Grafikdaten'!$F$230:$AE$230</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'GrD-Grafikdaten'!$F$234:$AE$234</c:f>
              <c:numCache>
                <c:formatCode>0.00</c:formatCode>
                <c:ptCount val="26"/>
                <c:pt idx="1">
                  <c:v>0.27301911687690317</c:v>
                </c:pt>
                <c:pt idx="2">
                  <c:v>-9.2504099442375559E-2</c:v>
                </c:pt>
                <c:pt idx="3">
                  <c:v>0.48936061812031861</c:v>
                </c:pt>
                <c:pt idx="4">
                  <c:v>-8.9380559378932189E-2</c:v>
                </c:pt>
                <c:pt idx="5">
                  <c:v>-0.96560768573786337</c:v>
                </c:pt>
                <c:pt idx="6">
                  <c:v>-0.30754878291326182</c:v>
                </c:pt>
                <c:pt idx="7">
                  <c:v>0.13761578492293824</c:v>
                </c:pt>
                <c:pt idx="8">
                  <c:v>-0.38921091261127827</c:v>
                </c:pt>
                <c:pt idx="9">
                  <c:v>-8.5394579118076686E-2</c:v>
                </c:pt>
                <c:pt idx="10">
                  <c:v>0.41409033943268692</c:v>
                </c:pt>
                <c:pt idx="11">
                  <c:v>1.800397924584257</c:v>
                </c:pt>
                <c:pt idx="12">
                  <c:v>-2.4823681802181961</c:v>
                </c:pt>
                <c:pt idx="13">
                  <c:v>-0.38796449207982886</c:v>
                </c:pt>
                <c:pt idx="14">
                  <c:v>1.411184913783335</c:v>
                </c:pt>
                <c:pt idx="15">
                  <c:v>-4.8671605195087009E-2</c:v>
                </c:pt>
                <c:pt idx="16">
                  <c:v>-3.9819908375052226E-3</c:v>
                </c:pt>
                <c:pt idx="17">
                  <c:v>3.830443639893194E-2</c:v>
                </c:pt>
                <c:pt idx="18">
                  <c:v>3.862709889973226E-2</c:v>
                </c:pt>
                <c:pt idx="19">
                  <c:v>2.6940582153052728E-2</c:v>
                </c:pt>
                <c:pt idx="20">
                  <c:v>2.5038247350413351E-2</c:v>
                </c:pt>
                <c:pt idx="21">
                  <c:v>3.0254348932840375E-2</c:v>
                </c:pt>
                <c:pt idx="22">
                  <c:v>3.72245933681013E-2</c:v>
                </c:pt>
                <c:pt idx="23">
                  <c:v>3.0789570150498838E-2</c:v>
                </c:pt>
                <c:pt idx="24">
                  <c:v>1.4437002225749701E-2</c:v>
                </c:pt>
                <c:pt idx="25">
                  <c:v>3.6440108233871116E-3</c:v>
                </c:pt>
              </c:numCache>
            </c:numRef>
          </c:val>
          <c:extLst>
            <c:ext xmlns:c16="http://schemas.microsoft.com/office/drawing/2014/chart" uri="{C3380CC4-5D6E-409C-BE32-E72D297353CC}">
              <c16:uniqueId val="{00000003-A712-4C41-B3EF-296072A8B2B8}"/>
            </c:ext>
          </c:extLst>
        </c:ser>
        <c:ser>
          <c:idx val="2"/>
          <c:order val="4"/>
          <c:tx>
            <c:strRef>
              <c:f>'GrD-Grafikdaten'!$E$233</c:f>
              <c:strCache>
                <c:ptCount val="1"/>
                <c:pt idx="0">
                  <c:v>Liquiditätsreserve</c:v>
                </c:pt>
              </c:strCache>
            </c:strRef>
          </c:tx>
          <c:invertIfNegative val="0"/>
          <c:cat>
            <c:numRef>
              <c:f>'GrD-Grafikdaten'!$F$230:$AE$230</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'GrD-Grafikdaten'!$F$233:$AE$233</c:f>
              <c:numCache>
                <c:formatCode>0.00</c:formatCode>
                <c:ptCount val="26"/>
                <c:pt idx="1">
                  <c:v>0</c:v>
                </c:pt>
                <c:pt idx="2">
                  <c:v>9.9363640268897269E-2</c:v>
                </c:pt>
                <c:pt idx="3">
                  <c:v>0.31946584740793482</c:v>
                </c:pt>
                <c:pt idx="4">
                  <c:v>9.5670959943539302E-2</c:v>
                </c:pt>
                <c:pt idx="5">
                  <c:v>8.1379852136567954E-2</c:v>
                </c:pt>
                <c:pt idx="6">
                  <c:v>4.3295157715706689E-2</c:v>
                </c:pt>
                <c:pt idx="7">
                  <c:v>-0.21944307759966697</c:v>
                </c:pt>
                <c:pt idx="8">
                  <c:v>1.7422036531960838E-2</c:v>
                </c:pt>
                <c:pt idx="9">
                  <c:v>-1.6235571564664486E-2</c:v>
                </c:pt>
                <c:pt idx="10">
                  <c:v>0.12527945691299291</c:v>
                </c:pt>
                <c:pt idx="11">
                  <c:v>0.22242068144829785</c:v>
                </c:pt>
                <c:pt idx="12">
                  <c:v>-0.48537885957324295</c:v>
                </c:pt>
                <c:pt idx="13">
                  <c:v>-1.1866265491010997E-2</c:v>
                </c:pt>
                <c:pt idx="14">
                  <c:v>4.8537471250357844E-2</c:v>
                </c:pt>
                <c:pt idx="15">
                  <c:v>5.1115180942174487E-3</c:v>
                </c:pt>
                <c:pt idx="16">
                  <c:v>-1.7989588284552771E-2</c:v>
                </c:pt>
                <c:pt idx="17">
                  <c:v>-4.1946633473556538E-2</c:v>
                </c:pt>
                <c:pt idx="18">
                  <c:v>-2.9246463032230607E-2</c:v>
                </c:pt>
                <c:pt idx="19">
                  <c:v>-2.7002813816936949E-2</c:v>
                </c:pt>
                <c:pt idx="20">
                  <c:v>-3.2371358177900017E-2</c:v>
                </c:pt>
                <c:pt idx="21">
                  <c:v>-3.9476689170738266E-2</c:v>
                </c:pt>
                <c:pt idx="22">
                  <c:v>-3.2581480031309631E-2</c:v>
                </c:pt>
                <c:pt idx="23">
                  <c:v>-1.5294120717165835E-2</c:v>
                </c:pt>
                <c:pt idx="24">
                  <c:v>-3.9736365437445242E-3</c:v>
                </c:pt>
                <c:pt idx="25">
                  <c:v>1.7173490213443221E-3</c:v>
                </c:pt>
              </c:numCache>
            </c:numRef>
          </c:val>
          <c:extLst>
            <c:ext xmlns:c16="http://schemas.microsoft.com/office/drawing/2014/chart" uri="{C3380CC4-5D6E-409C-BE32-E72D297353CC}">
              <c16:uniqueId val="{00000004-A712-4C41-B3EF-296072A8B2B8}"/>
            </c:ext>
          </c:extLst>
        </c:ser>
        <c:ser>
          <c:idx val="4"/>
          <c:order val="5"/>
          <c:tx>
            <c:strRef>
              <c:f>'GrD-Grafikdaten'!$E$235</c:f>
              <c:strCache>
                <c:ptCount val="1"/>
                <c:pt idx="0">
                  <c:v>Sonstige Effekte*
*vermiedene Netzentgelte, Grünstromprivileg, sonstige Kosten</c:v>
                </c:pt>
              </c:strCache>
            </c:strRef>
          </c:tx>
          <c:spPr>
            <a:solidFill>
              <a:schemeClr val="bg1">
                <a:lumMod val="75000"/>
              </a:schemeClr>
            </a:solidFill>
          </c:spPr>
          <c:invertIfNegative val="0"/>
          <c:cat>
            <c:numRef>
              <c:f>'GrD-Grafikdaten'!$F$230:$AE$230</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'GrD-Grafikdaten'!$F$235:$AE$235</c:f>
              <c:numCache>
                <c:formatCode>0.00</c:formatCode>
                <c:ptCount val="26"/>
                <c:pt idx="1">
                  <c:v>0.2044365729849198</c:v>
                </c:pt>
                <c:pt idx="2">
                  <c:v>-0.23736167483289211</c:v>
                </c:pt>
                <c:pt idx="3">
                  <c:v>-5.5892797263081051E-2</c:v>
                </c:pt>
                <c:pt idx="4">
                  <c:v>3.5504435661769251E-3</c:v>
                </c:pt>
                <c:pt idx="5">
                  <c:v>-8.1436241322596525E-2</c:v>
                </c:pt>
                <c:pt idx="6">
                  <c:v>-4.1295126791799586E-2</c:v>
                </c:pt>
                <c:pt idx="7">
                  <c:v>-3.7234356230366139E-2</c:v>
                </c:pt>
                <c:pt idx="8">
                  <c:v>6.0258558204650509E-2</c:v>
                </c:pt>
                <c:pt idx="9">
                  <c:v>3.8225747517463882E-2</c:v>
                </c:pt>
                <c:pt idx="10">
                  <c:v>5.3684243752281896E-2</c:v>
                </c:pt>
                <c:pt idx="11">
                  <c:v>-2.345673513361804E-3</c:v>
                </c:pt>
                <c:pt idx="12">
                  <c:v>2.9682694802565607E-2</c:v>
                </c:pt>
                <c:pt idx="13">
                  <c:v>-1.7022539090432096E-2</c:v>
                </c:pt>
                <c:pt idx="14">
                  <c:v>-2.0441930056862706E-3</c:v>
                </c:pt>
                <c:pt idx="15">
                  <c:v>1.6973428738698837E-3</c:v>
                </c:pt>
                <c:pt idx="16">
                  <c:v>3.0338510190150714E-3</c:v>
                </c:pt>
                <c:pt idx="17">
                  <c:v>9.6172479460497132E-3</c:v>
                </c:pt>
                <c:pt idx="18">
                  <c:v>7.1904556981420217E-3</c:v>
                </c:pt>
                <c:pt idx="19">
                  <c:v>3.8485620274959914E-3</c:v>
                </c:pt>
                <c:pt idx="20">
                  <c:v>5.3700618711457898E-3</c:v>
                </c:pt>
                <c:pt idx="21">
                  <c:v>6.3697832104652463E-3</c:v>
                </c:pt>
                <c:pt idx="22">
                  <c:v>9.3232275575525596E-3</c:v>
                </c:pt>
                <c:pt idx="23">
                  <c:v>2.5358334748384337E-3</c:v>
                </c:pt>
                <c:pt idx="24">
                  <c:v>2.3416285663342279E-3</c:v>
                </c:pt>
                <c:pt idx="25">
                  <c:v>9.9261634479759844E-4</c:v>
                </c:pt>
              </c:numCache>
            </c:numRef>
          </c:val>
          <c:extLst>
            <c:ext xmlns:c16="http://schemas.microsoft.com/office/drawing/2014/chart" uri="{C3380CC4-5D6E-409C-BE32-E72D297353CC}">
              <c16:uniqueId val="{00000005-A712-4C41-B3EF-296072A8B2B8}"/>
            </c:ext>
          </c:extLst>
        </c:ser>
        <c:dLbls>
          <c:showLegendKey val="0"/>
          <c:showVal val="0"/>
          <c:showCatName val="0"/>
          <c:showSerName val="0"/>
          <c:showPercent val="0"/>
          <c:showBubbleSize val="0"/>
        </c:dLbls>
        <c:gapWidth val="5"/>
        <c:overlap val="100"/>
        <c:axId val="318867328"/>
        <c:axId val="318868864"/>
      </c:barChart>
      <c:lineChart>
        <c:grouping val="standard"/>
        <c:varyColors val="0"/>
        <c:ser>
          <c:idx val="7"/>
          <c:order val="6"/>
          <c:tx>
            <c:strRef>
              <c:f>'GrD-Grafikdaten'!$E$238</c:f>
              <c:strCache>
                <c:ptCount val="1"/>
                <c:pt idx="0">
                  <c:v>Umlage (Prognose)</c:v>
                </c:pt>
              </c:strCache>
            </c:strRef>
          </c:tx>
          <c:spPr>
            <a:ln>
              <a:solidFill>
                <a:srgbClr val="FF0000"/>
              </a:solidFill>
            </a:ln>
          </c:spPr>
          <c:val>
            <c:numRef>
              <c:f>'GrD-Grafikdaten'!$F$238:$AE$238</c:f>
              <c:numCache>
                <c:formatCode>0.00</c:formatCode>
                <c:ptCount val="26"/>
                <c:pt idx="1">
                  <c:v>1.483000000000001</c:v>
                </c:pt>
                <c:pt idx="2">
                  <c:v>6.1999999999999833E-2</c:v>
                </c:pt>
                <c:pt idx="3">
                  <c:v>1.6849999999999987</c:v>
                </c:pt>
                <c:pt idx="4">
                  <c:v>0.96300000000000008</c:v>
                </c:pt>
                <c:pt idx="5">
                  <c:v>-7.0429312235614994E-2</c:v>
                </c:pt>
                <c:pt idx="6">
                  <c:v>0.16869795195951021</c:v>
                </c:pt>
                <c:pt idx="7">
                  <c:v>0.52195779714646218</c:v>
                </c:pt>
                <c:pt idx="8">
                  <c:v>-8.1421600546636164E-2</c:v>
                </c:pt>
                <c:pt idx="9">
                  <c:v>-0.37222301009381553</c:v>
                </c:pt>
                <c:pt idx="10">
                  <c:v>0.35153448759027572</c:v>
                </c:pt>
                <c:pt idx="11">
                  <c:v>-0.25450095010326024</c:v>
                </c:pt>
                <c:pt idx="12">
                  <c:v>-2.78053259156958</c:v>
                </c:pt>
                <c:pt idx="13">
                  <c:v>-1.4958483357506207</c:v>
                </c:pt>
                <c:pt idx="14">
                  <c:v>1.7704829124904742</c:v>
                </c:pt>
                <c:pt idx="15">
                  <c:v>-0.46496061254094245</c:v>
                </c:pt>
                <c:pt idx="16">
                  <c:v>-0.18709589547360039</c:v>
                </c:pt>
                <c:pt idx="17">
                  <c:v>-0.59793163688912321</c:v>
                </c:pt>
                <c:pt idx="18">
                  <c:v>-0.3845400357573685</c:v>
                </c:pt>
                <c:pt idx="19">
                  <c:v>-0.36614780533601299</c:v>
                </c:pt>
                <c:pt idx="20">
                  <c:v>-0.47098561982539877</c:v>
                </c:pt>
                <c:pt idx="21">
                  <c:v>-0.59873239185455152</c:v>
                </c:pt>
                <c:pt idx="22">
                  <c:v>-0.47633843993075714</c:v>
                </c:pt>
                <c:pt idx="23">
                  <c:v>-0.18348997704845416</c:v>
                </c:pt>
                <c:pt idx="24">
                  <c:v>-4.7609898511482007E-3</c:v>
                </c:pt>
                <c:pt idx="25">
                  <c:v>8.0635750075997548E-2</c:v>
                </c:pt>
              </c:numCache>
            </c:numRef>
          </c:val>
          <c:smooth val="0"/>
          <c:extLst>
            <c:ext xmlns:c16="http://schemas.microsoft.com/office/drawing/2014/chart" uri="{C3380CC4-5D6E-409C-BE32-E72D297353CC}">
              <c16:uniqueId val="{00000006-A712-4C41-B3EF-296072A8B2B8}"/>
            </c:ext>
          </c:extLst>
        </c:ser>
        <c:ser>
          <c:idx val="6"/>
          <c:order val="7"/>
          <c:tx>
            <c:strRef>
              <c:f>'GrD-Grafikdaten'!$E$237</c:f>
              <c:strCache>
                <c:ptCount val="1"/>
                <c:pt idx="0">
                  <c:v>Umlage (Referenz)</c:v>
                </c:pt>
              </c:strCache>
            </c:strRef>
          </c:tx>
          <c:spPr>
            <a:ln>
              <a:solidFill>
                <a:schemeClr val="tx1"/>
              </a:solidFill>
            </a:ln>
          </c:spPr>
          <c:marker>
            <c:symbol val="none"/>
          </c:marker>
          <c:val>
            <c:numRef>
              <c:f>'GrD-Grafikdaten'!$F$237:$AE$237</c:f>
              <c:numCache>
                <c:formatCode>0.00</c:formatCode>
                <c:ptCount val="26"/>
                <c:pt idx="1">
                  <c:v>1.483000000000001</c:v>
                </c:pt>
                <c:pt idx="2">
                  <c:v>6.1999999999999833E-2</c:v>
                </c:pt>
                <c:pt idx="3">
                  <c:v>1.6849999999999987</c:v>
                </c:pt>
                <c:pt idx="4">
                  <c:v>0.96300000000000008</c:v>
                </c:pt>
                <c:pt idx="5">
                  <c:v>-7.0429312235614994E-2</c:v>
                </c:pt>
                <c:pt idx="6">
                  <c:v>0.16869795195951021</c:v>
                </c:pt>
                <c:pt idx="7">
                  <c:v>0.52195779714646218</c:v>
                </c:pt>
                <c:pt idx="8">
                  <c:v>-8.1421600546636164E-2</c:v>
                </c:pt>
                <c:pt idx="9">
                  <c:v>-0.37222301009381553</c:v>
                </c:pt>
                <c:pt idx="10">
                  <c:v>0.35153448759027572</c:v>
                </c:pt>
                <c:pt idx="11">
                  <c:v>-0.25450095010326024</c:v>
                </c:pt>
                <c:pt idx="12">
                  <c:v>-2.78053259156958</c:v>
                </c:pt>
                <c:pt idx="13">
                  <c:v>-1.4958483357506207</c:v>
                </c:pt>
                <c:pt idx="14">
                  <c:v>1.7704829124904742</c:v>
                </c:pt>
                <c:pt idx="15">
                  <c:v>-0.46496061254094245</c:v>
                </c:pt>
                <c:pt idx="16">
                  <c:v>-0.18709589547360039</c:v>
                </c:pt>
                <c:pt idx="17">
                  <c:v>-0.59793163688912321</c:v>
                </c:pt>
                <c:pt idx="18">
                  <c:v>-0.3845400357573685</c:v>
                </c:pt>
                <c:pt idx="19">
                  <c:v>-0.36614780533601299</c:v>
                </c:pt>
                <c:pt idx="20">
                  <c:v>-0.47098561982539877</c:v>
                </c:pt>
                <c:pt idx="21">
                  <c:v>-0.59873239185455152</c:v>
                </c:pt>
                <c:pt idx="22">
                  <c:v>-0.47633843993075714</c:v>
                </c:pt>
                <c:pt idx="23">
                  <c:v>-0.18348997704845416</c:v>
                </c:pt>
                <c:pt idx="24">
                  <c:v>-4.7609898511482007E-3</c:v>
                </c:pt>
                <c:pt idx="25">
                  <c:v>8.0635750075997548E-2</c:v>
                </c:pt>
              </c:numCache>
            </c:numRef>
          </c:val>
          <c:smooth val="0"/>
          <c:extLst>
            <c:ext xmlns:c16="http://schemas.microsoft.com/office/drawing/2014/chart" uri="{C3380CC4-5D6E-409C-BE32-E72D297353CC}">
              <c16:uniqueId val="{00000007-A712-4C41-B3EF-296072A8B2B8}"/>
            </c:ext>
          </c:extLst>
        </c:ser>
        <c:dLbls>
          <c:showLegendKey val="0"/>
          <c:showVal val="0"/>
          <c:showCatName val="0"/>
          <c:showSerName val="0"/>
          <c:showPercent val="0"/>
          <c:showBubbleSize val="0"/>
        </c:dLbls>
        <c:marker val="1"/>
        <c:smooth val="0"/>
        <c:axId val="318867328"/>
        <c:axId val="318868864"/>
      </c:lineChart>
      <c:catAx>
        <c:axId val="318867328"/>
        <c:scaling>
          <c:orientation val="minMax"/>
        </c:scaling>
        <c:delete val="0"/>
        <c:axPos val="b"/>
        <c:numFmt formatCode="0" sourceLinked="1"/>
        <c:majorTickMark val="out"/>
        <c:minorTickMark val="none"/>
        <c:tickLblPos val="low"/>
        <c:crossAx val="318868864"/>
        <c:crosses val="autoZero"/>
        <c:auto val="1"/>
        <c:lblAlgn val="ctr"/>
        <c:lblOffset val="100"/>
        <c:noMultiLvlLbl val="0"/>
      </c:catAx>
      <c:valAx>
        <c:axId val="318868864"/>
        <c:scaling>
          <c:orientation val="minMax"/>
        </c:scaling>
        <c:delete val="0"/>
        <c:axPos val="l"/>
        <c:majorGridlines/>
        <c:title>
          <c:tx>
            <c:rich>
              <a:bodyPr rot="-5400000" vert="horz"/>
              <a:lstStyle/>
              <a:p>
                <a:pPr>
                  <a:defRPr/>
                </a:pPr>
                <a:r>
                  <a:rPr lang="de-DE"/>
                  <a:t>ct/kWh</a:t>
                </a:r>
              </a:p>
            </c:rich>
          </c:tx>
          <c:overlay val="0"/>
        </c:title>
        <c:numFmt formatCode="0.0" sourceLinked="0"/>
        <c:majorTickMark val="out"/>
        <c:minorTickMark val="none"/>
        <c:tickLblPos val="nextTo"/>
        <c:crossAx val="31886732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MOD_Absenkung_Wind_offshore!$C$12</c:f>
              <c:strCache>
                <c:ptCount val="1"/>
                <c:pt idx="0">
                  <c:v>2010</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MOD_Absenkung_Wind_offshore!$K$12:$AE$12</c:f>
              <c:numCache>
                <c:formatCode>#,##0.00</c:formatCode>
                <c:ptCount val="21"/>
                <c:pt idx="0">
                  <c:v>0</c:v>
                </c:pt>
                <c:pt idx="1">
                  <c:v>0</c:v>
                </c:pt>
                <c:pt idx="2">
                  <c:v>0</c:v>
                </c:pt>
                <c:pt idx="3">
                  <c:v>0</c:v>
                </c:pt>
                <c:pt idx="4">
                  <c:v>0</c:v>
                </c:pt>
                <c:pt idx="5">
                  <c:v>0</c:v>
                </c:pt>
                <c:pt idx="6">
                  <c:v>0</c:v>
                </c:pt>
                <c:pt idx="7">
                  <c:v>0</c:v>
                </c:pt>
                <c:pt idx="8">
                  <c:v>0</c:v>
                </c:pt>
                <c:pt idx="9">
                  <c:v>0</c:v>
                </c:pt>
                <c:pt idx="10">
                  <c:v>0</c:v>
                </c:pt>
                <c:pt idx="11">
                  <c:v>1.7915849999999997E-2</c:v>
                </c:pt>
                <c:pt idx="12">
                  <c:v>1.7915849999999997E-2</c:v>
                </c:pt>
                <c:pt idx="13">
                  <c:v>1.7915849999999997E-2</c:v>
                </c:pt>
                <c:pt idx="14">
                  <c:v>1.7915849999999997E-2</c:v>
                </c:pt>
                <c:pt idx="15">
                  <c:v>1.7915849999999997E-2</c:v>
                </c:pt>
                <c:pt idx="16">
                  <c:v>0</c:v>
                </c:pt>
                <c:pt idx="17">
                  <c:v>0</c:v>
                </c:pt>
                <c:pt idx="18">
                  <c:v>0</c:v>
                </c:pt>
                <c:pt idx="19">
                  <c:v>0</c:v>
                </c:pt>
                <c:pt idx="20">
                  <c:v>0</c:v>
                </c:pt>
              </c:numCache>
            </c:numRef>
          </c:val>
          <c:extLst>
            <c:ext xmlns:c16="http://schemas.microsoft.com/office/drawing/2014/chart" uri="{C3380CC4-5D6E-409C-BE32-E72D297353CC}">
              <c16:uniqueId val="{00000000-5A14-48C3-B337-54B501D0AB92}"/>
            </c:ext>
          </c:extLst>
        </c:ser>
        <c:ser>
          <c:idx val="1"/>
          <c:order val="1"/>
          <c:tx>
            <c:strRef>
              <c:f>MOD_Absenkung_Wind_offshore!$C$13</c:f>
              <c:strCache>
                <c:ptCount val="1"/>
                <c:pt idx="0">
                  <c:v>2011</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MOD_Absenkung_Wind_offshore!$K$13:$AE$13</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4.2998040000000001E-2</c:v>
                </c:pt>
                <c:pt idx="13">
                  <c:v>4.2998040000000001E-2</c:v>
                </c:pt>
                <c:pt idx="14">
                  <c:v>4.2998040000000001E-2</c:v>
                </c:pt>
                <c:pt idx="15">
                  <c:v>4.2998040000000001E-2</c:v>
                </c:pt>
                <c:pt idx="16">
                  <c:v>4.2998040000000001E-2</c:v>
                </c:pt>
                <c:pt idx="17">
                  <c:v>0</c:v>
                </c:pt>
                <c:pt idx="18">
                  <c:v>0</c:v>
                </c:pt>
                <c:pt idx="19">
                  <c:v>0</c:v>
                </c:pt>
                <c:pt idx="20">
                  <c:v>0</c:v>
                </c:pt>
              </c:numCache>
            </c:numRef>
          </c:val>
          <c:extLst>
            <c:ext xmlns:c16="http://schemas.microsoft.com/office/drawing/2014/chart" uri="{C3380CC4-5D6E-409C-BE32-E72D297353CC}">
              <c16:uniqueId val="{00000001-5A14-48C3-B337-54B501D0AB92}"/>
            </c:ext>
          </c:extLst>
        </c:ser>
        <c:ser>
          <c:idx val="2"/>
          <c:order val="2"/>
          <c:tx>
            <c:strRef>
              <c:f>MOD_Absenkung_Wind_offshore!$C$14</c:f>
              <c:strCache>
                <c:ptCount val="1"/>
                <c:pt idx="0">
                  <c:v>2012</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MOD_Absenkung_Wind_offshore!$K$14:$AE$14</c:f>
              <c:numCache>
                <c:formatCode>#,##0.00</c:formatCode>
                <c:ptCount val="21"/>
                <c:pt idx="0">
                  <c:v>0</c:v>
                </c:pt>
                <c:pt idx="1">
                  <c:v>0</c:v>
                </c:pt>
                <c:pt idx="2">
                  <c:v>0</c:v>
                </c:pt>
                <c:pt idx="3">
                  <c:v>0</c:v>
                </c:pt>
                <c:pt idx="4">
                  <c:v>0</c:v>
                </c:pt>
                <c:pt idx="5">
                  <c:v>0</c:v>
                </c:pt>
                <c:pt idx="6">
                  <c:v>1.1078400000000002E-2</c:v>
                </c:pt>
                <c:pt idx="7">
                  <c:v>1.1078400000000002E-2</c:v>
                </c:pt>
                <c:pt idx="8">
                  <c:v>1.1078400000000002E-2</c:v>
                </c:pt>
                <c:pt idx="9">
                  <c:v>4.2928800000000003E-2</c:v>
                </c:pt>
                <c:pt idx="10">
                  <c:v>4.2928800000000003E-2</c:v>
                </c:pt>
                <c:pt idx="11">
                  <c:v>4.2928800000000003E-2</c:v>
                </c:pt>
                <c:pt idx="12">
                  <c:v>4.2928800000000003E-2</c:v>
                </c:pt>
                <c:pt idx="13">
                  <c:v>4.2928800000000003E-2</c:v>
                </c:pt>
                <c:pt idx="14">
                  <c:v>4.2928800000000003E-2</c:v>
                </c:pt>
                <c:pt idx="15">
                  <c:v>4.2928800000000003E-2</c:v>
                </c:pt>
                <c:pt idx="16">
                  <c:v>4.2928800000000003E-2</c:v>
                </c:pt>
                <c:pt idx="17">
                  <c:v>4.2928800000000003E-2</c:v>
                </c:pt>
                <c:pt idx="18">
                  <c:v>0</c:v>
                </c:pt>
                <c:pt idx="19">
                  <c:v>0</c:v>
                </c:pt>
                <c:pt idx="20">
                  <c:v>0</c:v>
                </c:pt>
              </c:numCache>
            </c:numRef>
          </c:val>
          <c:extLst>
            <c:ext xmlns:c16="http://schemas.microsoft.com/office/drawing/2014/chart" uri="{C3380CC4-5D6E-409C-BE32-E72D297353CC}">
              <c16:uniqueId val="{00000002-5A14-48C3-B337-54B501D0AB92}"/>
            </c:ext>
          </c:extLst>
        </c:ser>
        <c:ser>
          <c:idx val="3"/>
          <c:order val="3"/>
          <c:tx>
            <c:strRef>
              <c:f>MOD_Absenkung_Wind_offshore!$C$15</c:f>
              <c:strCache>
                <c:ptCount val="1"/>
                <c:pt idx="0">
                  <c:v>2013</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MOD_Absenkung_Wind_offshore!$K$15:$AE$15</c:f>
              <c:numCache>
                <c:formatCode>#,##0.00</c:formatCode>
                <c:ptCount val="21"/>
                <c:pt idx="0">
                  <c:v>0</c:v>
                </c:pt>
                <c:pt idx="1">
                  <c:v>0</c:v>
                </c:pt>
                <c:pt idx="2">
                  <c:v>0</c:v>
                </c:pt>
                <c:pt idx="3">
                  <c:v>0</c:v>
                </c:pt>
                <c:pt idx="4">
                  <c:v>0</c:v>
                </c:pt>
                <c:pt idx="5">
                  <c:v>0</c:v>
                </c:pt>
                <c:pt idx="6">
                  <c:v>0</c:v>
                </c:pt>
                <c:pt idx="7">
                  <c:v>3.3235199999999999E-2</c:v>
                </c:pt>
                <c:pt idx="8">
                  <c:v>3.3235199999999999E-2</c:v>
                </c:pt>
                <c:pt idx="9">
                  <c:v>3.3235199999999999E-2</c:v>
                </c:pt>
                <c:pt idx="10">
                  <c:v>0.12878639999999997</c:v>
                </c:pt>
                <c:pt idx="11">
                  <c:v>0.12878639999999997</c:v>
                </c:pt>
                <c:pt idx="12">
                  <c:v>0.12878639999999997</c:v>
                </c:pt>
                <c:pt idx="13">
                  <c:v>0.12878639999999997</c:v>
                </c:pt>
                <c:pt idx="14">
                  <c:v>0.12878639999999997</c:v>
                </c:pt>
                <c:pt idx="15">
                  <c:v>0.12878639999999997</c:v>
                </c:pt>
                <c:pt idx="16">
                  <c:v>0.12878639999999997</c:v>
                </c:pt>
                <c:pt idx="17">
                  <c:v>0.12878639999999997</c:v>
                </c:pt>
                <c:pt idx="18">
                  <c:v>0.12878639999999997</c:v>
                </c:pt>
                <c:pt idx="19">
                  <c:v>0</c:v>
                </c:pt>
                <c:pt idx="20">
                  <c:v>0</c:v>
                </c:pt>
              </c:numCache>
            </c:numRef>
          </c:val>
          <c:extLst>
            <c:ext xmlns:c16="http://schemas.microsoft.com/office/drawing/2014/chart" uri="{C3380CC4-5D6E-409C-BE32-E72D297353CC}">
              <c16:uniqueId val="{00000003-5A14-48C3-B337-54B501D0AB92}"/>
            </c:ext>
          </c:extLst>
        </c:ser>
        <c:ser>
          <c:idx val="4"/>
          <c:order val="4"/>
          <c:tx>
            <c:strRef>
              <c:f>MOD_Absenkung_Wind_offshore!$C$16</c:f>
              <c:strCache>
                <c:ptCount val="1"/>
                <c:pt idx="0">
                  <c:v>2014</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MOD_Absenkung_Wind_offshore!$K$16:$AE$16</c:f>
              <c:numCache>
                <c:formatCode>#,##0.00</c:formatCode>
                <c:ptCount val="21"/>
                <c:pt idx="0">
                  <c:v>0</c:v>
                </c:pt>
                <c:pt idx="1">
                  <c:v>0</c:v>
                </c:pt>
                <c:pt idx="2">
                  <c:v>0</c:v>
                </c:pt>
                <c:pt idx="3">
                  <c:v>0</c:v>
                </c:pt>
                <c:pt idx="4">
                  <c:v>0</c:v>
                </c:pt>
                <c:pt idx="5">
                  <c:v>0</c:v>
                </c:pt>
                <c:pt idx="6">
                  <c:v>0</c:v>
                </c:pt>
                <c:pt idx="7">
                  <c:v>0</c:v>
                </c:pt>
                <c:pt idx="8">
                  <c:v>6.7301280000000005E-2</c:v>
                </c:pt>
                <c:pt idx="9">
                  <c:v>6.7301280000000005E-2</c:v>
                </c:pt>
                <c:pt idx="10">
                  <c:v>6.7301280000000005E-2</c:v>
                </c:pt>
                <c:pt idx="11">
                  <c:v>0.26079246</c:v>
                </c:pt>
                <c:pt idx="12">
                  <c:v>0.26079246</c:v>
                </c:pt>
                <c:pt idx="13">
                  <c:v>0.26079246</c:v>
                </c:pt>
                <c:pt idx="14">
                  <c:v>0.26079246</c:v>
                </c:pt>
                <c:pt idx="15">
                  <c:v>0.26079246</c:v>
                </c:pt>
                <c:pt idx="16">
                  <c:v>0.26079246</c:v>
                </c:pt>
                <c:pt idx="17">
                  <c:v>0.26079246</c:v>
                </c:pt>
                <c:pt idx="18">
                  <c:v>0.26079246</c:v>
                </c:pt>
                <c:pt idx="19">
                  <c:v>0.26079246</c:v>
                </c:pt>
                <c:pt idx="20">
                  <c:v>0</c:v>
                </c:pt>
              </c:numCache>
            </c:numRef>
          </c:val>
          <c:extLst>
            <c:ext xmlns:c16="http://schemas.microsoft.com/office/drawing/2014/chart" uri="{C3380CC4-5D6E-409C-BE32-E72D297353CC}">
              <c16:uniqueId val="{00000004-5A14-48C3-B337-54B501D0AB92}"/>
            </c:ext>
          </c:extLst>
        </c:ser>
        <c:ser>
          <c:idx val="5"/>
          <c:order val="5"/>
          <c:tx>
            <c:strRef>
              <c:f>MOD_Absenkung_Wind_offshore!$C$17</c:f>
              <c:strCache>
                <c:ptCount val="1"/>
                <c:pt idx="0">
                  <c:v>2015</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MOD_Absenkung_Wind_offshore!$K$17:$AE$17</c:f>
              <c:numCache>
                <c:formatCode>#,##0.00</c:formatCode>
                <c:ptCount val="21"/>
                <c:pt idx="0">
                  <c:v>0</c:v>
                </c:pt>
                <c:pt idx="1">
                  <c:v>0</c:v>
                </c:pt>
                <c:pt idx="2">
                  <c:v>0</c:v>
                </c:pt>
                <c:pt idx="3">
                  <c:v>0</c:v>
                </c:pt>
                <c:pt idx="4">
                  <c:v>0</c:v>
                </c:pt>
                <c:pt idx="5">
                  <c:v>0</c:v>
                </c:pt>
                <c:pt idx="6">
                  <c:v>0</c:v>
                </c:pt>
                <c:pt idx="7">
                  <c:v>0</c:v>
                </c:pt>
                <c:pt idx="8">
                  <c:v>0</c:v>
                </c:pt>
                <c:pt idx="9">
                  <c:v>0.31698072000000005</c:v>
                </c:pt>
                <c:pt idx="10">
                  <c:v>0.31698072000000005</c:v>
                </c:pt>
                <c:pt idx="11">
                  <c:v>0.31698072000000005</c:v>
                </c:pt>
                <c:pt idx="12">
                  <c:v>1.22830029</c:v>
                </c:pt>
                <c:pt idx="13">
                  <c:v>1.22830029</c:v>
                </c:pt>
                <c:pt idx="14">
                  <c:v>1.22830029</c:v>
                </c:pt>
                <c:pt idx="15">
                  <c:v>1.22830029</c:v>
                </c:pt>
                <c:pt idx="16">
                  <c:v>1.22830029</c:v>
                </c:pt>
                <c:pt idx="17">
                  <c:v>1.22830029</c:v>
                </c:pt>
                <c:pt idx="18">
                  <c:v>1.22830029</c:v>
                </c:pt>
                <c:pt idx="19">
                  <c:v>1.22830029</c:v>
                </c:pt>
                <c:pt idx="20">
                  <c:v>1.22830029</c:v>
                </c:pt>
              </c:numCache>
            </c:numRef>
          </c:val>
          <c:extLst>
            <c:ext xmlns:c16="http://schemas.microsoft.com/office/drawing/2014/chart" uri="{C3380CC4-5D6E-409C-BE32-E72D297353CC}">
              <c16:uniqueId val="{00000005-5A14-48C3-B337-54B501D0AB92}"/>
            </c:ext>
          </c:extLst>
        </c:ser>
        <c:ser>
          <c:idx val="6"/>
          <c:order val="6"/>
          <c:tx>
            <c:strRef>
              <c:f>MOD_Absenkung_Wind_offshore!$C$18</c:f>
              <c:strCache>
                <c:ptCount val="1"/>
                <c:pt idx="0">
                  <c:v>2016</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MOD_Absenkung_Wind_offshore!$K$18:$AE$18</c:f>
              <c:numCache>
                <c:formatCode>#,##0.00</c:formatCode>
                <c:ptCount val="21"/>
                <c:pt idx="0">
                  <c:v>0</c:v>
                </c:pt>
                <c:pt idx="1">
                  <c:v>0</c:v>
                </c:pt>
                <c:pt idx="2">
                  <c:v>0</c:v>
                </c:pt>
                <c:pt idx="3">
                  <c:v>0</c:v>
                </c:pt>
                <c:pt idx="4">
                  <c:v>0</c:v>
                </c:pt>
                <c:pt idx="5">
                  <c:v>0</c:v>
                </c:pt>
                <c:pt idx="6">
                  <c:v>0</c:v>
                </c:pt>
                <c:pt idx="7">
                  <c:v>0</c:v>
                </c:pt>
                <c:pt idx="8">
                  <c:v>0</c:v>
                </c:pt>
                <c:pt idx="9">
                  <c:v>0</c:v>
                </c:pt>
                <c:pt idx="10">
                  <c:v>0.12381512</c:v>
                </c:pt>
                <c:pt idx="11">
                  <c:v>0.12381512</c:v>
                </c:pt>
                <c:pt idx="12">
                  <c:v>0.12381512</c:v>
                </c:pt>
                <c:pt idx="13">
                  <c:v>0.47978358999999998</c:v>
                </c:pt>
                <c:pt idx="14">
                  <c:v>0.47978358999999998</c:v>
                </c:pt>
                <c:pt idx="15">
                  <c:v>0.47978358999999998</c:v>
                </c:pt>
                <c:pt idx="16">
                  <c:v>0.47978358999999998</c:v>
                </c:pt>
                <c:pt idx="17">
                  <c:v>0.47978358999999998</c:v>
                </c:pt>
                <c:pt idx="18">
                  <c:v>0.47978358999999998</c:v>
                </c:pt>
                <c:pt idx="19">
                  <c:v>0.47978358999999998</c:v>
                </c:pt>
                <c:pt idx="20">
                  <c:v>0.47978358999999998</c:v>
                </c:pt>
              </c:numCache>
            </c:numRef>
          </c:val>
          <c:extLst>
            <c:ext xmlns:c16="http://schemas.microsoft.com/office/drawing/2014/chart" uri="{C3380CC4-5D6E-409C-BE32-E72D297353CC}">
              <c16:uniqueId val="{00000006-5A14-48C3-B337-54B501D0AB92}"/>
            </c:ext>
          </c:extLst>
        </c:ser>
        <c:ser>
          <c:idx val="7"/>
          <c:order val="7"/>
          <c:tx>
            <c:strRef>
              <c:f>MOD_Absenkung_Wind_offshore!$C$19</c:f>
              <c:strCache>
                <c:ptCount val="1"/>
                <c:pt idx="0">
                  <c:v>2017</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MOD_Absenkung_Wind_offshore!$K$19:$AE$19</c:f>
              <c:numCache>
                <c:formatCode>#,##0.00</c:formatCode>
                <c:ptCount val="21"/>
                <c:pt idx="0">
                  <c:v>0</c:v>
                </c:pt>
                <c:pt idx="1">
                  <c:v>0</c:v>
                </c:pt>
                <c:pt idx="2">
                  <c:v>0</c:v>
                </c:pt>
                <c:pt idx="3">
                  <c:v>0</c:v>
                </c:pt>
                <c:pt idx="4">
                  <c:v>0</c:v>
                </c:pt>
                <c:pt idx="5">
                  <c:v>0</c:v>
                </c:pt>
                <c:pt idx="6">
                  <c:v>0</c:v>
                </c:pt>
                <c:pt idx="7">
                  <c:v>0</c:v>
                </c:pt>
                <c:pt idx="8">
                  <c:v>0</c:v>
                </c:pt>
                <c:pt idx="9">
                  <c:v>0</c:v>
                </c:pt>
                <c:pt idx="10">
                  <c:v>0</c:v>
                </c:pt>
                <c:pt idx="11">
                  <c:v>0.18368591999999997</c:v>
                </c:pt>
                <c:pt idx="12">
                  <c:v>0.18368591999999997</c:v>
                </c:pt>
                <c:pt idx="13">
                  <c:v>0.18368591999999997</c:v>
                </c:pt>
                <c:pt idx="14">
                  <c:v>0.71178294000000009</c:v>
                </c:pt>
                <c:pt idx="15">
                  <c:v>0.71178294000000009</c:v>
                </c:pt>
                <c:pt idx="16">
                  <c:v>0.71178294000000009</c:v>
                </c:pt>
                <c:pt idx="17">
                  <c:v>0.71178294000000009</c:v>
                </c:pt>
                <c:pt idx="18">
                  <c:v>0.71178294000000009</c:v>
                </c:pt>
                <c:pt idx="19">
                  <c:v>0.71178294000000009</c:v>
                </c:pt>
                <c:pt idx="20">
                  <c:v>0.71178294000000009</c:v>
                </c:pt>
              </c:numCache>
            </c:numRef>
          </c:val>
          <c:extLst>
            <c:ext xmlns:c16="http://schemas.microsoft.com/office/drawing/2014/chart" uri="{C3380CC4-5D6E-409C-BE32-E72D297353CC}">
              <c16:uniqueId val="{00000007-5A14-48C3-B337-54B501D0AB92}"/>
            </c:ext>
          </c:extLst>
        </c:ser>
        <c:ser>
          <c:idx val="8"/>
          <c:order val="8"/>
          <c:tx>
            <c:strRef>
              <c:f>MOD_Absenkung_Wind_offshore!$C$20</c:f>
              <c:strCache>
                <c:ptCount val="1"/>
                <c:pt idx="0">
                  <c:v>2018</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MOD_Absenkung_Wind_offshore!$K$20:$AE$20</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0.40844033999999996</c:v>
                </c:pt>
                <c:pt idx="20">
                  <c:v>0.40844033999999996</c:v>
                </c:pt>
              </c:numCache>
            </c:numRef>
          </c:val>
          <c:extLst>
            <c:ext xmlns:c16="http://schemas.microsoft.com/office/drawing/2014/chart" uri="{C3380CC4-5D6E-409C-BE32-E72D297353CC}">
              <c16:uniqueId val="{00000008-5A14-48C3-B337-54B501D0AB92}"/>
            </c:ext>
          </c:extLst>
        </c:ser>
        <c:ser>
          <c:idx val="9"/>
          <c:order val="9"/>
          <c:tx>
            <c:strRef>
              <c:f>MOD_Absenkung_Wind_offshore!$C$21</c:f>
              <c:strCache>
                <c:ptCount val="1"/>
                <c:pt idx="0">
                  <c:v>2019</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MOD_Absenkung_Wind_offshore!$K$21:$AE$21</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0.48217069999999995</c:v>
                </c:pt>
              </c:numCache>
            </c:numRef>
          </c:val>
          <c:extLst>
            <c:ext xmlns:c16="http://schemas.microsoft.com/office/drawing/2014/chart" uri="{C3380CC4-5D6E-409C-BE32-E72D297353CC}">
              <c16:uniqueId val="{00000009-5A14-48C3-B337-54B501D0AB92}"/>
            </c:ext>
          </c:extLst>
        </c:ser>
        <c:ser>
          <c:idx val="10"/>
          <c:order val="10"/>
          <c:tx>
            <c:strRef>
              <c:f>MOD_Absenkung_Wind_offshore!$C$22</c:f>
              <c:strCache>
                <c:ptCount val="1"/>
                <c:pt idx="0">
                  <c:v>2020</c:v>
                </c:pt>
              </c:strCache>
            </c:strRef>
          </c:tx>
          <c:invertIfNegative val="0"/>
          <c:cat>
            <c:numRef>
              <c:f>MOD_Absenkung_Wind_offshore!$K$9:$AE$9</c:f>
              <c:numCache>
                <c:formatCode>0</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MOD_Absenkung_Wind_offshore!$K$22:$AE$22</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5A14-48C3-B337-54B501D0AB92}"/>
            </c:ext>
          </c:extLst>
        </c:ser>
        <c:dLbls>
          <c:showLegendKey val="0"/>
          <c:showVal val="0"/>
          <c:showCatName val="0"/>
          <c:showSerName val="0"/>
          <c:showPercent val="0"/>
          <c:showBubbleSize val="0"/>
        </c:dLbls>
        <c:gapWidth val="150"/>
        <c:overlap val="100"/>
        <c:axId val="321800832"/>
        <c:axId val="321827200"/>
      </c:barChart>
      <c:catAx>
        <c:axId val="321800832"/>
        <c:scaling>
          <c:orientation val="minMax"/>
        </c:scaling>
        <c:delete val="0"/>
        <c:axPos val="b"/>
        <c:numFmt formatCode="0" sourceLinked="1"/>
        <c:majorTickMark val="out"/>
        <c:minorTickMark val="none"/>
        <c:tickLblPos val="nextTo"/>
        <c:crossAx val="321827200"/>
        <c:crosses val="autoZero"/>
        <c:auto val="1"/>
        <c:lblAlgn val="ctr"/>
        <c:lblOffset val="100"/>
        <c:noMultiLvlLbl val="0"/>
      </c:catAx>
      <c:valAx>
        <c:axId val="321827200"/>
        <c:scaling>
          <c:orientation val="minMax"/>
        </c:scaling>
        <c:delete val="0"/>
        <c:axPos val="l"/>
        <c:majorGridlines/>
        <c:title>
          <c:tx>
            <c:strRef>
              <c:f>MOD_Absenkung_Wind_offshore!$K$10</c:f>
              <c:strCache>
                <c:ptCount val="1"/>
                <c:pt idx="0">
                  <c:v>Wegfallende Vergütungszahlungen (nominal) (Mrd. €)</c:v>
                </c:pt>
              </c:strCache>
            </c:strRef>
          </c:tx>
          <c:overlay val="0"/>
          <c:txPr>
            <a:bodyPr rot="-5400000" vert="horz"/>
            <a:lstStyle/>
            <a:p>
              <a:pPr>
                <a:defRPr/>
              </a:pPr>
              <a:endParaRPr lang="en-US"/>
            </a:p>
          </c:txPr>
        </c:title>
        <c:numFmt formatCode="#,##0.00" sourceLinked="1"/>
        <c:majorTickMark val="out"/>
        <c:minorTickMark val="none"/>
        <c:tickLblPos val="nextTo"/>
        <c:crossAx val="321800832"/>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latin typeface="Arial" panose="020B0604020202020204" pitchFamily="34" charset="0"/>
                <a:cs typeface="Arial" panose="020B0604020202020204" pitchFamily="34" charset="0"/>
              </a:defRPr>
            </a:pPr>
            <a:r>
              <a:rPr lang="de-DE" sz="1800">
                <a:latin typeface="Arial" panose="020B0604020202020204" pitchFamily="34" charset="0"/>
                <a:cs typeface="Arial" panose="020B0604020202020204" pitchFamily="34" charset="0"/>
              </a:rPr>
              <a:t>Strompreis und Umlage</a:t>
            </a:r>
          </a:p>
        </c:rich>
      </c:tx>
      <c:layout>
        <c:manualLayout>
          <c:xMode val="edge"/>
          <c:yMode val="edge"/>
          <c:x val="0.12759125721488246"/>
          <c:y val="7.8063012522738257E-2"/>
        </c:manualLayout>
      </c:layout>
      <c:overlay val="1"/>
    </c:title>
    <c:autoTitleDeleted val="0"/>
    <c:plotArea>
      <c:layout>
        <c:manualLayout>
          <c:layoutTarget val="inner"/>
          <c:xMode val="edge"/>
          <c:yMode val="edge"/>
          <c:x val="0.1126586703987395"/>
          <c:y val="4.2524152047853307E-2"/>
          <c:w val="0.66123001337924681"/>
          <c:h val="0.84035802057976827"/>
        </c:manualLayout>
      </c:layout>
      <c:barChart>
        <c:barDir val="col"/>
        <c:grouping val="stacked"/>
        <c:varyColors val="0"/>
        <c:ser>
          <c:idx val="0"/>
          <c:order val="1"/>
          <c:tx>
            <c:strRef>
              <c:f>'GrD-Grafikdaten'!$E$150</c:f>
              <c:strCache>
                <c:ptCount val="1"/>
                <c:pt idx="0">
                  <c:v>Strompreis</c:v>
                </c:pt>
              </c:strCache>
            </c:strRef>
          </c:tx>
          <c:spPr>
            <a:solidFill>
              <a:schemeClr val="accent6">
                <a:lumMod val="75000"/>
              </a:scheme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'GrD-Grafikdaten'!$F$150:$AE$150</c:f>
              <c:numCache>
                <c:formatCode>0.00</c:formatCode>
                <c:ptCount val="26"/>
                <c:pt idx="0">
                  <c:v>5.3650479999999998</c:v>
                </c:pt>
                <c:pt idx="1">
                  <c:v>5.0739089999999996</c:v>
                </c:pt>
                <c:pt idx="2">
                  <c:v>5.5220000000000002</c:v>
                </c:pt>
                <c:pt idx="3">
                  <c:v>5.1150000000000002</c:v>
                </c:pt>
                <c:pt idx="4">
                  <c:v>4.1450000000000005</c:v>
                </c:pt>
                <c:pt idx="5">
                  <c:v>3.5670000000000002</c:v>
                </c:pt>
                <c:pt idx="6">
                  <c:v>3.1260000000000003</c:v>
                </c:pt>
                <c:pt idx="7">
                  <c:v>2.6749999999999998</c:v>
                </c:pt>
                <c:pt idx="8">
                  <c:v>3.222</c:v>
                </c:pt>
                <c:pt idx="9">
                  <c:v>4.6280000000000001</c:v>
                </c:pt>
                <c:pt idx="10">
                  <c:v>4.9340000000000002</c:v>
                </c:pt>
                <c:pt idx="11">
                  <c:v>4.0739999999999998</c:v>
                </c:pt>
                <c:pt idx="12">
                  <c:v>7.8400000000000007</c:v>
                </c:pt>
                <c:pt idx="13">
                  <c:v>8.7519999999999989</c:v>
                </c:pt>
                <c:pt idx="14">
                  <c:v>7.2530000000000001</c:v>
                </c:pt>
                <c:pt idx="15">
                  <c:v>7.1599999999999993</c:v>
                </c:pt>
                <c:pt idx="16">
                  <c:v>7.0620000000000003</c:v>
                </c:pt>
                <c:pt idx="17">
                  <c:v>7.035000000000001</c:v>
                </c:pt>
                <c:pt idx="18">
                  <c:v>6.9610000000000003</c:v>
                </c:pt>
                <c:pt idx="19">
                  <c:v>6.8930000000000007</c:v>
                </c:pt>
                <c:pt idx="20">
                  <c:v>6.8579999999999997</c:v>
                </c:pt>
                <c:pt idx="21">
                  <c:v>6.8170000000000002</c:v>
                </c:pt>
                <c:pt idx="22">
                  <c:v>6.7377500000000001</c:v>
                </c:pt>
                <c:pt idx="23">
                  <c:v>6.658500000000001</c:v>
                </c:pt>
                <c:pt idx="24">
                  <c:v>6.57925</c:v>
                </c:pt>
                <c:pt idx="25">
                  <c:v>6.5</c:v>
                </c:pt>
              </c:numCache>
            </c:numRef>
          </c:val>
          <c:extLst>
            <c:ext xmlns:c16="http://schemas.microsoft.com/office/drawing/2014/chart" uri="{C3380CC4-5D6E-409C-BE32-E72D297353CC}">
              <c16:uniqueId val="{00000000-6A44-49DF-8E1B-C316EFB1C9DC}"/>
            </c:ext>
          </c:extLst>
        </c:ser>
        <c:ser>
          <c:idx val="2"/>
          <c:order val="2"/>
          <c:tx>
            <c:strRef>
              <c:f>'GrD-Grafikdaten'!$E$151</c:f>
              <c:strCache>
                <c:ptCount val="1"/>
                <c:pt idx="0">
                  <c:v>Umlage</c:v>
                </c:pt>
              </c:strCache>
            </c:strRef>
          </c:tx>
          <c:spPr>
            <a:solidFill>
              <a:srgbClr val="00B0F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'GrD-Grafikdaten'!$F$151:$AE$151</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extLst>
            <c:ext xmlns:c16="http://schemas.microsoft.com/office/drawing/2014/chart" uri="{C3380CC4-5D6E-409C-BE32-E72D297353CC}">
              <c16:uniqueId val="{00000001-6A44-49DF-8E1B-C316EFB1C9DC}"/>
            </c:ext>
          </c:extLst>
        </c:ser>
        <c:dLbls>
          <c:showLegendKey val="0"/>
          <c:showVal val="0"/>
          <c:showCatName val="0"/>
          <c:showSerName val="0"/>
          <c:showPercent val="0"/>
          <c:showBubbleSize val="0"/>
        </c:dLbls>
        <c:gapWidth val="10"/>
        <c:overlap val="100"/>
        <c:serLines/>
        <c:axId val="365263104"/>
        <c:axId val="365294336"/>
      </c:barChart>
      <c:lineChart>
        <c:grouping val="standard"/>
        <c:varyColors val="0"/>
        <c:ser>
          <c:idx val="1"/>
          <c:order val="0"/>
          <c:tx>
            <c:strRef>
              <c:f>'GrD-Grafikdaten'!$E$149</c:f>
              <c:strCache>
                <c:ptCount val="1"/>
                <c:pt idx="0">
                  <c:v>Summe Strompreis + Umlage</c:v>
                </c:pt>
              </c:strCache>
            </c:strRef>
          </c:tx>
          <c:spPr>
            <a:ln>
              <a:solidFill>
                <a:srgbClr val="7030A0"/>
              </a:solidFill>
            </a:ln>
          </c:spPr>
          <c:marker>
            <c:symbol val="none"/>
          </c:marker>
          <c:dLbls>
            <c:numFmt formatCode="#,##0.0" sourceLinked="0"/>
            <c:spPr>
              <a:solidFill>
                <a:srgbClr val="FFFFFF">
                  <a:alpha val="69804"/>
                </a:srgbClr>
              </a:solidFill>
              <a:ln cap="rnd">
                <a:solidFill>
                  <a:schemeClr val="accent6">
                    <a:lumMod val="60000"/>
                    <a:lumOff val="40000"/>
                  </a:schemeClr>
                </a:solidFill>
                <a:round/>
              </a:ln>
              <a:effectLst>
                <a:softEdge rad="0"/>
              </a:effectLst>
            </c:spPr>
            <c:txPr>
              <a:bodyPr/>
              <a:lstStyle/>
              <a:p>
                <a:pPr>
                  <a:defRPr sz="900">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'GrD-Grafikdaten'!$F$149:$AE$149</c:f>
              <c:numCache>
                <c:formatCode>0.00</c:formatCode>
                <c:ptCount val="26"/>
                <c:pt idx="0">
                  <c:v>7.4120479999999995</c:v>
                </c:pt>
                <c:pt idx="1">
                  <c:v>8.6039089999999998</c:v>
                </c:pt>
                <c:pt idx="2">
                  <c:v>9.1140000000000008</c:v>
                </c:pt>
                <c:pt idx="3">
                  <c:v>10.391999999999999</c:v>
                </c:pt>
                <c:pt idx="4">
                  <c:v>10.385</c:v>
                </c:pt>
                <c:pt idx="5">
                  <c:v>9.7365706877643845</c:v>
                </c:pt>
                <c:pt idx="6">
                  <c:v>9.464268639723894</c:v>
                </c:pt>
                <c:pt idx="7">
                  <c:v>9.5352264368703565</c:v>
                </c:pt>
                <c:pt idx="8">
                  <c:v>10.00080483632372</c:v>
                </c:pt>
                <c:pt idx="9">
                  <c:v>11.034581826229905</c:v>
                </c:pt>
                <c:pt idx="10">
                  <c:v>11.692116313820181</c:v>
                </c:pt>
                <c:pt idx="11">
                  <c:v>10.577615363716919</c:v>
                </c:pt>
                <c:pt idx="12">
                  <c:v>11.563082772147341</c:v>
                </c:pt>
                <c:pt idx="13">
                  <c:v>10.97923443639672</c:v>
                </c:pt>
                <c:pt idx="14">
                  <c:v>11.250717348887195</c:v>
                </c:pt>
                <c:pt idx="15">
                  <c:v>10.692756736346251</c:v>
                </c:pt>
                <c:pt idx="16">
                  <c:v>10.407660840872651</c:v>
                </c:pt>
                <c:pt idx="17">
                  <c:v>9.7827292039835285</c:v>
                </c:pt>
                <c:pt idx="18">
                  <c:v>9.3241891682261588</c:v>
                </c:pt>
                <c:pt idx="19">
                  <c:v>8.8900413628901465</c:v>
                </c:pt>
                <c:pt idx="20">
                  <c:v>8.3840557430647475</c:v>
                </c:pt>
                <c:pt idx="21">
                  <c:v>7.7443233512101965</c:v>
                </c:pt>
                <c:pt idx="22">
                  <c:v>7.1887349112794388</c:v>
                </c:pt>
                <c:pt idx="23">
                  <c:v>6.9259949342309861</c:v>
                </c:pt>
                <c:pt idx="24">
                  <c:v>6.8419839443798365</c:v>
                </c:pt>
                <c:pt idx="25">
                  <c:v>6.8433696944558342</c:v>
                </c:pt>
              </c:numCache>
            </c:numRef>
          </c:val>
          <c:smooth val="0"/>
          <c:extLst>
            <c:ext xmlns:c16="http://schemas.microsoft.com/office/drawing/2014/chart" uri="{C3380CC4-5D6E-409C-BE32-E72D297353CC}">
              <c16:uniqueId val="{00000002-6A44-49DF-8E1B-C316EFB1C9DC}"/>
            </c:ext>
          </c:extLst>
        </c:ser>
        <c:dLbls>
          <c:showLegendKey val="0"/>
          <c:showVal val="0"/>
          <c:showCatName val="0"/>
          <c:showSerName val="0"/>
          <c:showPercent val="0"/>
          <c:showBubbleSize val="0"/>
        </c:dLbls>
        <c:marker val="1"/>
        <c:smooth val="0"/>
        <c:axId val="365263104"/>
        <c:axId val="365294336"/>
      </c:lineChart>
      <c:catAx>
        <c:axId val="365263104"/>
        <c:scaling>
          <c:orientation val="minMax"/>
        </c:scaling>
        <c:delete val="0"/>
        <c:axPos val="b"/>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65294336"/>
        <c:crosses val="autoZero"/>
        <c:auto val="1"/>
        <c:lblAlgn val="ctr"/>
        <c:lblOffset val="100"/>
        <c:noMultiLvlLbl val="0"/>
      </c:catAx>
      <c:valAx>
        <c:axId val="365294336"/>
        <c:scaling>
          <c:orientation val="minMax"/>
          <c:max val="15"/>
          <c:min val="0"/>
        </c:scaling>
        <c:delete val="0"/>
        <c:axPos val="l"/>
        <c:majorGridlines/>
        <c:title>
          <c:tx>
            <c:strRef>
              <c:f>ControlPanel!$R$13</c:f>
              <c:strCache>
                <c:ptCount val="1"/>
                <c:pt idx="0">
                  <c:v>ct/kWh</c:v>
                </c:pt>
              </c:strCache>
            </c:strRef>
          </c:tx>
          <c:layout>
            <c:manualLayout>
              <c:xMode val="edge"/>
              <c:yMode val="edge"/>
              <c:x val="2.4058025417757915E-2"/>
              <c:y val="0.45102308548739756"/>
            </c:manualLayout>
          </c:layout>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65263104"/>
        <c:crosses val="autoZero"/>
        <c:crossBetween val="between"/>
        <c:majorUnit val="2.5"/>
      </c:valAx>
      <c:spPr>
        <a:solidFill>
          <a:schemeClr val="bg1"/>
        </a:solidFill>
      </c:spPr>
    </c:plotArea>
    <c:legend>
      <c:legendPos val="r"/>
      <c:overlay val="0"/>
    </c:legend>
    <c:plotVisOnly val="1"/>
    <c:dispBlanksAs val="gap"/>
    <c:showDLblsOverMax val="0"/>
  </c:chart>
  <c:spPr>
    <a:ln>
      <a:solidFill>
        <a:schemeClr val="tx1"/>
      </a:solid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latin typeface="Arial" panose="020B0604020202020204" pitchFamily="34" charset="0"/>
                <a:cs typeface="Arial" panose="020B0604020202020204" pitchFamily="34" charset="0"/>
              </a:defRPr>
            </a:pPr>
            <a:r>
              <a:rPr lang="de-DE" sz="1800">
                <a:latin typeface="Arial" panose="020B0604020202020204" pitchFamily="34" charset="0"/>
                <a:cs typeface="Arial" panose="020B0604020202020204" pitchFamily="34" charset="0"/>
              </a:rPr>
              <a:t>Strompreis und Umlage</a:t>
            </a:r>
          </a:p>
        </c:rich>
      </c:tx>
      <c:layout>
        <c:manualLayout>
          <c:xMode val="edge"/>
          <c:yMode val="edge"/>
          <c:x val="0.12759125721488246"/>
          <c:y val="7.8063012522738257E-2"/>
        </c:manualLayout>
      </c:layout>
      <c:overlay val="1"/>
    </c:title>
    <c:autoTitleDeleted val="0"/>
    <c:plotArea>
      <c:layout>
        <c:manualLayout>
          <c:layoutTarget val="inner"/>
          <c:xMode val="edge"/>
          <c:yMode val="edge"/>
          <c:x val="0.1126586703987395"/>
          <c:y val="4.2524152047853307E-2"/>
          <c:w val="0.66123001337924681"/>
          <c:h val="0.84035802057976827"/>
        </c:manualLayout>
      </c:layout>
      <c:barChart>
        <c:barDir val="col"/>
        <c:grouping val="stacked"/>
        <c:varyColors val="0"/>
        <c:ser>
          <c:idx val="0"/>
          <c:order val="1"/>
          <c:tx>
            <c:strRef>
              <c:f>'GrD-Grafikdaten'!$E$150</c:f>
              <c:strCache>
                <c:ptCount val="1"/>
                <c:pt idx="0">
                  <c:v>Strompreis</c:v>
                </c:pt>
              </c:strCache>
            </c:strRef>
          </c:tx>
          <c:spPr>
            <a:solidFill>
              <a:schemeClr val="accent6">
                <a:lumMod val="75000"/>
              </a:scheme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'GrD-Grafikdaten'!$F$150:$AE$150</c:f>
              <c:numCache>
                <c:formatCode>0.00</c:formatCode>
                <c:ptCount val="26"/>
                <c:pt idx="0">
                  <c:v>5.3650479999999998</c:v>
                </c:pt>
                <c:pt idx="1">
                  <c:v>5.0739089999999996</c:v>
                </c:pt>
                <c:pt idx="2">
                  <c:v>5.5220000000000002</c:v>
                </c:pt>
                <c:pt idx="3">
                  <c:v>5.1150000000000002</c:v>
                </c:pt>
                <c:pt idx="4">
                  <c:v>4.1450000000000005</c:v>
                </c:pt>
                <c:pt idx="5">
                  <c:v>3.5670000000000002</c:v>
                </c:pt>
                <c:pt idx="6">
                  <c:v>3.1260000000000003</c:v>
                </c:pt>
                <c:pt idx="7">
                  <c:v>2.6749999999999998</c:v>
                </c:pt>
                <c:pt idx="8">
                  <c:v>3.222</c:v>
                </c:pt>
                <c:pt idx="9">
                  <c:v>4.6280000000000001</c:v>
                </c:pt>
                <c:pt idx="10">
                  <c:v>4.9340000000000002</c:v>
                </c:pt>
                <c:pt idx="11">
                  <c:v>4.0739999999999998</c:v>
                </c:pt>
                <c:pt idx="12">
                  <c:v>7.8400000000000007</c:v>
                </c:pt>
                <c:pt idx="13">
                  <c:v>8.7519999999999989</c:v>
                </c:pt>
                <c:pt idx="14">
                  <c:v>7.2530000000000001</c:v>
                </c:pt>
                <c:pt idx="15">
                  <c:v>7.1599999999999993</c:v>
                </c:pt>
                <c:pt idx="16">
                  <c:v>7.0620000000000003</c:v>
                </c:pt>
                <c:pt idx="17">
                  <c:v>7.035000000000001</c:v>
                </c:pt>
                <c:pt idx="18">
                  <c:v>6.9610000000000003</c:v>
                </c:pt>
                <c:pt idx="19">
                  <c:v>6.8930000000000007</c:v>
                </c:pt>
                <c:pt idx="20">
                  <c:v>6.8579999999999997</c:v>
                </c:pt>
                <c:pt idx="21">
                  <c:v>6.8170000000000002</c:v>
                </c:pt>
                <c:pt idx="22">
                  <c:v>6.7377500000000001</c:v>
                </c:pt>
                <c:pt idx="23">
                  <c:v>6.658500000000001</c:v>
                </c:pt>
                <c:pt idx="24">
                  <c:v>6.57925</c:v>
                </c:pt>
                <c:pt idx="25">
                  <c:v>6.5</c:v>
                </c:pt>
              </c:numCache>
            </c:numRef>
          </c:val>
          <c:extLst>
            <c:ext xmlns:c16="http://schemas.microsoft.com/office/drawing/2014/chart" uri="{C3380CC4-5D6E-409C-BE32-E72D297353CC}">
              <c16:uniqueId val="{00000000-8EBE-46AA-9610-25D0374D8D9E}"/>
            </c:ext>
          </c:extLst>
        </c:ser>
        <c:ser>
          <c:idx val="2"/>
          <c:order val="2"/>
          <c:tx>
            <c:strRef>
              <c:f>'GrD-Grafikdaten'!$E$151</c:f>
              <c:strCache>
                <c:ptCount val="1"/>
                <c:pt idx="0">
                  <c:v>Umlage</c:v>
                </c:pt>
              </c:strCache>
            </c:strRef>
          </c:tx>
          <c:spPr>
            <a:solidFill>
              <a:srgbClr val="00B0F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'GrD-Grafikdaten'!$F$151:$AE$151</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extLst>
            <c:ext xmlns:c16="http://schemas.microsoft.com/office/drawing/2014/chart" uri="{C3380CC4-5D6E-409C-BE32-E72D297353CC}">
              <c16:uniqueId val="{00000001-8EBE-46AA-9610-25D0374D8D9E}"/>
            </c:ext>
          </c:extLst>
        </c:ser>
        <c:dLbls>
          <c:showLegendKey val="0"/>
          <c:showVal val="0"/>
          <c:showCatName val="0"/>
          <c:showSerName val="0"/>
          <c:showPercent val="0"/>
          <c:showBubbleSize val="0"/>
        </c:dLbls>
        <c:gapWidth val="10"/>
        <c:overlap val="100"/>
        <c:serLines/>
        <c:axId val="45626880"/>
        <c:axId val="45628416"/>
      </c:barChart>
      <c:lineChart>
        <c:grouping val="standard"/>
        <c:varyColors val="0"/>
        <c:ser>
          <c:idx val="1"/>
          <c:order val="0"/>
          <c:tx>
            <c:strRef>
              <c:f>'GrD-Grafikdaten'!$E$149</c:f>
              <c:strCache>
                <c:ptCount val="1"/>
                <c:pt idx="0">
                  <c:v>Summe Strompreis + Umlage</c:v>
                </c:pt>
              </c:strCache>
            </c:strRef>
          </c:tx>
          <c:spPr>
            <a:ln>
              <a:solidFill>
                <a:srgbClr val="7030A0"/>
              </a:solidFill>
            </a:ln>
          </c:spPr>
          <c:marker>
            <c:symbol val="none"/>
          </c:marker>
          <c:dLbls>
            <c:numFmt formatCode="#,##0.0" sourceLinked="0"/>
            <c:spPr>
              <a:solidFill>
                <a:srgbClr val="FFFFFF">
                  <a:alpha val="69804"/>
                </a:srgbClr>
              </a:solidFill>
              <a:ln cap="rnd">
                <a:solidFill>
                  <a:schemeClr val="accent6">
                    <a:lumMod val="60000"/>
                    <a:lumOff val="40000"/>
                  </a:schemeClr>
                </a:solidFill>
                <a:round/>
              </a:ln>
              <a:effectLst>
                <a:softEdge rad="0"/>
              </a:effectLst>
            </c:spPr>
            <c:txPr>
              <a:bodyPr/>
              <a:lstStyle/>
              <a:p>
                <a:pPr>
                  <a:defRPr sz="900">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'GrD-Grafikdaten'!$F$149:$AE$149</c:f>
              <c:numCache>
                <c:formatCode>0.00</c:formatCode>
                <c:ptCount val="26"/>
                <c:pt idx="0">
                  <c:v>7.4120479999999995</c:v>
                </c:pt>
                <c:pt idx="1">
                  <c:v>8.6039089999999998</c:v>
                </c:pt>
                <c:pt idx="2">
                  <c:v>9.1140000000000008</c:v>
                </c:pt>
                <c:pt idx="3">
                  <c:v>10.391999999999999</c:v>
                </c:pt>
                <c:pt idx="4">
                  <c:v>10.385</c:v>
                </c:pt>
                <c:pt idx="5">
                  <c:v>9.7365706877643845</c:v>
                </c:pt>
                <c:pt idx="6">
                  <c:v>9.464268639723894</c:v>
                </c:pt>
                <c:pt idx="7">
                  <c:v>9.5352264368703565</c:v>
                </c:pt>
                <c:pt idx="8">
                  <c:v>10.00080483632372</c:v>
                </c:pt>
                <c:pt idx="9">
                  <c:v>11.034581826229905</c:v>
                </c:pt>
                <c:pt idx="10">
                  <c:v>11.692116313820181</c:v>
                </c:pt>
                <c:pt idx="11">
                  <c:v>10.577615363716919</c:v>
                </c:pt>
                <c:pt idx="12">
                  <c:v>11.563082772147341</c:v>
                </c:pt>
                <c:pt idx="13">
                  <c:v>10.97923443639672</c:v>
                </c:pt>
                <c:pt idx="14">
                  <c:v>11.250717348887195</c:v>
                </c:pt>
                <c:pt idx="15">
                  <c:v>10.692756736346251</c:v>
                </c:pt>
                <c:pt idx="16">
                  <c:v>10.407660840872651</c:v>
                </c:pt>
                <c:pt idx="17">
                  <c:v>9.7827292039835285</c:v>
                </c:pt>
                <c:pt idx="18">
                  <c:v>9.3241891682261588</c:v>
                </c:pt>
                <c:pt idx="19">
                  <c:v>8.8900413628901465</c:v>
                </c:pt>
                <c:pt idx="20">
                  <c:v>8.3840557430647475</c:v>
                </c:pt>
                <c:pt idx="21">
                  <c:v>7.7443233512101965</c:v>
                </c:pt>
                <c:pt idx="22">
                  <c:v>7.1887349112794388</c:v>
                </c:pt>
                <c:pt idx="23">
                  <c:v>6.9259949342309861</c:v>
                </c:pt>
                <c:pt idx="24">
                  <c:v>6.8419839443798365</c:v>
                </c:pt>
                <c:pt idx="25">
                  <c:v>6.8433696944558342</c:v>
                </c:pt>
              </c:numCache>
            </c:numRef>
          </c:val>
          <c:smooth val="0"/>
          <c:extLst>
            <c:ext xmlns:c16="http://schemas.microsoft.com/office/drawing/2014/chart" uri="{C3380CC4-5D6E-409C-BE32-E72D297353CC}">
              <c16:uniqueId val="{00000002-8EBE-46AA-9610-25D0374D8D9E}"/>
            </c:ext>
          </c:extLst>
        </c:ser>
        <c:dLbls>
          <c:showLegendKey val="0"/>
          <c:showVal val="0"/>
          <c:showCatName val="0"/>
          <c:showSerName val="0"/>
          <c:showPercent val="0"/>
          <c:showBubbleSize val="0"/>
        </c:dLbls>
        <c:marker val="1"/>
        <c:smooth val="0"/>
        <c:axId val="45626880"/>
        <c:axId val="45628416"/>
      </c:lineChart>
      <c:catAx>
        <c:axId val="45626880"/>
        <c:scaling>
          <c:orientation val="minMax"/>
        </c:scaling>
        <c:delete val="0"/>
        <c:axPos val="b"/>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5628416"/>
        <c:crosses val="autoZero"/>
        <c:auto val="1"/>
        <c:lblAlgn val="ctr"/>
        <c:lblOffset val="100"/>
        <c:noMultiLvlLbl val="0"/>
      </c:catAx>
      <c:valAx>
        <c:axId val="45628416"/>
        <c:scaling>
          <c:orientation val="minMax"/>
          <c:max val="15"/>
          <c:min val="0"/>
        </c:scaling>
        <c:delete val="0"/>
        <c:axPos val="l"/>
        <c:majorGridlines/>
        <c:title>
          <c:tx>
            <c:strRef>
              <c:f>ControlPanel!$R$13</c:f>
              <c:strCache>
                <c:ptCount val="1"/>
                <c:pt idx="0">
                  <c:v>ct/kWh</c:v>
                </c:pt>
              </c:strCache>
            </c:strRef>
          </c:tx>
          <c:layout>
            <c:manualLayout>
              <c:xMode val="edge"/>
              <c:yMode val="edge"/>
              <c:x val="2.4058025417757915E-2"/>
              <c:y val="0.45102308548739756"/>
            </c:manualLayout>
          </c:layout>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5626880"/>
        <c:crosses val="autoZero"/>
        <c:crossBetween val="between"/>
        <c:majorUnit val="2.5"/>
      </c:valAx>
      <c:spPr>
        <a:solidFill>
          <a:schemeClr val="bg1"/>
        </a:solidFill>
      </c:spPr>
    </c:plotArea>
    <c:legend>
      <c:legendPos val="r"/>
      <c:layout>
        <c:manualLayout>
          <c:xMode val="edge"/>
          <c:yMode val="edge"/>
          <c:x val="0.78816589596233255"/>
          <c:y val="0.26166245065739141"/>
          <c:w val="0.20271773175086508"/>
          <c:h val="0.32122650169830375"/>
        </c:manualLayout>
      </c:layout>
      <c:overlay val="0"/>
    </c:legend>
    <c:plotVisOnly val="1"/>
    <c:dispBlanksAs val="gap"/>
    <c:showDLblsOverMax val="0"/>
  </c:chart>
  <c:spPr>
    <a:ln>
      <a:solidFill>
        <a:schemeClr val="tx1"/>
      </a:solid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latin typeface="Arial" pitchFamily="34" charset="0"/>
                <a:cs typeface="Arial" pitchFamily="34" charset="0"/>
              </a:defRPr>
            </a:pPr>
            <a:r>
              <a:rPr lang="de-DE" sz="1400">
                <a:latin typeface="Arial" pitchFamily="34" charset="0"/>
                <a:cs typeface="Arial" pitchFamily="34" charset="0"/>
              </a:rPr>
              <a:t>Entwicklung der</a:t>
            </a:r>
          </a:p>
          <a:p>
            <a:pPr algn="l">
              <a:defRPr sz="1400">
                <a:latin typeface="Arial" pitchFamily="34" charset="0"/>
                <a:cs typeface="Arial" pitchFamily="34" charset="0"/>
              </a:defRPr>
            </a:pPr>
            <a:r>
              <a:rPr lang="de-DE" sz="1400">
                <a:latin typeface="Arial" pitchFamily="34" charset="0"/>
                <a:cs typeface="Arial" pitchFamily="34" charset="0"/>
              </a:rPr>
              <a:t>EEG-Umlage</a:t>
            </a:r>
          </a:p>
        </c:rich>
      </c:tx>
      <c:layout>
        <c:manualLayout>
          <c:xMode val="edge"/>
          <c:yMode val="edge"/>
          <c:x val="0.10110475002475836"/>
          <c:y val="5.398074654600829E-2"/>
        </c:manualLayout>
      </c:layout>
      <c:overlay val="1"/>
      <c:spPr>
        <a:solidFill>
          <a:schemeClr val="bg1"/>
        </a:solidFill>
      </c:spPr>
    </c:title>
    <c:autoTitleDeleted val="0"/>
    <c:plotArea>
      <c:layout>
        <c:manualLayout>
          <c:layoutTarget val="inner"/>
          <c:xMode val="edge"/>
          <c:yMode val="edge"/>
          <c:x val="9.1045430353048865E-2"/>
          <c:y val="4.2086647811172669E-2"/>
          <c:w val="0.54275765941819265"/>
          <c:h val="0.87445371667596183"/>
        </c:manualLayout>
      </c:layout>
      <c:barChart>
        <c:barDir val="col"/>
        <c:grouping val="stacked"/>
        <c:varyColors val="0"/>
        <c:ser>
          <c:idx val="7"/>
          <c:order val="0"/>
          <c:tx>
            <c:strRef>
              <c:f>'GrD-Grafikdaten'!$E$124</c:f>
              <c:strCache>
                <c:ptCount val="1"/>
                <c:pt idx="0">
                  <c:v>Einnahmen der Anlagenbetreiber gemäß Vergütungssatz (Baujahr &lt; 2015)</c:v>
                </c:pt>
              </c:strCache>
            </c:strRef>
          </c:tx>
          <c:spPr>
            <a:solidFill>
              <a:schemeClr val="accent2"/>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'GrD-Grafikdaten'!$F$124:$AE$124</c:f>
              <c:numCache>
                <c:formatCode>0.00</c:formatCode>
                <c:ptCount val="26"/>
                <c:pt idx="0">
                  <c:v>3.149123966277187</c:v>
                </c:pt>
                <c:pt idx="1">
                  <c:v>4.1888003025421927</c:v>
                </c:pt>
                <c:pt idx="2">
                  <c:v>4.8064331813660583</c:v>
                </c:pt>
                <c:pt idx="3">
                  <c:v>5.8986442334188212</c:v>
                </c:pt>
                <c:pt idx="4">
                  <c:v>6.6832122779814043</c:v>
                </c:pt>
                <c:pt idx="5">
                  <c:v>7.1886572360120375</c:v>
                </c:pt>
                <c:pt idx="6">
                  <c:v>7.0956148314624299</c:v>
                </c:pt>
                <c:pt idx="7">
                  <c:v>7.0727015380925158</c:v>
                </c:pt>
                <c:pt idx="8">
                  <c:v>7.0900492955319212</c:v>
                </c:pt>
                <c:pt idx="9">
                  <c:v>6.982070043724252</c:v>
                </c:pt>
                <c:pt idx="10">
                  <c:v>6.7765276396295775</c:v>
                </c:pt>
                <c:pt idx="11">
                  <c:v>6.8791381271699699</c:v>
                </c:pt>
                <c:pt idx="12">
                  <c:v>6.491299663111799</c:v>
                </c:pt>
                <c:pt idx="13">
                  <c:v>6.6854333715399257</c:v>
                </c:pt>
                <c:pt idx="14">
                  <c:v>6.5588111570529515</c:v>
                </c:pt>
                <c:pt idx="15">
                  <c:v>6.2532151204352653</c:v>
                </c:pt>
                <c:pt idx="16">
                  <c:v>5.7930294479314277</c:v>
                </c:pt>
                <c:pt idx="17">
                  <c:v>4.9951146295649052</c:v>
                </c:pt>
                <c:pt idx="18">
                  <c:v>4.2774943765331415</c:v>
                </c:pt>
                <c:pt idx="19">
                  <c:v>3.6910580474417412</c:v>
                </c:pt>
                <c:pt idx="20">
                  <c:v>2.8698715992281612</c:v>
                </c:pt>
                <c:pt idx="21">
                  <c:v>1.9143659315083248</c:v>
                </c:pt>
                <c:pt idx="22">
                  <c:v>1.0321088040453661</c:v>
                </c:pt>
                <c:pt idx="23">
                  <c:v>0.53450170606656722</c:v>
                </c:pt>
                <c:pt idx="24">
                  <c:v>0.32419530073947944</c:v>
                </c:pt>
                <c:pt idx="25">
                  <c:v>0.15705668476905912</c:v>
                </c:pt>
              </c:numCache>
            </c:numRef>
          </c:val>
          <c:extLst>
            <c:ext xmlns:c16="http://schemas.microsoft.com/office/drawing/2014/chart" uri="{C3380CC4-5D6E-409C-BE32-E72D297353CC}">
              <c16:uniqueId val="{00000000-78D2-4BA7-8657-F57CC8536E8D}"/>
            </c:ext>
          </c:extLst>
        </c:ser>
        <c:ser>
          <c:idx val="2"/>
          <c:order val="1"/>
          <c:tx>
            <c:strRef>
              <c:f>'GrD-Grafikdaten'!$E$118</c:f>
              <c:strCache>
                <c:ptCount val="1"/>
                <c:pt idx="0">
                  <c:v>Einnahmen der Anlagenbetreiber gemäß Vergütungssatz (Baujahr &gt; 2014)</c:v>
                </c:pt>
              </c:strCache>
            </c:strRef>
          </c:tx>
          <c:spPr>
            <a:solidFill>
              <a:srgbClr val="00C1C9"/>
            </a:solidFill>
          </c:spPr>
          <c:invertIfNegative val="0"/>
          <c:dPt>
            <c:idx val="0"/>
            <c:invertIfNegative val="0"/>
            <c:bubble3D val="0"/>
            <c:extLst>
              <c:ext xmlns:c16="http://schemas.microsoft.com/office/drawing/2014/chart" uri="{C3380CC4-5D6E-409C-BE32-E72D297353CC}">
                <c16:uniqueId val="{00000001-78D2-4BA7-8657-F57CC8536E8D}"/>
              </c:ext>
            </c:extLst>
          </c:dPt>
          <c:dPt>
            <c:idx val="1"/>
            <c:invertIfNegative val="0"/>
            <c:bubble3D val="0"/>
            <c:extLst>
              <c:ext xmlns:c16="http://schemas.microsoft.com/office/drawing/2014/chart" uri="{C3380CC4-5D6E-409C-BE32-E72D297353CC}">
                <c16:uniqueId val="{00000002-78D2-4BA7-8657-F57CC8536E8D}"/>
              </c:ext>
            </c:extLst>
          </c:dPt>
          <c:dPt>
            <c:idx val="2"/>
            <c:invertIfNegative val="0"/>
            <c:bubble3D val="0"/>
            <c:extLst>
              <c:ext xmlns:c16="http://schemas.microsoft.com/office/drawing/2014/chart" uri="{C3380CC4-5D6E-409C-BE32-E72D297353CC}">
                <c16:uniqueId val="{00000003-78D2-4BA7-8657-F57CC8536E8D}"/>
              </c:ext>
            </c:extLst>
          </c:dPt>
          <c:dPt>
            <c:idx val="3"/>
            <c:invertIfNegative val="0"/>
            <c:bubble3D val="0"/>
            <c:extLst>
              <c:ext xmlns:c16="http://schemas.microsoft.com/office/drawing/2014/chart" uri="{C3380CC4-5D6E-409C-BE32-E72D297353CC}">
                <c16:uniqueId val="{00000004-78D2-4BA7-8657-F57CC8536E8D}"/>
              </c:ext>
            </c:extLst>
          </c:dPt>
          <c:dPt>
            <c:idx val="4"/>
            <c:invertIfNegative val="0"/>
            <c:bubble3D val="0"/>
            <c:extLst>
              <c:ext xmlns:c16="http://schemas.microsoft.com/office/drawing/2014/chart" uri="{C3380CC4-5D6E-409C-BE32-E72D297353CC}">
                <c16:uniqueId val="{00000005-78D2-4BA7-8657-F57CC8536E8D}"/>
              </c:ext>
            </c:extLst>
          </c:dPt>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'GrD-Grafikdaten'!$F$118:$AE$118</c:f>
              <c:numCache>
                <c:formatCode>0.00</c:formatCode>
                <c:ptCount val="26"/>
                <c:pt idx="0">
                  <c:v>0</c:v>
                </c:pt>
                <c:pt idx="1">
                  <c:v>0</c:v>
                </c:pt>
                <c:pt idx="2">
                  <c:v>0</c:v>
                </c:pt>
                <c:pt idx="3">
                  <c:v>0</c:v>
                </c:pt>
                <c:pt idx="4">
                  <c:v>0</c:v>
                </c:pt>
                <c:pt idx="5">
                  <c:v>0.34674016946025665</c:v>
                </c:pt>
                <c:pt idx="6">
                  <c:v>0.90519305019850904</c:v>
                </c:pt>
                <c:pt idx="7">
                  <c:v>1.4807367349706839</c:v>
                </c:pt>
                <c:pt idx="8">
                  <c:v>1.9749077089706597</c:v>
                </c:pt>
                <c:pt idx="9">
                  <c:v>2.3677034569835729</c:v>
                </c:pt>
                <c:pt idx="10">
                  <c:v>2.6768361668385245</c:v>
                </c:pt>
                <c:pt idx="11">
                  <c:v>2.9804641048759821</c:v>
                </c:pt>
                <c:pt idx="12">
                  <c:v>3.1533029559337367</c:v>
                </c:pt>
                <c:pt idx="13">
                  <c:v>3.5710484771982873</c:v>
                </c:pt>
                <c:pt idx="14">
                  <c:v>3.7672126822130898</c:v>
                </c:pt>
                <c:pt idx="15">
                  <c:v>4.1168239747561106</c:v>
                </c:pt>
                <c:pt idx="16">
                  <c:v>4.3885721339349075</c:v>
                </c:pt>
                <c:pt idx="17">
                  <c:v>4.153998612926137</c:v>
                </c:pt>
                <c:pt idx="18">
                  <c:v>4.0504469141749402</c:v>
                </c:pt>
                <c:pt idx="19">
                  <c:v>3.9288741526661854</c:v>
                </c:pt>
                <c:pt idx="20">
                  <c:v>3.9069620929635396</c:v>
                </c:pt>
                <c:pt idx="21">
                  <c:v>3.903461373453601</c:v>
                </c:pt>
                <c:pt idx="22">
                  <c:v>3.9028524983731163</c:v>
                </c:pt>
                <c:pt idx="23">
                  <c:v>3.9015181461490531</c:v>
                </c:pt>
                <c:pt idx="24">
                  <c:v>3.8361792650591706</c:v>
                </c:pt>
                <c:pt idx="25">
                  <c:v>3.7870767940382737</c:v>
                </c:pt>
              </c:numCache>
            </c:numRef>
          </c:val>
          <c:extLst>
            <c:ext xmlns:c16="http://schemas.microsoft.com/office/drawing/2014/chart" uri="{C3380CC4-5D6E-409C-BE32-E72D297353CC}">
              <c16:uniqueId val="{00000006-78D2-4BA7-8657-F57CC8536E8D}"/>
            </c:ext>
          </c:extLst>
        </c:ser>
        <c:ser>
          <c:idx val="4"/>
          <c:order val="2"/>
          <c:tx>
            <c:strRef>
              <c:f>'GrD-Grafikdaten'!$E$119</c:f>
              <c:strCache>
                <c:ptCount val="1"/>
                <c:pt idx="0">
                  <c:v>Einnahmen aus Vermarktung</c:v>
                </c:pt>
              </c:strCache>
            </c:strRef>
          </c:tx>
          <c:spPr>
            <a:solidFill>
              <a:srgbClr val="00B0F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'GrD-Grafikdaten'!$F$119:$AE$119</c:f>
              <c:numCache>
                <c:formatCode>0.00</c:formatCode>
                <c:ptCount val="26"/>
                <c:pt idx="0">
                  <c:v>-1.1143275278744671</c:v>
                </c:pt>
                <c:pt idx="1">
                  <c:v>-1.1481771217342542</c:v>
                </c:pt>
                <c:pt idx="2">
                  <c:v>-1.4749351709875336</c:v>
                </c:pt>
                <c:pt idx="3">
                  <c:v>-1.6337029152159672</c:v>
                </c:pt>
                <c:pt idx="4">
                  <c:v>-1.4657694443600116</c:v>
                </c:pt>
                <c:pt idx="5">
                  <c:v>-1.4327617618396029</c:v>
                </c:pt>
                <c:pt idx="6">
                  <c:v>-1.409457795327492</c:v>
                </c:pt>
                <c:pt idx="7">
                  <c:v>-1.3269671439911248</c:v>
                </c:pt>
                <c:pt idx="8">
                  <c:v>-1.6102913072213689</c:v>
                </c:pt>
                <c:pt idx="9">
                  <c:v>-2.2003317493481238</c:v>
                </c:pt>
                <c:pt idx="10">
                  <c:v>-2.5394781566597135</c:v>
                </c:pt>
                <c:pt idx="11">
                  <c:v>-2.0923655388120102</c:v>
                </c:pt>
                <c:pt idx="12">
                  <c:v>-3.882747883441668</c:v>
                </c:pt>
                <c:pt idx="13">
                  <c:v>-5.6634552683789519</c:v>
                </c:pt>
                <c:pt idx="14">
                  <c:v>-4.9219952117284622</c:v>
                </c:pt>
                <c:pt idx="15">
                  <c:v>-4.8825158422907089</c:v>
                </c:pt>
                <c:pt idx="16">
                  <c:v>-4.9969386513938971</c:v>
                </c:pt>
                <c:pt idx="17">
                  <c:v>-4.6731781178572636</c:v>
                </c:pt>
                <c:pt idx="18">
                  <c:v>-4.3466376723096225</c:v>
                </c:pt>
                <c:pt idx="19">
                  <c:v>-4.0925240406859116</c:v>
                </c:pt>
                <c:pt idx="20">
                  <c:v>-3.7943182309391652</c:v>
                </c:pt>
                <c:pt idx="21">
                  <c:v>-3.4996264464321594</c:v>
                </c:pt>
                <c:pt idx="22">
                  <c:v>-3.169108338634762</c:v>
                </c:pt>
                <c:pt idx="23">
                  <c:v>-2.927604733859503</c:v>
                </c:pt>
                <c:pt idx="24">
                  <c:v>-2.7205283517379422</c:v>
                </c:pt>
                <c:pt idx="25">
                  <c:v>-2.4766573974023509</c:v>
                </c:pt>
              </c:numCache>
            </c:numRef>
          </c:val>
          <c:extLst>
            <c:ext xmlns:c16="http://schemas.microsoft.com/office/drawing/2014/chart" uri="{C3380CC4-5D6E-409C-BE32-E72D297353CC}">
              <c16:uniqueId val="{00000007-78D2-4BA7-8657-F57CC8536E8D}"/>
            </c:ext>
          </c:extLst>
        </c:ser>
        <c:ser>
          <c:idx val="5"/>
          <c:order val="3"/>
          <c:tx>
            <c:strRef>
              <c:f>'GrD-Grafikdaten'!$E$120</c:f>
              <c:strCache>
                <c:ptCount val="1"/>
                <c:pt idx="0">
                  <c:v>Liquiditätsreserve</c:v>
                </c:pt>
              </c:strCache>
            </c:strRef>
          </c:tx>
          <c:spPr>
            <a:solidFill>
              <a:srgbClr val="AD86B0"/>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'GrD-Grafikdaten'!$F$120:$AE$120</c:f>
              <c:numCache>
                <c:formatCode>0.00</c:formatCode>
                <c:ptCount val="26"/>
                <c:pt idx="0">
                  <c:v>0</c:v>
                </c:pt>
                <c:pt idx="1">
                  <c:v>0</c:v>
                </c:pt>
                <c:pt idx="2">
                  <c:v>9.9363640268897269E-2</c:v>
                </c:pt>
                <c:pt idx="3">
                  <c:v>0.41882948767683209</c:v>
                </c:pt>
                <c:pt idx="4">
                  <c:v>0.51450044762037139</c:v>
                </c:pt>
                <c:pt idx="5">
                  <c:v>0.59588029975693935</c:v>
                </c:pt>
                <c:pt idx="6">
                  <c:v>0.63917545747264604</c:v>
                </c:pt>
                <c:pt idx="7">
                  <c:v>0.41973237987297907</c:v>
                </c:pt>
                <c:pt idx="8">
                  <c:v>0.43715441640493991</c:v>
                </c:pt>
                <c:pt idx="9">
                  <c:v>0.42091884484027542</c:v>
                </c:pt>
                <c:pt idx="10">
                  <c:v>0.54619830175326833</c:v>
                </c:pt>
                <c:pt idx="11">
                  <c:v>0.76861898320156619</c:v>
                </c:pt>
                <c:pt idx="12">
                  <c:v>0.28324012362832324</c:v>
                </c:pt>
                <c:pt idx="13">
                  <c:v>0.27137385813731224</c:v>
                </c:pt>
                <c:pt idx="14">
                  <c:v>0.31991132938767008</c:v>
                </c:pt>
                <c:pt idx="15">
                  <c:v>0.32502284748188753</c:v>
                </c:pt>
                <c:pt idx="16">
                  <c:v>0.30703325919733476</c:v>
                </c:pt>
                <c:pt idx="17">
                  <c:v>0.26508662572377822</c:v>
                </c:pt>
                <c:pt idx="18">
                  <c:v>0.23584016269154762</c:v>
                </c:pt>
                <c:pt idx="19">
                  <c:v>0.20883734887461067</c:v>
                </c:pt>
                <c:pt idx="20">
                  <c:v>0.17646599069671065</c:v>
                </c:pt>
                <c:pt idx="21">
                  <c:v>0.13698930152597238</c:v>
                </c:pt>
                <c:pt idx="22">
                  <c:v>0.10440782149466275</c:v>
                </c:pt>
                <c:pt idx="23">
                  <c:v>8.9113700777496918E-2</c:v>
                </c:pt>
                <c:pt idx="24">
                  <c:v>8.5140064233752394E-2</c:v>
                </c:pt>
                <c:pt idx="25">
                  <c:v>8.6857413255096716E-2</c:v>
                </c:pt>
              </c:numCache>
            </c:numRef>
          </c:val>
          <c:extLst>
            <c:ext xmlns:c16="http://schemas.microsoft.com/office/drawing/2014/chart" uri="{C3380CC4-5D6E-409C-BE32-E72D297353CC}">
              <c16:uniqueId val="{00000008-78D2-4BA7-8657-F57CC8536E8D}"/>
            </c:ext>
          </c:extLst>
        </c:ser>
        <c:ser>
          <c:idx val="6"/>
          <c:order val="4"/>
          <c:tx>
            <c:strRef>
              <c:f>'GrD-Grafikdaten'!$E$121</c:f>
              <c:strCache>
                <c:ptCount val="1"/>
                <c:pt idx="0">
                  <c:v>Kontostand des Vorjahres</c:v>
                </c:pt>
              </c:strCache>
            </c:strRef>
          </c:tx>
          <c:spPr>
            <a:solidFill>
              <a:srgbClr val="8393BE"/>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'GrD-Grafikdaten'!$F$121:$AE$121</c:f>
              <c:numCache>
                <c:formatCode>0.00</c:formatCode>
                <c:ptCount val="26"/>
                <c:pt idx="0">
                  <c:v>0</c:v>
                </c:pt>
                <c:pt idx="1">
                  <c:v>0.27301911687690317</c:v>
                </c:pt>
                <c:pt idx="2">
                  <c:v>0.18051501743452761</c:v>
                </c:pt>
                <c:pt idx="3">
                  <c:v>0.66987563555484619</c:v>
                </c:pt>
                <c:pt idx="4">
                  <c:v>0.580495076175914</c:v>
                </c:pt>
                <c:pt idx="5">
                  <c:v>-0.38511260956194937</c:v>
                </c:pt>
                <c:pt idx="6">
                  <c:v>-0.69266139247521119</c:v>
                </c:pt>
                <c:pt idx="7">
                  <c:v>-0.55504560755227295</c:v>
                </c:pt>
                <c:pt idx="8">
                  <c:v>-0.94425652016355122</c:v>
                </c:pt>
                <c:pt idx="9">
                  <c:v>-1.0296510992816279</c:v>
                </c:pt>
                <c:pt idx="10">
                  <c:v>-0.61556075984894099</c:v>
                </c:pt>
                <c:pt idx="11">
                  <c:v>1.184837164735316</c:v>
                </c:pt>
                <c:pt idx="12">
                  <c:v>-1.2975310154828803</c:v>
                </c:pt>
                <c:pt idx="13">
                  <c:v>-1.6854955075627092</c:v>
                </c:pt>
                <c:pt idx="14">
                  <c:v>-0.27431059377937422</c:v>
                </c:pt>
                <c:pt idx="15">
                  <c:v>-0.32298219897446123</c:v>
                </c:pt>
                <c:pt idx="16">
                  <c:v>-0.32696418981196645</c:v>
                </c:pt>
                <c:pt idx="17">
                  <c:v>-0.28865975341303451</c:v>
                </c:pt>
                <c:pt idx="18">
                  <c:v>-0.25003265451330225</c:v>
                </c:pt>
                <c:pt idx="19">
                  <c:v>-0.22309207236024953</c:v>
                </c:pt>
                <c:pt idx="20">
                  <c:v>-0.19805382500983618</c:v>
                </c:pt>
                <c:pt idx="21">
                  <c:v>-0.1677994760769958</c:v>
                </c:pt>
                <c:pt idx="22">
                  <c:v>-0.1305748827088945</c:v>
                </c:pt>
                <c:pt idx="23">
                  <c:v>-9.9785312558395664E-2</c:v>
                </c:pt>
                <c:pt idx="24">
                  <c:v>-8.5348310332645963E-2</c:v>
                </c:pt>
                <c:pt idx="25">
                  <c:v>-8.1704299509258851E-2</c:v>
                </c:pt>
              </c:numCache>
            </c:numRef>
          </c:val>
          <c:extLst>
            <c:ext xmlns:c16="http://schemas.microsoft.com/office/drawing/2014/chart" uri="{C3380CC4-5D6E-409C-BE32-E72D297353CC}">
              <c16:uniqueId val="{00000009-78D2-4BA7-8657-F57CC8536E8D}"/>
            </c:ext>
          </c:extLst>
        </c:ser>
        <c:ser>
          <c:idx val="10"/>
          <c:order val="5"/>
          <c:tx>
            <c:strRef>
              <c:f>'GrD-Grafikdaten'!$E$123</c:f>
              <c:strCache>
                <c:ptCount val="1"/>
                <c:pt idx="0">
                  <c:v>Sonstige Effekte*
*vermiedene Netzentgelte, Grünstromprivileg, sonstige Kosten</c:v>
                </c:pt>
              </c:strCache>
            </c:strRef>
          </c:tx>
          <c:spPr>
            <a:solidFill>
              <a:schemeClr val="bg2">
                <a:lumMod val="65000"/>
              </a:schemeClr>
            </a:solidFill>
          </c:spPr>
          <c:invertIfNegative val="0"/>
          <c:cat>
            <c:numRef>
              <c:f>'GrD-Grafikdaten'!$F$5:$AE$5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'GrD-Grafikdaten'!$F$123:$AE$123</c:f>
              <c:numCache>
                <c:formatCode>0.00</c:formatCode>
                <c:ptCount val="26"/>
                <c:pt idx="0">
                  <c:v>1.2621203479080452E-2</c:v>
                </c:pt>
                <c:pt idx="1">
                  <c:v>0.21705777646400023</c:v>
                </c:pt>
                <c:pt idx="2">
                  <c:v>-2.030389836889188E-2</c:v>
                </c:pt>
                <c:pt idx="3">
                  <c:v>-7.6196695631972927E-2</c:v>
                </c:pt>
                <c:pt idx="4">
                  <c:v>-7.2646252065796002E-2</c:v>
                </c:pt>
                <c:pt idx="5">
                  <c:v>-0.15408249338839253</c:v>
                </c:pt>
                <c:pt idx="6">
                  <c:v>-0.19537762018019211</c:v>
                </c:pt>
                <c:pt idx="7">
                  <c:v>-0.23261197641055825</c:v>
                </c:pt>
                <c:pt idx="8">
                  <c:v>-0.17235341820590774</c:v>
                </c:pt>
                <c:pt idx="9">
                  <c:v>-0.13412767068844386</c:v>
                </c:pt>
                <c:pt idx="10">
                  <c:v>-8.0443426936161966E-2</c:v>
                </c:pt>
                <c:pt idx="11">
                  <c:v>-8.278910044952377E-2</c:v>
                </c:pt>
                <c:pt idx="12">
                  <c:v>-5.3106405646958163E-2</c:v>
                </c:pt>
                <c:pt idx="13">
                  <c:v>-7.0128944737390259E-2</c:v>
                </c:pt>
                <c:pt idx="14">
                  <c:v>-7.2173137743076529E-2</c:v>
                </c:pt>
                <c:pt idx="15">
                  <c:v>-7.0475794869206645E-2</c:v>
                </c:pt>
                <c:pt idx="16">
                  <c:v>-6.7441943850191574E-2</c:v>
                </c:pt>
                <c:pt idx="17">
                  <c:v>-5.7824695904141861E-2</c:v>
                </c:pt>
                <c:pt idx="18">
                  <c:v>-5.0634240205999839E-2</c:v>
                </c:pt>
                <c:pt idx="19">
                  <c:v>-4.6785678178503848E-2</c:v>
                </c:pt>
                <c:pt idx="20">
                  <c:v>-4.1415616307358058E-2</c:v>
                </c:pt>
                <c:pt idx="21">
                  <c:v>-3.5045833096892812E-2</c:v>
                </c:pt>
                <c:pt idx="22">
                  <c:v>-2.5722605539340252E-2</c:v>
                </c:pt>
                <c:pt idx="23">
                  <c:v>-2.3186772064501818E-2</c:v>
                </c:pt>
                <c:pt idx="24">
                  <c:v>-2.0845143498167591E-2</c:v>
                </c:pt>
                <c:pt idx="25">
                  <c:v>-1.9852527153369992E-2</c:v>
                </c:pt>
              </c:numCache>
            </c:numRef>
          </c:val>
          <c:extLst>
            <c:ext xmlns:c16="http://schemas.microsoft.com/office/drawing/2014/chart" uri="{C3380CC4-5D6E-409C-BE32-E72D297353CC}">
              <c16:uniqueId val="{0000000A-78D2-4BA7-8657-F57CC8536E8D}"/>
            </c:ext>
          </c:extLst>
        </c:ser>
        <c:ser>
          <c:idx val="0"/>
          <c:order val="8"/>
          <c:tx>
            <c:strRef>
              <c:f>'GrD-Grafikdaten'!$E$122</c:f>
              <c:strCache>
                <c:ptCount val="1"/>
                <c:pt idx="0">
                  <c:v>Zuschüsse aus dem Bundeshaushalt</c:v>
                </c:pt>
              </c:strCache>
            </c:strRef>
          </c:tx>
          <c:invertIfNegative val="0"/>
          <c:val>
            <c:numRef>
              <c:f>'GrD-Grafikdaten'!$F$122:$AE$122</c:f>
              <c:numCache>
                <c:formatCode>0.00</c:formatCode>
                <c:ptCount val="26"/>
                <c:pt idx="0">
                  <c:v>0</c:v>
                </c:pt>
                <c:pt idx="1">
                  <c:v>0</c:v>
                </c:pt>
                <c:pt idx="2">
                  <c:v>0</c:v>
                </c:pt>
                <c:pt idx="3">
                  <c:v>0</c:v>
                </c:pt>
                <c:pt idx="4">
                  <c:v>0</c:v>
                </c:pt>
                <c:pt idx="5">
                  <c:v>0</c:v>
                </c:pt>
                <c:pt idx="6">
                  <c:v>0</c:v>
                </c:pt>
                <c:pt idx="7">
                  <c:v>0</c:v>
                </c:pt>
                <c:pt idx="8">
                  <c:v>0</c:v>
                </c:pt>
                <c:pt idx="9">
                  <c:v>0</c:v>
                </c:pt>
                <c:pt idx="10">
                  <c:v>0</c:v>
                </c:pt>
                <c:pt idx="11">
                  <c:v>-3.1360306162356211</c:v>
                </c:pt>
                <c:pt idx="12">
                  <c:v>-0.92742880856456678</c:v>
                </c:pt>
                <c:pt idx="13">
                  <c:v>-0.88154154979975385</c:v>
                </c:pt>
                <c:pt idx="14">
                  <c:v>-1.3797388765156033</c:v>
                </c:pt>
                <c:pt idx="15">
                  <c:v>-1.8863313701926339</c:v>
                </c:pt>
                <c:pt idx="16">
                  <c:v>-1.7516292151349633</c:v>
                </c:pt>
                <c:pt idx="17">
                  <c:v>-1.6468080970568528</c:v>
                </c:pt>
                <c:pt idx="18">
                  <c:v>-1.5532877181445466</c:v>
                </c:pt>
                <c:pt idx="19">
                  <c:v>-1.4693263948677264</c:v>
                </c:pt>
                <c:pt idx="20">
                  <c:v>-1.3934562675673046</c:v>
                </c:pt>
                <c:pt idx="21">
                  <c:v>-1.3250214996716538</c:v>
                </c:pt>
                <c:pt idx="22">
                  <c:v>-1.2629783857507084</c:v>
                </c:pt>
                <c:pt idx="23">
                  <c:v>-1.2070618002797318</c:v>
                </c:pt>
                <c:pt idx="24">
                  <c:v>-1.1560588800838096</c:v>
                </c:pt>
                <c:pt idx="25">
                  <c:v>-1.1094069735416157</c:v>
                </c:pt>
              </c:numCache>
            </c:numRef>
          </c:val>
          <c:extLst>
            <c:ext xmlns:c16="http://schemas.microsoft.com/office/drawing/2014/chart" uri="{C3380CC4-5D6E-409C-BE32-E72D297353CC}">
              <c16:uniqueId val="{0000000B-78D2-4BA7-8657-F57CC8536E8D}"/>
            </c:ext>
          </c:extLst>
        </c:ser>
        <c:dLbls>
          <c:showLegendKey val="0"/>
          <c:showVal val="0"/>
          <c:showCatName val="0"/>
          <c:showSerName val="0"/>
          <c:showPercent val="0"/>
          <c:showBubbleSize val="0"/>
        </c:dLbls>
        <c:gapWidth val="20"/>
        <c:overlap val="100"/>
        <c:axId val="331118464"/>
        <c:axId val="332730752"/>
      </c:barChart>
      <c:lineChart>
        <c:grouping val="standard"/>
        <c:varyColors val="0"/>
        <c:ser>
          <c:idx val="8"/>
          <c:order val="6"/>
          <c:tx>
            <c:strRef>
              <c:f>'GrD-Grafikdaten'!$E$126</c:f>
              <c:strCache>
                <c:ptCount val="1"/>
                <c:pt idx="0">
                  <c:v>Umlage (Prognose)</c:v>
                </c:pt>
              </c:strCache>
            </c:strRef>
          </c:tx>
          <c:spPr>
            <a:ln>
              <a:solidFill>
                <a:srgbClr val="FF0000"/>
              </a:solidFill>
              <a:prstDash val="solid"/>
            </a:ln>
          </c:spPr>
          <c:marker>
            <c:symbol val="none"/>
          </c:marker>
          <c:val>
            <c:numRef>
              <c:f>'GrD-Grafikdaten'!$F$126:$AE$126</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C-78D2-4BA7-8657-F57CC8536E8D}"/>
            </c:ext>
          </c:extLst>
        </c:ser>
        <c:ser>
          <c:idx val="9"/>
          <c:order val="7"/>
          <c:tx>
            <c:strRef>
              <c:f>'GrD-Grafikdaten'!$E$125</c:f>
              <c:strCache>
                <c:ptCount val="1"/>
                <c:pt idx="0">
                  <c:v>Umlage (Referenz)</c:v>
                </c:pt>
              </c:strCache>
            </c:strRef>
          </c:tx>
          <c:spPr>
            <a:ln>
              <a:solidFill>
                <a:srgbClr val="7030A0"/>
              </a:solidFill>
            </a:ln>
          </c:spPr>
          <c:marker>
            <c:symbol val="circle"/>
            <c:size val="5"/>
            <c:spPr>
              <a:solidFill>
                <a:srgbClr val="7030A0"/>
              </a:solidFill>
              <a:ln>
                <a:solidFill>
                  <a:srgbClr val="7030A0"/>
                </a:solidFill>
              </a:ln>
            </c:spPr>
          </c:marker>
          <c:val>
            <c:numRef>
              <c:f>'GrD-Grafikdaten'!$F$125:$AE$125</c:f>
              <c:numCache>
                <c:formatCode>0.00</c:formatCode>
                <c:ptCount val="26"/>
                <c:pt idx="0">
                  <c:v>2.0469999999999997</c:v>
                </c:pt>
                <c:pt idx="1">
                  <c:v>3.5300000000000007</c:v>
                </c:pt>
                <c:pt idx="2">
                  <c:v>3.5920000000000005</c:v>
                </c:pt>
                <c:pt idx="3">
                  <c:v>5.2769999999999992</c:v>
                </c:pt>
                <c:pt idx="4">
                  <c:v>6.2399999999999993</c:v>
                </c:pt>
                <c:pt idx="5">
                  <c:v>6.1695706877643843</c:v>
                </c:pt>
                <c:pt idx="6">
                  <c:v>6.3382686397238945</c:v>
                </c:pt>
                <c:pt idx="7">
                  <c:v>6.8602264368703567</c:v>
                </c:pt>
                <c:pt idx="8">
                  <c:v>6.7788048363237206</c:v>
                </c:pt>
                <c:pt idx="9">
                  <c:v>6.406581826229905</c:v>
                </c:pt>
                <c:pt idx="10">
                  <c:v>6.7581163138201807</c:v>
                </c:pt>
                <c:pt idx="11">
                  <c:v>6.5036153637169205</c:v>
                </c:pt>
                <c:pt idx="12">
                  <c:v>3.7230827721473405</c:v>
                </c:pt>
                <c:pt idx="13">
                  <c:v>2.2272344363967198</c:v>
                </c:pt>
                <c:pt idx="14">
                  <c:v>3.997717348887194</c:v>
                </c:pt>
                <c:pt idx="15">
                  <c:v>3.5327567363462515</c:v>
                </c:pt>
                <c:pt idx="16">
                  <c:v>3.3456608408726511</c:v>
                </c:pt>
                <c:pt idx="17">
                  <c:v>2.7477292039835279</c:v>
                </c:pt>
                <c:pt idx="18">
                  <c:v>2.3631891682261594</c:v>
                </c:pt>
                <c:pt idx="19">
                  <c:v>1.9970413628901464</c:v>
                </c:pt>
                <c:pt idx="20">
                  <c:v>1.5260557430647477</c:v>
                </c:pt>
                <c:pt idx="21">
                  <c:v>0.92732335121019616</c:v>
                </c:pt>
                <c:pt idx="22">
                  <c:v>0.45098491127943902</c:v>
                </c:pt>
                <c:pt idx="23">
                  <c:v>0.26749493423098486</c:v>
                </c:pt>
                <c:pt idx="24">
                  <c:v>0.26273394437983666</c:v>
                </c:pt>
                <c:pt idx="25">
                  <c:v>0.34336969445583421</c:v>
                </c:pt>
              </c:numCache>
            </c:numRef>
          </c:val>
          <c:smooth val="0"/>
          <c:extLst>
            <c:ext xmlns:c16="http://schemas.microsoft.com/office/drawing/2014/chart" uri="{C3380CC4-5D6E-409C-BE32-E72D297353CC}">
              <c16:uniqueId val="{0000000D-78D2-4BA7-8657-F57CC8536E8D}"/>
            </c:ext>
          </c:extLst>
        </c:ser>
        <c:dLbls>
          <c:showLegendKey val="0"/>
          <c:showVal val="0"/>
          <c:showCatName val="0"/>
          <c:showSerName val="0"/>
          <c:showPercent val="0"/>
          <c:showBubbleSize val="0"/>
        </c:dLbls>
        <c:marker val="1"/>
        <c:smooth val="0"/>
        <c:axId val="331118464"/>
        <c:axId val="332730752"/>
      </c:lineChart>
      <c:catAx>
        <c:axId val="331118464"/>
        <c:scaling>
          <c:orientation val="minMax"/>
        </c:scaling>
        <c:delete val="0"/>
        <c:axPos val="b"/>
        <c:numFmt formatCode="0" sourceLinked="1"/>
        <c:majorTickMark val="out"/>
        <c:minorTickMark val="none"/>
        <c:tickLblPos val="low"/>
        <c:txPr>
          <a:bodyPr/>
          <a:lstStyle/>
          <a:p>
            <a:pPr>
              <a:defRPr>
                <a:latin typeface="Arial" panose="020B0604020202020204" pitchFamily="34" charset="0"/>
                <a:cs typeface="Arial" panose="020B0604020202020204" pitchFamily="34" charset="0"/>
              </a:defRPr>
            </a:pPr>
            <a:endParaRPr lang="en-US"/>
          </a:p>
        </c:txPr>
        <c:crossAx val="332730752"/>
        <c:crosses val="autoZero"/>
        <c:auto val="1"/>
        <c:lblAlgn val="ctr"/>
        <c:lblOffset val="100"/>
        <c:noMultiLvlLbl val="0"/>
      </c:catAx>
      <c:valAx>
        <c:axId val="332730752"/>
        <c:scaling>
          <c:orientation val="minMax"/>
        </c:scaling>
        <c:delete val="0"/>
        <c:axPos val="l"/>
        <c:majorGridlines/>
        <c:title>
          <c:tx>
            <c:strRef>
              <c:f>ControlPanel!$R$13</c:f>
              <c:strCache>
                <c:ptCount val="1"/>
                <c:pt idx="0">
                  <c:v>ct/kWh</c:v>
                </c:pt>
              </c:strCache>
            </c:strRef>
          </c:tx>
          <c:overlay val="0"/>
          <c:txPr>
            <a:bodyPr rot="-5400000" vert="horz"/>
            <a:lstStyle/>
            <a:p>
              <a:pPr>
                <a:defRPr>
                  <a:latin typeface="Arial" pitchFamily="34" charset="0"/>
                  <a:cs typeface="Arial" pitchFamily="34" charset="0"/>
                </a:defRPr>
              </a:pPr>
              <a:endParaRPr lang="en-US"/>
            </a:p>
          </c:txPr>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331118464"/>
        <c:crosses val="autoZero"/>
        <c:crossBetween val="between"/>
      </c:valAx>
      <c:spPr>
        <a:solidFill>
          <a:schemeClr val="bg1"/>
        </a:solidFill>
      </c:spPr>
    </c:plotArea>
    <c:legend>
      <c:legendPos val="r"/>
      <c:layout>
        <c:manualLayout>
          <c:xMode val="edge"/>
          <c:yMode val="edge"/>
          <c:x val="0.64504052997659023"/>
          <c:y val="3.1881195168316223E-2"/>
          <c:w val="0.29426922777067216"/>
          <c:h val="0.90007062219288902"/>
        </c:manualLayout>
      </c:layout>
      <c:overlay val="0"/>
    </c:legend>
    <c:plotVisOnly val="1"/>
    <c:dispBlanksAs val="gap"/>
    <c:showDLblsOverMax val="0"/>
  </c:chart>
  <c:spPr>
    <a:solidFill>
      <a:schemeClr val="bg1"/>
    </a:solidFill>
    <a:ln>
      <a:solidFill>
        <a:schemeClr val="tx1"/>
      </a:solidFill>
    </a:ln>
  </c:sp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Bruttozubau</a:t>
            </a:r>
            <a:r>
              <a:rPr lang="en-US" baseline="0">
                <a:latin typeface="Arial" panose="020B0604020202020204" pitchFamily="34" charset="0"/>
                <a:cs typeface="Arial" panose="020B0604020202020204" pitchFamily="34" charset="0"/>
              </a:rPr>
              <a:t> und Netto</a:t>
            </a:r>
            <a:r>
              <a:rPr lang="en-US">
                <a:latin typeface="Arial" panose="020B0604020202020204" pitchFamily="34" charset="0"/>
                <a:cs typeface="Arial" panose="020B0604020202020204" pitchFamily="34" charset="0"/>
              </a:rPr>
              <a:t>zubau</a:t>
            </a:r>
          </a:p>
        </c:rich>
      </c:tx>
      <c:layout>
        <c:manualLayout>
          <c:xMode val="edge"/>
          <c:yMode val="edge"/>
          <c:x val="0.25146189329416796"/>
          <c:y val="1.3950866038456605E-2"/>
        </c:manualLayout>
      </c:layout>
      <c:overlay val="1"/>
    </c:title>
    <c:autoTitleDeleted val="0"/>
    <c:plotArea>
      <c:layout>
        <c:manualLayout>
          <c:layoutTarget val="inner"/>
          <c:xMode val="edge"/>
          <c:yMode val="edge"/>
          <c:x val="0.11475227964372385"/>
          <c:y val="0.10463149528842454"/>
          <c:w val="0.67820723730018884"/>
          <c:h val="0.77407725868777821"/>
        </c:manualLayout>
      </c:layout>
      <c:barChart>
        <c:barDir val="col"/>
        <c:grouping val="stacked"/>
        <c:varyColors val="0"/>
        <c:ser>
          <c:idx val="2"/>
          <c:order val="1"/>
          <c:tx>
            <c:strRef>
              <c:f>'GrD-Grafikdaten (2)'!$F$167:$F$167</c:f>
              <c:strCache>
                <c:ptCount val="1"/>
                <c:pt idx="0">
                  <c:v>Brutto-Zubau</c:v>
                </c:pt>
              </c:strCache>
            </c:strRef>
          </c:tx>
          <c:spPr>
            <a:solidFill>
              <a:srgbClr val="00B0F0"/>
            </a:solidFill>
            <a:ln>
              <a:solidFill>
                <a:sysClr val="windowText" lastClr="000000"/>
              </a:solidFill>
            </a:ln>
          </c:spPr>
          <c:invertIfNegative val="0"/>
          <c:cat>
            <c:numRef>
              <c:f>'GrD-Grafikdaten (2)'!$G$164:$AF$164</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(2)'!$G$167:$AF$167</c:f>
              <c:numCache>
                <c:formatCode>0.00</c:formatCode>
                <c:ptCount val="26"/>
                <c:pt idx="0">
                  <c:v>7.44</c:v>
                </c:pt>
                <c:pt idx="1">
                  <c:v>7.91</c:v>
                </c:pt>
                <c:pt idx="2">
                  <c:v>8.1609999999999996</c:v>
                </c:pt>
                <c:pt idx="3">
                  <c:v>2.633</c:v>
                </c:pt>
                <c:pt idx="4">
                  <c:v>1.19</c:v>
                </c:pt>
                <c:pt idx="5">
                  <c:v>1.3240000000000001</c:v>
                </c:pt>
                <c:pt idx="6">
                  <c:v>1.4550000000000001</c:v>
                </c:pt>
                <c:pt idx="7">
                  <c:v>1.6140000000000001</c:v>
                </c:pt>
                <c:pt idx="8">
                  <c:v>2.8650000000000002</c:v>
                </c:pt>
                <c:pt idx="9">
                  <c:v>3.8889999999999998</c:v>
                </c:pt>
                <c:pt idx="10">
                  <c:v>4.8010000000000002</c:v>
                </c:pt>
                <c:pt idx="11">
                  <c:v>5.4139999999999997</c:v>
                </c:pt>
                <c:pt idx="12">
                  <c:v>6.335</c:v>
                </c:pt>
                <c:pt idx="13">
                  <c:v>8.33</c:v>
                </c:pt>
                <c:pt idx="14">
                  <c:v>8.1289999999999996</c:v>
                </c:pt>
                <c:pt idx="15">
                  <c:v>7.766</c:v>
                </c:pt>
                <c:pt idx="16">
                  <c:v>7.8319999999999999</c:v>
                </c:pt>
                <c:pt idx="17">
                  <c:v>3</c:v>
                </c:pt>
                <c:pt idx="18">
                  <c:v>3</c:v>
                </c:pt>
                <c:pt idx="19">
                  <c:v>3</c:v>
                </c:pt>
                <c:pt idx="20">
                  <c:v>3</c:v>
                </c:pt>
                <c:pt idx="21">
                  <c:v>3</c:v>
                </c:pt>
                <c:pt idx="22">
                  <c:v>3</c:v>
                </c:pt>
                <c:pt idx="23">
                  <c:v>3</c:v>
                </c:pt>
                <c:pt idx="24">
                  <c:v>3</c:v>
                </c:pt>
                <c:pt idx="25">
                  <c:v>3</c:v>
                </c:pt>
              </c:numCache>
            </c:numRef>
          </c:val>
          <c:extLst>
            <c:ext xmlns:c16="http://schemas.microsoft.com/office/drawing/2014/chart" uri="{C3380CC4-5D6E-409C-BE32-E72D297353CC}">
              <c16:uniqueId val="{00000000-0B77-4749-B39D-8708A4EDCA4F}"/>
            </c:ext>
          </c:extLst>
        </c:ser>
        <c:ser>
          <c:idx val="3"/>
          <c:order val="2"/>
          <c:tx>
            <c:strRef>
              <c:f>'GrD-Grafikdaten (2)'!$F$168:$F$168</c:f>
              <c:strCache>
                <c:ptCount val="1"/>
                <c:pt idx="0">
                  <c:v>Ausscheiden
 aus EEG</c:v>
                </c:pt>
              </c:strCache>
            </c:strRef>
          </c:tx>
          <c:spPr>
            <a:solidFill>
              <a:schemeClr val="accent6">
                <a:lumMod val="75000"/>
              </a:schemeClr>
            </a:solidFill>
            <a:ln>
              <a:solidFill>
                <a:sysClr val="windowText" lastClr="000000"/>
              </a:solidFill>
            </a:ln>
          </c:spPr>
          <c:invertIfNegative val="0"/>
          <c:cat>
            <c:numRef>
              <c:f>'GrD-Grafikdaten (2)'!$G$164:$AF$164</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(2)'!$G$168:$AF$168</c:f>
              <c:numCache>
                <c:formatCode>0.00</c:formatCode>
                <c:ptCount val="26"/>
                <c:pt idx="0">
                  <c:v>0</c:v>
                </c:pt>
                <c:pt idx="1">
                  <c:v>0</c:v>
                </c:pt>
                <c:pt idx="2">
                  <c:v>0</c:v>
                </c:pt>
                <c:pt idx="3">
                  <c:v>0</c:v>
                </c:pt>
                <c:pt idx="4">
                  <c:v>0</c:v>
                </c:pt>
                <c:pt idx="5">
                  <c:v>0</c:v>
                </c:pt>
                <c:pt idx="6">
                  <c:v>0</c:v>
                </c:pt>
                <c:pt idx="7">
                  <c:v>0</c:v>
                </c:pt>
                <c:pt idx="8">
                  <c:v>0</c:v>
                </c:pt>
                <c:pt idx="9">
                  <c:v>0</c:v>
                </c:pt>
                <c:pt idx="10">
                  <c:v>0</c:v>
                </c:pt>
                <c:pt idx="11">
                  <c:v>-0.12397249399993626</c:v>
                </c:pt>
                <c:pt idx="12">
                  <c:v>-0.10863868999999937</c:v>
                </c:pt>
                <c:pt idx="13">
                  <c:v>-0.11022154999999856</c:v>
                </c:pt>
                <c:pt idx="14">
                  <c:v>-0.1424465500000025</c:v>
                </c:pt>
                <c:pt idx="15">
                  <c:v>-0.65602930000000015</c:v>
                </c:pt>
                <c:pt idx="16">
                  <c:v>-0.924602059999998</c:v>
                </c:pt>
                <c:pt idx="17">
                  <c:v>-0.84459495000000118</c:v>
                </c:pt>
                <c:pt idx="18">
                  <c:v>-1.2537511260000045</c:v>
                </c:pt>
                <c:pt idx="19">
                  <c:v>-1.9795431099999981</c:v>
                </c:pt>
                <c:pt idx="20">
                  <c:v>-4.4384598400000144</c:v>
                </c:pt>
                <c:pt idx="21">
                  <c:v>-7.5938763400000333</c:v>
                </c:pt>
                <c:pt idx="22">
                  <c:v>-8.0003900600000044</c:v>
                </c:pt>
                <c:pt idx="23">
                  <c:v>-6.8422938800000237</c:v>
                </c:pt>
                <c:pt idx="24">
                  <c:v>-3.1356207599999868</c:v>
                </c:pt>
                <c:pt idx="25">
                  <c:v>-1.3240000000000001</c:v>
                </c:pt>
              </c:numCache>
            </c:numRef>
          </c:val>
          <c:extLst>
            <c:ext xmlns:c16="http://schemas.microsoft.com/office/drawing/2014/chart" uri="{C3380CC4-5D6E-409C-BE32-E72D297353CC}">
              <c16:uniqueId val="{00000001-0B77-4749-B39D-8708A4EDCA4F}"/>
            </c:ext>
          </c:extLst>
        </c:ser>
        <c:dLbls>
          <c:showLegendKey val="0"/>
          <c:showVal val="0"/>
          <c:showCatName val="0"/>
          <c:showSerName val="0"/>
          <c:showPercent val="0"/>
          <c:showBubbleSize val="0"/>
        </c:dLbls>
        <c:gapWidth val="20"/>
        <c:overlap val="100"/>
        <c:axId val="45760512"/>
        <c:axId val="45762048"/>
      </c:barChart>
      <c:lineChart>
        <c:grouping val="standard"/>
        <c:varyColors val="0"/>
        <c:ser>
          <c:idx val="1"/>
          <c:order val="0"/>
          <c:tx>
            <c:strRef>
              <c:f>'GrD-Grafikdaten (2)'!$F$166:$F$166</c:f>
              <c:strCache>
                <c:ptCount val="1"/>
                <c:pt idx="0">
                  <c:v>Netto-Zubau</c:v>
                </c:pt>
              </c:strCache>
            </c:strRef>
          </c:tx>
          <c:spPr>
            <a:ln>
              <a:solidFill>
                <a:srgbClr val="7030A0"/>
              </a:solidFill>
            </a:ln>
          </c:spPr>
          <c:marker>
            <c:symbol val="none"/>
          </c:marker>
          <c:cat>
            <c:numRef>
              <c:f>'GrD-Grafikdaten (2)'!$G$164:$AF$164</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(2)'!$G$166:$AF$166</c:f>
              <c:numCache>
                <c:formatCode>0.00</c:formatCode>
                <c:ptCount val="26"/>
                <c:pt idx="0">
                  <c:v>7.44</c:v>
                </c:pt>
                <c:pt idx="1">
                  <c:v>7.91</c:v>
                </c:pt>
                <c:pt idx="2">
                  <c:v>8.1609999999999996</c:v>
                </c:pt>
                <c:pt idx="3">
                  <c:v>2.633</c:v>
                </c:pt>
                <c:pt idx="4">
                  <c:v>1.19</c:v>
                </c:pt>
                <c:pt idx="5">
                  <c:v>1.3240000000000001</c:v>
                </c:pt>
                <c:pt idx="6">
                  <c:v>1.4550000000000001</c:v>
                </c:pt>
                <c:pt idx="7">
                  <c:v>1.6140000000000001</c:v>
                </c:pt>
                <c:pt idx="8">
                  <c:v>2.8650000000000002</c:v>
                </c:pt>
                <c:pt idx="9">
                  <c:v>3.8889999999999998</c:v>
                </c:pt>
                <c:pt idx="10">
                  <c:v>4.8010000000000002</c:v>
                </c:pt>
                <c:pt idx="11">
                  <c:v>5.2900275060000634</c:v>
                </c:pt>
                <c:pt idx="12">
                  <c:v>6.2263613100000006</c:v>
                </c:pt>
                <c:pt idx="13">
                  <c:v>8.2197784500000015</c:v>
                </c:pt>
                <c:pt idx="14">
                  <c:v>7.9865534499999971</c:v>
                </c:pt>
                <c:pt idx="15">
                  <c:v>7.1099706999999999</c:v>
                </c:pt>
                <c:pt idx="16">
                  <c:v>6.9073979400000018</c:v>
                </c:pt>
                <c:pt idx="17">
                  <c:v>2.1554050499999988</c:v>
                </c:pt>
                <c:pt idx="18">
                  <c:v>1.7462488739999955</c:v>
                </c:pt>
                <c:pt idx="19">
                  <c:v>1.0204568900000019</c:v>
                </c:pt>
                <c:pt idx="20">
                  <c:v>-1.4384598400000144</c:v>
                </c:pt>
                <c:pt idx="21">
                  <c:v>-4.5938763400000333</c:v>
                </c:pt>
                <c:pt idx="22">
                  <c:v>-5.0003900600000044</c:v>
                </c:pt>
                <c:pt idx="23">
                  <c:v>-3.8422938800000237</c:v>
                </c:pt>
                <c:pt idx="24">
                  <c:v>-0.1356207599999868</c:v>
                </c:pt>
                <c:pt idx="25">
                  <c:v>1.6759999999999999</c:v>
                </c:pt>
              </c:numCache>
            </c:numRef>
          </c:val>
          <c:smooth val="0"/>
          <c:extLst>
            <c:ext xmlns:c16="http://schemas.microsoft.com/office/drawing/2014/chart" uri="{C3380CC4-5D6E-409C-BE32-E72D297353CC}">
              <c16:uniqueId val="{00000002-0B77-4749-B39D-8708A4EDCA4F}"/>
            </c:ext>
          </c:extLst>
        </c:ser>
        <c:dLbls>
          <c:showLegendKey val="0"/>
          <c:showVal val="0"/>
          <c:showCatName val="0"/>
          <c:showSerName val="0"/>
          <c:showPercent val="0"/>
          <c:showBubbleSize val="0"/>
        </c:dLbls>
        <c:marker val="1"/>
        <c:smooth val="0"/>
        <c:axId val="45760512"/>
        <c:axId val="45762048"/>
      </c:lineChart>
      <c:catAx>
        <c:axId val="45760512"/>
        <c:scaling>
          <c:orientation val="minMax"/>
        </c:scaling>
        <c:delete val="0"/>
        <c:axPos val="b"/>
        <c:numFmt formatCode="0" sourceLinked="1"/>
        <c:majorTickMark val="out"/>
        <c:minorTickMark val="none"/>
        <c:tickLblPos val="low"/>
        <c:txPr>
          <a:bodyPr rot="-5400000" vert="horz"/>
          <a:lstStyle/>
          <a:p>
            <a:pPr>
              <a:defRPr/>
            </a:pPr>
            <a:endParaRPr lang="en-US"/>
          </a:p>
        </c:txPr>
        <c:crossAx val="45762048"/>
        <c:crosses val="autoZero"/>
        <c:auto val="1"/>
        <c:lblAlgn val="ctr"/>
        <c:lblOffset val="100"/>
        <c:noMultiLvlLbl val="0"/>
      </c:catAx>
      <c:valAx>
        <c:axId val="45762048"/>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GW/a</a:t>
                </a:r>
              </a:p>
            </c:rich>
          </c:tx>
          <c:overlay val="0"/>
        </c:title>
        <c:numFmt formatCode="0.0" sourceLinked="0"/>
        <c:majorTickMark val="out"/>
        <c:minorTickMark val="none"/>
        <c:tickLblPos val="nextTo"/>
        <c:crossAx val="45760512"/>
        <c:crosses val="autoZero"/>
        <c:crossBetween val="between"/>
      </c:valAx>
      <c:spPr>
        <a:solidFill>
          <a:schemeClr val="bg1"/>
        </a:solidFill>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Erzeugungskapazitäten</a:t>
            </a:r>
          </a:p>
        </c:rich>
      </c:tx>
      <c:layout>
        <c:manualLayout>
          <c:xMode val="edge"/>
          <c:yMode val="edge"/>
          <c:x val="0.26706062997511271"/>
          <c:y val="1.7438128399090563E-2"/>
        </c:manualLayout>
      </c:layout>
      <c:overlay val="1"/>
    </c:title>
    <c:autoTitleDeleted val="0"/>
    <c:plotArea>
      <c:layout>
        <c:manualLayout>
          <c:layoutTarget val="inner"/>
          <c:xMode val="edge"/>
          <c:yMode val="edge"/>
          <c:x val="0.11765566789431738"/>
          <c:y val="0.11625418932727041"/>
          <c:w val="0.57750881704527846"/>
          <c:h val="0.77863852155794344"/>
        </c:manualLayout>
      </c:layout>
      <c:areaChart>
        <c:grouping val="stacked"/>
        <c:varyColors val="0"/>
        <c:ser>
          <c:idx val="10"/>
          <c:order val="0"/>
          <c:tx>
            <c:strRef>
              <c:f>'GrD-Grafikdaten'!$E$207</c:f>
              <c:strCache>
                <c:ptCount val="1"/>
                <c:pt idx="0">
                  <c:v>EE-Kapazitäten außerhalb EEG</c:v>
                </c:pt>
              </c:strCache>
            </c:strRef>
          </c:tx>
          <c:spPr>
            <a:solidFill>
              <a:srgbClr val="00B0F0"/>
            </a:solidFill>
          </c:spPr>
          <c:val>
            <c:numRef>
              <c:f>'GrD-Grafikdaten'!$F$207:$AE$207</c:f>
              <c:numCache>
                <c:formatCode>0.00</c:formatCode>
                <c:ptCount val="26"/>
                <c:pt idx="0">
                  <c:v>4.840091199999998</c:v>
                </c:pt>
                <c:pt idx="1">
                  <c:v>4.840091199999998</c:v>
                </c:pt>
                <c:pt idx="2">
                  <c:v>4.7665611999999973</c:v>
                </c:pt>
                <c:pt idx="3">
                  <c:v>5.2694293699999983</c:v>
                </c:pt>
                <c:pt idx="4">
                  <c:v>5.5089811999999982</c:v>
                </c:pt>
                <c:pt idx="5">
                  <c:v>5.5479792599999973</c:v>
                </c:pt>
                <c:pt idx="6">
                  <c:v>5.5479792599999973</c:v>
                </c:pt>
                <c:pt idx="7">
                  <c:v>5.5479792599999973</c:v>
                </c:pt>
                <c:pt idx="8">
                  <c:v>5.5479792599999973</c:v>
                </c:pt>
                <c:pt idx="9">
                  <c:v>5.5479792599999973</c:v>
                </c:pt>
                <c:pt idx="10">
                  <c:v>6.247979259999993</c:v>
                </c:pt>
                <c:pt idx="11">
                  <c:v>7.4777448639999369</c:v>
                </c:pt>
                <c:pt idx="12">
                  <c:v>11.980057353999932</c:v>
                </c:pt>
                <c:pt idx="13">
                  <c:v>14.640481993999931</c:v>
                </c:pt>
                <c:pt idx="14">
                  <c:v>16.900796543999931</c:v>
                </c:pt>
                <c:pt idx="15">
                  <c:v>18.910596843999937</c:v>
                </c:pt>
                <c:pt idx="16">
                  <c:v>19.719476799999995</c:v>
                </c:pt>
                <c:pt idx="17">
                  <c:v>20.091597259999997</c:v>
                </c:pt>
                <c:pt idx="18">
                  <c:v>19.871169946000006</c:v>
                </c:pt>
                <c:pt idx="19">
                  <c:v>19.762262506000003</c:v>
                </c:pt>
                <c:pt idx="20">
                  <c:v>24.190261966000016</c:v>
                </c:pt>
                <c:pt idx="21">
                  <c:v>30.472152396000048</c:v>
                </c:pt>
                <c:pt idx="22">
                  <c:v>37.274591766000057</c:v>
                </c:pt>
                <c:pt idx="23">
                  <c:v>43.598012850000075</c:v>
                </c:pt>
                <c:pt idx="24">
                  <c:v>47.014658290000057</c:v>
                </c:pt>
                <c:pt idx="25">
                  <c:v>46.407648450000046</c:v>
                </c:pt>
              </c:numCache>
            </c:numRef>
          </c:val>
          <c:extLst>
            <c:ext xmlns:c16="http://schemas.microsoft.com/office/drawing/2014/chart" uri="{C3380CC4-5D6E-409C-BE32-E72D297353CC}">
              <c16:uniqueId val="{00000000-AF4F-4545-83D7-E63D08EDE237}"/>
            </c:ext>
          </c:extLst>
        </c:ser>
        <c:ser>
          <c:idx val="0"/>
          <c:order val="1"/>
          <c:tx>
            <c:strRef>
              <c:f>'GrD-Grafikdaten (2)'!$E$26:$F$26</c:f>
              <c:strCache>
                <c:ptCount val="2"/>
                <c:pt idx="0">
                  <c:v>Sonstige</c:v>
                </c:pt>
                <c:pt idx="1">
                  <c:v>(Bestand)</c:v>
                </c:pt>
              </c:strCache>
            </c:strRef>
          </c:tx>
          <c:spPr>
            <a:pattFill prst="wdUpDiag">
              <a:fgClr>
                <a:schemeClr val="bg2">
                  <a:lumMod val="85000"/>
                </a:schemeClr>
              </a:fgClr>
              <a:bgClr>
                <a:schemeClr val="bg2">
                  <a:lumMod val="95000"/>
                </a:schemeClr>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(2)'!$G$26:$AF$26</c:f>
              <c:numCache>
                <c:formatCode>0.00</c:formatCode>
                <c:ptCount val="26"/>
                <c:pt idx="0">
                  <c:v>1.9096960000000005</c:v>
                </c:pt>
                <c:pt idx="1">
                  <c:v>1.9926960000000002</c:v>
                </c:pt>
                <c:pt idx="2">
                  <c:v>2.041496</c:v>
                </c:pt>
                <c:pt idx="3">
                  <c:v>2.1148160000000003</c:v>
                </c:pt>
                <c:pt idx="4">
                  <c:v>2.0976737000000001</c:v>
                </c:pt>
                <c:pt idx="5">
                  <c:v>2.1002012999999997</c:v>
                </c:pt>
                <c:pt idx="6">
                  <c:v>2.1002012999999997</c:v>
                </c:pt>
                <c:pt idx="7">
                  <c:v>2.1002012999999997</c:v>
                </c:pt>
                <c:pt idx="8">
                  <c:v>2.1002012999999997</c:v>
                </c:pt>
                <c:pt idx="9">
                  <c:v>2.1002012999999997</c:v>
                </c:pt>
                <c:pt idx="10">
                  <c:v>2.1002012999999997</c:v>
                </c:pt>
                <c:pt idx="11">
                  <c:v>1.9225510999999997</c:v>
                </c:pt>
                <c:pt idx="12">
                  <c:v>1.8695140999999997</c:v>
                </c:pt>
                <c:pt idx="13">
                  <c:v>1.8068130999999998</c:v>
                </c:pt>
                <c:pt idx="14">
                  <c:v>1.7288980999999999</c:v>
                </c:pt>
                <c:pt idx="15">
                  <c:v>1.6622807999999998</c:v>
                </c:pt>
                <c:pt idx="16">
                  <c:v>1.6486637999999998</c:v>
                </c:pt>
                <c:pt idx="17">
                  <c:v>1.6401277999999999</c:v>
                </c:pt>
                <c:pt idx="18">
                  <c:v>1.6286127999999997</c:v>
                </c:pt>
                <c:pt idx="19">
                  <c:v>1.6229087999999998</c:v>
                </c:pt>
                <c:pt idx="20">
                  <c:v>1.4983741800000001</c:v>
                </c:pt>
                <c:pt idx="21">
                  <c:v>1.4041039899999999</c:v>
                </c:pt>
                <c:pt idx="22">
                  <c:v>1.32145924</c:v>
                </c:pt>
                <c:pt idx="23">
                  <c:v>1.2613438899999998</c:v>
                </c:pt>
                <c:pt idx="24">
                  <c:v>1.1409935499999999</c:v>
                </c:pt>
                <c:pt idx="25">
                  <c:v>1.1188063499999998</c:v>
                </c:pt>
              </c:numCache>
            </c:numRef>
          </c:val>
          <c:extLst>
            <c:ext xmlns:c16="http://schemas.microsoft.com/office/drawing/2014/chart" uri="{C3380CC4-5D6E-409C-BE32-E72D297353CC}">
              <c16:uniqueId val="{00000001-AF4F-4545-83D7-E63D08EDE237}"/>
            </c:ext>
          </c:extLst>
        </c:ser>
        <c:ser>
          <c:idx val="1"/>
          <c:order val="2"/>
          <c:tx>
            <c:strRef>
              <c:f>'GrD-Grafikdaten (2)'!$E$27:$F$27</c:f>
              <c:strCache>
                <c:ptCount val="2"/>
                <c:pt idx="0">
                  <c:v>Biomasse</c:v>
                </c:pt>
                <c:pt idx="1">
                  <c:v>(Bestand)</c:v>
                </c:pt>
              </c:strCache>
            </c:strRef>
          </c:tx>
          <c:spPr>
            <a:pattFill prst="wdUpDiag">
              <a:fgClr>
                <a:srgbClr val="467850"/>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(2)'!$G$27:$AF$27</c:f>
              <c:numCache>
                <c:formatCode>0.00</c:formatCode>
                <c:ptCount val="26"/>
                <c:pt idx="0">
                  <c:v>4.7110000000000003</c:v>
                </c:pt>
                <c:pt idx="1">
                  <c:v>5.5768681300000003</c:v>
                </c:pt>
                <c:pt idx="2">
                  <c:v>5.9049599700000011</c:v>
                </c:pt>
                <c:pt idx="3">
                  <c:v>6.5818149999999997</c:v>
                </c:pt>
                <c:pt idx="4">
                  <c:v>6.7992250000000007</c:v>
                </c:pt>
                <c:pt idx="5">
                  <c:v>6.7990000000000004</c:v>
                </c:pt>
                <c:pt idx="6">
                  <c:v>6.7990000000000004</c:v>
                </c:pt>
                <c:pt idx="7">
                  <c:v>6.7990000000000004</c:v>
                </c:pt>
                <c:pt idx="8">
                  <c:v>6.7990000000000004</c:v>
                </c:pt>
                <c:pt idx="9">
                  <c:v>6.7990000000000004</c:v>
                </c:pt>
                <c:pt idx="10">
                  <c:v>6.7990000000000004</c:v>
                </c:pt>
                <c:pt idx="11">
                  <c:v>6.6231892300000004</c:v>
                </c:pt>
                <c:pt idx="12">
                  <c:v>6.4349554299999987</c:v>
                </c:pt>
                <c:pt idx="13">
                  <c:v>6.2947062699999998</c:v>
                </c:pt>
                <c:pt idx="14">
                  <c:v>6.0627479199999996</c:v>
                </c:pt>
                <c:pt idx="15">
                  <c:v>5.4902409299999997</c:v>
                </c:pt>
                <c:pt idx="16">
                  <c:v>4.7945024299999996</c:v>
                </c:pt>
                <c:pt idx="17">
                  <c:v>3.9465003999999988</c:v>
                </c:pt>
                <c:pt idx="18">
                  <c:v>3.3060079999999994</c:v>
                </c:pt>
                <c:pt idx="19">
                  <c:v>2.9487315999999995</c:v>
                </c:pt>
                <c:pt idx="20">
                  <c:v>2.4935236000000001</c:v>
                </c:pt>
                <c:pt idx="21">
                  <c:v>1.8564320000000003</c:v>
                </c:pt>
                <c:pt idx="22">
                  <c:v>0.80025794000000006</c:v>
                </c:pt>
                <c:pt idx="23">
                  <c:v>0.46639323999999999</c:v>
                </c:pt>
                <c:pt idx="24">
                  <c:v>0.21003932999999994</c:v>
                </c:pt>
                <c:pt idx="25">
                  <c:v>0</c:v>
                </c:pt>
              </c:numCache>
            </c:numRef>
          </c:val>
          <c:extLst>
            <c:ext xmlns:c16="http://schemas.microsoft.com/office/drawing/2014/chart" uri="{C3380CC4-5D6E-409C-BE32-E72D297353CC}">
              <c16:uniqueId val="{00000002-AF4F-4545-83D7-E63D08EDE237}"/>
            </c:ext>
          </c:extLst>
        </c:ser>
        <c:ser>
          <c:idx val="2"/>
          <c:order val="3"/>
          <c:tx>
            <c:strRef>
              <c:f>'GrD-Grafikdaten (2)'!$E$28:$F$28</c:f>
              <c:strCache>
                <c:ptCount val="2"/>
                <c:pt idx="0">
                  <c:v>Wind Onshore</c:v>
                </c:pt>
                <c:pt idx="1">
                  <c:v>(Bestand)</c:v>
                </c:pt>
              </c:strCache>
            </c:strRef>
          </c:tx>
          <c:spPr>
            <a:pattFill prst="wdUpDiag">
              <a:fgClr>
                <a:srgbClr val="1F82C0"/>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(2)'!$G$28:$AF$28</c:f>
              <c:numCache>
                <c:formatCode>0.00</c:formatCode>
                <c:ptCount val="26"/>
                <c:pt idx="0">
                  <c:v>27.043797000000001</c:v>
                </c:pt>
                <c:pt idx="1">
                  <c:v>28.524095000000003</c:v>
                </c:pt>
                <c:pt idx="2">
                  <c:v>30.710624000000003</c:v>
                </c:pt>
                <c:pt idx="3">
                  <c:v>32.969194999999999</c:v>
                </c:pt>
                <c:pt idx="4">
                  <c:v>37.621491999999996</c:v>
                </c:pt>
                <c:pt idx="5">
                  <c:v>37.508569479999998</c:v>
                </c:pt>
                <c:pt idx="6">
                  <c:v>37.164569479999997</c:v>
                </c:pt>
                <c:pt idx="7">
                  <c:v>36.764569479999999</c:v>
                </c:pt>
                <c:pt idx="8">
                  <c:v>36.264569479999999</c:v>
                </c:pt>
                <c:pt idx="9">
                  <c:v>35.664569479999997</c:v>
                </c:pt>
                <c:pt idx="10">
                  <c:v>34.964569480000002</c:v>
                </c:pt>
                <c:pt idx="11">
                  <c:v>33.158776369999998</c:v>
                </c:pt>
                <c:pt idx="12">
                  <c:v>30.565102570000001</c:v>
                </c:pt>
                <c:pt idx="13">
                  <c:v>27.51489948</c:v>
                </c:pt>
                <c:pt idx="14">
                  <c:v>24.797031480000001</c:v>
                </c:pt>
                <c:pt idx="15">
                  <c:v>22.74326048</c:v>
                </c:pt>
                <c:pt idx="16">
                  <c:v>20.92921698</c:v>
                </c:pt>
                <c:pt idx="17">
                  <c:v>18.699378980000002</c:v>
                </c:pt>
                <c:pt idx="18">
                  <c:v>17.013132779999999</c:v>
                </c:pt>
                <c:pt idx="19">
                  <c:v>16.241268779999999</c:v>
                </c:pt>
                <c:pt idx="20">
                  <c:v>13.541928859999999</c:v>
                </c:pt>
                <c:pt idx="21">
                  <c:v>12.115269209999999</c:v>
                </c:pt>
                <c:pt idx="22">
                  <c:v>10.238786949999998</c:v>
                </c:pt>
                <c:pt idx="23">
                  <c:v>7.8176624199999987</c:v>
                </c:pt>
                <c:pt idx="24">
                  <c:v>4.7852306299999992</c:v>
                </c:pt>
                <c:pt idx="25">
                  <c:v>0</c:v>
                </c:pt>
              </c:numCache>
            </c:numRef>
          </c:val>
          <c:extLst>
            <c:ext xmlns:c16="http://schemas.microsoft.com/office/drawing/2014/chart" uri="{C3380CC4-5D6E-409C-BE32-E72D297353CC}">
              <c16:uniqueId val="{00000003-AF4F-4545-83D7-E63D08EDE237}"/>
            </c:ext>
          </c:extLst>
        </c:ser>
        <c:ser>
          <c:idx val="3"/>
          <c:order val="4"/>
          <c:tx>
            <c:strRef>
              <c:f>'GrD-Grafikdaten (2)'!$E$29:$F$29</c:f>
              <c:strCache>
                <c:ptCount val="2"/>
                <c:pt idx="0">
                  <c:v>Wind Offshore</c:v>
                </c:pt>
                <c:pt idx="1">
                  <c:v>(Bestand)</c:v>
                </c:pt>
              </c:strCache>
            </c:strRef>
          </c:tx>
          <c:spPr>
            <a:pattFill prst="wdUpDiag">
              <a:fgClr>
                <a:schemeClr val="accent4">
                  <a:lumMod val="50000"/>
                </a:schemeClr>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(2)'!$G$29:$AF$29</c:f>
              <c:numCache>
                <c:formatCode>0.00</c:formatCode>
                <c:ptCount val="26"/>
                <c:pt idx="0">
                  <c:v>0.08</c:v>
                </c:pt>
                <c:pt idx="1">
                  <c:v>0.188</c:v>
                </c:pt>
                <c:pt idx="2">
                  <c:v>0.26800000000000002</c:v>
                </c:pt>
                <c:pt idx="3">
                  <c:v>0.50800000000000001</c:v>
                </c:pt>
                <c:pt idx="4">
                  <c:v>0.99399999999999999</c:v>
                </c:pt>
                <c:pt idx="5">
                  <c:v>0.99399999999999999</c:v>
                </c:pt>
                <c:pt idx="6">
                  <c:v>0.99399999999999999</c:v>
                </c:pt>
                <c:pt idx="7">
                  <c:v>0.99399999999999999</c:v>
                </c:pt>
                <c:pt idx="8">
                  <c:v>0.99399999999999999</c:v>
                </c:pt>
                <c:pt idx="9">
                  <c:v>0.99399999999999999</c:v>
                </c:pt>
                <c:pt idx="10">
                  <c:v>0.99399999999999999</c:v>
                </c:pt>
                <c:pt idx="11">
                  <c:v>0.99399999999999999</c:v>
                </c:pt>
                <c:pt idx="12">
                  <c:v>0.99399999999999999</c:v>
                </c:pt>
                <c:pt idx="13">
                  <c:v>0.99399999999999999</c:v>
                </c:pt>
                <c:pt idx="14">
                  <c:v>0.99399999999999999</c:v>
                </c:pt>
                <c:pt idx="15">
                  <c:v>0.99399999999999999</c:v>
                </c:pt>
                <c:pt idx="16">
                  <c:v>0.99399999999999999</c:v>
                </c:pt>
                <c:pt idx="17">
                  <c:v>0.99399999999999999</c:v>
                </c:pt>
                <c:pt idx="18">
                  <c:v>0.99399999999999999</c:v>
                </c:pt>
                <c:pt idx="19">
                  <c:v>0.99399999999999999</c:v>
                </c:pt>
                <c:pt idx="20">
                  <c:v>0.96219999999999994</c:v>
                </c:pt>
                <c:pt idx="21">
                  <c:v>0.9171999999999999</c:v>
                </c:pt>
                <c:pt idx="22">
                  <c:v>0.80889999999999995</c:v>
                </c:pt>
                <c:pt idx="23">
                  <c:v>0.72889999999999999</c:v>
                </c:pt>
                <c:pt idx="24">
                  <c:v>0.4889</c:v>
                </c:pt>
                <c:pt idx="25">
                  <c:v>0</c:v>
                </c:pt>
              </c:numCache>
            </c:numRef>
          </c:val>
          <c:extLst>
            <c:ext xmlns:c16="http://schemas.microsoft.com/office/drawing/2014/chart" uri="{C3380CC4-5D6E-409C-BE32-E72D297353CC}">
              <c16:uniqueId val="{00000004-AF4F-4545-83D7-E63D08EDE237}"/>
            </c:ext>
          </c:extLst>
        </c:ser>
        <c:ser>
          <c:idx val="4"/>
          <c:order val="5"/>
          <c:tx>
            <c:strRef>
              <c:f>'GrD-Grafikdaten (2)'!$E$30:$F$30</c:f>
              <c:strCache>
                <c:ptCount val="2"/>
                <c:pt idx="0">
                  <c:v>Solar</c:v>
                </c:pt>
                <c:pt idx="1">
                  <c:v>(Bestand)</c:v>
                </c:pt>
              </c:strCache>
            </c:strRef>
          </c:tx>
          <c:spPr>
            <a:pattFill prst="wdUpDiag">
              <a:fgClr>
                <a:srgbClr val="FFD744"/>
              </a:fgClr>
              <a:bgClr>
                <a:schemeClr val="bg1"/>
              </a:bgClr>
            </a:patt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(2)'!$G$30:$AF$30</c:f>
              <c:numCache>
                <c:formatCode>0.00</c:formatCode>
                <c:ptCount val="26"/>
                <c:pt idx="0">
                  <c:v>18.006</c:v>
                </c:pt>
                <c:pt idx="1">
                  <c:v>25.916</c:v>
                </c:pt>
                <c:pt idx="2">
                  <c:v>34.076999999999998</c:v>
                </c:pt>
                <c:pt idx="3">
                  <c:v>36.71</c:v>
                </c:pt>
                <c:pt idx="4">
                  <c:v>37.9</c:v>
                </c:pt>
                <c:pt idx="5">
                  <c:v>37.9</c:v>
                </c:pt>
                <c:pt idx="6">
                  <c:v>37.9</c:v>
                </c:pt>
                <c:pt idx="7">
                  <c:v>37.9</c:v>
                </c:pt>
                <c:pt idx="8">
                  <c:v>37.9</c:v>
                </c:pt>
                <c:pt idx="9">
                  <c:v>37.9</c:v>
                </c:pt>
                <c:pt idx="10">
                  <c:v>37.9</c:v>
                </c:pt>
                <c:pt idx="11">
                  <c:v>37.776027506000062</c:v>
                </c:pt>
                <c:pt idx="12">
                  <c:v>37.667388816000063</c:v>
                </c:pt>
                <c:pt idx="13">
                  <c:v>37.557167266000064</c:v>
                </c:pt>
                <c:pt idx="14">
                  <c:v>37.414720716000062</c:v>
                </c:pt>
                <c:pt idx="15">
                  <c:v>36.758691416000062</c:v>
                </c:pt>
                <c:pt idx="16">
                  <c:v>35.834089356000064</c:v>
                </c:pt>
                <c:pt idx="17">
                  <c:v>34.989494406000063</c:v>
                </c:pt>
                <c:pt idx="18">
                  <c:v>33.735743280000058</c:v>
                </c:pt>
                <c:pt idx="19">
                  <c:v>31.75620017000006</c:v>
                </c:pt>
                <c:pt idx="20">
                  <c:v>27.317740330000046</c:v>
                </c:pt>
                <c:pt idx="21">
                  <c:v>19.723863990000012</c:v>
                </c:pt>
                <c:pt idx="22">
                  <c:v>11.723473930000008</c:v>
                </c:pt>
                <c:pt idx="23">
                  <c:v>4.8811800499999842</c:v>
                </c:pt>
                <c:pt idx="24">
                  <c:v>1.7455592899999977</c:v>
                </c:pt>
                <c:pt idx="25">
                  <c:v>0</c:v>
                </c:pt>
              </c:numCache>
            </c:numRef>
          </c:val>
          <c:extLst>
            <c:ext xmlns:c16="http://schemas.microsoft.com/office/drawing/2014/chart" uri="{C3380CC4-5D6E-409C-BE32-E72D297353CC}">
              <c16:uniqueId val="{00000005-AF4F-4545-83D7-E63D08EDE237}"/>
            </c:ext>
          </c:extLst>
        </c:ser>
        <c:ser>
          <c:idx val="5"/>
          <c:order val="6"/>
          <c:tx>
            <c:strRef>
              <c:f>'GrD-Grafikdaten (2)'!$E$31:$F$31</c:f>
              <c:strCache>
                <c:ptCount val="2"/>
                <c:pt idx="0">
                  <c:v>Sonstige</c:v>
                </c:pt>
              </c:strCache>
            </c:strRef>
          </c:tx>
          <c:spPr>
            <a:solidFill>
              <a:schemeClr val="accent6"/>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(2)'!$G$31:$AF$31</c:f>
              <c:numCache>
                <c:formatCode>0.00</c:formatCode>
                <c:ptCount val="26"/>
                <c:pt idx="0">
                  <c:v>0</c:v>
                </c:pt>
                <c:pt idx="1">
                  <c:v>0</c:v>
                </c:pt>
                <c:pt idx="2">
                  <c:v>0</c:v>
                </c:pt>
                <c:pt idx="3">
                  <c:v>0</c:v>
                </c:pt>
                <c:pt idx="4">
                  <c:v>0</c:v>
                </c:pt>
                <c:pt idx="5">
                  <c:v>0.33407918500000011</c:v>
                </c:pt>
                <c:pt idx="6">
                  <c:v>0.36479695999999984</c:v>
                </c:pt>
                <c:pt idx="7">
                  <c:v>0.37389695999999994</c:v>
                </c:pt>
                <c:pt idx="8">
                  <c:v>0.39989695999999986</c:v>
                </c:pt>
                <c:pt idx="9">
                  <c:v>0.42289695999999977</c:v>
                </c:pt>
                <c:pt idx="10">
                  <c:v>0.44289695999999967</c:v>
                </c:pt>
                <c:pt idx="11">
                  <c:v>0.46779695999999971</c:v>
                </c:pt>
                <c:pt idx="12">
                  <c:v>0.51069695999999964</c:v>
                </c:pt>
                <c:pt idx="13">
                  <c:v>0.55759695999999948</c:v>
                </c:pt>
                <c:pt idx="14">
                  <c:v>0.60849695999999942</c:v>
                </c:pt>
                <c:pt idx="15">
                  <c:v>0.66239695999999937</c:v>
                </c:pt>
                <c:pt idx="16">
                  <c:v>0.72029695999999932</c:v>
                </c:pt>
                <c:pt idx="17">
                  <c:v>0.75129695999999924</c:v>
                </c:pt>
                <c:pt idx="18">
                  <c:v>0.78229695999999915</c:v>
                </c:pt>
                <c:pt idx="19">
                  <c:v>0.81329695999999907</c:v>
                </c:pt>
                <c:pt idx="20">
                  <c:v>0.84429695999999899</c:v>
                </c:pt>
                <c:pt idx="21">
                  <c:v>0.87529695999999868</c:v>
                </c:pt>
                <c:pt idx="22">
                  <c:v>0.9062969599999986</c:v>
                </c:pt>
                <c:pt idx="23">
                  <c:v>0.93729695999999851</c:v>
                </c:pt>
                <c:pt idx="24">
                  <c:v>0.96829695999999843</c:v>
                </c:pt>
                <c:pt idx="25">
                  <c:v>0.68487737499999901</c:v>
                </c:pt>
              </c:numCache>
            </c:numRef>
          </c:val>
          <c:extLst>
            <c:ext xmlns:c16="http://schemas.microsoft.com/office/drawing/2014/chart" uri="{C3380CC4-5D6E-409C-BE32-E72D297353CC}">
              <c16:uniqueId val="{00000006-AF4F-4545-83D7-E63D08EDE237}"/>
            </c:ext>
          </c:extLst>
        </c:ser>
        <c:ser>
          <c:idx val="6"/>
          <c:order val="7"/>
          <c:tx>
            <c:strRef>
              <c:f>'GrD-Grafikdaten (2)'!$E$32:$F$32</c:f>
              <c:strCache>
                <c:ptCount val="2"/>
                <c:pt idx="0">
                  <c:v>Biomasse</c:v>
                </c:pt>
              </c:strCache>
            </c:strRef>
          </c:tx>
          <c:spPr>
            <a:solidFill>
              <a:srgbClr val="467850"/>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(2)'!$G$32:$AF$32</c:f>
              <c:numCache>
                <c:formatCode>0.00</c:formatCode>
                <c:ptCount val="26"/>
                <c:pt idx="0">
                  <c:v>0</c:v>
                </c:pt>
                <c:pt idx="1">
                  <c:v>0</c:v>
                </c:pt>
                <c:pt idx="2">
                  <c:v>0</c:v>
                </c:pt>
                <c:pt idx="3">
                  <c:v>0</c:v>
                </c:pt>
                <c:pt idx="4">
                  <c:v>0</c:v>
                </c:pt>
                <c:pt idx="5">
                  <c:v>0.2348410000000003</c:v>
                </c:pt>
                <c:pt idx="6">
                  <c:v>0.45981300000000047</c:v>
                </c:pt>
                <c:pt idx="7">
                  <c:v>0.76660000000000039</c:v>
                </c:pt>
                <c:pt idx="8">
                  <c:v>1.1941110810000017</c:v>
                </c:pt>
                <c:pt idx="9">
                  <c:v>1.5266447400000009</c:v>
                </c:pt>
                <c:pt idx="10">
                  <c:v>1.7026447400000011</c:v>
                </c:pt>
                <c:pt idx="11">
                  <c:v>1.8266447400000017</c:v>
                </c:pt>
                <c:pt idx="12">
                  <c:v>2.1936447400000016</c:v>
                </c:pt>
                <c:pt idx="13">
                  <c:v>2.5606447400000016</c:v>
                </c:pt>
                <c:pt idx="14">
                  <c:v>2.9276447400000016</c:v>
                </c:pt>
                <c:pt idx="15">
                  <c:v>3.2946447400000016</c:v>
                </c:pt>
                <c:pt idx="16">
                  <c:v>3.6616447400000016</c:v>
                </c:pt>
                <c:pt idx="17">
                  <c:v>3.8616447400000018</c:v>
                </c:pt>
                <c:pt idx="18">
                  <c:v>4.061644740000002</c:v>
                </c:pt>
                <c:pt idx="19">
                  <c:v>4.2616447400000022</c:v>
                </c:pt>
                <c:pt idx="20">
                  <c:v>4.4616447400000023</c:v>
                </c:pt>
                <c:pt idx="21">
                  <c:v>4.6616447400000016</c:v>
                </c:pt>
                <c:pt idx="22">
                  <c:v>4.8616447400000027</c:v>
                </c:pt>
                <c:pt idx="23">
                  <c:v>5.061644740000002</c:v>
                </c:pt>
                <c:pt idx="24">
                  <c:v>5.2616447400000022</c:v>
                </c:pt>
                <c:pt idx="25">
                  <c:v>5.4370680700000023</c:v>
                </c:pt>
              </c:numCache>
            </c:numRef>
          </c:val>
          <c:extLst>
            <c:ext xmlns:c16="http://schemas.microsoft.com/office/drawing/2014/chart" uri="{C3380CC4-5D6E-409C-BE32-E72D297353CC}">
              <c16:uniqueId val="{00000007-AF4F-4545-83D7-E63D08EDE237}"/>
            </c:ext>
          </c:extLst>
        </c:ser>
        <c:ser>
          <c:idx val="7"/>
          <c:order val="8"/>
          <c:tx>
            <c:strRef>
              <c:f>'GrD-Grafikdaten (2)'!$E$33:$F$33</c:f>
              <c:strCache>
                <c:ptCount val="2"/>
                <c:pt idx="0">
                  <c:v>Wind Onshore</c:v>
                </c:pt>
              </c:strCache>
            </c:strRef>
          </c:tx>
          <c:spPr>
            <a:solidFill>
              <a:srgbClr val="1F82C0"/>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(2)'!$G$33:$AF$33</c:f>
              <c:numCache>
                <c:formatCode>0.00</c:formatCode>
                <c:ptCount val="26"/>
                <c:pt idx="0">
                  <c:v>0</c:v>
                </c:pt>
                <c:pt idx="1">
                  <c:v>0</c:v>
                </c:pt>
                <c:pt idx="2">
                  <c:v>0</c:v>
                </c:pt>
                <c:pt idx="3">
                  <c:v>0</c:v>
                </c:pt>
                <c:pt idx="4">
                  <c:v>0</c:v>
                </c:pt>
                <c:pt idx="5">
                  <c:v>3.7886999999999986</c:v>
                </c:pt>
                <c:pt idx="6">
                  <c:v>8.2341029999999975</c:v>
                </c:pt>
                <c:pt idx="7">
                  <c:v>13.735847999999997</c:v>
                </c:pt>
                <c:pt idx="8">
                  <c:v>16.138997999999994</c:v>
                </c:pt>
                <c:pt idx="9">
                  <c:v>17.638997999999994</c:v>
                </c:pt>
                <c:pt idx="10">
                  <c:v>19.138997999999994</c:v>
                </c:pt>
                <c:pt idx="11">
                  <c:v>20.638997999999994</c:v>
                </c:pt>
                <c:pt idx="12">
                  <c:v>22.638997999999994</c:v>
                </c:pt>
                <c:pt idx="13">
                  <c:v>25.138997999999997</c:v>
                </c:pt>
                <c:pt idx="14">
                  <c:v>27.638998000000001</c:v>
                </c:pt>
                <c:pt idx="15">
                  <c:v>30.138998000000004</c:v>
                </c:pt>
                <c:pt idx="16">
                  <c:v>32.638998000000008</c:v>
                </c:pt>
                <c:pt idx="17">
                  <c:v>35.138998000000001</c:v>
                </c:pt>
                <c:pt idx="18">
                  <c:v>37.638998000000008</c:v>
                </c:pt>
                <c:pt idx="19">
                  <c:v>40.138998000000008</c:v>
                </c:pt>
                <c:pt idx="20">
                  <c:v>42.638998000000008</c:v>
                </c:pt>
                <c:pt idx="21">
                  <c:v>45.138998000000008</c:v>
                </c:pt>
                <c:pt idx="22">
                  <c:v>47.638998000000008</c:v>
                </c:pt>
                <c:pt idx="23">
                  <c:v>50.138998000000008</c:v>
                </c:pt>
                <c:pt idx="24">
                  <c:v>52.638998000000008</c:v>
                </c:pt>
                <c:pt idx="25">
                  <c:v>56.137020630000009</c:v>
                </c:pt>
              </c:numCache>
            </c:numRef>
          </c:val>
          <c:extLst>
            <c:ext xmlns:c16="http://schemas.microsoft.com/office/drawing/2014/chart" uri="{C3380CC4-5D6E-409C-BE32-E72D297353CC}">
              <c16:uniqueId val="{00000008-AF4F-4545-83D7-E63D08EDE237}"/>
            </c:ext>
          </c:extLst>
        </c:ser>
        <c:ser>
          <c:idx val="8"/>
          <c:order val="9"/>
          <c:tx>
            <c:strRef>
              <c:f>'GrD-Grafikdaten (2)'!$E$34:$F$34</c:f>
              <c:strCache>
                <c:ptCount val="2"/>
                <c:pt idx="0">
                  <c:v>Wind Offshore</c:v>
                </c:pt>
              </c:strCache>
            </c:strRef>
          </c:tx>
          <c:spPr>
            <a:solidFill>
              <a:srgbClr val="006099"/>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(2)'!$G$34:$AF$34</c:f>
              <c:numCache>
                <c:formatCode>0.00</c:formatCode>
                <c:ptCount val="26"/>
                <c:pt idx="0">
                  <c:v>0</c:v>
                </c:pt>
                <c:pt idx="1">
                  <c:v>0</c:v>
                </c:pt>
                <c:pt idx="2">
                  <c:v>0</c:v>
                </c:pt>
                <c:pt idx="3">
                  <c:v>0</c:v>
                </c:pt>
                <c:pt idx="4">
                  <c:v>0</c:v>
                </c:pt>
                <c:pt idx="5">
                  <c:v>2.2890000000000006</c:v>
                </c:pt>
                <c:pt idx="6">
                  <c:v>3.1580000000000004</c:v>
                </c:pt>
                <c:pt idx="7">
                  <c:v>4.4120000000000008</c:v>
                </c:pt>
                <c:pt idx="8">
                  <c:v>5.3990000000000009</c:v>
                </c:pt>
                <c:pt idx="9">
                  <c:v>6.5340000000000007</c:v>
                </c:pt>
                <c:pt idx="10">
                  <c:v>6.753000000000001</c:v>
                </c:pt>
                <c:pt idx="11">
                  <c:v>6.753000000000001</c:v>
                </c:pt>
                <c:pt idx="12">
                  <c:v>7.0950000000000006</c:v>
                </c:pt>
                <c:pt idx="13">
                  <c:v>7.8440000000000012</c:v>
                </c:pt>
                <c:pt idx="14">
                  <c:v>8.9700000000000006</c:v>
                </c:pt>
                <c:pt idx="15">
                  <c:v>9.870000000000001</c:v>
                </c:pt>
                <c:pt idx="16">
                  <c:v>10.828000000000001</c:v>
                </c:pt>
                <c:pt idx="17">
                  <c:v>11.786000000000001</c:v>
                </c:pt>
                <c:pt idx="18">
                  <c:v>12.744000000000002</c:v>
                </c:pt>
                <c:pt idx="19">
                  <c:v>13.702000000000002</c:v>
                </c:pt>
                <c:pt idx="20">
                  <c:v>14.660000000000002</c:v>
                </c:pt>
                <c:pt idx="21">
                  <c:v>15.618</c:v>
                </c:pt>
                <c:pt idx="22">
                  <c:v>16.575999999999997</c:v>
                </c:pt>
                <c:pt idx="23">
                  <c:v>17.533999999999999</c:v>
                </c:pt>
                <c:pt idx="24">
                  <c:v>18.491999999999997</c:v>
                </c:pt>
                <c:pt idx="25">
                  <c:v>17.649899999999999</c:v>
                </c:pt>
              </c:numCache>
            </c:numRef>
          </c:val>
          <c:extLst>
            <c:ext xmlns:c16="http://schemas.microsoft.com/office/drawing/2014/chart" uri="{C3380CC4-5D6E-409C-BE32-E72D297353CC}">
              <c16:uniqueId val="{00000009-AF4F-4545-83D7-E63D08EDE237}"/>
            </c:ext>
          </c:extLst>
        </c:ser>
        <c:ser>
          <c:idx val="9"/>
          <c:order val="10"/>
          <c:tx>
            <c:strRef>
              <c:f>'GrD-Grafikdaten (2)'!$E$35:$F$35</c:f>
              <c:strCache>
                <c:ptCount val="2"/>
                <c:pt idx="0">
                  <c:v>Solar</c:v>
                </c:pt>
              </c:strCache>
            </c:strRef>
          </c:tx>
          <c:spPr>
            <a:solidFill>
              <a:srgbClr val="FFD744"/>
            </a:solidFill>
            <a:ln>
              <a:solidFill>
                <a:schemeClr val="tx1"/>
              </a:solidFill>
            </a:ln>
          </c:spPr>
          <c:cat>
            <c:numRef>
              <c:f>'GrD-Grafikdaten (2)'!$G$25:$AF$25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(2)'!$G$35:$AF$35</c:f>
              <c:numCache>
                <c:formatCode>0.00</c:formatCode>
                <c:ptCount val="26"/>
                <c:pt idx="0">
                  <c:v>0</c:v>
                </c:pt>
                <c:pt idx="1">
                  <c:v>0</c:v>
                </c:pt>
                <c:pt idx="2">
                  <c:v>0</c:v>
                </c:pt>
                <c:pt idx="3">
                  <c:v>0</c:v>
                </c:pt>
                <c:pt idx="4">
                  <c:v>0</c:v>
                </c:pt>
                <c:pt idx="5">
                  <c:v>1.3239999999999981</c:v>
                </c:pt>
                <c:pt idx="6">
                  <c:v>2.7789999999999964</c:v>
                </c:pt>
                <c:pt idx="7">
                  <c:v>4.3929999999999936</c:v>
                </c:pt>
                <c:pt idx="8">
                  <c:v>7.2579999999999956</c:v>
                </c:pt>
                <c:pt idx="9">
                  <c:v>11.146999999999998</c:v>
                </c:pt>
                <c:pt idx="10">
                  <c:v>15.948</c:v>
                </c:pt>
                <c:pt idx="11">
                  <c:v>21.362000000000002</c:v>
                </c:pt>
                <c:pt idx="12">
                  <c:v>27.696999999999996</c:v>
                </c:pt>
                <c:pt idx="13">
                  <c:v>36.027000000000001</c:v>
                </c:pt>
                <c:pt idx="14">
                  <c:v>44.156000000000006</c:v>
                </c:pt>
                <c:pt idx="15">
                  <c:v>51.922000000000011</c:v>
                </c:pt>
                <c:pt idx="16">
                  <c:v>59.754000000000005</c:v>
                </c:pt>
                <c:pt idx="17">
                  <c:v>62.754000000000005</c:v>
                </c:pt>
                <c:pt idx="18">
                  <c:v>65.753999999999991</c:v>
                </c:pt>
                <c:pt idx="19">
                  <c:v>68.754000000000005</c:v>
                </c:pt>
                <c:pt idx="20">
                  <c:v>71.753999999999991</c:v>
                </c:pt>
                <c:pt idx="21">
                  <c:v>74.753999999999991</c:v>
                </c:pt>
                <c:pt idx="22">
                  <c:v>77.753999999999991</c:v>
                </c:pt>
                <c:pt idx="23">
                  <c:v>80.753999999999991</c:v>
                </c:pt>
                <c:pt idx="24">
                  <c:v>83.753999999999991</c:v>
                </c:pt>
                <c:pt idx="25">
                  <c:v>87.175559289999995</c:v>
                </c:pt>
              </c:numCache>
            </c:numRef>
          </c:val>
          <c:extLst>
            <c:ext xmlns:c16="http://schemas.microsoft.com/office/drawing/2014/chart" uri="{C3380CC4-5D6E-409C-BE32-E72D297353CC}">
              <c16:uniqueId val="{0000000A-AF4F-4545-83D7-E63D08EDE237}"/>
            </c:ext>
          </c:extLst>
        </c:ser>
        <c:dLbls>
          <c:showLegendKey val="0"/>
          <c:showVal val="0"/>
          <c:showCatName val="0"/>
          <c:showSerName val="0"/>
          <c:showPercent val="0"/>
          <c:showBubbleSize val="0"/>
        </c:dLbls>
        <c:axId val="45804160"/>
        <c:axId val="45818240"/>
      </c:areaChart>
      <c:catAx>
        <c:axId val="45804160"/>
        <c:scaling>
          <c:orientation val="minMax"/>
        </c:scaling>
        <c:delete val="0"/>
        <c:axPos val="b"/>
        <c:numFmt formatCode="0" sourceLinked="1"/>
        <c:majorTickMark val="out"/>
        <c:minorTickMark val="none"/>
        <c:tickLblPos val="nextTo"/>
        <c:crossAx val="45818240"/>
        <c:crosses val="autoZero"/>
        <c:auto val="1"/>
        <c:lblAlgn val="ctr"/>
        <c:lblOffset val="100"/>
        <c:noMultiLvlLbl val="0"/>
      </c:catAx>
      <c:valAx>
        <c:axId val="45818240"/>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GW</a:t>
                </a:r>
              </a:p>
            </c:rich>
          </c:tx>
          <c:overlay val="0"/>
        </c:title>
        <c:numFmt formatCode="0" sourceLinked="0"/>
        <c:majorTickMark val="out"/>
        <c:minorTickMark val="none"/>
        <c:tickLblPos val="nextTo"/>
        <c:crossAx val="45804160"/>
        <c:crosses val="autoZero"/>
        <c:crossBetween val="midCat"/>
      </c:valAx>
      <c:spPr>
        <a:solidFill>
          <a:schemeClr val="bg1"/>
        </a:solidFill>
      </c:spPr>
    </c:plotArea>
    <c:legend>
      <c:legendPos val="r"/>
      <c:layout>
        <c:manualLayout>
          <c:xMode val="edge"/>
          <c:yMode val="edge"/>
          <c:x val="0.7167489380908072"/>
          <c:y val="9.0971369099946117E-2"/>
          <c:w val="0.25450887063556782"/>
          <c:h val="0.81558093608885418"/>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de-DE">
                <a:latin typeface="Arial" panose="020B0604020202020204" pitchFamily="34" charset="0"/>
                <a:cs typeface="Arial" panose="020B0604020202020204" pitchFamily="34" charset="0"/>
              </a:rPr>
              <a:t>Strommengen</a:t>
            </a:r>
          </a:p>
        </c:rich>
      </c:tx>
      <c:overlay val="1"/>
    </c:title>
    <c:autoTitleDeleted val="0"/>
    <c:plotArea>
      <c:layout>
        <c:manualLayout>
          <c:layoutTarget val="inner"/>
          <c:xMode val="edge"/>
          <c:yMode val="edge"/>
          <c:x val="9.6807922538939759E-2"/>
          <c:y val="0.11364579316594714"/>
          <c:w val="0.62262211735563866"/>
          <c:h val="0.79007651493740461"/>
        </c:manualLayout>
      </c:layout>
      <c:areaChart>
        <c:grouping val="stacked"/>
        <c:varyColors val="0"/>
        <c:ser>
          <c:idx val="10"/>
          <c:order val="0"/>
          <c:tx>
            <c:v>EE-Erzeugung außerhalb EEG</c:v>
          </c:tx>
          <c:spPr>
            <a:solidFill>
              <a:srgbClr val="00B0F0"/>
            </a:solidFill>
            <a:ln>
              <a:solidFill>
                <a:sysClr val="windowText" lastClr="000000"/>
              </a:solidFill>
            </a:ln>
          </c:spPr>
          <c:val>
            <c:numRef>
              <c:f>'GrD-Grafikdaten'!$F$223:$AE$223</c:f>
              <c:numCache>
                <c:formatCode>0.00</c:formatCode>
                <c:ptCount val="26"/>
                <c:pt idx="0">
                  <c:v>20.256</c:v>
                </c:pt>
                <c:pt idx="1">
                  <c:v>16.433254000000002</c:v>
                </c:pt>
                <c:pt idx="2">
                  <c:v>21.270144000000002</c:v>
                </c:pt>
                <c:pt idx="3">
                  <c:v>22.104711999999999</c:v>
                </c:pt>
                <c:pt idx="4">
                  <c:v>20.049999999999997</c:v>
                </c:pt>
                <c:pt idx="5">
                  <c:v>19.75</c:v>
                </c:pt>
                <c:pt idx="6">
                  <c:v>19.75</c:v>
                </c:pt>
                <c:pt idx="7">
                  <c:v>19.75</c:v>
                </c:pt>
                <c:pt idx="8">
                  <c:v>19.75</c:v>
                </c:pt>
                <c:pt idx="9">
                  <c:v>19.75</c:v>
                </c:pt>
                <c:pt idx="10">
                  <c:v>20.89589999999999</c:v>
                </c:pt>
                <c:pt idx="11">
                  <c:v>22.825096915309956</c:v>
                </c:pt>
                <c:pt idx="12">
                  <c:v>30.121834068309937</c:v>
                </c:pt>
                <c:pt idx="13">
                  <c:v>34.402329214639934</c:v>
                </c:pt>
                <c:pt idx="14">
                  <c:v>38.006027818639936</c:v>
                </c:pt>
                <c:pt idx="15">
                  <c:v>40.851939073639947</c:v>
                </c:pt>
                <c:pt idx="16">
                  <c:v>41.634049345429993</c:v>
                </c:pt>
                <c:pt idx="17">
                  <c:v>41.74496815042999</c:v>
                </c:pt>
                <c:pt idx="18">
                  <c:v>40.609959114460011</c:v>
                </c:pt>
                <c:pt idx="19">
                  <c:v>39.187963264060002</c:v>
                </c:pt>
                <c:pt idx="20">
                  <c:v>43.87589290450002</c:v>
                </c:pt>
                <c:pt idx="21">
                  <c:v>49.644248850850047</c:v>
                </c:pt>
                <c:pt idx="22">
                  <c:v>55.935368810070059</c:v>
                </c:pt>
                <c:pt idx="23">
                  <c:v>62.503365680120069</c:v>
                </c:pt>
                <c:pt idx="24">
                  <c:v>67.313749696350058</c:v>
                </c:pt>
                <c:pt idx="25">
                  <c:v>68.143168260620044</c:v>
                </c:pt>
              </c:numCache>
            </c:numRef>
          </c:val>
          <c:extLst>
            <c:ext xmlns:c16="http://schemas.microsoft.com/office/drawing/2014/chart" uri="{C3380CC4-5D6E-409C-BE32-E72D297353CC}">
              <c16:uniqueId val="{00000000-46A2-4740-B9BD-29039F501285}"/>
            </c:ext>
          </c:extLst>
        </c:ser>
        <c:ser>
          <c:idx val="0"/>
          <c:order val="1"/>
          <c:tx>
            <c:strRef>
              <c:f>'GrD-Grafikdaten (2)'!$E$56:$F$56</c:f>
              <c:strCache>
                <c:ptCount val="2"/>
                <c:pt idx="0">
                  <c:v>Sonstige</c:v>
                </c:pt>
                <c:pt idx="1">
                  <c:v>(Bestand)</c:v>
                </c:pt>
              </c:strCache>
            </c:strRef>
          </c:tx>
          <c:spPr>
            <a:pattFill prst="wdUpDiag">
              <a:fgClr>
                <a:srgbClr val="E6E6E6">
                  <a:lumMod val="90000"/>
                </a:srgbClr>
              </a:fgClr>
              <a:bgClr>
                <a:srgbClr val="FFFFFF">
                  <a:lumMod val="95000"/>
                </a:srgbClr>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(2)'!$G$56:$AF$56</c:f>
              <c:numCache>
                <c:formatCode>0.00</c:formatCode>
                <c:ptCount val="26"/>
                <c:pt idx="0">
                  <c:v>7.3149999999999995</c:v>
                </c:pt>
                <c:pt idx="1">
                  <c:v>8.1213699999999989</c:v>
                </c:pt>
                <c:pt idx="2">
                  <c:v>7.6041449999999999</c:v>
                </c:pt>
                <c:pt idx="3">
                  <c:v>8.2791299999999985</c:v>
                </c:pt>
                <c:pt idx="4">
                  <c:v>8.1088870000000011</c:v>
                </c:pt>
                <c:pt idx="5">
                  <c:v>7.2874697842700007</c:v>
                </c:pt>
                <c:pt idx="6">
                  <c:v>6.6913116195900022</c:v>
                </c:pt>
                <c:pt idx="7">
                  <c:v>6.4356240706400021</c:v>
                </c:pt>
                <c:pt idx="8">
                  <c:v>6.3589624706400025</c:v>
                </c:pt>
                <c:pt idx="9">
                  <c:v>6.9021164706400029</c:v>
                </c:pt>
                <c:pt idx="10">
                  <c:v>6.2052356053004241</c:v>
                </c:pt>
                <c:pt idx="11">
                  <c:v>6.0969739627331228</c:v>
                </c:pt>
                <c:pt idx="12">
                  <c:v>5.9728911855054001</c:v>
                </c:pt>
                <c:pt idx="13">
                  <c:v>7.2570504363818076</c:v>
                </c:pt>
                <c:pt idx="14">
                  <c:v>6.954349608632314</c:v>
                </c:pt>
                <c:pt idx="15">
                  <c:v>6.6709016029583932</c:v>
                </c:pt>
                <c:pt idx="16">
                  <c:v>6.6404450494861926</c:v>
                </c:pt>
                <c:pt idx="17">
                  <c:v>6.6155479896881397</c:v>
                </c:pt>
                <c:pt idx="18">
                  <c:v>6.6118254418998257</c:v>
                </c:pt>
                <c:pt idx="19">
                  <c:v>6.6086924443762172</c:v>
                </c:pt>
                <c:pt idx="20">
                  <c:v>6.0217546586177342</c:v>
                </c:pt>
                <c:pt idx="21">
                  <c:v>5.5492924636983929</c:v>
                </c:pt>
                <c:pt idx="22">
                  <c:v>5.1950997194625295</c:v>
                </c:pt>
                <c:pt idx="23">
                  <c:v>4.9462640999265162</c:v>
                </c:pt>
                <c:pt idx="24">
                  <c:v>4.27787103925289</c:v>
                </c:pt>
                <c:pt idx="25">
                  <c:v>4.2024045692321126</c:v>
                </c:pt>
              </c:numCache>
            </c:numRef>
          </c:val>
          <c:extLst>
            <c:ext xmlns:c16="http://schemas.microsoft.com/office/drawing/2014/chart" uri="{C3380CC4-5D6E-409C-BE32-E72D297353CC}">
              <c16:uniqueId val="{00000001-46A2-4740-B9BD-29039F501285}"/>
            </c:ext>
          </c:extLst>
        </c:ser>
        <c:ser>
          <c:idx val="1"/>
          <c:order val="2"/>
          <c:tx>
            <c:strRef>
              <c:f>'GrD-Grafikdaten (2)'!$E$57:$F$57</c:f>
              <c:strCache>
                <c:ptCount val="2"/>
                <c:pt idx="0">
                  <c:v>Biomasse</c:v>
                </c:pt>
                <c:pt idx="1">
                  <c:v>(Bestand)</c:v>
                </c:pt>
              </c:strCache>
            </c:strRef>
          </c:tx>
          <c:spPr>
            <a:pattFill prst="wdUpDiag">
              <a:fgClr>
                <a:srgbClr val="467850"/>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(2)'!$G$57:$AF$57</c:f>
              <c:numCache>
                <c:formatCode>0.00</c:formatCode>
                <c:ptCount val="26"/>
                <c:pt idx="0">
                  <c:v>26.262</c:v>
                </c:pt>
                <c:pt idx="1">
                  <c:v>27.776935999999999</c:v>
                </c:pt>
                <c:pt idx="2">
                  <c:v>30.355590999999997</c:v>
                </c:pt>
                <c:pt idx="3">
                  <c:v>33.165135999999997</c:v>
                </c:pt>
                <c:pt idx="4">
                  <c:v>34.944730999999997</c:v>
                </c:pt>
                <c:pt idx="5">
                  <c:v>37.700092659999996</c:v>
                </c:pt>
                <c:pt idx="6">
                  <c:v>38.473878319999997</c:v>
                </c:pt>
                <c:pt idx="7">
                  <c:v>37.941908319999996</c:v>
                </c:pt>
                <c:pt idx="8">
                  <c:v>37.257408157999997</c:v>
                </c:pt>
                <c:pt idx="9">
                  <c:v>35.534449677999994</c:v>
                </c:pt>
                <c:pt idx="10">
                  <c:v>34.912452359999996</c:v>
                </c:pt>
                <c:pt idx="11">
                  <c:v>32.772456359999993</c:v>
                </c:pt>
                <c:pt idx="12">
                  <c:v>29.283592859999999</c:v>
                </c:pt>
                <c:pt idx="13">
                  <c:v>35.281828643349996</c:v>
                </c:pt>
                <c:pt idx="14">
                  <c:v>33.981702091599999</c:v>
                </c:pt>
                <c:pt idx="15">
                  <c:v>30.77280041265</c:v>
                </c:pt>
                <c:pt idx="16">
                  <c:v>26.873186120149995</c:v>
                </c:pt>
                <c:pt idx="17">
                  <c:v>22.120134741999998</c:v>
                </c:pt>
                <c:pt idx="18">
                  <c:v>18.530174839999997</c:v>
                </c:pt>
                <c:pt idx="19">
                  <c:v>16.527640618</c:v>
                </c:pt>
                <c:pt idx="20">
                  <c:v>13.976199777999998</c:v>
                </c:pt>
                <c:pt idx="21">
                  <c:v>10.405301360000003</c:v>
                </c:pt>
                <c:pt idx="22">
                  <c:v>4.4854457536999988</c:v>
                </c:pt>
                <c:pt idx="23">
                  <c:v>2.614134110200002</c:v>
                </c:pt>
                <c:pt idx="24">
                  <c:v>1.1772704446499986</c:v>
                </c:pt>
                <c:pt idx="25">
                  <c:v>0</c:v>
                </c:pt>
              </c:numCache>
            </c:numRef>
          </c:val>
          <c:extLst>
            <c:ext xmlns:c16="http://schemas.microsoft.com/office/drawing/2014/chart" uri="{C3380CC4-5D6E-409C-BE32-E72D297353CC}">
              <c16:uniqueId val="{00000002-46A2-4740-B9BD-29039F501285}"/>
            </c:ext>
          </c:extLst>
        </c:ser>
        <c:ser>
          <c:idx val="2"/>
          <c:order val="3"/>
          <c:tx>
            <c:strRef>
              <c:f>'GrD-Grafikdaten (2)'!$E$58:$F$58</c:f>
              <c:strCache>
                <c:ptCount val="2"/>
                <c:pt idx="0">
                  <c:v>Wind Onshore</c:v>
                </c:pt>
                <c:pt idx="1">
                  <c:v>(Bestand)</c:v>
                </c:pt>
              </c:strCache>
            </c:strRef>
          </c:tx>
          <c:spPr>
            <a:pattFill prst="wdUpDiag">
              <a:fgClr>
                <a:srgbClr val="1F82C0"/>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(2)'!$G$58:$AF$58</c:f>
              <c:numCache>
                <c:formatCode>0.00</c:formatCode>
                <c:ptCount val="26"/>
                <c:pt idx="0">
                  <c:v>47.704000000000001</c:v>
                </c:pt>
                <c:pt idx="1">
                  <c:v>53.882748999999997</c:v>
                </c:pt>
                <c:pt idx="2">
                  <c:v>50.125189999999996</c:v>
                </c:pt>
                <c:pt idx="3">
                  <c:v>55.830889999999997</c:v>
                </c:pt>
                <c:pt idx="4">
                  <c:v>62.190390000000001</c:v>
                </c:pt>
                <c:pt idx="5">
                  <c:v>62.596261959692413</c:v>
                </c:pt>
                <c:pt idx="6">
                  <c:v>62.246703687394799</c:v>
                </c:pt>
                <c:pt idx="7">
                  <c:v>56.616944412010042</c:v>
                </c:pt>
                <c:pt idx="8">
                  <c:v>57.881769459921806</c:v>
                </c:pt>
                <c:pt idx="9">
                  <c:v>59.164171672252408</c:v>
                </c:pt>
                <c:pt idx="10">
                  <c:v>58.715586914300651</c:v>
                </c:pt>
                <c:pt idx="11">
                  <c:v>54.075516156348904</c:v>
                </c:pt>
                <c:pt idx="12">
                  <c:v>53.748786277373028</c:v>
                </c:pt>
                <c:pt idx="13">
                  <c:v>45.041890448759993</c:v>
                </c:pt>
                <c:pt idx="14">
                  <c:v>40.592740532760004</c:v>
                </c:pt>
                <c:pt idx="15">
                  <c:v>37.230717405760004</c:v>
                </c:pt>
                <c:pt idx="16">
                  <c:v>34.261128196259989</c:v>
                </c:pt>
                <c:pt idx="17">
                  <c:v>30.61088339026</c:v>
                </c:pt>
                <c:pt idx="18">
                  <c:v>27.850498360860001</c:v>
                </c:pt>
                <c:pt idx="19">
                  <c:v>26.586956992859996</c:v>
                </c:pt>
                <c:pt idx="20">
                  <c:v>22.168137543819995</c:v>
                </c:pt>
                <c:pt idx="21">
                  <c:v>19.832695696770003</c:v>
                </c:pt>
                <c:pt idx="22">
                  <c:v>16.760894237149998</c:v>
                </c:pt>
                <c:pt idx="23">
                  <c:v>12.79751338154</c:v>
                </c:pt>
                <c:pt idx="24">
                  <c:v>7.8334225413099858</c:v>
                </c:pt>
                <c:pt idx="25">
                  <c:v>0</c:v>
                </c:pt>
              </c:numCache>
            </c:numRef>
          </c:val>
          <c:extLst>
            <c:ext xmlns:c16="http://schemas.microsoft.com/office/drawing/2014/chart" uri="{C3380CC4-5D6E-409C-BE32-E72D297353CC}">
              <c16:uniqueId val="{00000003-46A2-4740-B9BD-29039F501285}"/>
            </c:ext>
          </c:extLst>
        </c:ser>
        <c:ser>
          <c:idx val="3"/>
          <c:order val="4"/>
          <c:tx>
            <c:strRef>
              <c:f>'GrD-Grafikdaten (2)'!$E$59:$F$59</c:f>
              <c:strCache>
                <c:ptCount val="2"/>
                <c:pt idx="0">
                  <c:v>Wind Offshore</c:v>
                </c:pt>
                <c:pt idx="1">
                  <c:v>(Bestand)</c:v>
                </c:pt>
              </c:strCache>
            </c:strRef>
          </c:tx>
          <c:spPr>
            <a:pattFill prst="wdUpDiag">
              <a:fgClr>
                <a:srgbClr val="E5DEFB">
                  <a:lumMod val="50000"/>
                </a:srgbClr>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(2)'!$G$59:$AF$59</c:f>
              <c:numCache>
                <c:formatCode>0.00</c:formatCode>
                <c:ptCount val="26"/>
                <c:pt idx="0">
                  <c:v>0.65400000000000003</c:v>
                </c:pt>
                <c:pt idx="1">
                  <c:v>1.1467909999999999</c:v>
                </c:pt>
                <c:pt idx="2">
                  <c:v>1.361415</c:v>
                </c:pt>
                <c:pt idx="3">
                  <c:v>2.4940419999999999</c:v>
                </c:pt>
                <c:pt idx="4">
                  <c:v>7.397958</c:v>
                </c:pt>
                <c:pt idx="5">
                  <c:v>7.2689449999999995</c:v>
                </c:pt>
                <c:pt idx="6">
                  <c:v>5.9073369999999983</c:v>
                </c:pt>
                <c:pt idx="7">
                  <c:v>6.7173849999999984</c:v>
                </c:pt>
                <c:pt idx="8">
                  <c:v>5.0958149999999982</c:v>
                </c:pt>
                <c:pt idx="9">
                  <c:v>4.9493379999999974</c:v>
                </c:pt>
                <c:pt idx="10">
                  <c:v>5.7977289999999968</c:v>
                </c:pt>
                <c:pt idx="11">
                  <c:v>5.0627539999999982</c:v>
                </c:pt>
                <c:pt idx="12">
                  <c:v>4.9018079999999955</c:v>
                </c:pt>
                <c:pt idx="13">
                  <c:v>3.4412279999999988</c:v>
                </c:pt>
                <c:pt idx="14">
                  <c:v>3.4412279999999988</c:v>
                </c:pt>
                <c:pt idx="15">
                  <c:v>3.4412280000000024</c:v>
                </c:pt>
                <c:pt idx="16">
                  <c:v>3.4412280000000024</c:v>
                </c:pt>
                <c:pt idx="17">
                  <c:v>3.4412280000000024</c:v>
                </c:pt>
                <c:pt idx="18">
                  <c:v>3.4412280000000024</c:v>
                </c:pt>
                <c:pt idx="19">
                  <c:v>3.4412280000000024</c:v>
                </c:pt>
                <c:pt idx="20">
                  <c:v>3.3311363999999983</c:v>
                </c:pt>
                <c:pt idx="21">
                  <c:v>3.1753463999999951</c:v>
                </c:pt>
                <c:pt idx="22">
                  <c:v>2.8004118000000062</c:v>
                </c:pt>
                <c:pt idx="23">
                  <c:v>2.5234518000000037</c:v>
                </c:pt>
                <c:pt idx="24">
                  <c:v>1.6925717999999961</c:v>
                </c:pt>
                <c:pt idx="25">
                  <c:v>0</c:v>
                </c:pt>
              </c:numCache>
            </c:numRef>
          </c:val>
          <c:extLst>
            <c:ext xmlns:c16="http://schemas.microsoft.com/office/drawing/2014/chart" uri="{C3380CC4-5D6E-409C-BE32-E72D297353CC}">
              <c16:uniqueId val="{00000004-46A2-4740-B9BD-29039F501285}"/>
            </c:ext>
          </c:extLst>
        </c:ser>
        <c:ser>
          <c:idx val="4"/>
          <c:order val="5"/>
          <c:tx>
            <c:strRef>
              <c:f>'GrD-Grafikdaten (2)'!$E$60:$F$60</c:f>
              <c:strCache>
                <c:ptCount val="2"/>
                <c:pt idx="0">
                  <c:v>Solar</c:v>
                </c:pt>
                <c:pt idx="1">
                  <c:v>(Bestand)</c:v>
                </c:pt>
              </c:strCache>
            </c:strRef>
          </c:tx>
          <c:spPr>
            <a:pattFill prst="wdUpDiag">
              <a:fgClr>
                <a:srgbClr val="FFD744"/>
              </a:fgClr>
              <a:bgClr>
                <a:srgbClr val="E6E6E6"/>
              </a:bgClr>
            </a:patt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(2)'!$G$60:$AF$60</c:f>
              <c:numCache>
                <c:formatCode>0.00</c:formatCode>
                <c:ptCount val="26"/>
                <c:pt idx="0">
                  <c:v>8.2959999999999994</c:v>
                </c:pt>
                <c:pt idx="1">
                  <c:v>19.399286999999998</c:v>
                </c:pt>
                <c:pt idx="2">
                  <c:v>24.072319</c:v>
                </c:pt>
                <c:pt idx="3">
                  <c:v>34.673694999999995</c:v>
                </c:pt>
                <c:pt idx="4">
                  <c:v>36.594586999999997</c:v>
                </c:pt>
                <c:pt idx="5">
                  <c:v>35.461438000000001</c:v>
                </c:pt>
                <c:pt idx="6">
                  <c:v>34.856110000000001</c:v>
                </c:pt>
                <c:pt idx="7">
                  <c:v>33.119583999999996</c:v>
                </c:pt>
                <c:pt idx="8">
                  <c:v>33.573972499999996</c:v>
                </c:pt>
                <c:pt idx="9">
                  <c:v>33.019251499999996</c:v>
                </c:pt>
                <c:pt idx="10">
                  <c:v>30.887873499999998</c:v>
                </c:pt>
                <c:pt idx="11">
                  <c:v>31.364225000000001</c:v>
                </c:pt>
                <c:pt idx="12">
                  <c:v>34.704889049083462</c:v>
                </c:pt>
                <c:pt idx="13">
                  <c:v>36.054880575360066</c:v>
                </c:pt>
                <c:pt idx="14">
                  <c:v>35.918131887360069</c:v>
                </c:pt>
                <c:pt idx="15">
                  <c:v>35.288343759360053</c:v>
                </c:pt>
                <c:pt idx="16">
                  <c:v>34.400725781760059</c:v>
                </c:pt>
                <c:pt idx="17">
                  <c:v>33.589914629760052</c:v>
                </c:pt>
                <c:pt idx="18">
                  <c:v>32.386313548800047</c:v>
                </c:pt>
                <c:pt idx="19">
                  <c:v>30.485952163200054</c:v>
                </c:pt>
                <c:pt idx="20">
                  <c:v>26.225030716800049</c:v>
                </c:pt>
                <c:pt idx="21">
                  <c:v>18.934909430400012</c:v>
                </c:pt>
                <c:pt idx="22">
                  <c:v>11.254534972800002</c:v>
                </c:pt>
                <c:pt idx="23">
                  <c:v>4.6859328479999789</c:v>
                </c:pt>
                <c:pt idx="24">
                  <c:v>1.6757369183999913</c:v>
                </c:pt>
                <c:pt idx="25">
                  <c:v>0</c:v>
                </c:pt>
              </c:numCache>
            </c:numRef>
          </c:val>
          <c:extLst>
            <c:ext xmlns:c16="http://schemas.microsoft.com/office/drawing/2014/chart" uri="{C3380CC4-5D6E-409C-BE32-E72D297353CC}">
              <c16:uniqueId val="{00000005-46A2-4740-B9BD-29039F501285}"/>
            </c:ext>
          </c:extLst>
        </c:ser>
        <c:ser>
          <c:idx val="5"/>
          <c:order val="6"/>
          <c:tx>
            <c:strRef>
              <c:f>'GrD-Grafikdaten (2)'!$E$61:$F$61</c:f>
              <c:strCache>
                <c:ptCount val="2"/>
                <c:pt idx="0">
                  <c:v>Sonstige</c:v>
                </c:pt>
              </c:strCache>
            </c:strRef>
          </c:tx>
          <c:spPr>
            <a:solidFill>
              <a:srgbClr val="E6A4C7"/>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(2)'!$G$61:$AF$61</c:f>
              <c:numCache>
                <c:formatCode>0.00</c:formatCode>
                <c:ptCount val="26"/>
                <c:pt idx="0">
                  <c:v>0</c:v>
                </c:pt>
                <c:pt idx="1">
                  <c:v>0</c:v>
                </c:pt>
                <c:pt idx="2">
                  <c:v>0</c:v>
                </c:pt>
                <c:pt idx="3">
                  <c:v>0</c:v>
                </c:pt>
                <c:pt idx="4">
                  <c:v>0</c:v>
                </c:pt>
                <c:pt idx="5">
                  <c:v>0.64165821572999904</c:v>
                </c:pt>
                <c:pt idx="6">
                  <c:v>1.3428843804099979</c:v>
                </c:pt>
                <c:pt idx="7">
                  <c:v>1.4227899293599973</c:v>
                </c:pt>
                <c:pt idx="8">
                  <c:v>1.4998585293599975</c:v>
                </c:pt>
                <c:pt idx="9">
                  <c:v>1.6067125293599973</c:v>
                </c:pt>
                <c:pt idx="10">
                  <c:v>1.6995643946995758</c:v>
                </c:pt>
                <c:pt idx="11">
                  <c:v>1.7999520372668769</c:v>
                </c:pt>
                <c:pt idx="12">
                  <c:v>1.9499408144945996</c:v>
                </c:pt>
                <c:pt idx="13">
                  <c:v>2.1435407925004646</c:v>
                </c:pt>
                <c:pt idx="14">
                  <c:v>2.3551433322347246</c:v>
                </c:pt>
                <c:pt idx="15">
                  <c:v>2.5833371247323509</c:v>
                </c:pt>
                <c:pt idx="16">
                  <c:v>2.8282026501875719</c:v>
                </c:pt>
                <c:pt idx="17">
                  <c:v>3.0211360221682479</c:v>
                </c:pt>
                <c:pt idx="18">
                  <c:v>3.1529941767576197</c:v>
                </c:pt>
                <c:pt idx="19">
                  <c:v>3.2848523313469915</c:v>
                </c:pt>
                <c:pt idx="20">
                  <c:v>3.4167104859363633</c:v>
                </c:pt>
                <c:pt idx="21">
                  <c:v>3.5485686405257351</c:v>
                </c:pt>
                <c:pt idx="22">
                  <c:v>3.6804267951151073</c:v>
                </c:pt>
                <c:pt idx="23">
                  <c:v>3.8122849497044786</c:v>
                </c:pt>
                <c:pt idx="24">
                  <c:v>3.9441431042938513</c:v>
                </c:pt>
                <c:pt idx="25">
                  <c:v>4.0760012588832222</c:v>
                </c:pt>
              </c:numCache>
            </c:numRef>
          </c:val>
          <c:extLst>
            <c:ext xmlns:c16="http://schemas.microsoft.com/office/drawing/2014/chart" uri="{C3380CC4-5D6E-409C-BE32-E72D297353CC}">
              <c16:uniqueId val="{00000006-46A2-4740-B9BD-29039F501285}"/>
            </c:ext>
          </c:extLst>
        </c:ser>
        <c:ser>
          <c:idx val="6"/>
          <c:order val="7"/>
          <c:tx>
            <c:strRef>
              <c:f>'GrD-Grafikdaten (2)'!$E$62:$F$62</c:f>
              <c:strCache>
                <c:ptCount val="2"/>
                <c:pt idx="0">
                  <c:v>Biomasse</c:v>
                </c:pt>
              </c:strCache>
            </c:strRef>
          </c:tx>
          <c:spPr>
            <a:solidFill>
              <a:srgbClr val="467850"/>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(2)'!$G$62:$AF$62</c:f>
              <c:numCache>
                <c:formatCode>0.00</c:formatCode>
                <c:ptCount val="26"/>
                <c:pt idx="0">
                  <c:v>0</c:v>
                </c:pt>
                <c:pt idx="1">
                  <c:v>0</c:v>
                </c:pt>
                <c:pt idx="2">
                  <c:v>0</c:v>
                </c:pt>
                <c:pt idx="3">
                  <c:v>0</c:v>
                </c:pt>
                <c:pt idx="4">
                  <c:v>0</c:v>
                </c:pt>
                <c:pt idx="5">
                  <c:v>0.65751134</c:v>
                </c:pt>
                <c:pt idx="6">
                  <c:v>1.7649666799999999</c:v>
                </c:pt>
                <c:pt idx="7">
                  <c:v>2.8284846799999999</c:v>
                </c:pt>
                <c:pt idx="8">
                  <c:v>4.2970808420000024</c:v>
                </c:pt>
                <c:pt idx="9">
                  <c:v>5.8171703220000044</c:v>
                </c:pt>
                <c:pt idx="10">
                  <c:v>6.834237640000004</c:v>
                </c:pt>
                <c:pt idx="11">
                  <c:v>7.4342376400000036</c:v>
                </c:pt>
                <c:pt idx="12">
                  <c:v>8.5000971400000029</c:v>
                </c:pt>
                <c:pt idx="13">
                  <c:v>10.093060640000003</c:v>
                </c:pt>
                <c:pt idx="14">
                  <c:v>11.603816140000005</c:v>
                </c:pt>
                <c:pt idx="15">
                  <c:v>13.037501640000004</c:v>
                </c:pt>
                <c:pt idx="16">
                  <c:v>14.397236640000003</c:v>
                </c:pt>
                <c:pt idx="17">
                  <c:v>15.458937640000004</c:v>
                </c:pt>
                <c:pt idx="18">
                  <c:v>16.258937640000003</c:v>
                </c:pt>
                <c:pt idx="19">
                  <c:v>17.058937640000003</c:v>
                </c:pt>
                <c:pt idx="20">
                  <c:v>17.858937640000004</c:v>
                </c:pt>
                <c:pt idx="21">
                  <c:v>18.658937640000005</c:v>
                </c:pt>
                <c:pt idx="22">
                  <c:v>19.458937640000002</c:v>
                </c:pt>
                <c:pt idx="23">
                  <c:v>20.258937640000003</c:v>
                </c:pt>
                <c:pt idx="24">
                  <c:v>21.058937640000003</c:v>
                </c:pt>
                <c:pt idx="25">
                  <c:v>21.858937640000004</c:v>
                </c:pt>
              </c:numCache>
            </c:numRef>
          </c:val>
          <c:extLst>
            <c:ext xmlns:c16="http://schemas.microsoft.com/office/drawing/2014/chart" uri="{C3380CC4-5D6E-409C-BE32-E72D297353CC}">
              <c16:uniqueId val="{00000007-46A2-4740-B9BD-29039F501285}"/>
            </c:ext>
          </c:extLst>
        </c:ser>
        <c:ser>
          <c:idx val="7"/>
          <c:order val="8"/>
          <c:tx>
            <c:strRef>
              <c:f>'GrD-Grafikdaten (2)'!$E$63:$F$63</c:f>
              <c:strCache>
                <c:ptCount val="2"/>
                <c:pt idx="0">
                  <c:v>Wind Onshore</c:v>
                </c:pt>
              </c:strCache>
            </c:strRef>
          </c:tx>
          <c:spPr>
            <a:solidFill>
              <a:srgbClr val="1F82C0"/>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(2)'!$G$63:$AF$63</c:f>
              <c:numCache>
                <c:formatCode>0.00</c:formatCode>
                <c:ptCount val="26"/>
                <c:pt idx="0">
                  <c:v>0</c:v>
                </c:pt>
                <c:pt idx="1">
                  <c:v>0</c:v>
                </c:pt>
                <c:pt idx="2">
                  <c:v>0</c:v>
                </c:pt>
                <c:pt idx="3">
                  <c:v>0</c:v>
                </c:pt>
                <c:pt idx="4">
                  <c:v>0</c:v>
                </c:pt>
                <c:pt idx="5">
                  <c:v>4.2764260403075847</c:v>
                </c:pt>
                <c:pt idx="6">
                  <c:v>13.702182312605201</c:v>
                </c:pt>
                <c:pt idx="7">
                  <c:v>25.384958587989953</c:v>
                </c:pt>
                <c:pt idx="8">
                  <c:v>34.842306540078191</c:v>
                </c:pt>
                <c:pt idx="9">
                  <c:v>39.635011327747591</c:v>
                </c:pt>
                <c:pt idx="10">
                  <c:v>43.372617085699339</c:v>
                </c:pt>
                <c:pt idx="11">
                  <c:v>47.110222843651094</c:v>
                </c:pt>
                <c:pt idx="12">
                  <c:v>51.166025722626969</c:v>
                </c:pt>
                <c:pt idx="13">
                  <c:v>56.143025722626966</c:v>
                </c:pt>
                <c:pt idx="14">
                  <c:v>61.775525722626966</c:v>
                </c:pt>
                <c:pt idx="15">
                  <c:v>67.501775722626974</c:v>
                </c:pt>
                <c:pt idx="16">
                  <c:v>73.314275722626974</c:v>
                </c:pt>
                <c:pt idx="17">
                  <c:v>79.236025722626977</c:v>
                </c:pt>
                <c:pt idx="18">
                  <c:v>85.264859055960301</c:v>
                </c:pt>
                <c:pt idx="19">
                  <c:v>91.367120960722218</c:v>
                </c:pt>
                <c:pt idx="20">
                  <c:v>97.522924532150796</c:v>
                </c:pt>
                <c:pt idx="21">
                  <c:v>103.71952175437301</c:v>
                </c:pt>
                <c:pt idx="22">
                  <c:v>109.94824397659524</c:v>
                </c:pt>
                <c:pt idx="23">
                  <c:v>116.20292579477706</c:v>
                </c:pt>
                <c:pt idx="24">
                  <c:v>122.47902427962553</c:v>
                </c:pt>
                <c:pt idx="25">
                  <c:v>128.8719409462922</c:v>
                </c:pt>
              </c:numCache>
            </c:numRef>
          </c:val>
          <c:extLst>
            <c:ext xmlns:c16="http://schemas.microsoft.com/office/drawing/2014/chart" uri="{C3380CC4-5D6E-409C-BE32-E72D297353CC}">
              <c16:uniqueId val="{00000008-46A2-4740-B9BD-29039F501285}"/>
            </c:ext>
          </c:extLst>
        </c:ser>
        <c:ser>
          <c:idx val="8"/>
          <c:order val="9"/>
          <c:tx>
            <c:strRef>
              <c:f>'GrD-Grafikdaten (2)'!$E$64:$F$64</c:f>
              <c:strCache>
                <c:ptCount val="2"/>
                <c:pt idx="0">
                  <c:v>Wind Offshore</c:v>
                </c:pt>
              </c:strCache>
            </c:strRef>
          </c:tx>
          <c:spPr>
            <a:solidFill>
              <a:srgbClr val="006099"/>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(2)'!$G$64:$AF$64</c:f>
              <c:numCache>
                <c:formatCode>0.00</c:formatCode>
                <c:ptCount val="26"/>
                <c:pt idx="0">
                  <c:v>0</c:v>
                </c:pt>
                <c:pt idx="1">
                  <c:v>0</c:v>
                </c:pt>
                <c:pt idx="2">
                  <c:v>0</c:v>
                </c:pt>
                <c:pt idx="3">
                  <c:v>0</c:v>
                </c:pt>
                <c:pt idx="4">
                  <c:v>0</c:v>
                </c:pt>
                <c:pt idx="5">
                  <c:v>3.9622590000000004</c:v>
                </c:pt>
                <c:pt idx="6">
                  <c:v>9.4722070000000009</c:v>
                </c:pt>
                <c:pt idx="7">
                  <c:v>13.315970000000002</c:v>
                </c:pt>
                <c:pt idx="8">
                  <c:v>17.468591</c:v>
                </c:pt>
                <c:pt idx="9">
                  <c:v>21.516823000000002</c:v>
                </c:pt>
                <c:pt idx="10">
                  <c:v>24.142347000000001</c:v>
                </c:pt>
                <c:pt idx="11">
                  <c:v>24.576186</c:v>
                </c:pt>
                <c:pt idx="12">
                  <c:v>25.303278000000002</c:v>
                </c:pt>
                <c:pt idx="13">
                  <c:v>27.624991000000001</c:v>
                </c:pt>
                <c:pt idx="14">
                  <c:v>31.626999999999999</c:v>
                </c:pt>
                <c:pt idx="15">
                  <c:v>35.965788000000003</c:v>
                </c:pt>
                <c:pt idx="16">
                  <c:v>40.001914000000006</c:v>
                </c:pt>
                <c:pt idx="17">
                  <c:v>44.2406808</c:v>
                </c:pt>
                <c:pt idx="18">
                  <c:v>48.528305600000003</c:v>
                </c:pt>
                <c:pt idx="19">
                  <c:v>52.849433028571426</c:v>
                </c:pt>
                <c:pt idx="20">
                  <c:v>57.194989457142853</c:v>
                </c:pt>
                <c:pt idx="21">
                  <c:v>61.559158457142857</c:v>
                </c:pt>
                <c:pt idx="22">
                  <c:v>65.937984857142851</c:v>
                </c:pt>
                <c:pt idx="23">
                  <c:v>70.328655620779216</c:v>
                </c:pt>
                <c:pt idx="24">
                  <c:v>74.72909798441556</c:v>
                </c:pt>
                <c:pt idx="25">
                  <c:v>79.18283998441558</c:v>
                </c:pt>
              </c:numCache>
            </c:numRef>
          </c:val>
          <c:extLst>
            <c:ext xmlns:c16="http://schemas.microsoft.com/office/drawing/2014/chart" uri="{C3380CC4-5D6E-409C-BE32-E72D297353CC}">
              <c16:uniqueId val="{00000009-46A2-4740-B9BD-29039F501285}"/>
            </c:ext>
          </c:extLst>
        </c:ser>
        <c:ser>
          <c:idx val="9"/>
          <c:order val="10"/>
          <c:tx>
            <c:strRef>
              <c:f>'GrD-Grafikdaten (2)'!$E$65:$F$65</c:f>
              <c:strCache>
                <c:ptCount val="2"/>
                <c:pt idx="0">
                  <c:v>Solar</c:v>
                </c:pt>
              </c:strCache>
            </c:strRef>
          </c:tx>
          <c:spPr>
            <a:solidFill>
              <a:srgbClr val="FFD744"/>
            </a:solidFill>
            <a:ln>
              <a:solidFill>
                <a:schemeClr val="tx1"/>
              </a:solidFill>
            </a:ln>
          </c:spPr>
          <c:cat>
            <c:numRef>
              <c:f>'GrD-Grafikdaten (2)'!$G$55:$AF$55</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(2)'!$G$65:$AF$65</c:f>
              <c:numCache>
                <c:formatCode>0.00</c:formatCode>
                <c:ptCount val="26"/>
                <c:pt idx="0">
                  <c:v>0</c:v>
                </c:pt>
                <c:pt idx="1">
                  <c:v>0</c:v>
                </c:pt>
                <c:pt idx="2">
                  <c:v>0</c:v>
                </c:pt>
                <c:pt idx="3">
                  <c:v>0</c:v>
                </c:pt>
                <c:pt idx="4">
                  <c:v>0</c:v>
                </c:pt>
                <c:pt idx="5">
                  <c:v>0.63551999999999997</c:v>
                </c:pt>
                <c:pt idx="6">
                  <c:v>1.9694400000000001</c:v>
                </c:pt>
                <c:pt idx="7">
                  <c:v>3.4425600000000003</c:v>
                </c:pt>
                <c:pt idx="8">
                  <c:v>5.5996425000000007</c:v>
                </c:pt>
                <c:pt idx="9">
                  <c:v>8.8584475000000005</c:v>
                </c:pt>
                <c:pt idx="10">
                  <c:v>13.051372500000001</c:v>
                </c:pt>
                <c:pt idx="11">
                  <c:v>17.98011</c:v>
                </c:pt>
                <c:pt idx="12">
                  <c:v>23.398970950916535</c:v>
                </c:pt>
                <c:pt idx="13">
                  <c:v>29.895715743625011</c:v>
                </c:pt>
                <c:pt idx="14">
                  <c:v>37.247869559457165</c:v>
                </c:pt>
                <c:pt idx="15">
                  <c:v>44.461027730064622</c:v>
                </c:pt>
                <c:pt idx="16">
                  <c:v>51.589398340962092</c:v>
                </c:pt>
                <c:pt idx="17">
                  <c:v>56.544862510646389</c:v>
                </c:pt>
                <c:pt idx="18">
                  <c:v>59.309337556714951</c:v>
                </c:pt>
                <c:pt idx="19">
                  <c:v>62.089815673504276</c:v>
                </c:pt>
                <c:pt idx="20">
                  <c:v>64.886296861014372</c:v>
                </c:pt>
                <c:pt idx="21">
                  <c:v>67.69878111924524</c:v>
                </c:pt>
                <c:pt idx="22">
                  <c:v>70.527268448196892</c:v>
                </c:pt>
                <c:pt idx="23">
                  <c:v>73.371758847869302</c:v>
                </c:pt>
                <c:pt idx="24">
                  <c:v>76.232252318262482</c:v>
                </c:pt>
                <c:pt idx="25">
                  <c:v>79.09149982113928</c:v>
                </c:pt>
              </c:numCache>
            </c:numRef>
          </c:val>
          <c:extLst>
            <c:ext xmlns:c16="http://schemas.microsoft.com/office/drawing/2014/chart" uri="{C3380CC4-5D6E-409C-BE32-E72D297353CC}">
              <c16:uniqueId val="{0000000A-46A2-4740-B9BD-29039F501285}"/>
            </c:ext>
          </c:extLst>
        </c:ser>
        <c:dLbls>
          <c:showLegendKey val="0"/>
          <c:showVal val="0"/>
          <c:showCatName val="0"/>
          <c:showSerName val="0"/>
          <c:showPercent val="0"/>
          <c:showBubbleSize val="0"/>
        </c:dLbls>
        <c:axId val="45876352"/>
        <c:axId val="45877888"/>
      </c:areaChart>
      <c:catAx>
        <c:axId val="45876352"/>
        <c:scaling>
          <c:orientation val="minMax"/>
        </c:scaling>
        <c:delete val="0"/>
        <c:axPos val="b"/>
        <c:numFmt formatCode="0" sourceLinked="1"/>
        <c:majorTickMark val="out"/>
        <c:minorTickMark val="none"/>
        <c:tickLblPos val="nextTo"/>
        <c:crossAx val="45877888"/>
        <c:crosses val="autoZero"/>
        <c:auto val="1"/>
        <c:lblAlgn val="ctr"/>
        <c:lblOffset val="100"/>
        <c:noMultiLvlLbl val="0"/>
      </c:catAx>
      <c:valAx>
        <c:axId val="45877888"/>
        <c:scaling>
          <c:orientation val="minMax"/>
        </c:scaling>
        <c:delete val="0"/>
        <c:axPos val="l"/>
        <c:majorGridlines/>
        <c:title>
          <c:tx>
            <c:rich>
              <a:bodyPr rot="-5400000" vert="horz"/>
              <a:lstStyle/>
              <a:p>
                <a:pPr>
                  <a:defRPr b="1">
                    <a:latin typeface="Arial" panose="020B0604020202020204" pitchFamily="34" charset="0"/>
                    <a:cs typeface="Arial" panose="020B0604020202020204" pitchFamily="34" charset="0"/>
                  </a:defRPr>
                </a:pPr>
                <a:r>
                  <a:rPr lang="de-DE" b="1">
                    <a:latin typeface="Arial" panose="020B0604020202020204" pitchFamily="34" charset="0"/>
                    <a:cs typeface="Arial" panose="020B0604020202020204" pitchFamily="34" charset="0"/>
                  </a:rPr>
                  <a:t>TWh/a</a:t>
                </a:r>
              </a:p>
            </c:rich>
          </c:tx>
          <c:overlay val="0"/>
        </c:title>
        <c:numFmt formatCode="0" sourceLinked="0"/>
        <c:majorTickMark val="out"/>
        <c:minorTickMark val="none"/>
        <c:tickLblPos val="nextTo"/>
        <c:crossAx val="45876352"/>
        <c:crosses val="autoZero"/>
        <c:crossBetween val="midCat"/>
      </c:valAx>
      <c:spPr>
        <a:solidFill>
          <a:srgbClr val="E6E6E6"/>
        </a:solidFill>
      </c:spPr>
    </c:plotArea>
    <c:legend>
      <c:legendPos val="r"/>
      <c:layout>
        <c:manualLayout>
          <c:xMode val="edge"/>
          <c:yMode val="edge"/>
          <c:x val="0.73339258605888646"/>
          <c:y val="8.9167914242940238E-2"/>
          <c:w val="0.2666074923167952"/>
          <c:h val="0.82853400251337628"/>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r>
              <a:rPr lang="de-DE" sz="1400">
                <a:latin typeface="Arial" panose="020B0604020202020204" pitchFamily="34" charset="0"/>
                <a:cs typeface="Arial" panose="020B0604020202020204" pitchFamily="34" charset="0"/>
              </a:rPr>
              <a:t>Vergütungsansprüche</a:t>
            </a:r>
            <a:endParaRPr lang="de-DE" sz="1400" baseline="0">
              <a:latin typeface="Arial" panose="020B0604020202020204" pitchFamily="34" charset="0"/>
              <a:cs typeface="Arial" panose="020B0604020202020204" pitchFamily="34" charset="0"/>
            </a:endParaRPr>
          </a:p>
          <a:p>
            <a:pPr>
              <a:defRPr sz="1400"/>
            </a:pPr>
            <a:r>
              <a:rPr lang="de-DE" sz="1400" baseline="0">
                <a:latin typeface="Arial" panose="020B0604020202020204" pitchFamily="34" charset="0"/>
                <a:cs typeface="Arial" panose="020B0604020202020204" pitchFamily="34" charset="0"/>
              </a:rPr>
              <a:t>(Einnahmen der Anlagenbetreiber)</a:t>
            </a:r>
            <a:endParaRPr lang="de-DE" sz="1400">
              <a:latin typeface="Arial" panose="020B0604020202020204" pitchFamily="34" charset="0"/>
              <a:cs typeface="Arial" panose="020B0604020202020204" pitchFamily="34" charset="0"/>
            </a:endParaRPr>
          </a:p>
        </c:rich>
      </c:tx>
      <c:layout>
        <c:manualLayout>
          <c:xMode val="edge"/>
          <c:yMode val="edge"/>
          <c:x val="0.28976015185834259"/>
          <c:y val="5.8350961017635287E-3"/>
        </c:manualLayout>
      </c:layout>
      <c:overlay val="1"/>
    </c:title>
    <c:autoTitleDeleted val="0"/>
    <c:plotArea>
      <c:layout>
        <c:manualLayout>
          <c:layoutTarget val="inner"/>
          <c:xMode val="edge"/>
          <c:yMode val="edge"/>
          <c:x val="0.10832381060298478"/>
          <c:y val="0.10241433003915068"/>
          <c:w val="0.56181381811678555"/>
          <c:h val="0.79308699481681977"/>
        </c:manualLayout>
      </c:layout>
      <c:areaChart>
        <c:grouping val="stacked"/>
        <c:varyColors val="0"/>
        <c:ser>
          <c:idx val="0"/>
          <c:order val="0"/>
          <c:tx>
            <c:strRef>
              <c:f>'GrD-Grafikdaten (2)'!$E$132:$F$132</c:f>
              <c:strCache>
                <c:ptCount val="2"/>
                <c:pt idx="0">
                  <c:v>Sonstige</c:v>
                </c:pt>
                <c:pt idx="1">
                  <c:v>(Bestand)</c:v>
                </c:pt>
              </c:strCache>
            </c:strRef>
          </c:tx>
          <c:spPr>
            <a:pattFill prst="wdUpDiag">
              <a:fgClr>
                <a:srgbClr val="FFFFFF">
                  <a:lumMod val="85000"/>
                </a:srgbClr>
              </a:fgClr>
              <a:bgClr>
                <a:srgbClr val="FFFFFF">
                  <a:lumMod val="95000"/>
                </a:srgbClr>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(2)'!$G$132:$AF$132</c:f>
              <c:numCache>
                <c:formatCode>0.00</c:formatCode>
                <c:ptCount val="26"/>
                <c:pt idx="0">
                  <c:v>0.54889440999999994</c:v>
                </c:pt>
                <c:pt idx="1">
                  <c:v>0.18980264099999999</c:v>
                </c:pt>
                <c:pt idx="2">
                  <c:v>0.48820272557425998</c:v>
                </c:pt>
                <c:pt idx="3">
                  <c:v>0.61301588725074996</c:v>
                </c:pt>
                <c:pt idx="4">
                  <c:v>0.60642435829859997</c:v>
                </c:pt>
                <c:pt idx="5">
                  <c:v>0.73447194826254969</c:v>
                </c:pt>
                <c:pt idx="6">
                  <c:v>0.73447194826254969</c:v>
                </c:pt>
                <c:pt idx="7">
                  <c:v>0.73447194826254969</c:v>
                </c:pt>
                <c:pt idx="8">
                  <c:v>0.73447194826254969</c:v>
                </c:pt>
                <c:pt idx="9">
                  <c:v>0.73447194826254969</c:v>
                </c:pt>
                <c:pt idx="10">
                  <c:v>0.73447194826254969</c:v>
                </c:pt>
                <c:pt idx="11">
                  <c:v>0.71244427810650712</c:v>
                </c:pt>
                <c:pt idx="12">
                  <c:v>0.70503788340212292</c:v>
                </c:pt>
                <c:pt idx="13">
                  <c:v>0.68617481858120644</c:v>
                </c:pt>
                <c:pt idx="14">
                  <c:v>0.66466866205843744</c:v>
                </c:pt>
                <c:pt idx="15">
                  <c:v>0.64463301785603477</c:v>
                </c:pt>
                <c:pt idx="16">
                  <c:v>0.64237580865388666</c:v>
                </c:pt>
                <c:pt idx="17">
                  <c:v>0.64055530761048152</c:v>
                </c:pt>
                <c:pt idx="18">
                  <c:v>0.64028073158224885</c:v>
                </c:pt>
                <c:pt idx="19">
                  <c:v>0.64005216266779397</c:v>
                </c:pt>
                <c:pt idx="20">
                  <c:v>0.58105307518943095</c:v>
                </c:pt>
                <c:pt idx="21">
                  <c:v>0.54378836761166227</c:v>
                </c:pt>
                <c:pt idx="22">
                  <c:v>0.50896570919824857</c:v>
                </c:pt>
                <c:pt idx="23">
                  <c:v>0.47192068473533527</c:v>
                </c:pt>
                <c:pt idx="24">
                  <c:v>0.40858053479627798</c:v>
                </c:pt>
                <c:pt idx="25">
                  <c:v>0.39783057582039583</c:v>
                </c:pt>
              </c:numCache>
            </c:numRef>
          </c:val>
          <c:extLst>
            <c:ext xmlns:c16="http://schemas.microsoft.com/office/drawing/2014/chart" uri="{C3380CC4-5D6E-409C-BE32-E72D297353CC}">
              <c16:uniqueId val="{00000000-520E-4BB4-96C7-E40CB978A481}"/>
            </c:ext>
          </c:extLst>
        </c:ser>
        <c:ser>
          <c:idx val="1"/>
          <c:order val="1"/>
          <c:tx>
            <c:strRef>
              <c:f>'GrD-Grafikdaten (2)'!$E$133:$F$133</c:f>
              <c:strCache>
                <c:ptCount val="2"/>
                <c:pt idx="0">
                  <c:v>Biomasse</c:v>
                </c:pt>
                <c:pt idx="1">
                  <c:v>(Bestand)</c:v>
                </c:pt>
              </c:strCache>
            </c:strRef>
          </c:tx>
          <c:spPr>
            <a:pattFill prst="wdUpDiag">
              <a:fgClr>
                <a:srgbClr val="467850"/>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(2)'!$G$133:$AF$133</c:f>
              <c:numCache>
                <c:formatCode>0.00</c:formatCode>
                <c:ptCount val="26"/>
                <c:pt idx="0">
                  <c:v>3.9508552799999999</c:v>
                </c:pt>
                <c:pt idx="1">
                  <c:v>4.2497729089999998</c:v>
                </c:pt>
                <c:pt idx="2">
                  <c:v>5.0895666185599993</c:v>
                </c:pt>
                <c:pt idx="3">
                  <c:v>6.0503774180499983</c:v>
                </c:pt>
                <c:pt idx="4">
                  <c:v>6.4394082612499988</c:v>
                </c:pt>
                <c:pt idx="5">
                  <c:v>7.2822097617115737</c:v>
                </c:pt>
                <c:pt idx="6">
                  <c:v>7.2822097617115746</c:v>
                </c:pt>
                <c:pt idx="7">
                  <c:v>7.2822097617115737</c:v>
                </c:pt>
                <c:pt idx="8">
                  <c:v>7.2822097617115737</c:v>
                </c:pt>
                <c:pt idx="9">
                  <c:v>7.2822097617115737</c:v>
                </c:pt>
                <c:pt idx="10">
                  <c:v>7.2822097617115737</c:v>
                </c:pt>
                <c:pt idx="11">
                  <c:v>7.1835599193497597</c:v>
                </c:pt>
                <c:pt idx="12">
                  <c:v>7.0063821479103723</c:v>
                </c:pt>
                <c:pt idx="13">
                  <c:v>6.8884682715222976</c:v>
                </c:pt>
                <c:pt idx="14">
                  <c:v>6.7127656435478666</c:v>
                </c:pt>
                <c:pt idx="15">
                  <c:v>6.2423181166542427</c:v>
                </c:pt>
                <c:pt idx="16">
                  <c:v>5.4761455165830508</c:v>
                </c:pt>
                <c:pt idx="17">
                  <c:v>4.5511637155272862</c:v>
                </c:pt>
                <c:pt idx="18">
                  <c:v>3.8293232180234988</c:v>
                </c:pt>
                <c:pt idx="19">
                  <c:v>3.4436416618349535</c:v>
                </c:pt>
                <c:pt idx="20">
                  <c:v>2.9305329049374462</c:v>
                </c:pt>
                <c:pt idx="21">
                  <c:v>2.1644259699180277</c:v>
                </c:pt>
                <c:pt idx="22">
                  <c:v>0.89513810954450024</c:v>
                </c:pt>
                <c:pt idx="23">
                  <c:v>0.51884364039180542</c:v>
                </c:pt>
                <c:pt idx="24">
                  <c:v>0.23001388790139352</c:v>
                </c:pt>
                <c:pt idx="25">
                  <c:v>0</c:v>
                </c:pt>
              </c:numCache>
            </c:numRef>
          </c:val>
          <c:extLst>
            <c:ext xmlns:c16="http://schemas.microsoft.com/office/drawing/2014/chart" uri="{C3380CC4-5D6E-409C-BE32-E72D297353CC}">
              <c16:uniqueId val="{00000001-520E-4BB4-96C7-E40CB978A481}"/>
            </c:ext>
          </c:extLst>
        </c:ser>
        <c:ser>
          <c:idx val="2"/>
          <c:order val="2"/>
          <c:tx>
            <c:strRef>
              <c:f>'GrD-Grafikdaten (2)'!$E$134:$F$134</c:f>
              <c:strCache>
                <c:ptCount val="2"/>
                <c:pt idx="0">
                  <c:v>Wind Onshore</c:v>
                </c:pt>
                <c:pt idx="1">
                  <c:v>(Bestand)</c:v>
                </c:pt>
              </c:strCache>
            </c:strRef>
          </c:tx>
          <c:spPr>
            <a:pattFill prst="wdUpDiag">
              <a:fgClr>
                <a:srgbClr val="1E83B3"/>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(2)'!$G$134:$AF$134</c:f>
              <c:numCache>
                <c:formatCode>0.00</c:formatCode>
                <c:ptCount val="26"/>
                <c:pt idx="0">
                  <c:v>4.1869800800000005</c:v>
                </c:pt>
                <c:pt idx="1">
                  <c:v>4.4946196810000005</c:v>
                </c:pt>
                <c:pt idx="2">
                  <c:v>4.3533828439027991</c:v>
                </c:pt>
                <c:pt idx="3">
                  <c:v>5.3593675109834491</c:v>
                </c:pt>
                <c:pt idx="4">
                  <c:v>6.1037070259736002</c:v>
                </c:pt>
                <c:pt idx="5">
                  <c:v>5.9080181485994006</c:v>
                </c:pt>
                <c:pt idx="6">
                  <c:v>5.8559783800617975</c:v>
                </c:pt>
                <c:pt idx="7">
                  <c:v>5.7958207532086137</c:v>
                </c:pt>
                <c:pt idx="8">
                  <c:v>5.7206040650143537</c:v>
                </c:pt>
                <c:pt idx="9">
                  <c:v>5.5391983038891324</c:v>
                </c:pt>
                <c:pt idx="10">
                  <c:v>5.3450702699699582</c:v>
                </c:pt>
                <c:pt idx="11">
                  <c:v>5.0040482709215501</c:v>
                </c:pt>
                <c:pt idx="12">
                  <c:v>4.5933769461465612</c:v>
                </c:pt>
                <c:pt idx="13">
                  <c:v>4.1397134228611003</c:v>
                </c:pt>
                <c:pt idx="14">
                  <c:v>3.7472829262103087</c:v>
                </c:pt>
                <c:pt idx="15">
                  <c:v>3.4352475905939217</c:v>
                </c:pt>
                <c:pt idx="16">
                  <c:v>3.1723216082086347</c:v>
                </c:pt>
                <c:pt idx="17">
                  <c:v>2.9186027412083968</c:v>
                </c:pt>
                <c:pt idx="18">
                  <c:v>2.5442182293103834</c:v>
                </c:pt>
                <c:pt idx="19">
                  <c:v>2.3488502345062381</c:v>
                </c:pt>
                <c:pt idx="20">
                  <c:v>1.9616616738554147</c:v>
                </c:pt>
                <c:pt idx="21">
                  <c:v>1.6397653312195617</c:v>
                </c:pt>
                <c:pt idx="22">
                  <c:v>1.2122219074373628</c:v>
                </c:pt>
                <c:pt idx="23">
                  <c:v>0.62948449664969264</c:v>
                </c:pt>
                <c:pt idx="24">
                  <c:v>0.38775441579484493</c:v>
                </c:pt>
                <c:pt idx="25">
                  <c:v>0</c:v>
                </c:pt>
              </c:numCache>
            </c:numRef>
          </c:val>
          <c:extLst>
            <c:ext xmlns:c16="http://schemas.microsoft.com/office/drawing/2014/chart" uri="{C3380CC4-5D6E-409C-BE32-E72D297353CC}">
              <c16:uniqueId val="{00000002-520E-4BB4-96C7-E40CB978A481}"/>
            </c:ext>
          </c:extLst>
        </c:ser>
        <c:ser>
          <c:idx val="3"/>
          <c:order val="3"/>
          <c:tx>
            <c:strRef>
              <c:f>'GrD-Grafikdaten (2)'!$E$135:$F$135</c:f>
              <c:strCache>
                <c:ptCount val="2"/>
                <c:pt idx="0">
                  <c:v>Wind Offshore</c:v>
                </c:pt>
                <c:pt idx="1">
                  <c:v>(Bestand)</c:v>
                </c:pt>
              </c:strCache>
            </c:strRef>
          </c:tx>
          <c:spPr>
            <a:pattFill prst="wdUpDiag">
              <a:fgClr>
                <a:srgbClr val="080318">
                  <a:lumMod val="50000"/>
                  <a:lumOff val="50000"/>
                </a:srgbClr>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(2)'!$G$135:$AF$135</c:f>
              <c:numCache>
                <c:formatCode>0.00</c:formatCode>
                <c:ptCount val="26"/>
                <c:pt idx="0">
                  <c:v>9.8100000000000007E-2</c:v>
                </c:pt>
                <c:pt idx="1">
                  <c:v>0.17201868399999998</c:v>
                </c:pt>
                <c:pt idx="2">
                  <c:v>0.21721885938639998</c:v>
                </c:pt>
                <c:pt idx="3">
                  <c:v>0.47161680655509991</c:v>
                </c:pt>
                <c:pt idx="4">
                  <c:v>1.4138436736538</c:v>
                </c:pt>
                <c:pt idx="5">
                  <c:v>0.60356357547678685</c:v>
                </c:pt>
                <c:pt idx="6">
                  <c:v>0.60356357547678685</c:v>
                </c:pt>
                <c:pt idx="7">
                  <c:v>0.60356357547678685</c:v>
                </c:pt>
                <c:pt idx="8">
                  <c:v>0.60356357547678685</c:v>
                </c:pt>
                <c:pt idx="9">
                  <c:v>0.60356357547678685</c:v>
                </c:pt>
                <c:pt idx="10">
                  <c:v>0.60356357547678685</c:v>
                </c:pt>
                <c:pt idx="11">
                  <c:v>0.59254805064153393</c:v>
                </c:pt>
                <c:pt idx="12">
                  <c:v>0.56103308229646875</c:v>
                </c:pt>
                <c:pt idx="13">
                  <c:v>0.49277975552190662</c:v>
                </c:pt>
                <c:pt idx="14">
                  <c:v>0.46000856913702937</c:v>
                </c:pt>
                <c:pt idx="15">
                  <c:v>0.35126853272283842</c:v>
                </c:pt>
                <c:pt idx="16">
                  <c:v>0.15540393694483204</c:v>
                </c:pt>
                <c:pt idx="17">
                  <c:v>0.10890415353008552</c:v>
                </c:pt>
                <c:pt idx="18">
                  <c:v>0.10880177353992368</c:v>
                </c:pt>
                <c:pt idx="19">
                  <c:v>0.10865322218164962</c:v>
                </c:pt>
                <c:pt idx="20">
                  <c:v>0.1045481204783134</c:v>
                </c:pt>
                <c:pt idx="21">
                  <c:v>9.8851901663614142E-2</c:v>
                </c:pt>
                <c:pt idx="22">
                  <c:v>8.5362751275515861E-2</c:v>
                </c:pt>
                <c:pt idx="23">
                  <c:v>7.5324521014464643E-2</c:v>
                </c:pt>
                <c:pt idx="24">
                  <c:v>4.6121585919529411E-2</c:v>
                </c:pt>
                <c:pt idx="25">
                  <c:v>0</c:v>
                </c:pt>
              </c:numCache>
            </c:numRef>
          </c:val>
          <c:extLst>
            <c:ext xmlns:c16="http://schemas.microsoft.com/office/drawing/2014/chart" uri="{C3380CC4-5D6E-409C-BE32-E72D297353CC}">
              <c16:uniqueId val="{00000003-520E-4BB4-96C7-E40CB978A481}"/>
            </c:ext>
          </c:extLst>
        </c:ser>
        <c:ser>
          <c:idx val="4"/>
          <c:order val="4"/>
          <c:tx>
            <c:strRef>
              <c:f>'GrD-Grafikdaten (2)'!$E$136:$F$136</c:f>
              <c:strCache>
                <c:ptCount val="2"/>
                <c:pt idx="0">
                  <c:v>Solar</c:v>
                </c:pt>
                <c:pt idx="1">
                  <c:v>(Bestand)</c:v>
                </c:pt>
              </c:strCache>
            </c:strRef>
          </c:tx>
          <c:spPr>
            <a:pattFill prst="wdUpDiag">
              <a:fgClr>
                <a:srgbClr val="FFD744"/>
              </a:fgClr>
              <a:bgClr>
                <a:srgbClr val="E6E6E6"/>
              </a:bgClr>
            </a:patt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(2)'!$G$136:$AF$136</c:f>
              <c:numCache>
                <c:formatCode>0.00</c:formatCode>
                <c:ptCount val="26"/>
                <c:pt idx="0">
                  <c:v>3.8826109599999996</c:v>
                </c:pt>
                <c:pt idx="1">
                  <c:v>8.0206210149999997</c:v>
                </c:pt>
                <c:pt idx="2">
                  <c:v>8.7892939436962809</c:v>
                </c:pt>
                <c:pt idx="3">
                  <c:v>10.302513792381449</c:v>
                </c:pt>
                <c:pt idx="4">
                  <c:v>10.72971006440835</c:v>
                </c:pt>
                <c:pt idx="5">
                  <c:v>10.908026153270542</c:v>
                </c:pt>
                <c:pt idx="6">
                  <c:v>10.908026153270542</c:v>
                </c:pt>
                <c:pt idx="7">
                  <c:v>10.908026153270542</c:v>
                </c:pt>
                <c:pt idx="8">
                  <c:v>10.908026153270542</c:v>
                </c:pt>
                <c:pt idx="9">
                  <c:v>10.908026153270542</c:v>
                </c:pt>
                <c:pt idx="10">
                  <c:v>10.908026153270542</c:v>
                </c:pt>
                <c:pt idx="11">
                  <c:v>10.86119713155138</c:v>
                </c:pt>
                <c:pt idx="12">
                  <c:v>10.811821691314007</c:v>
                </c:pt>
                <c:pt idx="13">
                  <c:v>10.762723491319454</c:v>
                </c:pt>
                <c:pt idx="14">
                  <c:v>10.700911781188493</c:v>
                </c:pt>
                <c:pt idx="15">
                  <c:v>10.350049468665192</c:v>
                </c:pt>
                <c:pt idx="16">
                  <c:v>9.8807645450106261</c:v>
                </c:pt>
                <c:pt idx="17">
                  <c:v>9.4713339193349313</c:v>
                </c:pt>
                <c:pt idx="18">
                  <c:v>8.8991898717387148</c:v>
                </c:pt>
                <c:pt idx="19">
                  <c:v>8.0374772613756083</c:v>
                </c:pt>
                <c:pt idx="20">
                  <c:v>6.2929346397361767</c:v>
                </c:pt>
                <c:pt idx="21">
                  <c:v>3.7425659024949907</c:v>
                </c:pt>
                <c:pt idx="22">
                  <c:v>1.7293195011654334</c:v>
                </c:pt>
                <c:pt idx="23">
                  <c:v>0.49607269647010133</c:v>
                </c:pt>
                <c:pt idx="24">
                  <c:v>0.15176649063590028</c:v>
                </c:pt>
                <c:pt idx="25">
                  <c:v>0</c:v>
                </c:pt>
              </c:numCache>
            </c:numRef>
          </c:val>
          <c:extLst>
            <c:ext xmlns:c16="http://schemas.microsoft.com/office/drawing/2014/chart" uri="{C3380CC4-5D6E-409C-BE32-E72D297353CC}">
              <c16:uniqueId val="{00000004-520E-4BB4-96C7-E40CB978A481}"/>
            </c:ext>
          </c:extLst>
        </c:ser>
        <c:ser>
          <c:idx val="5"/>
          <c:order val="5"/>
          <c:tx>
            <c:strRef>
              <c:f>'GrD-Grafikdaten (2)'!$E$137:$F$137</c:f>
              <c:strCache>
                <c:ptCount val="2"/>
                <c:pt idx="0">
                  <c:v>Sonstige</c:v>
                </c:pt>
              </c:strCache>
            </c:strRef>
          </c:tx>
          <c:spPr>
            <a:solidFill>
              <a:srgbClr val="FFFFFF">
                <a:lumMod val="85000"/>
              </a:srgbClr>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(2)'!$G$137:$AF$137</c:f>
              <c:numCache>
                <c:formatCode>0.00</c:formatCode>
                <c:ptCount val="26"/>
                <c:pt idx="0">
                  <c:v>0</c:v>
                </c:pt>
                <c:pt idx="1">
                  <c:v>0</c:v>
                </c:pt>
                <c:pt idx="2">
                  <c:v>0</c:v>
                </c:pt>
                <c:pt idx="3">
                  <c:v>0</c:v>
                </c:pt>
                <c:pt idx="4">
                  <c:v>0</c:v>
                </c:pt>
                <c:pt idx="5">
                  <c:v>6.5067945229896187E-2</c:v>
                </c:pt>
                <c:pt idx="6">
                  <c:v>0.13765303124724995</c:v>
                </c:pt>
                <c:pt idx="7">
                  <c:v>0.1480174064837885</c:v>
                </c:pt>
                <c:pt idx="8">
                  <c:v>0.15850097830696519</c:v>
                </c:pt>
                <c:pt idx="9">
                  <c:v>0.17301269650249701</c:v>
                </c:pt>
                <c:pt idx="10">
                  <c:v>0.18599939210303459</c:v>
                </c:pt>
                <c:pt idx="11">
                  <c:v>0.20114838543503077</c:v>
                </c:pt>
                <c:pt idx="12">
                  <c:v>0.22839657196948437</c:v>
                </c:pt>
                <c:pt idx="13">
                  <c:v>0.27514293359699987</c:v>
                </c:pt>
                <c:pt idx="14">
                  <c:v>0.2983337700352513</c:v>
                </c:pt>
                <c:pt idx="15">
                  <c:v>0.33611316999264312</c:v>
                </c:pt>
                <c:pt idx="16">
                  <c:v>0.3750369079793171</c:v>
                </c:pt>
                <c:pt idx="17">
                  <c:v>0.40235463186436238</c:v>
                </c:pt>
                <c:pt idx="18">
                  <c:v>0.41681700364169016</c:v>
                </c:pt>
                <c:pt idx="19">
                  <c:v>0.43084288663296966</c:v>
                </c:pt>
                <c:pt idx="20">
                  <c:v>0.44456578428252846</c:v>
                </c:pt>
                <c:pt idx="21">
                  <c:v>0.45787838329080371</c:v>
                </c:pt>
                <c:pt idx="22">
                  <c:v>0.47063459930599527</c:v>
                </c:pt>
                <c:pt idx="23">
                  <c:v>0.4830007238069069</c:v>
                </c:pt>
                <c:pt idx="24">
                  <c:v>0.49499228127342199</c:v>
                </c:pt>
                <c:pt idx="25">
                  <c:v>0.5066239490045148</c:v>
                </c:pt>
              </c:numCache>
            </c:numRef>
          </c:val>
          <c:extLst>
            <c:ext xmlns:c16="http://schemas.microsoft.com/office/drawing/2014/chart" uri="{C3380CC4-5D6E-409C-BE32-E72D297353CC}">
              <c16:uniqueId val="{00000005-520E-4BB4-96C7-E40CB978A481}"/>
            </c:ext>
          </c:extLst>
        </c:ser>
        <c:ser>
          <c:idx val="6"/>
          <c:order val="6"/>
          <c:tx>
            <c:strRef>
              <c:f>'GrD-Grafikdaten (2)'!$E$138:$F$138</c:f>
              <c:strCache>
                <c:ptCount val="2"/>
                <c:pt idx="0">
                  <c:v>Biomasse</c:v>
                </c:pt>
              </c:strCache>
            </c:strRef>
          </c:tx>
          <c:spPr>
            <a:solidFill>
              <a:srgbClr val="467850"/>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(2)'!$G$138:$AF$138</c:f>
              <c:numCache>
                <c:formatCode>0.00</c:formatCode>
                <c:ptCount val="26"/>
                <c:pt idx="0">
                  <c:v>0</c:v>
                </c:pt>
                <c:pt idx="1">
                  <c:v>0</c:v>
                </c:pt>
                <c:pt idx="2">
                  <c:v>0</c:v>
                </c:pt>
                <c:pt idx="3">
                  <c:v>0</c:v>
                </c:pt>
                <c:pt idx="4">
                  <c:v>0</c:v>
                </c:pt>
                <c:pt idx="5">
                  <c:v>0.10396441189220842</c:v>
                </c:pt>
                <c:pt idx="6">
                  <c:v>0.2813361084899732</c:v>
                </c:pt>
                <c:pt idx="7">
                  <c:v>0.43987541638278288</c:v>
                </c:pt>
                <c:pt idx="8">
                  <c:v>0.64544506446885042</c:v>
                </c:pt>
                <c:pt idx="9">
                  <c:v>0.85758323006384429</c:v>
                </c:pt>
                <c:pt idx="10">
                  <c:v>0.99651627438680257</c:v>
                </c:pt>
                <c:pt idx="11">
                  <c:v>1.0778582496214528</c:v>
                </c:pt>
                <c:pt idx="12">
                  <c:v>1.2256868855957004</c:v>
                </c:pt>
                <c:pt idx="13">
                  <c:v>1.4431195475139411</c:v>
                </c:pt>
                <c:pt idx="14">
                  <c:v>1.644611165943948</c:v>
                </c:pt>
                <c:pt idx="15">
                  <c:v>1.8358959193916913</c:v>
                </c:pt>
                <c:pt idx="16">
                  <c:v>2.0181827303414748</c:v>
                </c:pt>
                <c:pt idx="17">
                  <c:v>2.1593472112141359</c:v>
                </c:pt>
                <c:pt idx="18">
                  <c:v>2.2648216126972893</c:v>
                </c:pt>
                <c:pt idx="19">
                  <c:v>2.3692063932953111</c:v>
                </c:pt>
                <c:pt idx="20">
                  <c:v>2.4725117833234629</c:v>
                </c:pt>
                <c:pt idx="21">
                  <c:v>2.5747476154362743</c:v>
                </c:pt>
                <c:pt idx="22">
                  <c:v>2.6759233912636589</c:v>
                </c:pt>
                <c:pt idx="23">
                  <c:v>2.776048332125558</c:v>
                </c:pt>
                <c:pt idx="24">
                  <c:v>2.87513141814151</c:v>
                </c:pt>
                <c:pt idx="25">
                  <c:v>2.9744268366961522</c:v>
                </c:pt>
              </c:numCache>
            </c:numRef>
          </c:val>
          <c:extLst>
            <c:ext xmlns:c16="http://schemas.microsoft.com/office/drawing/2014/chart" uri="{C3380CC4-5D6E-409C-BE32-E72D297353CC}">
              <c16:uniqueId val="{00000006-520E-4BB4-96C7-E40CB978A481}"/>
            </c:ext>
          </c:extLst>
        </c:ser>
        <c:ser>
          <c:idx val="7"/>
          <c:order val="7"/>
          <c:tx>
            <c:strRef>
              <c:f>'GrD-Grafikdaten (2)'!$E$139:$F$139</c:f>
              <c:strCache>
                <c:ptCount val="2"/>
                <c:pt idx="0">
                  <c:v>Wind Onshore</c:v>
                </c:pt>
              </c:strCache>
            </c:strRef>
          </c:tx>
          <c:spPr>
            <a:solidFill>
              <a:srgbClr val="1F82C0"/>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(2)'!$G$139:$AF$139</c:f>
              <c:numCache>
                <c:formatCode>0.00</c:formatCode>
                <c:ptCount val="26"/>
                <c:pt idx="0">
                  <c:v>0</c:v>
                </c:pt>
                <c:pt idx="1">
                  <c:v>0</c:v>
                </c:pt>
                <c:pt idx="2">
                  <c:v>0</c:v>
                </c:pt>
                <c:pt idx="3">
                  <c:v>0</c:v>
                </c:pt>
                <c:pt idx="4">
                  <c:v>0</c:v>
                </c:pt>
                <c:pt idx="5">
                  <c:v>0.33926543412582211</c:v>
                </c:pt>
                <c:pt idx="6">
                  <c:v>1.0917868063780236</c:v>
                </c:pt>
                <c:pt idx="7">
                  <c:v>1.9923436763698676</c:v>
                </c:pt>
                <c:pt idx="8">
                  <c:v>2.6848309998443045</c:v>
                </c:pt>
                <c:pt idx="9">
                  <c:v>3.0028383284361975</c:v>
                </c:pt>
                <c:pt idx="10">
                  <c:v>3.2246360473993163</c:v>
                </c:pt>
                <c:pt idx="11">
                  <c:v>3.4426775601796202</c:v>
                </c:pt>
                <c:pt idx="12">
                  <c:v>3.6717386752722274</c:v>
                </c:pt>
                <c:pt idx="13">
                  <c:v>4.3580755697719642</c:v>
                </c:pt>
                <c:pt idx="14">
                  <c:v>4.2499570594754408</c:v>
                </c:pt>
                <c:pt idx="15">
                  <c:v>4.5563678888121011</c:v>
                </c:pt>
                <c:pt idx="16">
                  <c:v>4.8628089100767147</c:v>
                </c:pt>
                <c:pt idx="17">
                  <c:v>5.1704660310896484</c:v>
                </c:pt>
                <c:pt idx="18">
                  <c:v>5.478866484372694</c:v>
                </c:pt>
                <c:pt idx="19">
                  <c:v>5.7855943607237439</c:v>
                </c:pt>
                <c:pt idx="20">
                  <c:v>6.0892414424607537</c:v>
                </c:pt>
                <c:pt idx="21">
                  <c:v>6.3889184215318613</c:v>
                </c:pt>
                <c:pt idx="22">
                  <c:v>6.6840297810871432</c:v>
                </c:pt>
                <c:pt idx="23">
                  <c:v>6.9741583438166916</c:v>
                </c:pt>
                <c:pt idx="24">
                  <c:v>7.2590011650097335</c:v>
                </c:pt>
                <c:pt idx="25">
                  <c:v>7.5441180967517631</c:v>
                </c:pt>
              </c:numCache>
            </c:numRef>
          </c:val>
          <c:extLst>
            <c:ext xmlns:c16="http://schemas.microsoft.com/office/drawing/2014/chart" uri="{C3380CC4-5D6E-409C-BE32-E72D297353CC}">
              <c16:uniqueId val="{00000007-520E-4BB4-96C7-E40CB978A481}"/>
            </c:ext>
          </c:extLst>
        </c:ser>
        <c:ser>
          <c:idx val="8"/>
          <c:order val="8"/>
          <c:tx>
            <c:strRef>
              <c:f>'GrD-Grafikdaten (2)'!$E$140:$F$140</c:f>
              <c:strCache>
                <c:ptCount val="2"/>
                <c:pt idx="0">
                  <c:v>Wind Offshore</c:v>
                </c:pt>
              </c:strCache>
            </c:strRef>
          </c:tx>
          <c:spPr>
            <a:solidFill>
              <a:srgbClr val="006099"/>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(2)'!$G$140:$AF$140</c:f>
              <c:numCache>
                <c:formatCode>0.00</c:formatCode>
                <c:ptCount val="26"/>
                <c:pt idx="0">
                  <c:v>0</c:v>
                </c:pt>
                <c:pt idx="1">
                  <c:v>0</c:v>
                </c:pt>
                <c:pt idx="2">
                  <c:v>0</c:v>
                </c:pt>
                <c:pt idx="3">
                  <c:v>0</c:v>
                </c:pt>
                <c:pt idx="4">
                  <c:v>0</c:v>
                </c:pt>
                <c:pt idx="5">
                  <c:v>0.68519349688351627</c:v>
                </c:pt>
                <c:pt idx="6">
                  <c:v>1.6401606379583997</c:v>
                </c:pt>
                <c:pt idx="7">
                  <c:v>2.320538035737322</c:v>
                </c:pt>
                <c:pt idx="8">
                  <c:v>2.9910061316476497</c:v>
                </c:pt>
                <c:pt idx="9">
                  <c:v>3.5564616338227362</c:v>
                </c:pt>
                <c:pt idx="10">
                  <c:v>3.9204079517598349</c:v>
                </c:pt>
                <c:pt idx="11">
                  <c:v>3.9676106193504852</c:v>
                </c:pt>
                <c:pt idx="12">
                  <c:v>3.9915372504567288</c:v>
                </c:pt>
                <c:pt idx="13">
                  <c:v>4.1005631293236666</c:v>
                </c:pt>
                <c:pt idx="14">
                  <c:v>4.0396485387484029</c:v>
                </c:pt>
                <c:pt idx="15">
                  <c:v>4.1153103015118369</c:v>
                </c:pt>
                <c:pt idx="16">
                  <c:v>3.9857332834491306</c:v>
                </c:pt>
                <c:pt idx="17">
                  <c:v>3.3078821584528511</c:v>
                </c:pt>
                <c:pt idx="18">
                  <c:v>3.2278611104713111</c:v>
                </c:pt>
                <c:pt idx="19">
                  <c:v>3.0417061886200107</c:v>
                </c:pt>
                <c:pt idx="20">
                  <c:v>3.245740334713894</c:v>
                </c:pt>
                <c:pt idx="21">
                  <c:v>3.5329568667166282</c:v>
                </c:pt>
                <c:pt idx="22">
                  <c:v>3.8426566266403457</c:v>
                </c:pt>
                <c:pt idx="23">
                  <c:v>4.1496709277778914</c:v>
                </c:pt>
                <c:pt idx="24">
                  <c:v>4.1314868507655076</c:v>
                </c:pt>
                <c:pt idx="25">
                  <c:v>4.173226503510592</c:v>
                </c:pt>
              </c:numCache>
            </c:numRef>
          </c:val>
          <c:extLst>
            <c:ext xmlns:c16="http://schemas.microsoft.com/office/drawing/2014/chart" uri="{C3380CC4-5D6E-409C-BE32-E72D297353CC}">
              <c16:uniqueId val="{00000008-520E-4BB4-96C7-E40CB978A481}"/>
            </c:ext>
          </c:extLst>
        </c:ser>
        <c:ser>
          <c:idx val="9"/>
          <c:order val="9"/>
          <c:tx>
            <c:strRef>
              <c:f>'GrD-Grafikdaten (2)'!$E$141:$F$141</c:f>
              <c:strCache>
                <c:ptCount val="2"/>
                <c:pt idx="0">
                  <c:v>Solar</c:v>
                </c:pt>
              </c:strCache>
            </c:strRef>
          </c:tx>
          <c:spPr>
            <a:solidFill>
              <a:srgbClr val="FFD744"/>
            </a:solidFill>
            <a:ln>
              <a:solidFill>
                <a:schemeClr val="tx1"/>
              </a:solidFill>
            </a:ln>
          </c:spPr>
          <c:cat>
            <c:numRef>
              <c:f>'GrD-Grafikdaten (2)'!$G$131:$AF$131</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(2)'!$G$141:$AF$141</c:f>
              <c:numCache>
                <c:formatCode>0.00</c:formatCode>
                <c:ptCount val="26"/>
                <c:pt idx="0">
                  <c:v>0</c:v>
                </c:pt>
                <c:pt idx="1">
                  <c:v>0</c:v>
                </c:pt>
                <c:pt idx="2">
                  <c:v>0</c:v>
                </c:pt>
                <c:pt idx="3">
                  <c:v>0</c:v>
                </c:pt>
                <c:pt idx="4">
                  <c:v>0</c:v>
                </c:pt>
                <c:pt idx="5">
                  <c:v>4.9676870018863978E-2</c:v>
                </c:pt>
                <c:pt idx="6">
                  <c:v>0.14383874341315595</c:v>
                </c:pt>
                <c:pt idx="7">
                  <c:v>0.2955444718546984</c:v>
                </c:pt>
                <c:pt idx="8">
                  <c:v>0.48328473586709264</c:v>
                </c:pt>
                <c:pt idx="9">
                  <c:v>0.80757311765457584</c:v>
                </c:pt>
                <c:pt idx="10">
                  <c:v>1.1976680999851399</c:v>
                </c:pt>
                <c:pt idx="11">
                  <c:v>1.5749583996563103</c:v>
                </c:pt>
                <c:pt idx="12">
                  <c:v>1.9327983346296826</c:v>
                </c:pt>
                <c:pt idx="13">
                  <c:v>2.380930361402954</c:v>
                </c:pt>
                <c:pt idx="14">
                  <c:v>2.8732778094098697</c:v>
                </c:pt>
                <c:pt idx="15">
                  <c:v>3.3422379817594572</c:v>
                </c:pt>
                <c:pt idx="16">
                  <c:v>3.7907762053661087</c:v>
                </c:pt>
                <c:pt idx="17">
                  <c:v>4.0946773968230019</c:v>
                </c:pt>
                <c:pt idx="18">
                  <c:v>4.2575963501382343</c:v>
                </c:pt>
                <c:pt idx="19">
                  <c:v>4.416222925111958</c:v>
                </c:pt>
                <c:pt idx="20">
                  <c:v>4.5706950561923287</c:v>
                </c:pt>
                <c:pt idx="21">
                  <c:v>4.7212634055410252</c:v>
                </c:pt>
                <c:pt idx="22">
                  <c:v>4.8679398804184961</c:v>
                </c:pt>
                <c:pt idx="23">
                  <c:v>5.010585098678094</c:v>
                </c:pt>
                <c:pt idx="24">
                  <c:v>5.1493392283866584</c:v>
                </c:pt>
                <c:pt idx="25">
                  <c:v>5.2832324621940776</c:v>
                </c:pt>
              </c:numCache>
            </c:numRef>
          </c:val>
          <c:extLst>
            <c:ext xmlns:c16="http://schemas.microsoft.com/office/drawing/2014/chart" uri="{C3380CC4-5D6E-409C-BE32-E72D297353CC}">
              <c16:uniqueId val="{00000009-520E-4BB4-96C7-E40CB978A481}"/>
            </c:ext>
          </c:extLst>
        </c:ser>
        <c:dLbls>
          <c:showLegendKey val="0"/>
          <c:showVal val="0"/>
          <c:showCatName val="0"/>
          <c:showSerName val="0"/>
          <c:showPercent val="0"/>
          <c:showBubbleSize val="0"/>
        </c:dLbls>
        <c:axId val="46168320"/>
        <c:axId val="46182400"/>
      </c:areaChart>
      <c:catAx>
        <c:axId val="46168320"/>
        <c:scaling>
          <c:orientation val="minMax"/>
        </c:scaling>
        <c:delete val="0"/>
        <c:axPos val="b"/>
        <c:numFmt formatCode="0" sourceLinked="1"/>
        <c:majorTickMark val="out"/>
        <c:minorTickMark val="none"/>
        <c:tickLblPos val="nextTo"/>
        <c:crossAx val="46182400"/>
        <c:crosses val="autoZero"/>
        <c:auto val="1"/>
        <c:lblAlgn val="ctr"/>
        <c:lblOffset val="100"/>
        <c:noMultiLvlLbl val="0"/>
      </c:catAx>
      <c:valAx>
        <c:axId val="46182400"/>
        <c:scaling>
          <c:orientation val="minMax"/>
        </c:scaling>
        <c:delete val="0"/>
        <c:axPos val="l"/>
        <c:majorGridlines/>
        <c:title>
          <c:tx>
            <c:strRef>
              <c:f>ControlPanel!$R$12</c:f>
              <c:strCache>
                <c:ptCount val="1"/>
                <c:pt idx="0">
                  <c:v>Mrd. €</c:v>
                </c:pt>
              </c:strCache>
            </c:strRef>
          </c:tx>
          <c:overlay val="0"/>
          <c:txPr>
            <a:bodyPr rot="-5400000" vert="horz"/>
            <a:lstStyle/>
            <a:p>
              <a:pPr>
                <a:defRPr b="1">
                  <a:latin typeface="Arial" panose="020B0604020202020204" pitchFamily="34" charset="0"/>
                  <a:cs typeface="Arial" panose="020B0604020202020204" pitchFamily="34" charset="0"/>
                </a:defRPr>
              </a:pPr>
              <a:endParaRPr lang="en-US"/>
            </a:p>
          </c:txPr>
        </c:title>
        <c:numFmt formatCode="0" sourceLinked="0"/>
        <c:majorTickMark val="out"/>
        <c:minorTickMark val="none"/>
        <c:tickLblPos val="nextTo"/>
        <c:crossAx val="46168320"/>
        <c:crosses val="autoZero"/>
        <c:crossBetween val="midCat"/>
      </c:valAx>
      <c:spPr>
        <a:solidFill>
          <a:srgbClr val="E6E6E6"/>
        </a:solidFill>
      </c:spPr>
    </c:plotArea>
    <c:legend>
      <c:legendPos val="r"/>
      <c:layout>
        <c:manualLayout>
          <c:xMode val="edge"/>
          <c:yMode val="edge"/>
          <c:x val="0.72347667134506199"/>
          <c:y val="0.13702771585123186"/>
          <c:w val="0.26396336181852498"/>
          <c:h val="0.74042659946290201"/>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E6E6E6"/>
    </a:solidFill>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Jährlicher Bruttozubau</a:t>
            </a:r>
          </a:p>
        </c:rich>
      </c:tx>
      <c:overlay val="1"/>
    </c:title>
    <c:autoTitleDeleted val="0"/>
    <c:plotArea>
      <c:layout>
        <c:manualLayout>
          <c:layoutTarget val="inner"/>
          <c:xMode val="edge"/>
          <c:yMode val="edge"/>
          <c:x val="9.2993050503469413E-2"/>
          <c:y val="0.12045430073181985"/>
          <c:w val="0.65646274717671149"/>
          <c:h val="0.7563397514256176"/>
        </c:manualLayout>
      </c:layout>
      <c:lineChart>
        <c:grouping val="standard"/>
        <c:varyColors val="0"/>
        <c:ser>
          <c:idx val="0"/>
          <c:order val="0"/>
          <c:tx>
            <c:strRef>
              <c:f>'GrD-Grafikdaten (2)'!$F$147</c:f>
              <c:strCache>
                <c:ptCount val="1"/>
                <c:pt idx="0">
                  <c:v>Sonstige</c:v>
                </c:pt>
              </c:strCache>
            </c:strRef>
          </c:tx>
          <c:spPr>
            <a:ln>
              <a:solidFill>
                <a:schemeClr val="bg1">
                  <a:lumMod val="75000"/>
                </a:schemeClr>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(2)'!$G$147:$AF$147</c:f>
              <c:numCache>
                <c:formatCode>0.00</c:formatCode>
                <c:ptCount val="26"/>
                <c:pt idx="0">
                  <c:v>0.12954600000000022</c:v>
                </c:pt>
                <c:pt idx="1">
                  <c:v>0.10471489999999974</c:v>
                </c:pt>
                <c:pt idx="2">
                  <c:v>7.042649999999992E-2</c:v>
                </c:pt>
                <c:pt idx="3">
                  <c:v>9.3620800000000282E-2</c:v>
                </c:pt>
                <c:pt idx="4">
                  <c:v>3.7300000000000041E-3</c:v>
                </c:pt>
                <c:pt idx="5">
                  <c:v>0.33660678499999952</c:v>
                </c:pt>
                <c:pt idx="6">
                  <c:v>3.0717774999999795E-2</c:v>
                </c:pt>
                <c:pt idx="7">
                  <c:v>9.1000000000000004E-3</c:v>
                </c:pt>
                <c:pt idx="8">
                  <c:v>2.5999999999999999E-2</c:v>
                </c:pt>
                <c:pt idx="9">
                  <c:v>2.3000000000000003E-2</c:v>
                </c:pt>
                <c:pt idx="10">
                  <c:v>0.02</c:v>
                </c:pt>
                <c:pt idx="11">
                  <c:v>2.4899999999999999E-2</c:v>
                </c:pt>
                <c:pt idx="12">
                  <c:v>4.2900000000000001E-2</c:v>
                </c:pt>
                <c:pt idx="13">
                  <c:v>4.6900000000000004E-2</c:v>
                </c:pt>
                <c:pt idx="14">
                  <c:v>5.0900000000000001E-2</c:v>
                </c:pt>
                <c:pt idx="15">
                  <c:v>5.3900000000000003E-2</c:v>
                </c:pt>
                <c:pt idx="16">
                  <c:v>5.79E-2</c:v>
                </c:pt>
                <c:pt idx="17">
                  <c:v>3.1E-2</c:v>
                </c:pt>
                <c:pt idx="18">
                  <c:v>3.1E-2</c:v>
                </c:pt>
                <c:pt idx="19">
                  <c:v>3.1E-2</c:v>
                </c:pt>
                <c:pt idx="20">
                  <c:v>3.1E-2</c:v>
                </c:pt>
                <c:pt idx="21">
                  <c:v>3.1E-2</c:v>
                </c:pt>
                <c:pt idx="22">
                  <c:v>3.1E-2</c:v>
                </c:pt>
                <c:pt idx="23">
                  <c:v>3.1E-2</c:v>
                </c:pt>
                <c:pt idx="24">
                  <c:v>3.1E-2</c:v>
                </c:pt>
                <c:pt idx="25">
                  <c:v>3.1E-2</c:v>
                </c:pt>
              </c:numCache>
            </c:numRef>
          </c:val>
          <c:smooth val="0"/>
          <c:extLst>
            <c:ext xmlns:c16="http://schemas.microsoft.com/office/drawing/2014/chart" uri="{C3380CC4-5D6E-409C-BE32-E72D297353CC}">
              <c16:uniqueId val="{00000000-B82E-45DF-A0E1-1DA391A2D570}"/>
            </c:ext>
          </c:extLst>
        </c:ser>
        <c:ser>
          <c:idx val="1"/>
          <c:order val="1"/>
          <c:tx>
            <c:strRef>
              <c:f>'GrD-Grafikdaten (2)'!$F$148</c:f>
              <c:strCache>
                <c:ptCount val="1"/>
                <c:pt idx="0">
                  <c:v>Biomasse</c:v>
                </c:pt>
              </c:strCache>
            </c:strRef>
          </c:tx>
          <c:spPr>
            <a:ln>
              <a:solidFill>
                <a:srgbClr val="467850"/>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(2)'!$G$148:$AF$148</c:f>
              <c:numCache>
                <c:formatCode>0.00</c:formatCode>
                <c:ptCount val="26"/>
                <c:pt idx="0">
                  <c:v>0.41799999999999998</c:v>
                </c:pt>
                <c:pt idx="1">
                  <c:v>0.86586812999999996</c:v>
                </c:pt>
                <c:pt idx="2">
                  <c:v>0.32809184000000102</c:v>
                </c:pt>
                <c:pt idx="3">
                  <c:v>0.67685502999999902</c:v>
                </c:pt>
                <c:pt idx="4">
                  <c:v>0.21741000000000099</c:v>
                </c:pt>
                <c:pt idx="5">
                  <c:v>0.23461600000000002</c:v>
                </c:pt>
                <c:pt idx="6">
                  <c:v>0.22497200000000001</c:v>
                </c:pt>
                <c:pt idx="7">
                  <c:v>0.30678699999999998</c:v>
                </c:pt>
                <c:pt idx="8">
                  <c:v>0.42751108100000101</c:v>
                </c:pt>
                <c:pt idx="9">
                  <c:v>0.33253365899999998</c:v>
                </c:pt>
                <c:pt idx="10">
                  <c:v>0.17599999999999999</c:v>
                </c:pt>
                <c:pt idx="11">
                  <c:v>0.124</c:v>
                </c:pt>
                <c:pt idx="12">
                  <c:v>0.36699999999999999</c:v>
                </c:pt>
                <c:pt idx="13">
                  <c:v>0.36699999999999999</c:v>
                </c:pt>
                <c:pt idx="14">
                  <c:v>0.36699999999999999</c:v>
                </c:pt>
                <c:pt idx="15">
                  <c:v>0.36699999999999999</c:v>
                </c:pt>
                <c:pt idx="16">
                  <c:v>0.36699999999999999</c:v>
                </c:pt>
                <c:pt idx="17">
                  <c:v>0.2</c:v>
                </c:pt>
                <c:pt idx="18">
                  <c:v>0.2</c:v>
                </c:pt>
                <c:pt idx="19">
                  <c:v>0.2</c:v>
                </c:pt>
                <c:pt idx="20">
                  <c:v>0.2</c:v>
                </c:pt>
                <c:pt idx="21">
                  <c:v>0.2</c:v>
                </c:pt>
                <c:pt idx="22">
                  <c:v>0.2</c:v>
                </c:pt>
                <c:pt idx="23">
                  <c:v>0.2</c:v>
                </c:pt>
                <c:pt idx="24">
                  <c:v>0.2</c:v>
                </c:pt>
                <c:pt idx="25">
                  <c:v>0.2</c:v>
                </c:pt>
              </c:numCache>
            </c:numRef>
          </c:val>
          <c:smooth val="0"/>
          <c:extLst>
            <c:ext xmlns:c16="http://schemas.microsoft.com/office/drawing/2014/chart" uri="{C3380CC4-5D6E-409C-BE32-E72D297353CC}">
              <c16:uniqueId val="{00000001-B82E-45DF-A0E1-1DA391A2D570}"/>
            </c:ext>
          </c:extLst>
        </c:ser>
        <c:ser>
          <c:idx val="2"/>
          <c:order val="2"/>
          <c:tx>
            <c:strRef>
              <c:f>'GrD-Grafikdaten (2)'!$F$149</c:f>
              <c:strCache>
                <c:ptCount val="1"/>
                <c:pt idx="0">
                  <c:v>Wind Onshore</c:v>
                </c:pt>
              </c:strCache>
            </c:strRef>
          </c:tx>
          <c:spPr>
            <a:ln>
              <a:solidFill>
                <a:srgbClr val="1F82C0"/>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(2)'!$G$149:$AF$149</c:f>
              <c:numCache>
                <c:formatCode>0.00</c:formatCode>
                <c:ptCount val="26"/>
                <c:pt idx="0">
                  <c:v>1.411797</c:v>
                </c:pt>
                <c:pt idx="1">
                  <c:v>1.8712979999999999</c:v>
                </c:pt>
                <c:pt idx="2">
                  <c:v>2.4085290000000001</c:v>
                </c:pt>
                <c:pt idx="3">
                  <c:v>2.9965709999999999</c:v>
                </c:pt>
                <c:pt idx="4">
                  <c:v>4.6522969999999999</c:v>
                </c:pt>
                <c:pt idx="5">
                  <c:v>3.7872080000000001</c:v>
                </c:pt>
                <c:pt idx="6">
                  <c:v>4.4454030000000007</c:v>
                </c:pt>
                <c:pt idx="7">
                  <c:v>5.5017449999999997</c:v>
                </c:pt>
                <c:pt idx="8">
                  <c:v>2.4031500000000001</c:v>
                </c:pt>
                <c:pt idx="9">
                  <c:v>1.5</c:v>
                </c:pt>
                <c:pt idx="10">
                  <c:v>1.5</c:v>
                </c:pt>
                <c:pt idx="11">
                  <c:v>1.5</c:v>
                </c:pt>
                <c:pt idx="12">
                  <c:v>2</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numCache>
            </c:numRef>
          </c:val>
          <c:smooth val="0"/>
          <c:extLst>
            <c:ext xmlns:c16="http://schemas.microsoft.com/office/drawing/2014/chart" uri="{C3380CC4-5D6E-409C-BE32-E72D297353CC}">
              <c16:uniqueId val="{00000002-B82E-45DF-A0E1-1DA391A2D570}"/>
            </c:ext>
          </c:extLst>
        </c:ser>
        <c:ser>
          <c:idx val="3"/>
          <c:order val="3"/>
          <c:tx>
            <c:strRef>
              <c:f>'GrD-Grafikdaten (2)'!$F$150</c:f>
              <c:strCache>
                <c:ptCount val="1"/>
                <c:pt idx="0">
                  <c:v>Wind Offshore</c:v>
                </c:pt>
              </c:strCache>
            </c:strRef>
          </c:tx>
          <c:spPr>
            <a:ln>
              <a:solidFill>
                <a:srgbClr val="006099"/>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(2)'!$G$150:$AF$150</c:f>
              <c:numCache>
                <c:formatCode>0.00</c:formatCode>
                <c:ptCount val="26"/>
                <c:pt idx="0">
                  <c:v>4.4999999999999998E-2</c:v>
                </c:pt>
                <c:pt idx="1">
                  <c:v>0.108</c:v>
                </c:pt>
                <c:pt idx="2">
                  <c:v>0.08</c:v>
                </c:pt>
                <c:pt idx="3">
                  <c:v>0.24</c:v>
                </c:pt>
                <c:pt idx="4">
                  <c:v>0.48599999999999999</c:v>
                </c:pt>
                <c:pt idx="5">
                  <c:v>2.2890000000000001</c:v>
                </c:pt>
                <c:pt idx="6">
                  <c:v>0.86899999999999999</c:v>
                </c:pt>
                <c:pt idx="7">
                  <c:v>1.254</c:v>
                </c:pt>
                <c:pt idx="8">
                  <c:v>0.98699999999999999</c:v>
                </c:pt>
                <c:pt idx="9">
                  <c:v>1.135</c:v>
                </c:pt>
                <c:pt idx="10">
                  <c:v>0.219</c:v>
                </c:pt>
                <c:pt idx="11">
                  <c:v>0</c:v>
                </c:pt>
                <c:pt idx="12">
                  <c:v>0.34200000000000003</c:v>
                </c:pt>
                <c:pt idx="13">
                  <c:v>0.749</c:v>
                </c:pt>
                <c:pt idx="14">
                  <c:v>1.1259999999999999</c:v>
                </c:pt>
                <c:pt idx="15">
                  <c:v>0.9</c:v>
                </c:pt>
                <c:pt idx="16">
                  <c:v>0.95799999999999996</c:v>
                </c:pt>
                <c:pt idx="17">
                  <c:v>0.95799999999999996</c:v>
                </c:pt>
                <c:pt idx="18">
                  <c:v>0.95799999999999996</c:v>
                </c:pt>
                <c:pt idx="19">
                  <c:v>0.95799999999999996</c:v>
                </c:pt>
                <c:pt idx="20">
                  <c:v>0.95799999999999996</c:v>
                </c:pt>
                <c:pt idx="21">
                  <c:v>0.95799999999999996</c:v>
                </c:pt>
                <c:pt idx="22">
                  <c:v>0.95799999999999996</c:v>
                </c:pt>
                <c:pt idx="23">
                  <c:v>0.95799999999999996</c:v>
                </c:pt>
                <c:pt idx="24">
                  <c:v>0.95799999999999996</c:v>
                </c:pt>
                <c:pt idx="25">
                  <c:v>0.95799999999999996</c:v>
                </c:pt>
              </c:numCache>
            </c:numRef>
          </c:val>
          <c:smooth val="0"/>
          <c:extLst>
            <c:ext xmlns:c16="http://schemas.microsoft.com/office/drawing/2014/chart" uri="{C3380CC4-5D6E-409C-BE32-E72D297353CC}">
              <c16:uniqueId val="{00000003-B82E-45DF-A0E1-1DA391A2D570}"/>
            </c:ext>
          </c:extLst>
        </c:ser>
        <c:ser>
          <c:idx val="4"/>
          <c:order val="4"/>
          <c:tx>
            <c:strRef>
              <c:f>'GrD-Grafikdaten (2)'!$F$151</c:f>
              <c:strCache>
                <c:ptCount val="1"/>
                <c:pt idx="0">
                  <c:v>Solar</c:v>
                </c:pt>
              </c:strCache>
            </c:strRef>
          </c:tx>
          <c:spPr>
            <a:ln>
              <a:solidFill>
                <a:srgbClr val="FFD744"/>
              </a:solidFill>
            </a:ln>
          </c:spPr>
          <c:marker>
            <c:symbol val="none"/>
          </c:marker>
          <c:cat>
            <c:numRef>
              <c:f>'GrD-Grafikdaten (2)'!$G$146:$AF$146</c:f>
              <c:numCache>
                <c:formatCode>0</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'GrD-Grafikdaten (2)'!$G$151:$AF$151</c:f>
              <c:numCache>
                <c:formatCode>0.00</c:formatCode>
                <c:ptCount val="26"/>
                <c:pt idx="0">
                  <c:v>7.44</c:v>
                </c:pt>
                <c:pt idx="1">
                  <c:v>7.91</c:v>
                </c:pt>
                <c:pt idx="2">
                  <c:v>8.1609999999999996</c:v>
                </c:pt>
                <c:pt idx="3">
                  <c:v>2.633</c:v>
                </c:pt>
                <c:pt idx="4">
                  <c:v>1.19</c:v>
                </c:pt>
                <c:pt idx="5">
                  <c:v>1.3240000000000001</c:v>
                </c:pt>
                <c:pt idx="6">
                  <c:v>1.4550000000000001</c:v>
                </c:pt>
                <c:pt idx="7">
                  <c:v>1.6140000000000001</c:v>
                </c:pt>
                <c:pt idx="8">
                  <c:v>2.8650000000000002</c:v>
                </c:pt>
                <c:pt idx="9">
                  <c:v>3.8889999999999998</c:v>
                </c:pt>
                <c:pt idx="10">
                  <c:v>4.8010000000000002</c:v>
                </c:pt>
                <c:pt idx="11">
                  <c:v>5.4139999999999997</c:v>
                </c:pt>
                <c:pt idx="12">
                  <c:v>6.335</c:v>
                </c:pt>
                <c:pt idx="13">
                  <c:v>8.33</c:v>
                </c:pt>
                <c:pt idx="14">
                  <c:v>8.1289999999999996</c:v>
                </c:pt>
                <c:pt idx="15">
                  <c:v>7.766</c:v>
                </c:pt>
                <c:pt idx="16">
                  <c:v>7.8319999999999999</c:v>
                </c:pt>
                <c:pt idx="17">
                  <c:v>3</c:v>
                </c:pt>
                <c:pt idx="18">
                  <c:v>3</c:v>
                </c:pt>
                <c:pt idx="19">
                  <c:v>3</c:v>
                </c:pt>
                <c:pt idx="20">
                  <c:v>3</c:v>
                </c:pt>
                <c:pt idx="21">
                  <c:v>3</c:v>
                </c:pt>
                <c:pt idx="22">
                  <c:v>3</c:v>
                </c:pt>
                <c:pt idx="23">
                  <c:v>3</c:v>
                </c:pt>
                <c:pt idx="24">
                  <c:v>3</c:v>
                </c:pt>
                <c:pt idx="25">
                  <c:v>3</c:v>
                </c:pt>
              </c:numCache>
            </c:numRef>
          </c:val>
          <c:smooth val="0"/>
          <c:extLst>
            <c:ext xmlns:c16="http://schemas.microsoft.com/office/drawing/2014/chart" uri="{C3380CC4-5D6E-409C-BE32-E72D297353CC}">
              <c16:uniqueId val="{00000004-B82E-45DF-A0E1-1DA391A2D570}"/>
            </c:ext>
          </c:extLst>
        </c:ser>
        <c:dLbls>
          <c:showLegendKey val="0"/>
          <c:showVal val="0"/>
          <c:showCatName val="0"/>
          <c:showSerName val="0"/>
          <c:showPercent val="0"/>
          <c:showBubbleSize val="0"/>
        </c:dLbls>
        <c:smooth val="0"/>
        <c:axId val="46200704"/>
        <c:axId val="46202240"/>
      </c:lineChart>
      <c:catAx>
        <c:axId val="46200704"/>
        <c:scaling>
          <c:orientation val="minMax"/>
        </c:scaling>
        <c:delete val="0"/>
        <c:axPos val="b"/>
        <c:numFmt formatCode="0" sourceLinked="1"/>
        <c:majorTickMark val="out"/>
        <c:minorTickMark val="none"/>
        <c:tickLblPos val="low"/>
        <c:txPr>
          <a:bodyPr rot="-5400000" vert="horz"/>
          <a:lstStyle/>
          <a:p>
            <a:pPr>
              <a:defRPr/>
            </a:pPr>
            <a:endParaRPr lang="en-US"/>
          </a:p>
        </c:txPr>
        <c:crossAx val="46202240"/>
        <c:crosses val="autoZero"/>
        <c:auto val="1"/>
        <c:lblAlgn val="ctr"/>
        <c:lblOffset val="100"/>
        <c:noMultiLvlLbl val="0"/>
      </c:catAx>
      <c:valAx>
        <c:axId val="46202240"/>
        <c:scaling>
          <c:orientation val="minMax"/>
        </c:scaling>
        <c:delete val="0"/>
        <c:axPos val="l"/>
        <c:majorGridlines/>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GW/a</a:t>
                </a:r>
              </a:p>
            </c:rich>
          </c:tx>
          <c:overlay val="0"/>
        </c:title>
        <c:numFmt formatCode="0" sourceLinked="0"/>
        <c:majorTickMark val="out"/>
        <c:minorTickMark val="none"/>
        <c:tickLblPos val="nextTo"/>
        <c:crossAx val="46200704"/>
        <c:crosses val="autoZero"/>
        <c:crossBetween val="between"/>
      </c:valAx>
      <c:spPr>
        <a:solidFill>
          <a:schemeClr val="bg1"/>
        </a:solidFill>
      </c:spPr>
    </c:plotArea>
    <c:legend>
      <c:legendPos val="r"/>
      <c:layout>
        <c:manualLayout>
          <c:xMode val="edge"/>
          <c:yMode val="edge"/>
          <c:x val="0.79291151661628201"/>
          <c:y val="0.26598913326021212"/>
          <c:w val="0.19862812250602552"/>
          <c:h val="0.34241388711016996"/>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5.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1.png"/><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504825</xdr:colOff>
          <xdr:row>1</xdr:row>
          <xdr:rowOff>57150</xdr:rowOff>
        </xdr:from>
        <xdr:to>
          <xdr:col>5</xdr:col>
          <xdr:colOff>228600</xdr:colOff>
          <xdr:row>2</xdr:row>
          <xdr:rowOff>133350</xdr:rowOff>
        </xdr:to>
        <xdr:sp macro="" textlink="">
          <xdr:nvSpPr>
            <xdr:cNvPr id="103428" name="Button 4" hidden="1">
              <a:extLst>
                <a:ext uri="{63B3BB69-23CF-44E3-9099-C40C66FF867C}">
                  <a14:compatExt spid="_x0000_s103428"/>
                </a:ext>
                <a:ext uri="{FF2B5EF4-FFF2-40B4-BE49-F238E27FC236}">
                  <a16:creationId xmlns:a16="http://schemas.microsoft.com/office/drawing/2014/main" id="{00000000-0008-0000-0000-000004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Zum Entscheidermodus...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3067050</xdr:colOff>
          <xdr:row>1</xdr:row>
          <xdr:rowOff>28575</xdr:rowOff>
        </xdr:from>
        <xdr:to>
          <xdr:col>8</xdr:col>
          <xdr:colOff>142875</xdr:colOff>
          <xdr:row>2</xdr:row>
          <xdr:rowOff>104775</xdr:rowOff>
        </xdr:to>
        <xdr:sp macro="" textlink="">
          <xdr:nvSpPr>
            <xdr:cNvPr id="103429" name="Button 5" hidden="1">
              <a:extLst>
                <a:ext uri="{63B3BB69-23CF-44E3-9099-C40C66FF867C}">
                  <a14:compatExt spid="_x0000_s103429"/>
                </a:ext>
                <a:ext uri="{FF2B5EF4-FFF2-40B4-BE49-F238E27FC236}">
                  <a16:creationId xmlns:a16="http://schemas.microsoft.com/office/drawing/2014/main" id="{00000000-0008-0000-0000-000005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Zurücksetzen</a:t>
              </a:r>
            </a:p>
          </xdr:txBody>
        </xdr:sp>
        <xdr:clientData fPrintsWithSheet="0"/>
      </xdr:twoCellAnchor>
    </mc:Choice>
    <mc:Fallback/>
  </mc:AlternateContent>
  <xdr:twoCellAnchor editAs="oneCell">
    <xdr:from>
      <xdr:col>16</xdr:col>
      <xdr:colOff>154782</xdr:colOff>
      <xdr:row>1</xdr:row>
      <xdr:rowOff>54206</xdr:rowOff>
    </xdr:from>
    <xdr:to>
      <xdr:col>17</xdr:col>
      <xdr:colOff>644321</xdr:colOff>
      <xdr:row>2</xdr:row>
      <xdr:rowOff>186410</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5607694" y="244706"/>
          <a:ext cx="1424894" cy="339401"/>
        </a:xfrm>
        <a:prstGeom prst="rect">
          <a:avLst/>
        </a:prstGeom>
      </xdr:spPr>
    </xdr:pic>
    <xdr:clientData/>
  </xdr:twoCellAnchor>
  <mc:AlternateContent xmlns:mc="http://schemas.openxmlformats.org/markup-compatibility/2006">
    <mc:Choice xmlns:a14="http://schemas.microsoft.com/office/drawing/2010/main" Requires="a14">
      <xdr:twoCellAnchor>
        <xdr:from>
          <xdr:col>9</xdr:col>
          <xdr:colOff>295275</xdr:colOff>
          <xdr:row>1</xdr:row>
          <xdr:rowOff>28575</xdr:rowOff>
        </xdr:from>
        <xdr:to>
          <xdr:col>11</xdr:col>
          <xdr:colOff>57150</xdr:colOff>
          <xdr:row>2</xdr:row>
          <xdr:rowOff>104775</xdr:rowOff>
        </xdr:to>
        <xdr:sp macro="" textlink="">
          <xdr:nvSpPr>
            <xdr:cNvPr id="103435" name="Button 11" hidden="1">
              <a:extLst>
                <a:ext uri="{63B3BB69-23CF-44E3-9099-C40C66FF867C}">
                  <a14:compatExt spid="_x0000_s103435"/>
                </a:ext>
                <a:ext uri="{FF2B5EF4-FFF2-40B4-BE49-F238E27FC236}">
                  <a16:creationId xmlns:a16="http://schemas.microsoft.com/office/drawing/2014/main" id="{00000000-0008-0000-0000-00000B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Hilfe</a:t>
              </a:r>
            </a:p>
          </xdr:txBody>
        </xdr:sp>
        <xdr:clientData fPrintsWithSheet="0"/>
      </xdr:twoCellAnchor>
    </mc:Choice>
    <mc:Fallback/>
  </mc:AlternateContent>
  <xdr:twoCellAnchor editAs="oneCell">
    <xdr:from>
      <xdr:col>17</xdr:col>
      <xdr:colOff>1092573</xdr:colOff>
      <xdr:row>1</xdr:row>
      <xdr:rowOff>35719</xdr:rowOff>
    </xdr:from>
    <xdr:to>
      <xdr:col>18</xdr:col>
      <xdr:colOff>757726</xdr:colOff>
      <xdr:row>2</xdr:row>
      <xdr:rowOff>187559</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stretch>
          <a:fillRect/>
        </a:stretch>
      </xdr:blipFill>
      <xdr:spPr>
        <a:xfrm>
          <a:off x="17497985" y="226219"/>
          <a:ext cx="847037" cy="353322"/>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438150</xdr:colOff>
          <xdr:row>1</xdr:row>
          <xdr:rowOff>57150</xdr:rowOff>
        </xdr:from>
        <xdr:to>
          <xdr:col>5</xdr:col>
          <xdr:colOff>1962150</xdr:colOff>
          <xdr:row>2</xdr:row>
          <xdr:rowOff>133350</xdr:rowOff>
        </xdr:to>
        <xdr:sp macro="" textlink="">
          <xdr:nvSpPr>
            <xdr:cNvPr id="103436" name="Button 12" hidden="1">
              <a:extLst>
                <a:ext uri="{63B3BB69-23CF-44E3-9099-C40C66FF867C}">
                  <a14:compatExt spid="_x0000_s103436"/>
                </a:ext>
                <a:ext uri="{FF2B5EF4-FFF2-40B4-BE49-F238E27FC236}">
                  <a16:creationId xmlns:a16="http://schemas.microsoft.com/office/drawing/2014/main" id="{00000000-0008-0000-0000-00000C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Mehr Ergebnisse...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47625</xdr:colOff>
          <xdr:row>4</xdr:row>
          <xdr:rowOff>57150</xdr:rowOff>
        </xdr:from>
        <xdr:to>
          <xdr:col>20</xdr:col>
          <xdr:colOff>752475</xdr:colOff>
          <xdr:row>4</xdr:row>
          <xdr:rowOff>323850</xdr:rowOff>
        </xdr:to>
        <xdr:sp macro="" textlink="">
          <xdr:nvSpPr>
            <xdr:cNvPr id="103456" name="Button 32" hidden="1">
              <a:extLst>
                <a:ext uri="{63B3BB69-23CF-44E3-9099-C40C66FF867C}">
                  <a14:compatExt spid="_x0000_s103456"/>
                </a:ext>
                <a:ext uri="{FF2B5EF4-FFF2-40B4-BE49-F238E27FC236}">
                  <a16:creationId xmlns:a16="http://schemas.microsoft.com/office/drawing/2014/main" id="{00000000-0008-0000-0000-000020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ändern</a:t>
              </a:r>
            </a:p>
          </xdr:txBody>
        </xdr:sp>
        <xdr:clientData fPrintsWithSheet="0"/>
      </xdr:twoCellAnchor>
    </mc:Choice>
    <mc:Fallback/>
  </mc:AlternateContent>
  <xdr:twoCellAnchor>
    <xdr:from>
      <xdr:col>14</xdr:col>
      <xdr:colOff>237367</xdr:colOff>
      <xdr:row>5</xdr:row>
      <xdr:rowOff>98736</xdr:rowOff>
    </xdr:from>
    <xdr:to>
      <xdr:col>26</xdr:col>
      <xdr:colOff>27214</xdr:colOff>
      <xdr:row>21</xdr:row>
      <xdr:rowOff>143513</xdr:rowOff>
    </xdr:to>
    <xdr:graphicFrame macro="">
      <xdr:nvGraphicFramePr>
        <xdr:cNvPr id="12" name="Diagramm 11">
          <a:extLst>
            <a:ext uri="{FF2B5EF4-FFF2-40B4-BE49-F238E27FC236}">
              <a16:creationId xmlns:a16="http://schemas.microsoft.com/office/drawing/2014/main" id="{00000000-0008-0000-0000-00000C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22</xdr:row>
      <xdr:rowOff>13606</xdr:rowOff>
    </xdr:from>
    <xdr:to>
      <xdr:col>26</xdr:col>
      <xdr:colOff>13606</xdr:colOff>
      <xdr:row>32</xdr:row>
      <xdr:rowOff>108856</xdr:rowOff>
    </xdr:to>
    <xdr:graphicFrame macro="">
      <xdr:nvGraphicFramePr>
        <xdr:cNvPr id="20" name="Diagramm 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8</xdr:col>
          <xdr:colOff>276225</xdr:colOff>
          <xdr:row>1</xdr:row>
          <xdr:rowOff>38100</xdr:rowOff>
        </xdr:from>
        <xdr:to>
          <xdr:col>9</xdr:col>
          <xdr:colOff>133350</xdr:colOff>
          <xdr:row>2</xdr:row>
          <xdr:rowOff>114300</xdr:rowOff>
        </xdr:to>
        <xdr:sp macro="" textlink="">
          <xdr:nvSpPr>
            <xdr:cNvPr id="103502" name="Button 78" hidden="1">
              <a:extLst>
                <a:ext uri="{63B3BB69-23CF-44E3-9099-C40C66FF867C}">
                  <a14:compatExt spid="_x0000_s103502"/>
                </a:ext>
                <a:ext uri="{FF2B5EF4-FFF2-40B4-BE49-F238E27FC236}">
                  <a16:creationId xmlns:a16="http://schemas.microsoft.com/office/drawing/2014/main" id="{00000000-0008-0000-0000-00004E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KNDE 2045 Szenario</a:t>
              </a:r>
            </a:p>
          </xdr:txBody>
        </xdr:sp>
        <xdr:clientData fPrintsWithSheet="0"/>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0.10323</cdr:x>
      <cdr:y>0.04611</cdr:y>
    </cdr:from>
    <cdr:to>
      <cdr:x>0.50261</cdr:x>
      <cdr:y>0.12174</cdr:y>
    </cdr:to>
    <cdr:sp macro="" textlink="">
      <cdr:nvSpPr>
        <cdr:cNvPr id="2" name="Textfeld 1"/>
        <cdr:cNvSpPr txBox="1"/>
      </cdr:nvSpPr>
      <cdr:spPr>
        <a:xfrm xmlns:a="http://schemas.openxmlformats.org/drawingml/2006/main">
          <a:off x="1109380" y="211790"/>
          <a:ext cx="4291853"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200" b="1"/>
            <a:t>Jährliche Änderung Einflussfaktoren der EEG-Umlage</a:t>
          </a:r>
        </a:p>
      </cdr:txBody>
    </cdr:sp>
  </cdr:relSizeAnchor>
</c:userShapes>
</file>

<file path=xl/drawings/drawing11.xml><?xml version="1.0" encoding="utf-8"?>
<xdr:wsDr xmlns:xdr="http://schemas.openxmlformats.org/drawingml/2006/spreadsheetDrawing" xmlns:a="http://schemas.openxmlformats.org/drawingml/2006/main">
  <xdr:twoCellAnchor>
    <xdr:from>
      <xdr:col>18</xdr:col>
      <xdr:colOff>17318</xdr:colOff>
      <xdr:row>24</xdr:row>
      <xdr:rowOff>69273</xdr:rowOff>
    </xdr:from>
    <xdr:to>
      <xdr:col>27</xdr:col>
      <xdr:colOff>848590</xdr:colOff>
      <xdr:row>51</xdr:row>
      <xdr:rowOff>121227</xdr:rowOff>
    </xdr:to>
    <xdr:graphicFrame macro="">
      <xdr:nvGraphicFramePr>
        <xdr:cNvPr id="8" name="Diagramm 7">
          <a:extLst>
            <a:ext uri="{FF2B5EF4-FFF2-40B4-BE49-F238E27FC236}">
              <a16:creationId xmlns:a16="http://schemas.microsoft.com/office/drawing/2014/main" id="{00000000-0008-0000-0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0</xdr:colOff>
      <xdr:row>26</xdr:row>
      <xdr:rowOff>0</xdr:rowOff>
    </xdr:from>
    <xdr:to>
      <xdr:col>9</xdr:col>
      <xdr:colOff>834301</xdr:colOff>
      <xdr:row>52</xdr:row>
      <xdr:rowOff>66048</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6073588" y="5771029"/>
          <a:ext cx="879047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1</xdr:row>
          <xdr:rowOff>47625</xdr:rowOff>
        </xdr:from>
        <xdr:to>
          <xdr:col>4</xdr:col>
          <xdr:colOff>190500</xdr:colOff>
          <xdr:row>2</xdr:row>
          <xdr:rowOff>133350</xdr:rowOff>
        </xdr:to>
        <xdr:sp macro="" textlink="">
          <xdr:nvSpPr>
            <xdr:cNvPr id="104452" name="Button 4" hidden="1">
              <a:extLst>
                <a:ext uri="{63B3BB69-23CF-44E3-9099-C40C66FF867C}">
                  <a14:compatExt spid="_x0000_s104452"/>
                </a:ext>
                <a:ext uri="{FF2B5EF4-FFF2-40B4-BE49-F238E27FC236}">
                  <a16:creationId xmlns:a16="http://schemas.microsoft.com/office/drawing/2014/main" id="{00000000-0008-0000-0300-000004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Zum Expertenmodus...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2343150</xdr:colOff>
          <xdr:row>1</xdr:row>
          <xdr:rowOff>47625</xdr:rowOff>
        </xdr:from>
        <xdr:to>
          <xdr:col>6</xdr:col>
          <xdr:colOff>66675</xdr:colOff>
          <xdr:row>2</xdr:row>
          <xdr:rowOff>133350</xdr:rowOff>
        </xdr:to>
        <xdr:sp macro="" textlink="">
          <xdr:nvSpPr>
            <xdr:cNvPr id="104459" name="Button 11" hidden="1">
              <a:extLst>
                <a:ext uri="{63B3BB69-23CF-44E3-9099-C40C66FF867C}">
                  <a14:compatExt spid="_x0000_s104459"/>
                </a:ext>
                <a:ext uri="{FF2B5EF4-FFF2-40B4-BE49-F238E27FC236}">
                  <a16:creationId xmlns:a16="http://schemas.microsoft.com/office/drawing/2014/main" id="{00000000-0008-0000-0300-00000B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Zurücksetzen</a:t>
              </a:r>
            </a:p>
          </xdr:txBody>
        </xdr:sp>
        <xdr:clientData fPrintsWithSheet="0"/>
      </xdr:twoCellAnchor>
    </mc:Choice>
    <mc:Fallback/>
  </mc:AlternateContent>
  <xdr:twoCellAnchor editAs="oneCell">
    <xdr:from>
      <xdr:col>12</xdr:col>
      <xdr:colOff>2434379</xdr:colOff>
      <xdr:row>1</xdr:row>
      <xdr:rowOff>40821</xdr:rowOff>
    </xdr:from>
    <xdr:to>
      <xdr:col>16</xdr:col>
      <xdr:colOff>497349</xdr:colOff>
      <xdr:row>2</xdr:row>
      <xdr:rowOff>176115</xdr:rowOff>
    </xdr:to>
    <xdr:pic>
      <xdr:nvPicPr>
        <xdr:cNvPr id="8" name="Grafik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16486555" y="253733"/>
          <a:ext cx="1413529" cy="348206"/>
        </a:xfrm>
        <a:prstGeom prst="rect">
          <a:avLst/>
        </a:prstGeom>
      </xdr:spPr>
    </xdr:pic>
    <xdr:clientData/>
  </xdr:twoCellAnchor>
  <mc:AlternateContent xmlns:mc="http://schemas.openxmlformats.org/markup-compatibility/2006">
    <mc:Choice xmlns:a14="http://schemas.microsoft.com/office/drawing/2010/main" Requires="a14">
      <xdr:twoCellAnchor>
        <xdr:from>
          <xdr:col>8</xdr:col>
          <xdr:colOff>942975</xdr:colOff>
          <xdr:row>1</xdr:row>
          <xdr:rowOff>28575</xdr:rowOff>
        </xdr:from>
        <xdr:to>
          <xdr:col>9</xdr:col>
          <xdr:colOff>123825</xdr:colOff>
          <xdr:row>2</xdr:row>
          <xdr:rowOff>114300</xdr:rowOff>
        </xdr:to>
        <xdr:sp macro="" textlink="">
          <xdr:nvSpPr>
            <xdr:cNvPr id="104470" name="Button 22" hidden="1">
              <a:extLst>
                <a:ext uri="{63B3BB69-23CF-44E3-9099-C40C66FF867C}">
                  <a14:compatExt spid="_x0000_s104470"/>
                </a:ext>
                <a:ext uri="{FF2B5EF4-FFF2-40B4-BE49-F238E27FC236}">
                  <a16:creationId xmlns:a16="http://schemas.microsoft.com/office/drawing/2014/main" id="{00000000-0008-0000-0300-000016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Hilfe</a:t>
              </a:r>
            </a:p>
          </xdr:txBody>
        </xdr:sp>
        <xdr:clientData fPrintsWithSheet="0"/>
      </xdr:twoCellAnchor>
    </mc:Choice>
    <mc:Fallback/>
  </mc:AlternateContent>
  <xdr:twoCellAnchor editAs="oneCell">
    <xdr:from>
      <xdr:col>17</xdr:col>
      <xdr:colOff>234938</xdr:colOff>
      <xdr:row>1</xdr:row>
      <xdr:rowOff>39414</xdr:rowOff>
    </xdr:from>
    <xdr:to>
      <xdr:col>18</xdr:col>
      <xdr:colOff>76112</xdr:colOff>
      <xdr:row>2</xdr:row>
      <xdr:rowOff>183930</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735850" y="252326"/>
          <a:ext cx="860909" cy="357428"/>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323850</xdr:colOff>
          <xdr:row>1</xdr:row>
          <xdr:rowOff>47625</xdr:rowOff>
        </xdr:from>
        <xdr:to>
          <xdr:col>5</xdr:col>
          <xdr:colOff>685800</xdr:colOff>
          <xdr:row>2</xdr:row>
          <xdr:rowOff>133350</xdr:rowOff>
        </xdr:to>
        <xdr:sp macro="" textlink="">
          <xdr:nvSpPr>
            <xdr:cNvPr id="104471" name="Button 23" hidden="1">
              <a:extLst>
                <a:ext uri="{63B3BB69-23CF-44E3-9099-C40C66FF867C}">
                  <a14:compatExt spid="_x0000_s104471"/>
                </a:ext>
                <a:ext uri="{FF2B5EF4-FFF2-40B4-BE49-F238E27FC236}">
                  <a16:creationId xmlns:a16="http://schemas.microsoft.com/office/drawing/2014/main" id="{00000000-0008-0000-0300-000017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Mehr Ergebnisse...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xdr:row>
          <xdr:rowOff>57150</xdr:rowOff>
        </xdr:from>
        <xdr:to>
          <xdr:col>21</xdr:col>
          <xdr:colOff>400050</xdr:colOff>
          <xdr:row>4</xdr:row>
          <xdr:rowOff>295275</xdr:rowOff>
        </xdr:to>
        <xdr:sp macro="" textlink="">
          <xdr:nvSpPr>
            <xdr:cNvPr id="104473" name="Button 25" hidden="1">
              <a:extLst>
                <a:ext uri="{63B3BB69-23CF-44E3-9099-C40C66FF867C}">
                  <a14:compatExt spid="_x0000_s104473"/>
                </a:ext>
                <a:ext uri="{FF2B5EF4-FFF2-40B4-BE49-F238E27FC236}">
                  <a16:creationId xmlns:a16="http://schemas.microsoft.com/office/drawing/2014/main" id="{00000000-0008-0000-0300-000019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ändern</a:t>
              </a:r>
            </a:p>
          </xdr:txBody>
        </xdr:sp>
        <xdr:clientData fPrintsWithSheet="0"/>
      </xdr:twoCellAnchor>
    </mc:Choice>
    <mc:Fallback/>
  </mc:AlternateContent>
  <xdr:twoCellAnchor>
    <xdr:from>
      <xdr:col>6</xdr:col>
      <xdr:colOff>264939</xdr:colOff>
      <xdr:row>22</xdr:row>
      <xdr:rowOff>16008</xdr:rowOff>
    </xdr:from>
    <xdr:to>
      <xdr:col>15</xdr:col>
      <xdr:colOff>217714</xdr:colOff>
      <xdr:row>36</xdr:row>
      <xdr:rowOff>40824</xdr:rowOff>
    </xdr:to>
    <xdr:graphicFrame macro="">
      <xdr:nvGraphicFramePr>
        <xdr:cNvPr id="19" name="Diagramm 5">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190500</xdr:colOff>
      <xdr:row>5</xdr:row>
      <xdr:rowOff>68036</xdr:rowOff>
    </xdr:from>
    <xdr:to>
      <xdr:col>26</xdr:col>
      <xdr:colOff>721179</xdr:colOff>
      <xdr:row>20</xdr:row>
      <xdr:rowOff>95249</xdr:rowOff>
    </xdr:to>
    <xdr:graphicFrame macro="">
      <xdr:nvGraphicFramePr>
        <xdr:cNvPr id="11" name="Diagramm 10">
          <a:extLst>
            <a:ext uri="{FF2B5EF4-FFF2-40B4-BE49-F238E27FC236}">
              <a16:creationId xmlns:a16="http://schemas.microsoft.com/office/drawing/2014/main" id="{00000000-0008-0000-0300-00000B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257175</xdr:colOff>
          <xdr:row>1</xdr:row>
          <xdr:rowOff>47625</xdr:rowOff>
        </xdr:from>
        <xdr:to>
          <xdr:col>8</xdr:col>
          <xdr:colOff>828675</xdr:colOff>
          <xdr:row>2</xdr:row>
          <xdr:rowOff>133350</xdr:rowOff>
        </xdr:to>
        <xdr:sp macro="" textlink="">
          <xdr:nvSpPr>
            <xdr:cNvPr id="104516" name="Button 68" hidden="1">
              <a:extLst>
                <a:ext uri="{63B3BB69-23CF-44E3-9099-C40C66FF867C}">
                  <a14:compatExt spid="_x0000_s104516"/>
                </a:ext>
                <a:ext uri="{FF2B5EF4-FFF2-40B4-BE49-F238E27FC236}">
                  <a16:creationId xmlns:a16="http://schemas.microsoft.com/office/drawing/2014/main" id="{00000000-0008-0000-0300-000044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KNDE 2045 Szenario</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317500</xdr:colOff>
      <xdr:row>53</xdr:row>
      <xdr:rowOff>63873</xdr:rowOff>
    </xdr:from>
    <xdr:to>
      <xdr:col>14</xdr:col>
      <xdr:colOff>676274</xdr:colOff>
      <xdr:row>72</xdr:row>
      <xdr:rowOff>116417</xdr:rowOff>
    </xdr:to>
    <xdr:graphicFrame macro="">
      <xdr:nvGraphicFramePr>
        <xdr:cNvPr id="7" name="Diagramm 9">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1820</xdr:colOff>
      <xdr:row>28</xdr:row>
      <xdr:rowOff>28575</xdr:rowOff>
    </xdr:from>
    <xdr:to>
      <xdr:col>8</xdr:col>
      <xdr:colOff>404812</xdr:colOff>
      <xdr:row>52</xdr:row>
      <xdr:rowOff>76200</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500062</xdr:colOff>
      <xdr:row>28</xdr:row>
      <xdr:rowOff>19050</xdr:rowOff>
    </xdr:from>
    <xdr:to>
      <xdr:col>14</xdr:col>
      <xdr:colOff>666749</xdr:colOff>
      <xdr:row>52</xdr:row>
      <xdr:rowOff>76200</xdr:rowOff>
    </xdr:to>
    <xdr:graphicFrame macro="">
      <xdr:nvGraphicFramePr>
        <xdr:cNvPr id="3" name="Diagramm 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750094</xdr:colOff>
      <xdr:row>28</xdr:row>
      <xdr:rowOff>9525</xdr:rowOff>
    </xdr:from>
    <xdr:to>
      <xdr:col>22</xdr:col>
      <xdr:colOff>678656</xdr:colOff>
      <xdr:row>52</xdr:row>
      <xdr:rowOff>76200</xdr:rowOff>
    </xdr:to>
    <xdr:graphicFrame macro="">
      <xdr:nvGraphicFramePr>
        <xdr:cNvPr id="4" name="Diagramm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6862</xdr:colOff>
      <xdr:row>53</xdr:row>
      <xdr:rowOff>78441</xdr:rowOff>
    </xdr:from>
    <xdr:to>
      <xdr:col>8</xdr:col>
      <xdr:colOff>222250</xdr:colOff>
      <xdr:row>72</xdr:row>
      <xdr:rowOff>116416</xdr:rowOff>
    </xdr:to>
    <xdr:graphicFrame macro="">
      <xdr:nvGraphicFramePr>
        <xdr:cNvPr id="5" name="Diagramm 1">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3</xdr:col>
          <xdr:colOff>628650</xdr:colOff>
          <xdr:row>1</xdr:row>
          <xdr:rowOff>47625</xdr:rowOff>
        </xdr:from>
        <xdr:to>
          <xdr:col>6</xdr:col>
          <xdr:colOff>28575</xdr:colOff>
          <xdr:row>2</xdr:row>
          <xdr:rowOff>123825</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400-0000016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 Parametereingabe...</a:t>
              </a:r>
            </a:p>
          </xdr:txBody>
        </xdr:sp>
        <xdr:clientData fPrintsWithSheet="0"/>
      </xdr:twoCellAnchor>
    </mc:Choice>
    <mc:Fallback/>
  </mc:AlternateContent>
  <xdr:twoCellAnchor>
    <xdr:from>
      <xdr:col>2</xdr:col>
      <xdr:colOff>5844</xdr:colOff>
      <xdr:row>73</xdr:row>
      <xdr:rowOff>137583</xdr:rowOff>
    </xdr:from>
    <xdr:to>
      <xdr:col>8</xdr:col>
      <xdr:colOff>222249</xdr:colOff>
      <xdr:row>94</xdr:row>
      <xdr:rowOff>169332</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317500</xdr:colOff>
      <xdr:row>73</xdr:row>
      <xdr:rowOff>138545</xdr:rowOff>
    </xdr:from>
    <xdr:to>
      <xdr:col>14</xdr:col>
      <xdr:colOff>698500</xdr:colOff>
      <xdr:row>94</xdr:row>
      <xdr:rowOff>169332</xdr:rowOff>
    </xdr:to>
    <xdr:graphicFrame macro="">
      <xdr:nvGraphicFramePr>
        <xdr:cNvPr id="9" name="Diagramm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21166</xdr:colOff>
      <xdr:row>73</xdr:row>
      <xdr:rowOff>127000</xdr:rowOff>
    </xdr:from>
    <xdr:to>
      <xdr:col>22</xdr:col>
      <xdr:colOff>688182</xdr:colOff>
      <xdr:row>94</xdr:row>
      <xdr:rowOff>158750</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358774</xdr:colOff>
      <xdr:row>4</xdr:row>
      <xdr:rowOff>63498</xdr:rowOff>
    </xdr:from>
    <xdr:to>
      <xdr:col>19</xdr:col>
      <xdr:colOff>380999</xdr:colOff>
      <xdr:row>27</xdr:row>
      <xdr:rowOff>141815</xdr:rowOff>
    </xdr:to>
    <xdr:graphicFrame macro="">
      <xdr:nvGraphicFramePr>
        <xdr:cNvPr id="13" name="Diagramm 5">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xdr:from>
          <xdr:col>20</xdr:col>
          <xdr:colOff>152400</xdr:colOff>
          <xdr:row>9</xdr:row>
          <xdr:rowOff>123825</xdr:rowOff>
        </xdr:from>
        <xdr:to>
          <xdr:col>21</xdr:col>
          <xdr:colOff>561975</xdr:colOff>
          <xdr:row>11</xdr:row>
          <xdr:rowOff>66675</xdr:rowOff>
        </xdr:to>
        <xdr:sp macro="" textlink="">
          <xdr:nvSpPr>
            <xdr:cNvPr id="157702" name="Button 6" hidden="1">
              <a:extLst>
                <a:ext uri="{63B3BB69-23CF-44E3-9099-C40C66FF867C}">
                  <a14:compatExt spid="_x0000_s157702"/>
                </a:ext>
                <a:ext uri="{FF2B5EF4-FFF2-40B4-BE49-F238E27FC236}">
                  <a16:creationId xmlns:a16="http://schemas.microsoft.com/office/drawing/2014/main" id="{00000000-0008-0000-0400-0000066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ändern</a:t>
              </a:r>
            </a:p>
          </xdr:txBody>
        </xdr:sp>
        <xdr:clientData fPrintsWithSheet="0"/>
      </xdr:twoCellAnchor>
    </mc:Choice>
    <mc:Fallback/>
  </mc:AlternateContent>
  <xdr:twoCellAnchor>
    <xdr:from>
      <xdr:col>16</xdr:col>
      <xdr:colOff>31750</xdr:colOff>
      <xdr:row>53</xdr:row>
      <xdr:rowOff>52917</xdr:rowOff>
    </xdr:from>
    <xdr:to>
      <xdr:col>22</xdr:col>
      <xdr:colOff>690563</xdr:colOff>
      <xdr:row>72</xdr:row>
      <xdr:rowOff>116417</xdr:rowOff>
    </xdr:to>
    <xdr:graphicFrame macro="">
      <xdr:nvGraphicFramePr>
        <xdr:cNvPr id="11" name="Diagramm 2">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xdr:from>
          <xdr:col>6</xdr:col>
          <xdr:colOff>333375</xdr:colOff>
          <xdr:row>1</xdr:row>
          <xdr:rowOff>76200</xdr:rowOff>
        </xdr:from>
        <xdr:to>
          <xdr:col>7</xdr:col>
          <xdr:colOff>552450</xdr:colOff>
          <xdr:row>2</xdr:row>
          <xdr:rowOff>114300</xdr:rowOff>
        </xdr:to>
        <xdr:sp macro="" textlink="">
          <xdr:nvSpPr>
            <xdr:cNvPr id="157707" name="Button 11" hidden="1">
              <a:extLst>
                <a:ext uri="{63B3BB69-23CF-44E3-9099-C40C66FF867C}">
                  <a14:compatExt spid="_x0000_s157707"/>
                </a:ext>
                <a:ext uri="{FF2B5EF4-FFF2-40B4-BE49-F238E27FC236}">
                  <a16:creationId xmlns:a16="http://schemas.microsoft.com/office/drawing/2014/main" id="{00000000-0008-0000-0400-00000B6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Hilfe</a:t>
              </a:r>
            </a:p>
          </xdr:txBody>
        </xdr:sp>
        <xdr:clientData fPrintsWithSheet="0"/>
      </xdr:twoCellAnchor>
    </mc:Choice>
    <mc:Fallback/>
  </mc:AlternateContent>
  <xdr:twoCellAnchor editAs="oneCell">
    <xdr:from>
      <xdr:col>14</xdr:col>
      <xdr:colOff>10584</xdr:colOff>
      <xdr:row>1</xdr:row>
      <xdr:rowOff>50237</xdr:rowOff>
    </xdr:from>
    <xdr:to>
      <xdr:col>15</xdr:col>
      <xdr:colOff>440645</xdr:colOff>
      <xdr:row>2</xdr:row>
      <xdr:rowOff>146221</xdr:rowOff>
    </xdr:to>
    <xdr:pic>
      <xdr:nvPicPr>
        <xdr:cNvPr id="22" name="Grafik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1"/>
        <a:stretch>
          <a:fillRect/>
        </a:stretch>
      </xdr:blipFill>
      <xdr:spPr>
        <a:xfrm>
          <a:off x="12456584" y="208987"/>
          <a:ext cx="1424894" cy="339401"/>
        </a:xfrm>
        <a:prstGeom prst="rect">
          <a:avLst/>
        </a:prstGeom>
      </xdr:spPr>
    </xdr:pic>
    <xdr:clientData/>
  </xdr:twoCellAnchor>
  <xdr:twoCellAnchor editAs="oneCell">
    <xdr:from>
      <xdr:col>16</xdr:col>
      <xdr:colOff>101708</xdr:colOff>
      <xdr:row>1</xdr:row>
      <xdr:rowOff>31750</xdr:rowOff>
    </xdr:from>
    <xdr:to>
      <xdr:col>17</xdr:col>
      <xdr:colOff>186745</xdr:colOff>
      <xdr:row>2</xdr:row>
      <xdr:rowOff>141655</xdr:rowOff>
    </xdr:to>
    <xdr:pic>
      <xdr:nvPicPr>
        <xdr:cNvPr id="23" name="Grafik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2"/>
        <a:stretch>
          <a:fillRect/>
        </a:stretch>
      </xdr:blipFill>
      <xdr:spPr>
        <a:xfrm>
          <a:off x="14346875" y="190500"/>
          <a:ext cx="847037" cy="353322"/>
        </a:xfrm>
        <a:prstGeom prst="rect">
          <a:avLst/>
        </a:prstGeom>
      </xdr:spPr>
    </xdr:pic>
    <xdr:clientData/>
  </xdr:twoCellAnchor>
  <xdr:twoCellAnchor>
    <xdr:from>
      <xdr:col>2</xdr:col>
      <xdr:colOff>0</xdr:colOff>
      <xdr:row>4</xdr:row>
      <xdr:rowOff>67237</xdr:rowOff>
    </xdr:from>
    <xdr:to>
      <xdr:col>10</xdr:col>
      <xdr:colOff>291353</xdr:colOff>
      <xdr:row>27</xdr:row>
      <xdr:rowOff>145677</xdr:rowOff>
    </xdr:to>
    <xdr:graphicFrame macro="">
      <xdr:nvGraphicFramePr>
        <xdr:cNvPr id="18" name="Diagramm 17">
          <a:extLst>
            <a:ext uri="{FF2B5EF4-FFF2-40B4-BE49-F238E27FC236}">
              <a16:creationId xmlns:a16="http://schemas.microsoft.com/office/drawing/2014/main" id="{00000000-0008-0000-0400-000012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0.70206</cdr:x>
      <cdr:y>0.57136</cdr:y>
    </cdr:from>
    <cdr:to>
      <cdr:x>0.72655</cdr:x>
      <cdr:y>0.60501</cdr:y>
    </cdr:to>
    <cdr:sp macro="" textlink="">
      <cdr:nvSpPr>
        <cdr:cNvPr id="2" name="Rechteck 1">
          <a:extLst xmlns:a="http://schemas.openxmlformats.org/drawingml/2006/main">
            <a:ext uri="{FF2B5EF4-FFF2-40B4-BE49-F238E27FC236}">
              <a16:creationId xmlns:a16="http://schemas.microsoft.com/office/drawing/2014/main" id="{D9D6F29E-9449-44B6-BA30-E86381512A83}"/>
            </a:ext>
          </a:extLst>
        </cdr:cNvPr>
        <cdr:cNvSpPr/>
      </cdr:nvSpPr>
      <cdr:spPr>
        <a:xfrm xmlns:a="http://schemas.openxmlformats.org/drawingml/2006/main" rot="2881754">
          <a:off x="3785147" y="2259754"/>
          <a:ext cx="133049" cy="132061"/>
        </a:xfrm>
        <a:prstGeom xmlns:a="http://schemas.openxmlformats.org/drawingml/2006/main" prst="rect">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noFill/>
          </a:endParaRPr>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7848600</xdr:colOff>
          <xdr:row>1</xdr:row>
          <xdr:rowOff>38100</xdr:rowOff>
        </xdr:from>
        <xdr:to>
          <xdr:col>3</xdr:col>
          <xdr:colOff>133350</xdr:colOff>
          <xdr:row>1</xdr:row>
          <xdr:rowOff>295275</xdr:rowOff>
        </xdr:to>
        <xdr:sp macro="" textlink="">
          <xdr:nvSpPr>
            <xdr:cNvPr id="114690" name="Button 2" hidden="1">
              <a:extLst>
                <a:ext uri="{63B3BB69-23CF-44E3-9099-C40C66FF867C}">
                  <a14:compatExt spid="_x0000_s114690"/>
                </a:ext>
                <a:ext uri="{FF2B5EF4-FFF2-40B4-BE49-F238E27FC236}">
                  <a16:creationId xmlns:a16="http://schemas.microsoft.com/office/drawing/2014/main" id="{00000000-0008-0000-0500-000002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zur Parametereingabe</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106594</xdr:rowOff>
    </xdr:from>
    <xdr:to>
      <xdr:col>5</xdr:col>
      <xdr:colOff>409575</xdr:colOff>
      <xdr:row>1</xdr:row>
      <xdr:rowOff>1059094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33425" y="411394"/>
          <a:ext cx="3990975" cy="952500"/>
        </a:xfrm>
        <a:prstGeom prst="rect">
          <a:avLst/>
        </a:prstGeom>
      </xdr:spPr>
    </xdr:pic>
    <xdr:clientData/>
  </xdr:twoCellAnchor>
  <xdr:twoCellAnchor editAs="oneCell">
    <xdr:from>
      <xdr:col>11</xdr:col>
      <xdr:colOff>243009</xdr:colOff>
      <xdr:row>1</xdr:row>
      <xdr:rowOff>76201</xdr:rowOff>
    </xdr:from>
    <xdr:to>
      <xdr:col>14</xdr:col>
      <xdr:colOff>590550</xdr:colOff>
      <xdr:row>1</xdr:row>
      <xdr:rowOff>1113817</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4534" y="381001"/>
          <a:ext cx="2633541" cy="1037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10</xdr:col>
          <xdr:colOff>0</xdr:colOff>
          <xdr:row>6</xdr:row>
          <xdr:rowOff>133350</xdr:rowOff>
        </xdr:to>
        <xdr:sp macro="" textlink="">
          <xdr:nvSpPr>
            <xdr:cNvPr id="20481" name="IndexAktualisieren" hidden="1">
              <a:extLst>
                <a:ext uri="{63B3BB69-23CF-44E3-9099-C40C66FF867C}">
                  <a14:compatExt spid="_x0000_s20481"/>
                </a:ext>
                <a:ext uri="{FF2B5EF4-FFF2-40B4-BE49-F238E27FC236}">
                  <a16:creationId xmlns:a16="http://schemas.microsoft.com/office/drawing/2014/main" id="{00000000-0008-0000-08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10</xdr:col>
          <xdr:colOff>0</xdr:colOff>
          <xdr:row>9</xdr:row>
          <xdr:rowOff>133350</xdr:rowOff>
        </xdr:to>
        <xdr:sp macro="" textlink="">
          <xdr:nvSpPr>
            <xdr:cNvPr id="153601" name="IndexAktualisieren" hidden="1">
              <a:extLst>
                <a:ext uri="{63B3BB69-23CF-44E3-9099-C40C66FF867C}">
                  <a14:compatExt spid="_x0000_s153601"/>
                </a:ext>
                <a:ext uri="{FF2B5EF4-FFF2-40B4-BE49-F238E27FC236}">
                  <a16:creationId xmlns:a16="http://schemas.microsoft.com/office/drawing/2014/main" id="{00000000-0008-0000-09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78441</xdr:colOff>
      <xdr:row>259</xdr:row>
      <xdr:rowOff>1120</xdr:rowOff>
    </xdr:from>
    <xdr:to>
      <xdr:col>27</xdr:col>
      <xdr:colOff>67235</xdr:colOff>
      <xdr:row>288</xdr:row>
      <xdr:rowOff>44823</xdr:rowOff>
    </xdr:to>
    <xdr:graphicFrame macro="">
      <xdr:nvGraphicFramePr>
        <xdr:cNvPr id="5" name="Diagramm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KUME~1\IWERNI~1\LOKALE~1\Temp\notes2402E6\EB2004.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ekoinstev.sharepoint.com/vorherige%20Ordner%20bis%202003/Energiebilanzen/EB0506_06_03_2007x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ekoinstev.sharepoint.com/Lenz%20Energy/Kunden/Agora/Steuertool/Literatur/moel_amtliche_daten_2019_dezember%20BA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Z2003 Zuordn. der EB"/>
      <sheetName val="Bil  TJ"/>
      <sheetName val="Bil  SKE"/>
      <sheetName val="Bil nat"/>
      <sheetName val="WZ2003_Zuordn__der_EB"/>
      <sheetName val="Bil__TJ"/>
      <sheetName val="Bil__SKE"/>
      <sheetName val="Bil_na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sheetData sheetId="13"/>
      <sheetData sheetId="14" refreshError="1"/>
      <sheetData sheetId="15"/>
      <sheetData sheetId="16" refreshError="1"/>
      <sheetData sheetId="17" refreshError="1"/>
      <sheetData sheetId="18" refreshError="1"/>
      <sheetData sheetId="19">
        <row r="11">
          <cell r="A11" t="str">
            <v>Entwicklung des PEV in Deutschland (in PJ) (EB97PEV1.DOC)</v>
          </cell>
        </row>
        <row r="12">
          <cell r="A12" t="str">
            <v>Wegen Berechnung nach Wirkungsgradmethode vgl. EBWMD.XLS</v>
          </cell>
        </row>
        <row r="13">
          <cell r="C13" t="str">
            <v>Görgen</v>
          </cell>
          <cell r="D13" t="str">
            <v>Diff</v>
          </cell>
        </row>
        <row r="14">
          <cell r="A14">
            <v>1989</v>
          </cell>
          <cell r="B14">
            <v>15.082000000000001</v>
          </cell>
          <cell r="H14">
            <v>15082</v>
          </cell>
        </row>
        <row r="15">
          <cell r="A15">
            <v>1990</v>
          </cell>
          <cell r="B15">
            <v>14.9119104</v>
          </cell>
          <cell r="C15">
            <v>14880</v>
          </cell>
          <cell r="D15">
            <v>14865.0880896</v>
          </cell>
          <cell r="H15">
            <v>14911.910400000001</v>
          </cell>
        </row>
        <row r="16">
          <cell r="A16">
            <v>1991</v>
          </cell>
          <cell r="B16">
            <v>14.610038000000001</v>
          </cell>
          <cell r="C16">
            <v>14572</v>
          </cell>
          <cell r="D16">
            <v>14557.389961999999</v>
          </cell>
          <cell r="H16">
            <v>14610.038</v>
          </cell>
        </row>
        <row r="17">
          <cell r="A17">
            <v>1992</v>
          </cell>
          <cell r="B17">
            <v>14.314027199999998</v>
          </cell>
          <cell r="C17">
            <v>14282</v>
          </cell>
          <cell r="D17">
            <v>14267.6859728</v>
          </cell>
          <cell r="H17">
            <v>14314.027199999999</v>
          </cell>
        </row>
        <row r="18">
          <cell r="A18">
            <v>1993</v>
          </cell>
          <cell r="B18">
            <v>14.305234800000001</v>
          </cell>
          <cell r="C18">
            <v>14273</v>
          </cell>
          <cell r="D18">
            <v>14258.6947652</v>
          </cell>
          <cell r="H18">
            <v>14305.2348</v>
          </cell>
        </row>
        <row r="19">
          <cell r="A19">
            <v>1994</v>
          </cell>
          <cell r="B19">
            <v>14.1528332</v>
          </cell>
          <cell r="C19">
            <v>14141</v>
          </cell>
          <cell r="D19">
            <v>14126.8471668</v>
          </cell>
          <cell r="H19">
            <v>14152.833199999999</v>
          </cell>
        </row>
        <row r="20">
          <cell r="A20" t="str">
            <v>1995*)</v>
          </cell>
          <cell r="B20">
            <v>14.2964424</v>
          </cell>
          <cell r="C20">
            <v>14228</v>
          </cell>
          <cell r="D20">
            <v>14213.7035576</v>
          </cell>
          <cell r="H20">
            <v>14296.4424</v>
          </cell>
        </row>
        <row r="21">
          <cell r="A21" t="str">
            <v>1996*)</v>
          </cell>
          <cell r="B21">
            <v>14.7683012</v>
          </cell>
          <cell r="C21">
            <v>14638</v>
          </cell>
          <cell r="D21">
            <v>14623.2316988</v>
          </cell>
          <cell r="H21">
            <v>14768.3012</v>
          </cell>
        </row>
        <row r="22">
          <cell r="A22" t="str">
            <v>1997*)</v>
          </cell>
          <cell r="B22">
            <v>14.489875199999998</v>
          </cell>
          <cell r="H22">
            <v>14489.875199999999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Tab 1"/>
      <sheetName val="Tab 2"/>
      <sheetName val="Tab 3"/>
      <sheetName val="Tab 4"/>
      <sheetName val="Tab 5"/>
      <sheetName val="Tab 5a"/>
      <sheetName val="Tab 5b"/>
      <sheetName val="Tab 5c"/>
      <sheetName val="Tab 5j"/>
      <sheetName val="Tab 6"/>
      <sheetName val="Tab 6a"/>
      <sheetName val="Tab 6b"/>
      <sheetName val="Tab 6c"/>
      <sheetName val="Tab 6j"/>
      <sheetName val="Tab 7"/>
      <sheetName val="Tab 7j"/>
      <sheetName val="Tab 8"/>
      <sheetName val="Tab 9"/>
      <sheetName val="Tab 10"/>
      <sheetName val="Tab 10a"/>
      <sheetName val="Tab 10j"/>
      <sheetName val="Parameter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ow r="13">
          <cell r="K13" t="str">
            <v>Förderung und Zugang von deutschem Rohöl</v>
          </cell>
          <cell r="L13" t="str">
            <v>Inhaltsverzeichnis der "Amtlichen Mineralöldaten"</v>
          </cell>
          <cell r="M13" t="str">
            <v>http://www.bafa.de/DE/Energie/Rohstoffe/Mineraloel/mineraloel_node.html</v>
          </cell>
          <cell r="N13" t="str">
            <v>Aufgrund der abnehmenden Bedeutung der reinen Biokraftstoffe wird ab dem Jahr 2017 auf eine gesonderte Darstellung verzichtet.</v>
          </cell>
          <cell r="O13" t="str">
            <v>Amtliche Mineralöldaten</v>
          </cell>
        </row>
        <row r="14">
          <cell r="K14" t="str">
            <v>Primäraufkommen von Rohöl aus Einfuhr und deutscher Förderung</v>
          </cell>
          <cell r="L14" t="str">
            <v>Hinweis:</v>
          </cell>
          <cell r="O14" t="str">
            <v>für die</v>
          </cell>
        </row>
        <row r="15">
          <cell r="K15" t="str">
            <v>Grenzübergangspreise der Einfuhr von Rohöl nach Ursprungsländern</v>
          </cell>
          <cell r="O15" t="str">
            <v>Bundesrepublik Deutschland</v>
          </cell>
        </row>
        <row r="16">
          <cell r="K16" t="str">
            <v>Verarbeitung von Rohöl und anderen Wiedereinsatzstoffen in Raffinerien</v>
          </cell>
          <cell r="O16" t="str">
            <v>Monat: Dezember 2019</v>
          </cell>
        </row>
        <row r="17">
          <cell r="K17" t="str">
            <v>Gesamtaufkommen von Mineralölprodukten</v>
          </cell>
          <cell r="O17" t="str">
            <v>Die Mineralöldaten können als Excel-Datei im INTERNET abgerufen werden unter:</v>
          </cell>
        </row>
        <row r="18">
          <cell r="K18" t="str">
            <v>Entwicklung der Bruttoraffinerieerzeugung</v>
          </cell>
          <cell r="O18" t="str">
            <v>http://www.bafa.de/bafa/de/</v>
          </cell>
        </row>
        <row r="19">
          <cell r="K19" t="str">
            <v>Entwicklung der Einfuhr</v>
          </cell>
          <cell r="O19" t="str">
            <v>Energie</v>
          </cell>
        </row>
        <row r="20">
          <cell r="K20" t="str">
            <v>Entwicklung der Abgänge zum Wiedereinsatz</v>
          </cell>
          <cell r="O20" t="str">
            <v>Mineralöl</v>
          </cell>
        </row>
        <row r="21">
          <cell r="K21" t="str">
            <v>Gesamtaufkommen von Mineralölprodukten (Jahr)</v>
          </cell>
          <cell r="O21" t="str">
            <v>zum Thema</v>
          </cell>
        </row>
        <row r="22">
          <cell r="K22" t="str">
            <v>Abgänge und Inlandsablieferungen von Mineralölprodukten</v>
          </cell>
          <cell r="O22" t="str">
            <v>Amtliche Mineralöldaten</v>
          </cell>
        </row>
        <row r="23">
          <cell r="K23" t="str">
            <v>Entwicklung der Ausfuhr</v>
          </cell>
          <cell r="O23" t="str">
            <v>oder direkt:</v>
          </cell>
        </row>
        <row r="24">
          <cell r="K24" t="str">
            <v>Entwicklung der Bunkerungen für die internationale Schiffahrt</v>
          </cell>
        </row>
        <row r="25">
          <cell r="K25" t="str">
            <v>Entwicklung der Inlandsablieferungen</v>
          </cell>
        </row>
        <row r="26">
          <cell r="K26" t="str">
            <v>Abgänge und Inlandsablieferungen von Mineralölprodukten</v>
          </cell>
        </row>
        <row r="27">
          <cell r="K27" t="str">
            <v>Inlandsablieferungen nach ausgewählten Verwendungssektoren</v>
          </cell>
        </row>
        <row r="28">
          <cell r="K28" t="str">
            <v>Inlandsablieferungen nach ausgewählten Verwendungssektoren (Jahr)</v>
          </cell>
        </row>
        <row r="29">
          <cell r="K29" t="str">
            <v>Eigentumsendbestand im In- und Ausland</v>
          </cell>
        </row>
        <row r="30">
          <cell r="K30" t="str">
            <v>Aufkommen zum Inlandsverbrauch an Otto- und Dieselkraftstoffen</v>
          </cell>
        </row>
        <row r="31">
          <cell r="K31" t="str">
            <v>Raffinerieerzeugung, Einfuhr, Ausfuhr und Inlandsablieferungen von Schmierstoffen</v>
          </cell>
        </row>
        <row r="32">
          <cell r="K32" t="str">
            <v>Entwicklung der Inlandsablieferungen von Schmierstoffen</v>
          </cell>
        </row>
        <row r="33">
          <cell r="K33" t="str">
            <v>Raffinerieerzeugung, Einfuhr, Ausfuhr und Inlandsablieferungen von Schmierstoffen (Jahr)</v>
          </cell>
        </row>
        <row r="34">
          <cell r="K34" t="str">
            <v>zurück zum Inhaltsverzeichnis</v>
          </cell>
        </row>
        <row r="35">
          <cell r="K35" t="str">
            <v>Zum Inhaltsverzeichnis</v>
          </cell>
        </row>
      </sheetData>
    </sheetDataSet>
  </externalBook>
</externalLink>
</file>

<file path=xl/theme/theme1.xml><?xml version="1.0" encoding="utf-8"?>
<a:theme xmlns:a="http://schemas.openxmlformats.org/drawingml/2006/main" name="Agora-Design">
  <a:themeElements>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gora Farben">
    <a:dk1>
      <a:srgbClr val="080318"/>
    </a:dk1>
    <a:lt1>
      <a:srgbClr val="E6E6E6"/>
    </a:lt1>
    <a:dk2>
      <a:srgbClr val="00B3C9"/>
    </a:dk2>
    <a:lt2>
      <a:srgbClr val="FFFFFF"/>
    </a:lt2>
    <a:accent1>
      <a:srgbClr val="733E88"/>
    </a:accent1>
    <a:accent2>
      <a:srgbClr val="D05094"/>
    </a:accent2>
    <a:accent3>
      <a:srgbClr val="00B3C9"/>
    </a:accent3>
    <a:accent4>
      <a:srgbClr val="E5DEFB"/>
    </a:accent4>
    <a:accent5>
      <a:srgbClr val="4BACC6"/>
    </a:accent5>
    <a:accent6>
      <a:srgbClr val="E6A4C7"/>
    </a:accent6>
    <a:hlink>
      <a:srgbClr val="0000FF"/>
    </a:hlink>
    <a:folHlink>
      <a:srgbClr val="800080"/>
    </a:folHlink>
  </a:clrScheme>
  <a:fontScheme name="Agora Schriften">
    <a:majorFont>
      <a:latin typeface="Flexo Medium"/>
      <a:ea typeface=""/>
      <a:cs typeface=""/>
    </a:majorFont>
    <a:minorFont>
      <a:latin typeface="Flexo"/>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5.emf"/><Relationship Id="rId4" Type="http://schemas.openxmlformats.org/officeDocument/2006/relationships/control" Target="../activeX/activeX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enesis.destatis.de/genesis/online?operation=table&amp;code=61111-0001&amp;bypass=true&amp;levelindex=0&amp;levelid=1634637559454"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3.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10" Type="http://schemas.openxmlformats.org/officeDocument/2006/relationships/comments" Target="../comments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4.vml"/><Relationship Id="rId1" Type="http://schemas.openxmlformats.org/officeDocument/2006/relationships/drawing" Target="../drawings/drawing3.xml"/><Relationship Id="rId6" Type="http://schemas.openxmlformats.org/officeDocument/2006/relationships/comments" Target="../comments4.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gora-energiewende.de/de/service/eeg-rechner/" TargetMode="External"/><Relationship Id="rId5" Type="http://schemas.openxmlformats.org/officeDocument/2006/relationships/ctrlProp" Target="../ctrlProps/ctrlProp16.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3" Type="http://schemas.openxmlformats.org/officeDocument/2006/relationships/hyperlink" Target="mailto:info@agora-energiewende.de" TargetMode="External"/><Relationship Id="rId2" Type="http://schemas.openxmlformats.org/officeDocument/2006/relationships/hyperlink" Target="http://www.oeko.de/" TargetMode="External"/><Relationship Id="rId1" Type="http://schemas.openxmlformats.org/officeDocument/2006/relationships/hyperlink" Target="http://www.agora-energiewende.de/"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tabColor theme="4"/>
    <pageSetUpPr fitToPage="1"/>
  </sheetPr>
  <dimension ref="A1:AC69"/>
  <sheetViews>
    <sheetView zoomScale="80" zoomScaleNormal="80" workbookViewId="0"/>
  </sheetViews>
  <sheetFormatPr baseColWidth="10" defaultColWidth="11.42578125" defaultRowHeight="15" customHeight="1"/>
  <cols>
    <col min="1" max="2" width="3.7109375" style="128" customWidth="1"/>
    <col min="3" max="3" width="18" style="128" customWidth="1"/>
    <col min="4" max="4" width="17.7109375" style="128" bestFit="1" customWidth="1"/>
    <col min="5" max="5" width="12.5703125" style="128" bestFit="1" customWidth="1"/>
    <col min="6" max="6" width="51.140625" style="143" customWidth="1"/>
    <col min="7" max="7" width="2.85546875" style="143" customWidth="1"/>
    <col min="8" max="8" width="4.7109375" style="143" customWidth="1"/>
    <col min="9" max="9" width="25.85546875" style="143" customWidth="1"/>
    <col min="10" max="10" width="17.7109375" style="143" customWidth="1"/>
    <col min="11" max="11" width="7.5703125" style="143" customWidth="1"/>
    <col min="12" max="12" width="15.85546875" style="143" customWidth="1"/>
    <col min="13" max="13" width="40.85546875" style="143" customWidth="1"/>
    <col min="14" max="14" width="2.140625" style="143" customWidth="1"/>
    <col min="15" max="15" width="3.7109375" style="143" customWidth="1"/>
    <col min="16" max="16" width="3.85546875" style="143" customWidth="1"/>
    <col min="17" max="17" width="14.28515625" style="143" customWidth="1"/>
    <col min="18" max="18" width="18" style="143" customWidth="1"/>
    <col min="19" max="19" width="17.140625" style="128" customWidth="1"/>
    <col min="20" max="26" width="12.7109375" style="128" customWidth="1"/>
    <col min="27" max="27" width="4.42578125" style="128" customWidth="1"/>
    <col min="28" max="28" width="3" style="128" customWidth="1"/>
    <col min="29" max="16384" width="11.42578125" style="128"/>
  </cols>
  <sheetData>
    <row r="1" spans="1:29" ht="15" customHeight="1">
      <c r="A1" s="858" t="s">
        <v>183</v>
      </c>
      <c r="B1" s="858"/>
      <c r="C1" s="858" t="s">
        <v>183</v>
      </c>
      <c r="D1" s="858" t="s">
        <v>183</v>
      </c>
      <c r="E1" s="858"/>
      <c r="F1" s="858"/>
      <c r="G1" s="858"/>
      <c r="H1" s="858"/>
      <c r="I1" s="858"/>
      <c r="J1" s="858"/>
      <c r="K1" s="858"/>
      <c r="L1" s="858"/>
      <c r="M1" s="858"/>
      <c r="N1" s="858"/>
      <c r="O1" s="858"/>
      <c r="P1" s="858"/>
      <c r="Q1" s="858"/>
      <c r="R1" s="858"/>
      <c r="S1" s="858"/>
      <c r="T1" s="858"/>
      <c r="U1" s="858"/>
      <c r="V1" s="858"/>
      <c r="W1" s="858"/>
      <c r="X1" s="858"/>
      <c r="Y1" s="858"/>
      <c r="Z1" s="858"/>
      <c r="AA1" s="858"/>
      <c r="AB1" s="858"/>
      <c r="AC1" s="858"/>
    </row>
    <row r="2" spans="1:29" ht="17.100000000000001" customHeight="1">
      <c r="A2" s="858"/>
      <c r="B2" s="890"/>
      <c r="C2" s="1394" t="s">
        <v>230</v>
      </c>
      <c r="D2" s="891"/>
      <c r="E2" s="891"/>
      <c r="F2" s="891"/>
      <c r="G2" s="891"/>
      <c r="H2" s="891"/>
      <c r="I2" s="891"/>
      <c r="J2" s="891"/>
      <c r="K2" s="891"/>
      <c r="L2" s="891"/>
      <c r="M2" s="891"/>
      <c r="N2" s="891"/>
      <c r="O2" s="891"/>
      <c r="P2" s="891"/>
      <c r="Q2" s="891"/>
      <c r="R2" s="891"/>
      <c r="S2" s="891"/>
      <c r="T2" s="1405" t="str">
        <f>CONCATENATE("Version ",Impressum!$C$17)</f>
        <v>Version 4.3.6</v>
      </c>
      <c r="U2" s="1405"/>
      <c r="V2" s="892"/>
      <c r="W2" s="892"/>
      <c r="X2" s="892"/>
      <c r="Y2" s="892"/>
      <c r="Z2" s="892"/>
      <c r="AA2" s="893"/>
      <c r="AB2" s="858"/>
    </row>
    <row r="3" spans="1:29" ht="17.100000000000001" customHeight="1">
      <c r="A3" s="858"/>
      <c r="B3" s="894"/>
      <c r="C3" s="1395"/>
      <c r="D3" s="895"/>
      <c r="E3" s="895"/>
      <c r="F3" s="895"/>
      <c r="G3" s="895"/>
      <c r="H3" s="895"/>
      <c r="I3" s="895"/>
      <c r="J3" s="895"/>
      <c r="K3" s="895"/>
      <c r="L3" s="895"/>
      <c r="M3" s="895"/>
      <c r="N3" s="895"/>
      <c r="O3" s="895"/>
      <c r="P3" s="895"/>
      <c r="Q3" s="895"/>
      <c r="R3" s="895"/>
      <c r="S3" s="895"/>
      <c r="T3" s="1406"/>
      <c r="U3" s="1406"/>
      <c r="V3" s="896"/>
      <c r="W3" s="896"/>
      <c r="X3" s="896"/>
      <c r="Y3" s="896"/>
      <c r="Z3" s="896"/>
      <c r="AA3" s="897"/>
      <c r="AB3" s="858"/>
    </row>
    <row r="4" spans="1:29" ht="17.100000000000001" customHeight="1" thickBot="1">
      <c r="A4" s="858"/>
      <c r="B4" s="794"/>
      <c r="C4" s="795" t="s">
        <v>144</v>
      </c>
      <c r="D4" s="796"/>
      <c r="E4" s="796"/>
      <c r="F4" s="796"/>
      <c r="G4" s="796"/>
      <c r="H4" s="796"/>
      <c r="I4" s="796"/>
      <c r="J4" s="796"/>
      <c r="K4" s="796"/>
      <c r="L4" s="796"/>
      <c r="M4" s="796"/>
      <c r="N4" s="796"/>
      <c r="O4" s="796"/>
      <c r="P4" s="796"/>
      <c r="Q4" s="796"/>
      <c r="R4" s="796"/>
      <c r="S4" s="796"/>
      <c r="T4" s="796"/>
      <c r="U4" s="796"/>
      <c r="V4" s="796"/>
      <c r="W4" s="796"/>
      <c r="X4" s="796"/>
      <c r="Y4" s="796"/>
      <c r="Z4" s="796"/>
      <c r="AA4" s="797"/>
      <c r="AB4" s="858"/>
    </row>
    <row r="5" spans="1:29" ht="31.5" customHeight="1" thickBot="1">
      <c r="A5" s="858"/>
      <c r="B5" s="158"/>
      <c r="C5" s="159"/>
      <c r="D5" s="130"/>
      <c r="E5" s="130"/>
      <c r="F5" s="130"/>
      <c r="G5" s="130"/>
      <c r="H5" s="130"/>
      <c r="I5" s="130"/>
      <c r="J5" s="130"/>
      <c r="K5" s="130"/>
      <c r="L5" s="130"/>
      <c r="M5" s="130"/>
      <c r="N5" s="130"/>
      <c r="O5" s="130"/>
      <c r="P5" s="130"/>
      <c r="Q5" s="1409" t="s">
        <v>539</v>
      </c>
      <c r="R5" s="1410"/>
      <c r="S5" s="1411"/>
      <c r="T5" s="982" t="str">
        <f>ControlPanel!$T$5</f>
        <v>nominal</v>
      </c>
      <c r="U5" s="651"/>
      <c r="V5" s="130"/>
      <c r="W5" s="130"/>
      <c r="X5" s="130"/>
      <c r="Y5" s="130"/>
      <c r="Z5" s="130"/>
      <c r="AA5" s="160"/>
      <c r="AB5" s="858"/>
    </row>
    <row r="6" spans="1:29" ht="44.25" customHeight="1" thickBot="1">
      <c r="A6" s="858"/>
      <c r="B6" s="158"/>
      <c r="C6" s="385"/>
      <c r="D6" s="1383" t="s">
        <v>571</v>
      </c>
      <c r="E6" s="1396"/>
      <c r="F6" s="1384"/>
      <c r="G6" s="130"/>
      <c r="H6" s="130"/>
      <c r="I6" s="130"/>
      <c r="J6" s="1383" t="str">
        <f>"Eingabe-Parameter:
Entwicklung der Vergütungssätze (real, bezogen auf "&amp;ControlPanel!D60&amp;")"</f>
        <v>Eingabe-Parameter:
Entwicklung der Vergütungssätze (real, bezogen auf 2022)</v>
      </c>
      <c r="K6" s="1396"/>
      <c r="L6" s="1396"/>
      <c r="M6" s="1384"/>
      <c r="N6" s="110"/>
      <c r="O6" s="130"/>
      <c r="P6" s="130"/>
      <c r="Q6" s="130"/>
      <c r="R6" s="130"/>
      <c r="S6" s="130"/>
      <c r="T6" s="130"/>
      <c r="U6" s="130"/>
      <c r="V6" s="130"/>
      <c r="W6" s="130"/>
      <c r="X6" s="130"/>
      <c r="Y6" s="130"/>
      <c r="Z6" s="130"/>
      <c r="AA6" s="160"/>
      <c r="AB6" s="858"/>
    </row>
    <row r="7" spans="1:29" ht="17.100000000000001" customHeight="1" thickBot="1">
      <c r="A7" s="858"/>
      <c r="B7" s="158"/>
      <c r="C7" s="808" t="s">
        <v>145</v>
      </c>
      <c r="D7" s="809" t="s">
        <v>140</v>
      </c>
      <c r="E7" s="1401" t="s">
        <v>141</v>
      </c>
      <c r="F7" s="1402"/>
      <c r="G7" s="130"/>
      <c r="H7" s="130"/>
      <c r="I7" s="808" t="s">
        <v>145</v>
      </c>
      <c r="J7" s="1392" t="s">
        <v>140</v>
      </c>
      <c r="K7" s="1393"/>
      <c r="L7" s="1401" t="s">
        <v>141</v>
      </c>
      <c r="M7" s="1402"/>
      <c r="N7" s="110"/>
      <c r="O7" s="130"/>
      <c r="P7" s="130"/>
      <c r="Q7" s="130"/>
      <c r="R7" s="130"/>
      <c r="S7" s="130"/>
      <c r="T7" s="130"/>
      <c r="U7" s="130"/>
      <c r="V7" s="130"/>
      <c r="W7" s="130"/>
      <c r="X7" s="130"/>
      <c r="Y7" s="130"/>
      <c r="Z7" s="130"/>
      <c r="AA7" s="160"/>
      <c r="AB7" s="858"/>
    </row>
    <row r="8" spans="1:29" ht="20.100000000000001" customHeight="1">
      <c r="A8" s="858"/>
      <c r="B8" s="158"/>
      <c r="C8" s="676" t="s">
        <v>24</v>
      </c>
      <c r="D8" s="903" t="s">
        <v>342</v>
      </c>
      <c r="E8" s="507" t="s">
        <v>138</v>
      </c>
      <c r="F8" s="781" t="str">
        <f>'D-Bruttozubau'!E10</f>
        <v>1,5 GW bis 2021, ab 2023 2,5 GW/a</v>
      </c>
      <c r="G8" s="130"/>
      <c r="H8" s="130"/>
      <c r="I8" s="676" t="s">
        <v>24</v>
      </c>
      <c r="J8" s="1399" t="s">
        <v>342</v>
      </c>
      <c r="K8" s="1400"/>
      <c r="L8" s="507" t="s">
        <v>138</v>
      </c>
      <c r="M8" s="757" t="str">
        <f>'D-Vergütungssatz Neuanlagen'!E10</f>
        <v>sinkt auf 3,5 ct/kWh in 2035</v>
      </c>
      <c r="N8" s="110"/>
      <c r="O8" s="130"/>
      <c r="P8" s="130"/>
      <c r="Q8" s="130"/>
      <c r="R8" s="130"/>
      <c r="S8" s="130"/>
      <c r="T8" s="130"/>
      <c r="U8" s="130"/>
      <c r="V8" s="130"/>
      <c r="W8" s="130"/>
      <c r="X8" s="130"/>
      <c r="Y8" s="130"/>
      <c r="Z8" s="130"/>
      <c r="AA8" s="160"/>
      <c r="AB8" s="858"/>
    </row>
    <row r="9" spans="1:29" ht="20.100000000000001" customHeight="1">
      <c r="A9" s="858"/>
      <c r="B9" s="158"/>
      <c r="C9" s="677" t="s">
        <v>26</v>
      </c>
      <c r="D9" s="904" t="s">
        <v>342</v>
      </c>
      <c r="E9" s="510" t="s">
        <v>138</v>
      </c>
      <c r="F9" s="782" t="str">
        <f>'D-Bruttozubau'!E11</f>
        <v>MFP Trend, danach konstant 1,6 GW</v>
      </c>
      <c r="G9" s="130"/>
      <c r="H9" s="130"/>
      <c r="I9" s="677" t="s">
        <v>26</v>
      </c>
      <c r="J9" s="1388" t="s">
        <v>342</v>
      </c>
      <c r="K9" s="1389"/>
      <c r="L9" s="510" t="s">
        <v>138</v>
      </c>
      <c r="M9" s="758" t="str">
        <f>'D-Vergütungssatz Neuanlagen'!E11</f>
        <v>sinkt auf 4,5 ct/kWh in 2035</v>
      </c>
      <c r="N9" s="110"/>
      <c r="O9" s="130"/>
      <c r="P9" s="130"/>
      <c r="Q9" s="130"/>
      <c r="R9" s="130"/>
      <c r="S9" s="130"/>
      <c r="T9" s="130"/>
      <c r="U9" s="130"/>
      <c r="V9" s="130"/>
      <c r="W9" s="130"/>
      <c r="X9" s="130"/>
      <c r="Y9" s="130"/>
      <c r="Z9" s="130"/>
      <c r="AA9" s="160"/>
      <c r="AB9" s="858"/>
    </row>
    <row r="10" spans="1:29" ht="20.100000000000001" customHeight="1">
      <c r="A10" s="858"/>
      <c r="B10" s="158"/>
      <c r="C10" s="715" t="s">
        <v>74</v>
      </c>
      <c r="D10" s="904" t="s">
        <v>342</v>
      </c>
      <c r="E10" s="510" t="s">
        <v>138</v>
      </c>
      <c r="F10" s="782" t="str">
        <f>'D-Bruttozubau'!E12</f>
        <v>MFP Trend</v>
      </c>
      <c r="G10" s="130"/>
      <c r="H10" s="130"/>
      <c r="I10" s="715" t="s">
        <v>74</v>
      </c>
      <c r="J10" s="1388" t="s">
        <v>342</v>
      </c>
      <c r="K10" s="1389"/>
      <c r="L10" s="510" t="s">
        <v>138</v>
      </c>
      <c r="M10" s="785" t="str">
        <f>'D-Vergütungssatz Neuanlagen'!E12</f>
        <v>EEG 2017; Anteil Ausschreibungen ab 2020 50%</v>
      </c>
      <c r="N10" s="110"/>
      <c r="O10" s="130"/>
      <c r="P10" s="130"/>
      <c r="Q10" s="130"/>
      <c r="R10" s="130"/>
      <c r="S10" s="130"/>
      <c r="T10" s="130"/>
      <c r="U10" s="130"/>
      <c r="V10" s="130"/>
      <c r="W10" s="130"/>
      <c r="X10" s="130"/>
      <c r="Y10" s="130"/>
      <c r="Z10" s="130"/>
      <c r="AA10" s="160"/>
      <c r="AB10" s="858"/>
    </row>
    <row r="11" spans="1:29" ht="20.100000000000001" customHeight="1">
      <c r="A11" s="858"/>
      <c r="B11" s="158"/>
      <c r="C11" s="678" t="s">
        <v>13</v>
      </c>
      <c r="D11" s="904" t="s">
        <v>342</v>
      </c>
      <c r="E11" s="510" t="s">
        <v>138</v>
      </c>
      <c r="F11" s="782" t="str">
        <f>'D-Bruttozubau'!E8</f>
        <v>MFP Trend; 0,2 GW/a</v>
      </c>
      <c r="G11" s="130"/>
      <c r="H11" s="130"/>
      <c r="I11" s="678" t="s">
        <v>13</v>
      </c>
      <c r="J11" s="1388" t="s">
        <v>342</v>
      </c>
      <c r="K11" s="1389"/>
      <c r="L11" s="510" t="s">
        <v>138</v>
      </c>
      <c r="M11" s="758" t="str">
        <f>'D-Vergütungssatz Neuanlagen'!E8</f>
        <v>EEG 2017</v>
      </c>
      <c r="N11" s="110"/>
      <c r="O11" s="130"/>
      <c r="P11" s="130"/>
      <c r="Q11" s="130"/>
      <c r="R11" s="130"/>
      <c r="S11" s="130"/>
      <c r="T11" s="130"/>
      <c r="U11" s="130"/>
      <c r="V11" s="130"/>
      <c r="W11" s="130"/>
      <c r="X11" s="130"/>
      <c r="Y11" s="130"/>
      <c r="Z11" s="130"/>
      <c r="AA11" s="160"/>
      <c r="AB11" s="858"/>
    </row>
    <row r="12" spans="1:29" ht="20.100000000000001" customHeight="1">
      <c r="A12" s="858"/>
      <c r="B12" s="158"/>
      <c r="C12" s="679" t="s">
        <v>12</v>
      </c>
      <c r="D12" s="904" t="s">
        <v>342</v>
      </c>
      <c r="E12" s="510" t="s">
        <v>138</v>
      </c>
      <c r="F12" s="783" t="str">
        <f>'D-Bruttozubau'!E9</f>
        <v>0,01GW/a</v>
      </c>
      <c r="G12" s="130"/>
      <c r="H12" s="130"/>
      <c r="I12" s="679" t="s">
        <v>12</v>
      </c>
      <c r="J12" s="1388" t="s">
        <v>342</v>
      </c>
      <c r="K12" s="1389"/>
      <c r="L12" s="510" t="s">
        <v>138</v>
      </c>
      <c r="M12" s="758" t="str">
        <f>'D-Vergütungssatz Neuanlagen'!E9</f>
        <v>EEG 2017</v>
      </c>
      <c r="N12" s="110"/>
      <c r="O12" s="130"/>
      <c r="P12" s="130"/>
      <c r="Q12" s="130"/>
      <c r="R12" s="130"/>
      <c r="S12" s="130"/>
      <c r="T12" s="130"/>
      <c r="U12" s="130"/>
      <c r="V12" s="130"/>
      <c r="W12" s="130"/>
      <c r="X12" s="130"/>
      <c r="Y12" s="130"/>
      <c r="Z12" s="130"/>
      <c r="AA12" s="160"/>
      <c r="AB12" s="858"/>
    </row>
    <row r="13" spans="1:29" ht="20.100000000000001" customHeight="1">
      <c r="A13" s="858"/>
      <c r="B13" s="158"/>
      <c r="C13" s="680" t="s">
        <v>25</v>
      </c>
      <c r="D13" s="904" t="s">
        <v>342</v>
      </c>
      <c r="E13" s="510" t="s">
        <v>138</v>
      </c>
      <c r="F13" s="783" t="str">
        <f>'D-Bruttozubau'!E6</f>
        <v>0,01 GW/a</v>
      </c>
      <c r="G13" s="130"/>
      <c r="H13" s="130"/>
      <c r="I13" s="680" t="s">
        <v>25</v>
      </c>
      <c r="J13" s="1388" t="s">
        <v>342</v>
      </c>
      <c r="K13" s="1389"/>
      <c r="L13" s="510" t="s">
        <v>138</v>
      </c>
      <c r="M13" s="758" t="str">
        <f>'D-Vergütungssatz Neuanlagen'!E6</f>
        <v>EEG 2017</v>
      </c>
      <c r="N13" s="110"/>
      <c r="O13" s="130"/>
      <c r="P13" s="130"/>
      <c r="Q13" s="130"/>
      <c r="R13" s="130"/>
      <c r="S13" s="130"/>
      <c r="T13" s="130"/>
      <c r="U13" s="130"/>
      <c r="V13" s="130"/>
      <c r="W13" s="130"/>
      <c r="X13" s="130"/>
      <c r="Y13" s="130"/>
      <c r="Z13" s="130"/>
      <c r="AA13" s="160"/>
      <c r="AB13" s="858"/>
    </row>
    <row r="14" spans="1:29" ht="20.100000000000001" customHeight="1" thickBot="1">
      <c r="A14" s="858"/>
      <c r="B14" s="158"/>
      <c r="C14" s="681" t="s">
        <v>27</v>
      </c>
      <c r="D14" s="905" t="s">
        <v>342</v>
      </c>
      <c r="E14" s="511" t="s">
        <v>138</v>
      </c>
      <c r="F14" s="784" t="str">
        <f>'D-Bruttozubau'!E7</f>
        <v>0,01GW/a</v>
      </c>
      <c r="G14" s="130"/>
      <c r="H14" s="130"/>
      <c r="I14" s="681" t="s">
        <v>27</v>
      </c>
      <c r="J14" s="1390" t="s">
        <v>342</v>
      </c>
      <c r="K14" s="1391"/>
      <c r="L14" s="511" t="s">
        <v>138</v>
      </c>
      <c r="M14" s="784" t="str">
        <f>'D-Vergütungssatz Neuanlagen'!E7</f>
        <v>EEG 2017</v>
      </c>
      <c r="N14" s="110"/>
      <c r="O14" s="130"/>
      <c r="P14" s="130"/>
      <c r="Q14" s="130"/>
      <c r="R14" s="130"/>
      <c r="S14" s="130"/>
      <c r="T14" s="130"/>
      <c r="U14" s="130"/>
      <c r="V14" s="130"/>
      <c r="W14" s="130"/>
      <c r="X14" s="130"/>
      <c r="Y14" s="130"/>
      <c r="Z14" s="130"/>
      <c r="AA14" s="160"/>
      <c r="AB14" s="858"/>
    </row>
    <row r="15" spans="1:29" ht="32.25" customHeight="1">
      <c r="A15" s="858"/>
      <c r="B15" s="158"/>
      <c r="C15" s="130"/>
      <c r="D15" s="130"/>
      <c r="E15" s="130"/>
      <c r="F15" s="110" t="s">
        <v>352</v>
      </c>
      <c r="G15" s="130"/>
      <c r="H15" s="130"/>
      <c r="I15" s="130"/>
      <c r="J15" s="130"/>
      <c r="K15" s="130"/>
      <c r="L15" s="130"/>
      <c r="M15" s="111" t="s">
        <v>352</v>
      </c>
      <c r="N15" s="130"/>
      <c r="O15" s="130"/>
      <c r="P15" s="130"/>
      <c r="Q15" s="130"/>
      <c r="R15" s="130"/>
      <c r="S15" s="130"/>
      <c r="T15" s="130"/>
      <c r="U15" s="130"/>
      <c r="V15" s="130"/>
      <c r="W15" s="130"/>
      <c r="X15" s="130"/>
      <c r="Y15" s="130"/>
      <c r="Z15" s="130"/>
      <c r="AA15" s="160"/>
      <c r="AB15" s="858"/>
    </row>
    <row r="16" spans="1:29" ht="16.5" customHeight="1" thickBot="1">
      <c r="A16" s="858"/>
      <c r="B16" s="158"/>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60"/>
      <c r="AB16" s="858"/>
    </row>
    <row r="17" spans="1:28" ht="36" customHeight="1" thickBot="1">
      <c r="A17" s="858"/>
      <c r="B17" s="158"/>
      <c r="C17" s="130"/>
      <c r="D17" s="1383" t="s">
        <v>612</v>
      </c>
      <c r="E17" s="1396"/>
      <c r="F17" s="1384"/>
      <c r="G17" s="130"/>
      <c r="H17" s="130"/>
      <c r="I17" s="130"/>
      <c r="J17" s="1383" t="s">
        <v>337</v>
      </c>
      <c r="K17" s="1396"/>
      <c r="L17" s="1396"/>
      <c r="M17" s="1384"/>
      <c r="N17" s="130"/>
      <c r="O17" s="130"/>
      <c r="P17" s="130"/>
      <c r="Q17" s="130"/>
      <c r="R17" s="130"/>
      <c r="S17" s="130"/>
      <c r="T17" s="130"/>
      <c r="U17" s="130"/>
      <c r="V17" s="130"/>
      <c r="W17" s="130"/>
      <c r="X17" s="130"/>
      <c r="Y17" s="130"/>
      <c r="Z17" s="130"/>
      <c r="AA17" s="160"/>
      <c r="AB17" s="858"/>
    </row>
    <row r="18" spans="1:28" ht="13.5" thickBot="1">
      <c r="A18" s="858"/>
      <c r="B18" s="158"/>
      <c r="C18" s="130"/>
      <c r="D18" s="809" t="s">
        <v>140</v>
      </c>
      <c r="E18" s="1397" t="s">
        <v>141</v>
      </c>
      <c r="F18" s="1398"/>
      <c r="G18" s="130"/>
      <c r="H18" s="130"/>
      <c r="I18" s="130"/>
      <c r="J18" s="1392" t="s">
        <v>140</v>
      </c>
      <c r="K18" s="1393"/>
      <c r="L18" s="1401" t="s">
        <v>141</v>
      </c>
      <c r="M18" s="1402"/>
      <c r="N18" s="130"/>
      <c r="O18" s="130"/>
      <c r="P18" s="130"/>
      <c r="Q18" s="130"/>
      <c r="R18" s="130"/>
      <c r="S18" s="130"/>
      <c r="T18" s="130"/>
      <c r="U18" s="130"/>
      <c r="V18" s="130"/>
      <c r="W18" s="130"/>
      <c r="X18" s="130"/>
      <c r="Y18" s="130"/>
      <c r="Z18" s="130"/>
      <c r="AA18" s="160"/>
      <c r="AB18" s="858"/>
    </row>
    <row r="19" spans="1:28" ht="35.25" customHeight="1">
      <c r="A19" s="858"/>
      <c r="B19" s="158"/>
      <c r="C19" s="810" t="s">
        <v>353</v>
      </c>
      <c r="D19" s="779" t="s">
        <v>342</v>
      </c>
      <c r="E19" s="507" t="s">
        <v>138</v>
      </c>
      <c r="F19" s="761" t="str">
        <f>'D-Privilegierter Letztverbrauch'!$D$6</f>
        <v>MFP Referenz</v>
      </c>
      <c r="G19" s="130"/>
      <c r="H19" s="108" t="s">
        <v>174</v>
      </c>
      <c r="I19" s="810" t="s">
        <v>182</v>
      </c>
      <c r="J19" s="1399" t="s">
        <v>342</v>
      </c>
      <c r="K19" s="1400"/>
      <c r="L19" s="507" t="s">
        <v>138</v>
      </c>
      <c r="M19" s="803" t="str">
        <f>'D-Future Strompreis'!$D$6</f>
        <v>7,8 -&gt; 5,4 ct/kWh</v>
      </c>
      <c r="N19" s="130"/>
      <c r="O19" s="108" t="s">
        <v>174</v>
      </c>
      <c r="P19" s="130"/>
      <c r="Q19" s="130"/>
      <c r="R19" s="130"/>
      <c r="S19" s="130"/>
      <c r="T19" s="130"/>
      <c r="U19" s="130"/>
      <c r="V19" s="130"/>
      <c r="W19" s="130"/>
      <c r="X19" s="130"/>
      <c r="Y19" s="130"/>
      <c r="Z19" s="130"/>
      <c r="AA19" s="160"/>
      <c r="AB19" s="858"/>
    </row>
    <row r="20" spans="1:28" ht="38.25">
      <c r="A20" s="858"/>
      <c r="B20" s="158"/>
      <c r="C20" s="811" t="s">
        <v>265</v>
      </c>
      <c r="D20" s="780" t="s">
        <v>342</v>
      </c>
      <c r="E20" s="510" t="s">
        <v>138</v>
      </c>
      <c r="F20" s="787" t="str">
        <f>'D-Umlage priv. Letztverbrauch'!$D$6</f>
        <v>15% (gem. EEG 2021)</v>
      </c>
      <c r="G20" s="130"/>
      <c r="H20" s="108" t="s">
        <v>174</v>
      </c>
      <c r="I20" s="811" t="s">
        <v>75</v>
      </c>
      <c r="J20" s="1388" t="s">
        <v>342</v>
      </c>
      <c r="K20" s="1389"/>
      <c r="L20" s="512" t="s">
        <v>138</v>
      </c>
      <c r="M20" s="762" t="str">
        <f>'D-Liquiditätspuffer'!$D$6</f>
        <v>ÜNB-Umlageberechnungen, danach 6%</v>
      </c>
      <c r="N20" s="130"/>
      <c r="O20" s="108" t="s">
        <v>174</v>
      </c>
      <c r="P20" s="130"/>
      <c r="Q20" s="130"/>
      <c r="R20" s="130"/>
      <c r="S20" s="130"/>
      <c r="T20" s="130"/>
      <c r="U20" s="130"/>
      <c r="V20" s="130"/>
      <c r="W20" s="130"/>
      <c r="X20" s="130"/>
      <c r="Y20" s="130"/>
      <c r="Z20" s="130"/>
      <c r="AA20" s="160"/>
      <c r="AB20" s="858"/>
    </row>
    <row r="21" spans="1:28" ht="51.75" thickBot="1">
      <c r="A21" s="858"/>
      <c r="B21" s="158"/>
      <c r="C21" s="812" t="s">
        <v>368</v>
      </c>
      <c r="D21" s="786" t="s">
        <v>342</v>
      </c>
      <c r="E21" s="661" t="s">
        <v>138</v>
      </c>
      <c r="F21" s="788" t="str">
        <f>'D-Faktor Zusatzprivilegierung'!$D$6</f>
        <v>Bis 2022: ÜNB-Umlageberechnungen, danach konstant (wirkt wie vollständige Befreiung von 62% des priv. LV)</v>
      </c>
      <c r="G21" s="130"/>
      <c r="H21" s="108" t="s">
        <v>174</v>
      </c>
      <c r="I21" s="811" t="str">
        <f>CONCATENATE("Kontostand am 30.9.",ControlPanel!$D$59-1)</f>
        <v>Kontostand am 30.9.2022</v>
      </c>
      <c r="J21" s="1388" t="s">
        <v>342</v>
      </c>
      <c r="K21" s="1389"/>
      <c r="L21" s="510" t="s">
        <v>245</v>
      </c>
      <c r="M21" s="801" t="str">
        <f>'D-Kontostand aktuelles Jahr'!D6</f>
        <v>wird endogen berechnet</v>
      </c>
      <c r="N21" s="130"/>
      <c r="O21" s="108" t="s">
        <v>174</v>
      </c>
      <c r="P21" s="130"/>
      <c r="Q21" s="130"/>
      <c r="R21" s="130"/>
      <c r="S21" s="130"/>
      <c r="T21" s="130"/>
      <c r="U21" s="130"/>
      <c r="V21" s="130"/>
      <c r="W21" s="130"/>
      <c r="X21" s="130"/>
      <c r="Y21" s="130"/>
      <c r="Z21" s="130"/>
      <c r="AA21" s="160"/>
      <c r="AB21" s="858"/>
    </row>
    <row r="22" spans="1:28" ht="39.950000000000003" customHeight="1" thickBot="1">
      <c r="A22" s="858"/>
      <c r="B22" s="158"/>
      <c r="C22" s="130"/>
      <c r="D22" s="130"/>
      <c r="E22" s="130"/>
      <c r="F22" s="130"/>
      <c r="G22" s="130"/>
      <c r="H22" s="130"/>
      <c r="I22" s="813" t="str">
        <f>CONCATENATE("Alternativ: Abweichung von Kontostandsprognose für den 30.9.",ControlPanel!$D$59-1)</f>
        <v>Alternativ: Abweichung von Kontostandsprognose für den 30.9.2022</v>
      </c>
      <c r="J22" s="1390" t="s">
        <v>342</v>
      </c>
      <c r="K22" s="1391"/>
      <c r="L22" s="511" t="s">
        <v>255</v>
      </c>
      <c r="M22" s="789" t="str">
        <f>'D-Prognosefehler Kontostand'!D6</f>
        <v>keine Abweichung</v>
      </c>
      <c r="N22" s="130"/>
      <c r="O22" s="108" t="s">
        <v>174</v>
      </c>
      <c r="P22" s="130"/>
      <c r="Q22" s="130"/>
      <c r="R22" s="130"/>
      <c r="S22" s="130"/>
      <c r="T22" s="130"/>
      <c r="U22" s="130"/>
      <c r="V22" s="130"/>
      <c r="W22" s="130"/>
      <c r="X22" s="130"/>
      <c r="Y22" s="130"/>
      <c r="Z22" s="130"/>
      <c r="AA22" s="160"/>
      <c r="AB22" s="858"/>
    </row>
    <row r="23" spans="1:28" ht="32.25" customHeight="1" thickBot="1">
      <c r="A23" s="858"/>
      <c r="B23" s="158"/>
      <c r="C23" s="130"/>
      <c r="D23" s="130"/>
      <c r="E23" s="130"/>
      <c r="F23" s="130"/>
      <c r="G23" s="130"/>
      <c r="H23" s="130"/>
      <c r="I23" s="134"/>
      <c r="J23" s="134"/>
      <c r="K23" s="134"/>
      <c r="L23" s="130"/>
      <c r="M23" s="134"/>
      <c r="N23" s="130"/>
      <c r="O23" s="130"/>
      <c r="P23" s="130"/>
      <c r="Q23" s="130"/>
      <c r="R23" s="130"/>
      <c r="S23" s="130"/>
      <c r="T23" s="130"/>
      <c r="U23" s="130"/>
      <c r="V23" s="130"/>
      <c r="W23" s="130"/>
      <c r="X23" s="130"/>
      <c r="Y23" s="130"/>
      <c r="Z23" s="130"/>
      <c r="AA23" s="160"/>
      <c r="AB23" s="858"/>
    </row>
    <row r="24" spans="1:28" ht="32.25" customHeight="1" thickBot="1">
      <c r="A24" s="858"/>
      <c r="B24" s="158"/>
      <c r="C24" s="130"/>
      <c r="D24" s="1383" t="s">
        <v>345</v>
      </c>
      <c r="E24" s="1396"/>
      <c r="F24" s="1384"/>
      <c r="G24" s="130"/>
      <c r="H24" s="130"/>
      <c r="I24" s="139"/>
      <c r="J24" s="1385" t="s">
        <v>338</v>
      </c>
      <c r="K24" s="1386"/>
      <c r="L24" s="1386"/>
      <c r="M24" s="1387"/>
      <c r="N24" s="139"/>
      <c r="O24" s="139"/>
      <c r="P24" s="130"/>
      <c r="Q24" s="130"/>
      <c r="R24" s="130"/>
      <c r="S24" s="130"/>
      <c r="T24" s="130"/>
      <c r="U24" s="130"/>
      <c r="V24" s="130"/>
      <c r="W24" s="130"/>
      <c r="X24" s="130"/>
      <c r="Y24" s="130"/>
      <c r="Z24" s="130"/>
      <c r="AA24" s="160"/>
      <c r="AB24" s="858"/>
    </row>
    <row r="25" spans="1:28" ht="51.75" customHeight="1" thickBot="1">
      <c r="A25" s="858"/>
      <c r="B25" s="158"/>
      <c r="C25" s="819" t="s">
        <v>346</v>
      </c>
      <c r="D25" s="820" t="s">
        <v>140</v>
      </c>
      <c r="E25" s="1401" t="s">
        <v>141</v>
      </c>
      <c r="F25" s="1402"/>
      <c r="G25" s="130"/>
      <c r="H25" s="130"/>
      <c r="I25" s="139"/>
      <c r="J25" s="1407" t="s">
        <v>140</v>
      </c>
      <c r="K25" s="1408"/>
      <c r="L25" s="1397" t="s">
        <v>141</v>
      </c>
      <c r="M25" s="1398"/>
      <c r="N25" s="139"/>
      <c r="O25" s="139"/>
      <c r="P25" s="130"/>
      <c r="Q25" s="130"/>
      <c r="R25" s="130"/>
      <c r="S25" s="130"/>
      <c r="T25" s="130"/>
      <c r="U25" s="130"/>
      <c r="V25" s="130"/>
      <c r="W25" s="130"/>
      <c r="X25" s="130"/>
      <c r="Y25" s="130"/>
      <c r="Z25" s="130"/>
      <c r="AA25" s="160"/>
      <c r="AB25" s="858"/>
    </row>
    <row r="26" spans="1:28" ht="39.950000000000003" customHeight="1">
      <c r="A26" s="858"/>
      <c r="B26" s="158"/>
      <c r="C26" s="810" t="s">
        <v>358</v>
      </c>
      <c r="D26" s="823" t="s">
        <v>342</v>
      </c>
      <c r="E26" s="512" t="s">
        <v>138</v>
      </c>
      <c r="F26" s="762" t="str">
        <f>'D-Eigenverbrauch KWK Neue'!$D$6</f>
        <v>2021: ÜNB-Umlageberechnungen bis 2025, danach konstant</v>
      </c>
      <c r="G26" s="130"/>
      <c r="H26" s="108" t="s">
        <v>174</v>
      </c>
      <c r="I26" s="810" t="s">
        <v>493</v>
      </c>
      <c r="J26" s="1403" t="s">
        <v>342</v>
      </c>
      <c r="K26" s="1403"/>
      <c r="L26" s="507" t="s">
        <v>138</v>
      </c>
      <c r="M26" s="803" t="str">
        <f>'D-Nettostromverbrauch'!$D$6</f>
        <v>2022-2026: ÜNB-Umlageberechnung 2021. Danach ansteigend auf 600 TWh in 2030</v>
      </c>
      <c r="N26" s="130"/>
      <c r="O26" s="108" t="s">
        <v>174</v>
      </c>
      <c r="P26" s="130"/>
      <c r="Q26" s="130"/>
      <c r="R26" s="130"/>
      <c r="S26" s="130"/>
      <c r="T26" s="130"/>
      <c r="U26" s="130"/>
      <c r="V26" s="130"/>
      <c r="W26" s="130"/>
      <c r="X26" s="130"/>
      <c r="Y26" s="130"/>
      <c r="Z26" s="130"/>
      <c r="AA26" s="160"/>
      <c r="AB26" s="858"/>
    </row>
    <row r="27" spans="1:28" ht="39.950000000000003" customHeight="1">
      <c r="A27" s="858"/>
      <c r="B27" s="161"/>
      <c r="C27" s="811" t="s">
        <v>359</v>
      </c>
      <c r="D27" s="790" t="s">
        <v>342</v>
      </c>
      <c r="E27" s="510" t="s">
        <v>138</v>
      </c>
      <c r="F27" s="763" t="str">
        <f>'D-Anteil Eigenverbrauch EE neu'!E12</f>
        <v>9%</v>
      </c>
      <c r="G27" s="130"/>
      <c r="H27" s="108" t="s">
        <v>174</v>
      </c>
      <c r="I27" s="811" t="s">
        <v>351</v>
      </c>
      <c r="J27" s="1382" t="s">
        <v>342</v>
      </c>
      <c r="K27" s="1382"/>
      <c r="L27" s="626" t="s">
        <v>138</v>
      </c>
      <c r="M27" s="801" t="str">
        <f>'D-Spot-Skalierungsfaktor'!$D$6</f>
        <v>100%</v>
      </c>
      <c r="N27" s="130"/>
      <c r="O27" s="108" t="s">
        <v>174</v>
      </c>
      <c r="P27" s="130"/>
      <c r="Q27" s="130"/>
      <c r="R27" s="130"/>
      <c r="S27" s="130"/>
      <c r="T27" s="130"/>
      <c r="U27" s="130"/>
      <c r="V27" s="130"/>
      <c r="W27" s="130"/>
      <c r="X27" s="130"/>
      <c r="Y27" s="130"/>
      <c r="Z27" s="130"/>
      <c r="AA27" s="160"/>
      <c r="AB27" s="858"/>
    </row>
    <row r="28" spans="1:28" ht="53.25" customHeight="1" collapsed="1">
      <c r="A28" s="858"/>
      <c r="B28" s="158"/>
      <c r="C28" s="811" t="s">
        <v>360</v>
      </c>
      <c r="D28" s="790" t="s">
        <v>342</v>
      </c>
      <c r="E28" s="510" t="s">
        <v>138</v>
      </c>
      <c r="F28" s="763" t="str">
        <f>'D-Umlage Eigenverbrauch PV+KWK'!$D$6</f>
        <v>gem. EEG 2017, ab 2020 konstant 38%</v>
      </c>
      <c r="G28" s="130"/>
      <c r="H28" s="108" t="s">
        <v>174</v>
      </c>
      <c r="I28" s="811" t="s">
        <v>761</v>
      </c>
      <c r="J28" s="1382" t="s">
        <v>342</v>
      </c>
      <c r="K28" s="1382"/>
      <c r="L28" s="510" t="s">
        <v>138</v>
      </c>
      <c r="M28" s="801" t="str">
        <f>'D-vermiedene Netzentgelte'!$D$6</f>
        <v>7.17€/MWh</v>
      </c>
      <c r="N28" s="130"/>
      <c r="O28" s="108" t="s">
        <v>174</v>
      </c>
      <c r="P28" s="130"/>
      <c r="Q28" s="130"/>
      <c r="R28" s="130"/>
      <c r="S28" s="130"/>
      <c r="T28" s="130"/>
      <c r="U28" s="130"/>
      <c r="V28" s="130"/>
      <c r="W28" s="130"/>
      <c r="X28" s="130"/>
      <c r="Y28" s="130"/>
      <c r="Z28" s="130"/>
      <c r="AA28" s="160"/>
      <c r="AB28" s="858"/>
    </row>
    <row r="29" spans="1:28" ht="63" customHeight="1" thickBot="1">
      <c r="A29" s="858"/>
      <c r="B29" s="158"/>
      <c r="C29" s="813" t="s">
        <v>491</v>
      </c>
      <c r="D29" s="791" t="s">
        <v>342</v>
      </c>
      <c r="E29" s="511" t="s">
        <v>138</v>
      </c>
      <c r="F29" s="765" t="str">
        <f>'D-Umlage EV Bestand'!$D$6</f>
        <v>vollständig befreit (gem. EEG 2014)</v>
      </c>
      <c r="G29" s="130"/>
      <c r="H29" s="108" t="s">
        <v>174</v>
      </c>
      <c r="I29" s="811" t="s">
        <v>69</v>
      </c>
      <c r="J29" s="1382" t="s">
        <v>342</v>
      </c>
      <c r="K29" s="1382"/>
      <c r="L29" s="510" t="s">
        <v>138</v>
      </c>
      <c r="M29" s="801" t="str">
        <f>'D-Sonstige Kosten'!$D$6</f>
        <v>0,06Mrd. €</v>
      </c>
      <c r="N29" s="130"/>
      <c r="O29" s="108" t="s">
        <v>174</v>
      </c>
      <c r="P29" s="130"/>
      <c r="Q29" s="130"/>
      <c r="R29" s="130"/>
      <c r="S29" s="130"/>
      <c r="T29" s="130"/>
      <c r="U29" s="130"/>
      <c r="V29" s="130"/>
      <c r="W29" s="130"/>
      <c r="X29" s="130"/>
      <c r="Y29" s="130"/>
      <c r="Z29" s="130"/>
      <c r="AA29" s="160"/>
      <c r="AB29" s="858"/>
    </row>
    <row r="30" spans="1:28" ht="13.5" thickBot="1">
      <c r="A30" s="858"/>
      <c r="B30" s="158"/>
      <c r="C30" s="135"/>
      <c r="D30" s="135"/>
      <c r="E30" s="135"/>
      <c r="F30" s="135"/>
      <c r="G30" s="135"/>
      <c r="H30" s="130"/>
      <c r="I30" s="813" t="s">
        <v>522</v>
      </c>
      <c r="J30" s="1404" t="s">
        <v>342</v>
      </c>
      <c r="K30" s="1404"/>
      <c r="L30" s="511" t="s">
        <v>138</v>
      </c>
      <c r="M30" s="802" t="str">
        <f>'D-Inflationsrate'!$D$6</f>
        <v>1,5% pro Jahr</v>
      </c>
      <c r="N30" s="130"/>
      <c r="O30" s="108" t="s">
        <v>174</v>
      </c>
      <c r="P30" s="130"/>
      <c r="Q30" s="130"/>
      <c r="R30" s="130"/>
      <c r="S30" s="130"/>
      <c r="T30" s="130"/>
      <c r="U30" s="130"/>
      <c r="V30" s="130"/>
      <c r="W30" s="130"/>
      <c r="X30" s="130"/>
      <c r="Y30" s="130"/>
      <c r="Z30" s="130"/>
      <c r="AA30" s="160"/>
      <c r="AB30" s="858"/>
    </row>
    <row r="31" spans="1:28" ht="13.5" thickBot="1">
      <c r="A31" s="858"/>
      <c r="B31" s="158"/>
      <c r="C31" s="135"/>
      <c r="D31" s="135"/>
      <c r="E31" s="135"/>
      <c r="F31" s="135"/>
      <c r="G31" s="135"/>
      <c r="H31" s="130"/>
      <c r="I31" s="135"/>
      <c r="J31" s="135"/>
      <c r="K31" s="135"/>
      <c r="L31" s="130"/>
      <c r="M31" s="135"/>
      <c r="N31" s="130"/>
      <c r="O31" s="130"/>
      <c r="P31" s="130"/>
      <c r="Q31" s="130"/>
      <c r="R31" s="130"/>
      <c r="S31" s="130"/>
      <c r="T31" s="130"/>
      <c r="U31" s="130"/>
      <c r="V31" s="130"/>
      <c r="W31" s="130"/>
      <c r="X31" s="130"/>
      <c r="Y31" s="130"/>
      <c r="Z31" s="130"/>
      <c r="AA31" s="160"/>
      <c r="AB31" s="858"/>
    </row>
    <row r="32" spans="1:28" ht="51.75" customHeight="1" thickBot="1">
      <c r="A32" s="858"/>
      <c r="B32" s="158"/>
      <c r="C32" s="134"/>
      <c r="D32" s="134"/>
      <c r="E32" s="1383" t="s">
        <v>339</v>
      </c>
      <c r="F32" s="1384"/>
      <c r="G32" s="134"/>
      <c r="H32" s="130"/>
      <c r="I32" s="1383" t="s">
        <v>340</v>
      </c>
      <c r="J32" s="1384"/>
      <c r="K32" s="134"/>
      <c r="L32" s="1383" t="s">
        <v>341</v>
      </c>
      <c r="M32" s="1384"/>
      <c r="N32" s="130"/>
      <c r="O32" s="130"/>
      <c r="P32" s="130"/>
      <c r="Q32" s="130"/>
      <c r="R32" s="130"/>
      <c r="S32" s="130"/>
      <c r="T32" s="130"/>
      <c r="U32" s="130"/>
      <c r="V32" s="130"/>
      <c r="W32" s="130"/>
      <c r="X32" s="130"/>
      <c r="Y32" s="130"/>
      <c r="Z32" s="130"/>
      <c r="AA32" s="160"/>
      <c r="AB32" s="858"/>
    </row>
    <row r="33" spans="1:28" ht="13.5" thickBot="1">
      <c r="A33" s="858"/>
      <c r="B33" s="158"/>
      <c r="C33" s="826" t="s">
        <v>145</v>
      </c>
      <c r="D33" s="820" t="s">
        <v>140</v>
      </c>
      <c r="E33" s="1401" t="s">
        <v>141</v>
      </c>
      <c r="F33" s="1402"/>
      <c r="G33" s="130"/>
      <c r="H33" s="130"/>
      <c r="I33" s="821" t="s">
        <v>141</v>
      </c>
      <c r="J33" s="822"/>
      <c r="K33" s="139"/>
      <c r="L33" s="1392" t="s">
        <v>141</v>
      </c>
      <c r="M33" s="1402"/>
      <c r="N33" s="130"/>
      <c r="O33" s="130"/>
      <c r="P33" s="130"/>
      <c r="Q33" s="130"/>
      <c r="R33" s="130"/>
      <c r="S33" s="130"/>
      <c r="T33" s="130"/>
      <c r="U33" s="130"/>
      <c r="V33" s="130"/>
      <c r="W33" s="130"/>
      <c r="X33" s="130"/>
      <c r="Y33" s="130"/>
      <c r="Z33" s="130"/>
      <c r="AA33" s="160"/>
      <c r="AB33" s="858"/>
    </row>
    <row r="34" spans="1:28" ht="25.5">
      <c r="A34" s="858"/>
      <c r="B34" s="158"/>
      <c r="C34" s="810" t="s">
        <v>24</v>
      </c>
      <c r="D34" s="824" t="s">
        <v>342</v>
      </c>
      <c r="E34" s="512" t="s">
        <v>138</v>
      </c>
      <c r="F34" s="825" t="str">
        <f>'D-Standardauslastung'!E10</f>
        <v>Anstieg auf 2600h in 2035</v>
      </c>
      <c r="G34" s="130"/>
      <c r="H34" s="130"/>
      <c r="I34" s="513" t="s">
        <v>138</v>
      </c>
      <c r="J34" s="502" t="str">
        <f>'D-Dargebotsfaktor'!E10</f>
        <v>100%</v>
      </c>
      <c r="K34" s="139"/>
      <c r="L34" s="513" t="s">
        <v>138</v>
      </c>
      <c r="M34" s="499" t="str">
        <f>'D-Profilfaktoren'!E10</f>
        <v>eigene Berechnung</v>
      </c>
      <c r="N34" s="130"/>
      <c r="O34" s="130"/>
      <c r="P34" s="130"/>
      <c r="Q34" s="130"/>
      <c r="R34" s="130"/>
      <c r="S34" s="130"/>
      <c r="T34" s="130"/>
      <c r="U34" s="130"/>
      <c r="V34" s="130"/>
      <c r="W34" s="130"/>
      <c r="X34" s="130"/>
      <c r="Y34" s="130"/>
      <c r="Z34" s="130"/>
      <c r="AA34" s="160"/>
      <c r="AB34" s="858"/>
    </row>
    <row r="35" spans="1:28" ht="26.25" thickBot="1">
      <c r="A35" s="858"/>
      <c r="B35" s="158"/>
      <c r="C35" s="811" t="s">
        <v>26</v>
      </c>
      <c r="D35" s="780" t="s">
        <v>342</v>
      </c>
      <c r="E35" s="510" t="s">
        <v>138</v>
      </c>
      <c r="F35" s="503" t="str">
        <f>'D-Standardauslastung'!E11</f>
        <v>Anstieg auf 4700 h in 2035</v>
      </c>
      <c r="G35" s="130"/>
      <c r="H35" s="130"/>
      <c r="I35" s="514" t="s">
        <v>138</v>
      </c>
      <c r="J35" s="503" t="str">
        <f>'D-Dargebotsfaktor'!E11</f>
        <v>100%</v>
      </c>
      <c r="K35" s="139"/>
      <c r="L35" s="514" t="s">
        <v>138</v>
      </c>
      <c r="M35" s="500" t="str">
        <f>'D-Profilfaktoren'!E11</f>
        <v>eigene Berechnung</v>
      </c>
      <c r="N35" s="358"/>
      <c r="O35" s="130"/>
      <c r="P35" s="130"/>
      <c r="Q35" s="130"/>
      <c r="R35" s="130"/>
      <c r="S35" s="130"/>
      <c r="T35" s="130"/>
      <c r="U35" s="130"/>
      <c r="V35" s="130"/>
      <c r="W35" s="130"/>
      <c r="X35" s="130"/>
      <c r="Y35" s="130"/>
      <c r="Z35" s="130"/>
      <c r="AA35" s="160"/>
      <c r="AB35" s="858"/>
    </row>
    <row r="36" spans="1:28" ht="26.25" thickBot="1">
      <c r="A36" s="858"/>
      <c r="B36" s="158"/>
      <c r="C36" s="811" t="s">
        <v>74</v>
      </c>
      <c r="D36" s="780" t="s">
        <v>342</v>
      </c>
      <c r="E36" s="510" t="s">
        <v>138</v>
      </c>
      <c r="F36" s="503" t="str">
        <f>'D-Standardauslastung'!E12</f>
        <v>Anstieg auf 950h in 2035</v>
      </c>
      <c r="G36" s="130"/>
      <c r="H36" s="130"/>
      <c r="I36" s="514" t="s">
        <v>138</v>
      </c>
      <c r="J36" s="503" t="str">
        <f>'D-Dargebotsfaktor'!E12</f>
        <v>100%</v>
      </c>
      <c r="K36" s="358"/>
      <c r="L36" s="514" t="s">
        <v>138</v>
      </c>
      <c r="M36" s="500" t="str">
        <f>'D-Profilfaktoren'!E12</f>
        <v>eigene Berechnung</v>
      </c>
      <c r="N36" s="358"/>
      <c r="O36" s="130"/>
      <c r="P36" s="130"/>
      <c r="Q36" s="1385" t="s">
        <v>344</v>
      </c>
      <c r="R36" s="1386"/>
      <c r="S36" s="1386"/>
      <c r="T36" s="1386"/>
      <c r="U36" s="1386"/>
      <c r="V36" s="1386"/>
      <c r="W36" s="1386"/>
      <c r="X36" s="1387"/>
      <c r="Y36" s="130"/>
      <c r="Z36" s="130"/>
      <c r="AA36" s="160"/>
    </row>
    <row r="37" spans="1:28" ht="26.25" thickBot="1">
      <c r="A37" s="858"/>
      <c r="B37" s="158"/>
      <c r="C37" s="811" t="s">
        <v>13</v>
      </c>
      <c r="D37" s="780" t="s">
        <v>342</v>
      </c>
      <c r="E37" s="510" t="s">
        <v>138</v>
      </c>
      <c r="F37" s="503" t="str">
        <f>'D-Standardauslastung'!E8</f>
        <v>MFP Trend</v>
      </c>
      <c r="G37" s="130"/>
      <c r="H37" s="130"/>
      <c r="I37" s="514" t="s">
        <v>138</v>
      </c>
      <c r="J37" s="503" t="str">
        <f>'D-Dargebotsfaktor'!E8</f>
        <v>100%</v>
      </c>
      <c r="K37" s="139"/>
      <c r="L37" s="514" t="s">
        <v>138</v>
      </c>
      <c r="M37" s="500" t="str">
        <f>'D-Profilfaktoren'!E8</f>
        <v>100%</v>
      </c>
      <c r="N37" s="358"/>
      <c r="O37" s="130"/>
      <c r="P37" s="130"/>
      <c r="Q37" s="1334"/>
      <c r="R37" s="1335"/>
      <c r="S37" s="814">
        <f>ControlPanel!$D$59-1</f>
        <v>2022</v>
      </c>
      <c r="T37" s="814">
        <f>ControlPanel!$D$59</f>
        <v>2023</v>
      </c>
      <c r="U37" s="815">
        <f>ControlPanel!$D$59+1</f>
        <v>2024</v>
      </c>
      <c r="V37" s="815">
        <f>ControlPanel!$D$59+2</f>
        <v>2025</v>
      </c>
      <c r="W37" s="815">
        <v>2030</v>
      </c>
      <c r="X37" s="815">
        <v>2035</v>
      </c>
      <c r="Y37" s="130"/>
      <c r="Z37" s="130"/>
      <c r="AA37" s="160"/>
    </row>
    <row r="38" spans="1:28" ht="13.5" thickBot="1">
      <c r="A38" s="858"/>
      <c r="B38" s="158"/>
      <c r="C38" s="811" t="s">
        <v>12</v>
      </c>
      <c r="D38" s="780" t="s">
        <v>342</v>
      </c>
      <c r="E38" s="510" t="s">
        <v>138</v>
      </c>
      <c r="F38" s="503" t="str">
        <f>'D-Standardauslastung'!E9</f>
        <v>MFP Trend</v>
      </c>
      <c r="G38" s="130"/>
      <c r="H38" s="130"/>
      <c r="I38" s="514" t="s">
        <v>138</v>
      </c>
      <c r="J38" s="503" t="str">
        <f>'D-Dargebotsfaktor'!E9</f>
        <v>100%</v>
      </c>
      <c r="K38" s="139"/>
      <c r="L38" s="514" t="s">
        <v>138</v>
      </c>
      <c r="M38" s="500" t="str">
        <f>'D-Profilfaktoren'!E9</f>
        <v>100%</v>
      </c>
      <c r="N38" s="358"/>
      <c r="O38" s="139"/>
      <c r="P38" s="130"/>
      <c r="Q38" s="1344" t="s">
        <v>347</v>
      </c>
      <c r="R38" s="1345"/>
      <c r="S38" s="1345"/>
      <c r="T38" s="1345"/>
      <c r="U38" s="1345"/>
      <c r="V38" s="1345"/>
      <c r="W38" s="1345"/>
      <c r="X38" s="1346"/>
      <c r="Y38" s="130"/>
      <c r="Z38" s="130"/>
      <c r="AA38" s="160"/>
    </row>
    <row r="39" spans="1:28" ht="12.75">
      <c r="A39" s="858"/>
      <c r="B39" s="158"/>
      <c r="C39" s="811" t="s">
        <v>25</v>
      </c>
      <c r="D39" s="780" t="s">
        <v>342</v>
      </c>
      <c r="E39" s="510" t="s">
        <v>138</v>
      </c>
      <c r="F39" s="503" t="str">
        <f>'D-Standardauslastung'!E6</f>
        <v>MFP Trend</v>
      </c>
      <c r="G39" s="130"/>
      <c r="H39" s="130"/>
      <c r="I39" s="514" t="s">
        <v>138</v>
      </c>
      <c r="J39" s="503" t="str">
        <f>'D-Dargebotsfaktor'!E6</f>
        <v>100%</v>
      </c>
      <c r="K39" s="139"/>
      <c r="L39" s="514" t="s">
        <v>138</v>
      </c>
      <c r="M39" s="500" t="str">
        <f>'D-Profilfaktoren'!E6</f>
        <v>100%</v>
      </c>
      <c r="N39" s="358"/>
      <c r="O39" s="358"/>
      <c r="P39" s="130"/>
      <c r="Q39" s="1336" t="s">
        <v>169</v>
      </c>
      <c r="R39" s="1337"/>
      <c r="S39" s="1153">
        <f ca="1">IF(ControlPanel!$T$5="nominal",OFFSET('GrD-Grafikdaten'!$J8,0,S$37-2014),OFFSET('GrD-Grafikdaten'!$J26,0,S$37-2014))</f>
        <v>3.7230827721473405</v>
      </c>
      <c r="T39" s="1154">
        <f ca="1">IF(ControlPanel!$T$5="nominal",OFFSET('GrD-Grafikdaten'!$J8,0,T$37-2014),OFFSET('GrD-Grafikdaten'!$J26,0,T$37-2014))</f>
        <v>2.2272344363967198</v>
      </c>
      <c r="U39" s="1154">
        <f ca="1">IF(ControlPanel!$T$5="nominal",OFFSET('GrD-Grafikdaten'!$J8,0,U$37-2014),OFFSET('GrD-Grafikdaten'!$J26,0,U$37-2014))</f>
        <v>3.997717348887194</v>
      </c>
      <c r="V39" s="1154">
        <f ca="1">IF(ControlPanel!$T$5="nominal",OFFSET('GrD-Grafikdaten'!$J8,0,V$37-2014),OFFSET('GrD-Grafikdaten'!$J26,0,V$37-2014))</f>
        <v>3.5327567363462515</v>
      </c>
      <c r="W39" s="1154">
        <f ca="1">IF(ControlPanel!$T$5="nominal",OFFSET('GrD-Grafikdaten'!$J8,0,W$37-2014),OFFSET('GrD-Grafikdaten'!$J26,0,W$37-2014))</f>
        <v>1.5260557430647477</v>
      </c>
      <c r="X39" s="1155">
        <f ca="1">IF(ControlPanel!$T$5="nominal",OFFSET('GrD-Grafikdaten'!$J8,0,X$37-2014),OFFSET('GrD-Grafikdaten'!$J26,0,X$37-2014))</f>
        <v>0.34336969445583421</v>
      </c>
      <c r="Y39" s="130"/>
      <c r="Z39" s="130"/>
      <c r="AA39" s="160"/>
    </row>
    <row r="40" spans="1:28" ht="13.5" thickBot="1">
      <c r="A40" s="858"/>
      <c r="B40" s="158"/>
      <c r="C40" s="813" t="s">
        <v>27</v>
      </c>
      <c r="D40" s="786" t="s">
        <v>342</v>
      </c>
      <c r="E40" s="511" t="s">
        <v>138</v>
      </c>
      <c r="F40" s="504" t="str">
        <f>'D-Standardauslastung'!E7</f>
        <v>MFP Trend</v>
      </c>
      <c r="G40" s="130"/>
      <c r="H40" s="130"/>
      <c r="I40" s="515" t="s">
        <v>138</v>
      </c>
      <c r="J40" s="504" t="str">
        <f>'D-Dargebotsfaktor'!E7</f>
        <v>100%</v>
      </c>
      <c r="K40" s="139"/>
      <c r="L40" s="515" t="s">
        <v>138</v>
      </c>
      <c r="M40" s="501" t="str">
        <f>'D-Profilfaktoren'!E7</f>
        <v>100%</v>
      </c>
      <c r="N40" s="358"/>
      <c r="O40" s="358"/>
      <c r="P40" s="130"/>
      <c r="Q40" s="827" t="s">
        <v>180</v>
      </c>
      <c r="R40" s="828"/>
      <c r="S40" s="735">
        <f ca="1">IF(ControlPanel!$T$5="nominal",OFFSET('GrD-Grafikdaten'!$J20,0,S$37-2014),OFFSET('GrD-Grafikdaten'!$J38,0,S$37-2014))</f>
        <v>11.563082772147341</v>
      </c>
      <c r="T40" s="736">
        <f ca="1">IF(ControlPanel!$T$5="nominal",OFFSET('GrD-Grafikdaten'!$J20,0,T$37-2014),OFFSET('GrD-Grafikdaten'!$J38,0,T$37-2014))</f>
        <v>10.97923443639672</v>
      </c>
      <c r="U40" s="736">
        <f ca="1">IF(ControlPanel!$T$5="nominal",OFFSET('GrD-Grafikdaten'!$J20,0,U$37-2014),OFFSET('GrD-Grafikdaten'!$J38,0,U$37-2014))</f>
        <v>11.250717348887195</v>
      </c>
      <c r="V40" s="736">
        <f ca="1">IF(ControlPanel!$T$5="nominal",OFFSET('GrD-Grafikdaten'!$J20,0,V$37-2014),OFFSET('GrD-Grafikdaten'!$J38,0,V$37-2014))</f>
        <v>10.692756736346251</v>
      </c>
      <c r="W40" s="736">
        <f ca="1">IF(ControlPanel!$T$5="nominal",OFFSET('GrD-Grafikdaten'!$J20,0,W$37-2014),OFFSET('GrD-Grafikdaten'!$J38,0,W$37-2014))</f>
        <v>8.3840557430647475</v>
      </c>
      <c r="X40" s="737">
        <f ca="1">IF(ControlPanel!$T$5="nominal",OFFSET('GrD-Grafikdaten'!$J20,0,X$37-2014),OFFSET('GrD-Grafikdaten'!$J38,0,X$37-2014))</f>
        <v>6.8433696944558342</v>
      </c>
      <c r="Y40" s="130"/>
      <c r="Z40" s="130"/>
      <c r="AA40" s="160"/>
    </row>
    <row r="41" spans="1:28" ht="17.100000000000001" customHeight="1" thickBot="1">
      <c r="A41" s="858"/>
      <c r="B41" s="158"/>
      <c r="C41" s="358"/>
      <c r="D41" s="358"/>
      <c r="E41" s="130"/>
      <c r="F41" s="110" t="s">
        <v>174</v>
      </c>
      <c r="G41" s="130"/>
      <c r="H41" s="130"/>
      <c r="I41" s="130"/>
      <c r="J41" s="110" t="s">
        <v>174</v>
      </c>
      <c r="K41" s="358"/>
      <c r="L41" s="130"/>
      <c r="M41" s="110" t="s">
        <v>174</v>
      </c>
      <c r="N41" s="358"/>
      <c r="O41" s="358"/>
      <c r="P41" s="130"/>
      <c r="Q41" s="829" t="s">
        <v>509</v>
      </c>
      <c r="R41" s="830"/>
      <c r="S41" s="738">
        <f ca="1">OFFSET('GrD-Grafikdaten'!$J48,0,S$37-2014)</f>
        <v>0.46571829833782635</v>
      </c>
      <c r="T41" s="739">
        <f ca="1">OFFSET('GrD-Grafikdaten'!$J48,0,T$37-2014)</f>
        <v>0.50142246529592194</v>
      </c>
      <c r="U41" s="739">
        <f ca="1">OFFSET('GrD-Grafikdaten'!$J48,0,U$37-2014)</f>
        <v>0.532142255999694</v>
      </c>
      <c r="V41" s="739">
        <f ca="1">OFFSET('GrD-Grafikdaten'!$J48,0,V$37-2014)</f>
        <v>0.56203262172263801</v>
      </c>
      <c r="W41" s="739">
        <f ca="1">OFFSET('GrD-Grafikdaten'!$J48,0,W$37-2014)</f>
        <v>0.55575636455364708</v>
      </c>
      <c r="X41" s="740">
        <f ca="1">OFFSET('GrD-Grafikdaten'!$J48,0,X$37-2014)</f>
        <v>0.5210230381623282</v>
      </c>
      <c r="Y41" s="130"/>
      <c r="Z41" s="130"/>
      <c r="AA41" s="160"/>
    </row>
    <row r="42" spans="1:28" ht="17.100000000000001" customHeight="1" thickBot="1">
      <c r="A42" s="858"/>
      <c r="B42" s="158"/>
      <c r="C42" s="130"/>
      <c r="D42" s="130"/>
      <c r="E42" s="130"/>
      <c r="F42" s="130"/>
      <c r="G42" s="130"/>
      <c r="H42" s="130"/>
      <c r="I42" s="130"/>
      <c r="J42" s="130"/>
      <c r="K42" s="130"/>
      <c r="L42" s="130"/>
      <c r="M42" s="130"/>
      <c r="N42" s="358"/>
      <c r="O42" s="358"/>
      <c r="P42" s="130"/>
      <c r="Q42" s="1392" t="s">
        <v>937</v>
      </c>
      <c r="R42" s="1412"/>
      <c r="S42" s="1412"/>
      <c r="T42" s="1412"/>
      <c r="U42" s="1412"/>
      <c r="V42" s="1412"/>
      <c r="W42" s="1412"/>
      <c r="X42" s="1402"/>
      <c r="Y42" s="130"/>
      <c r="Z42" s="130"/>
      <c r="AA42" s="160"/>
    </row>
    <row r="43" spans="1:28" ht="33.75" customHeight="1" thickBot="1">
      <c r="A43" s="858"/>
      <c r="B43" s="158"/>
      <c r="C43" s="134"/>
      <c r="D43" s="134"/>
      <c r="E43" s="1383" t="s">
        <v>568</v>
      </c>
      <c r="F43" s="1384"/>
      <c r="G43" s="130"/>
      <c r="H43" s="130"/>
      <c r="I43" s="139"/>
      <c r="J43" s="1385" t="s">
        <v>867</v>
      </c>
      <c r="K43" s="1386"/>
      <c r="L43" s="1386"/>
      <c r="M43" s="1415"/>
      <c r="N43" s="358"/>
      <c r="O43" s="358"/>
      <c r="P43" s="130"/>
      <c r="Q43" s="1336" t="s">
        <v>169</v>
      </c>
      <c r="R43" s="1337"/>
      <c r="S43" s="1153">
        <f ca="1">S39+S47</f>
        <v>3.7230827721473405</v>
      </c>
      <c r="T43" s="1154">
        <f t="shared" ref="T43:X43" ca="1" si="0">T39+T47</f>
        <v>2.2272344363967198</v>
      </c>
      <c r="U43" s="1154">
        <f t="shared" ca="1" si="0"/>
        <v>3.997717348887194</v>
      </c>
      <c r="V43" s="1154">
        <f t="shared" ca="1" si="0"/>
        <v>3.5327567363462515</v>
      </c>
      <c r="W43" s="1154">
        <f t="shared" ca="1" si="0"/>
        <v>1.5260557430647477</v>
      </c>
      <c r="X43" s="1155">
        <f t="shared" ca="1" si="0"/>
        <v>0.34336969445583421</v>
      </c>
      <c r="Y43" s="130"/>
      <c r="Z43" s="130"/>
      <c r="AA43" s="160"/>
    </row>
    <row r="44" spans="1:28" ht="17.100000000000001" customHeight="1" thickBot="1">
      <c r="A44" s="858"/>
      <c r="B44" s="158"/>
      <c r="C44" s="826" t="s">
        <v>145</v>
      </c>
      <c r="D44" s="820" t="s">
        <v>140</v>
      </c>
      <c r="E44" s="1401" t="s">
        <v>141</v>
      </c>
      <c r="F44" s="1402"/>
      <c r="G44" s="130"/>
      <c r="H44" s="130"/>
      <c r="I44" s="1234"/>
      <c r="J44" s="1392" t="s">
        <v>140</v>
      </c>
      <c r="K44" s="1393"/>
      <c r="L44" s="1412" t="s">
        <v>141</v>
      </c>
      <c r="M44" s="1393"/>
      <c r="N44" s="358"/>
      <c r="O44" s="358"/>
      <c r="P44" s="130"/>
      <c r="Q44" s="827" t="s">
        <v>180</v>
      </c>
      <c r="R44" s="828"/>
      <c r="S44" s="735">
        <f t="shared" ref="S44:X44" ca="1" si="1">S40+S48</f>
        <v>11.563082772147341</v>
      </c>
      <c r="T44" s="736">
        <f t="shared" ca="1" si="1"/>
        <v>10.97923443639672</v>
      </c>
      <c r="U44" s="736">
        <f t="shared" ca="1" si="1"/>
        <v>11.250717348887195</v>
      </c>
      <c r="V44" s="736">
        <f t="shared" ca="1" si="1"/>
        <v>10.692756736346251</v>
      </c>
      <c r="W44" s="736">
        <f t="shared" ca="1" si="1"/>
        <v>8.3840557430647475</v>
      </c>
      <c r="X44" s="737">
        <f t="shared" ca="1" si="1"/>
        <v>6.8433696944558342</v>
      </c>
      <c r="Y44" s="130"/>
      <c r="Z44" s="130"/>
      <c r="AA44" s="160"/>
    </row>
    <row r="45" spans="1:28" ht="28.15" customHeight="1" thickBot="1">
      <c r="A45" s="858"/>
      <c r="B45" s="158"/>
      <c r="C45" s="810" t="s">
        <v>24</v>
      </c>
      <c r="D45" s="824" t="s">
        <v>342</v>
      </c>
      <c r="E45" s="512" t="s">
        <v>138</v>
      </c>
      <c r="F45" s="825" t="str">
        <f>'D-Dauer Goldenes Ende'!E10</f>
        <v>5 Jahre</v>
      </c>
      <c r="G45" s="130"/>
      <c r="H45" s="130"/>
      <c r="I45" s="813" t="s">
        <v>138</v>
      </c>
      <c r="J45" s="1413" t="s">
        <v>342</v>
      </c>
      <c r="K45" s="1414"/>
      <c r="L45" s="511" t="s">
        <v>138</v>
      </c>
      <c r="M45" s="1233" t="str">
        <f>'D-Zuschuss'!D6</f>
        <v>Politisch zugesagte Bundeszuschüsse</v>
      </c>
      <c r="N45" s="130"/>
      <c r="O45" s="110" t="s">
        <v>174</v>
      </c>
      <c r="P45" s="130"/>
      <c r="Q45" s="829" t="s">
        <v>509</v>
      </c>
      <c r="R45" s="830"/>
      <c r="S45" s="738">
        <f t="shared" ref="S45:X45" ca="1" si="2">S41+S49</f>
        <v>0.46571829833782635</v>
      </c>
      <c r="T45" s="739">
        <f t="shared" ca="1" si="2"/>
        <v>0.50142246529592194</v>
      </c>
      <c r="U45" s="739">
        <f t="shared" ca="1" si="2"/>
        <v>0.532142255999694</v>
      </c>
      <c r="V45" s="739">
        <f t="shared" ca="1" si="2"/>
        <v>0.56203262172263801</v>
      </c>
      <c r="W45" s="739">
        <f t="shared" ca="1" si="2"/>
        <v>0.55575636455364708</v>
      </c>
      <c r="X45" s="740">
        <f t="shared" ca="1" si="2"/>
        <v>0.5210230381623282</v>
      </c>
      <c r="Y45" s="130"/>
      <c r="Z45" s="130"/>
      <c r="AA45" s="160"/>
    </row>
    <row r="46" spans="1:28" ht="17.100000000000001" customHeight="1" thickBot="1">
      <c r="A46" s="858"/>
      <c r="B46" s="158"/>
      <c r="C46" s="811" t="s">
        <v>26</v>
      </c>
      <c r="D46" s="780" t="s">
        <v>342</v>
      </c>
      <c r="E46" s="510" t="s">
        <v>138</v>
      </c>
      <c r="F46" s="503" t="str">
        <f>'D-Dauer Goldenes Ende'!E11</f>
        <v>keine</v>
      </c>
      <c r="G46" s="130"/>
      <c r="H46" s="130"/>
      <c r="I46" s="130"/>
      <c r="J46" s="130"/>
      <c r="K46" s="130"/>
      <c r="L46" s="130"/>
      <c r="M46" s="130"/>
      <c r="N46" s="130"/>
      <c r="O46" s="130"/>
      <c r="P46" s="130"/>
      <c r="Q46" s="1392" t="s">
        <v>343</v>
      </c>
      <c r="R46" s="1412"/>
      <c r="S46" s="1412"/>
      <c r="T46" s="1412"/>
      <c r="U46" s="1412"/>
      <c r="V46" s="1412"/>
      <c r="W46" s="1412"/>
      <c r="X46" s="1402"/>
      <c r="Y46" s="130"/>
      <c r="Z46" s="130"/>
      <c r="AA46" s="160"/>
    </row>
    <row r="47" spans="1:28" ht="17.100000000000001" customHeight="1">
      <c r="A47" s="858"/>
      <c r="B47" s="158"/>
      <c r="C47" s="811" t="s">
        <v>74</v>
      </c>
      <c r="D47" s="780" t="s">
        <v>342</v>
      </c>
      <c r="E47" s="510" t="s">
        <v>138</v>
      </c>
      <c r="F47" s="503" t="str">
        <f>'D-Dauer Goldenes Ende'!E12</f>
        <v>5 Jahre</v>
      </c>
      <c r="G47" s="130"/>
      <c r="H47" s="130"/>
      <c r="I47" s="130"/>
      <c r="J47" s="130"/>
      <c r="K47" s="130"/>
      <c r="L47" s="130"/>
      <c r="M47" s="130"/>
      <c r="N47" s="130"/>
      <c r="O47" s="130"/>
      <c r="P47" s="130"/>
      <c r="Q47" s="1336" t="s">
        <v>169</v>
      </c>
      <c r="R47" s="1337"/>
      <c r="S47" s="792">
        <f ca="1">OFFSET('GrD-Grafikdaten'!$J132,0,S$37-2014)</f>
        <v>0</v>
      </c>
      <c r="T47" s="741">
        <f ca="1">OFFSET('GrD-Grafikdaten'!$J132,0,T$37-2014)</f>
        <v>0</v>
      </c>
      <c r="U47" s="741">
        <f ca="1">OFFSET('GrD-Grafikdaten'!$J132,0,U$37-2014)</f>
        <v>0</v>
      </c>
      <c r="V47" s="741">
        <f ca="1">OFFSET('GrD-Grafikdaten'!$J132,0,V$37-2014)</f>
        <v>0</v>
      </c>
      <c r="W47" s="741">
        <f ca="1">OFFSET('GrD-Grafikdaten'!$J132,0,W$37-2014)</f>
        <v>0</v>
      </c>
      <c r="X47" s="741">
        <f ca="1">OFFSET('GrD-Grafikdaten'!$J132,0,X$37-2014)</f>
        <v>0</v>
      </c>
      <c r="Y47" s="130"/>
      <c r="Z47" s="130"/>
      <c r="AA47" s="160"/>
    </row>
    <row r="48" spans="1:28" ht="17.100000000000001" customHeight="1">
      <c r="A48" s="858"/>
      <c r="B48" s="158"/>
      <c r="C48" s="811" t="s">
        <v>13</v>
      </c>
      <c r="D48" s="780" t="s">
        <v>342</v>
      </c>
      <c r="E48" s="510" t="s">
        <v>138</v>
      </c>
      <c r="F48" s="503" t="str">
        <f>'D-Dauer Goldenes Ende'!E8</f>
        <v>keine</v>
      </c>
      <c r="G48" s="130"/>
      <c r="H48" s="130"/>
      <c r="I48" s="130"/>
      <c r="J48" s="130"/>
      <c r="K48" s="130"/>
      <c r="L48" s="130"/>
      <c r="M48" s="130"/>
      <c r="N48" s="130"/>
      <c r="O48" s="130"/>
      <c r="P48" s="130"/>
      <c r="Q48" s="827" t="s">
        <v>180</v>
      </c>
      <c r="R48" s="828"/>
      <c r="S48" s="793">
        <f ca="1">OFFSET('GrD-Grafikdaten'!$J144,0,S$37-2014)</f>
        <v>0</v>
      </c>
      <c r="T48" s="744">
        <f ca="1">OFFSET('GrD-Grafikdaten'!$J144,0,T$37-2014)</f>
        <v>0</v>
      </c>
      <c r="U48" s="744">
        <f ca="1">OFFSET('GrD-Grafikdaten'!$J144,0,U$37-2014)</f>
        <v>0</v>
      </c>
      <c r="V48" s="744">
        <f ca="1">OFFSET('GrD-Grafikdaten'!$J144,0,V$37-2014)</f>
        <v>0</v>
      </c>
      <c r="W48" s="744">
        <f ca="1">OFFSET('GrD-Grafikdaten'!$J144,0,W$37-2014)</f>
        <v>0</v>
      </c>
      <c r="X48" s="744">
        <f ca="1">OFFSET('GrD-Grafikdaten'!$J144,0,X$37-2014)</f>
        <v>0</v>
      </c>
      <c r="Y48" s="130"/>
      <c r="Z48" s="130"/>
      <c r="AA48" s="160"/>
    </row>
    <row r="49" spans="1:29" ht="16.5" customHeight="1" thickBot="1">
      <c r="A49" s="858"/>
      <c r="B49" s="158"/>
      <c r="C49" s="811" t="s">
        <v>12</v>
      </c>
      <c r="D49" s="780" t="s">
        <v>342</v>
      </c>
      <c r="E49" s="510" t="s">
        <v>138</v>
      </c>
      <c r="F49" s="503" t="str">
        <f>'D-Dauer Goldenes Ende'!E9</f>
        <v>keine</v>
      </c>
      <c r="G49" s="130"/>
      <c r="H49" s="130"/>
      <c r="I49" s="130"/>
      <c r="J49" s="130"/>
      <c r="K49" s="130"/>
      <c r="L49" s="130"/>
      <c r="M49" s="130"/>
      <c r="N49" s="130"/>
      <c r="O49" s="130"/>
      <c r="P49" s="130"/>
      <c r="Q49" s="829" t="s">
        <v>509</v>
      </c>
      <c r="R49" s="830"/>
      <c r="S49" s="738">
        <f ca="1">OFFSET('GrD-Grafikdaten'!$J92,0,S$37-2014) - OFFSET('GrD-Grafikdaten'!$J48,0,S$37-2014)</f>
        <v>0</v>
      </c>
      <c r="T49" s="747">
        <f ca="1">OFFSET('GrD-Grafikdaten'!$J92,0,T$37-2014) - OFFSET('GrD-Grafikdaten'!$J48,0,T$37-2014)</f>
        <v>0</v>
      </c>
      <c r="U49" s="747">
        <f ca="1">OFFSET('GrD-Grafikdaten'!$J92,0,U$37-2014) - OFFSET('GrD-Grafikdaten'!$J48,0,U$37-2014)</f>
        <v>0</v>
      </c>
      <c r="V49" s="747">
        <f ca="1">OFFSET('GrD-Grafikdaten'!$J92,0,V$37-2014) - OFFSET('GrD-Grafikdaten'!$J48,0,V$37-2014)</f>
        <v>0</v>
      </c>
      <c r="W49" s="747">
        <f ca="1">OFFSET('GrD-Grafikdaten'!$J92,0,W$37-2014) - OFFSET('GrD-Grafikdaten'!$J48,0,W$37-2014)</f>
        <v>0</v>
      </c>
      <c r="X49" s="747">
        <f ca="1">OFFSET('GrD-Grafikdaten'!$J92,0,X$37-2014) - OFFSET('GrD-Grafikdaten'!$J48,0,X$37-2014)</f>
        <v>0</v>
      </c>
      <c r="Y49" s="130"/>
      <c r="Z49" s="130"/>
      <c r="AA49" s="160"/>
    </row>
    <row r="50" spans="1:29" ht="17.100000000000001" customHeight="1">
      <c r="A50" s="858"/>
      <c r="B50" s="158"/>
      <c r="C50" s="811" t="s">
        <v>25</v>
      </c>
      <c r="D50" s="780" t="s">
        <v>342</v>
      </c>
      <c r="E50" s="510" t="s">
        <v>138</v>
      </c>
      <c r="F50" s="503" t="str">
        <f>'D-Dauer Goldenes Ende'!E6</f>
        <v>keine</v>
      </c>
      <c r="G50" s="130"/>
      <c r="H50" s="130"/>
      <c r="I50" s="130"/>
      <c r="J50" s="130"/>
      <c r="K50" s="130"/>
      <c r="L50" s="130"/>
      <c r="M50" s="130"/>
      <c r="N50" s="130"/>
      <c r="O50" s="130"/>
      <c r="P50" s="130"/>
      <c r="Q50" s="130"/>
      <c r="R50" s="130"/>
      <c r="S50" s="130"/>
      <c r="T50" s="130"/>
      <c r="U50" s="130"/>
      <c r="V50" s="130"/>
      <c r="W50" s="130"/>
      <c r="X50" s="130"/>
      <c r="Y50" s="130"/>
      <c r="Z50" s="130"/>
      <c r="AA50" s="160"/>
      <c r="AB50" s="858"/>
    </row>
    <row r="51" spans="1:29" ht="17.100000000000001" customHeight="1" thickBot="1">
      <c r="A51" s="858"/>
      <c r="B51" s="158"/>
      <c r="C51" s="813" t="s">
        <v>27</v>
      </c>
      <c r="D51" s="786" t="s">
        <v>342</v>
      </c>
      <c r="E51" s="511" t="s">
        <v>138</v>
      </c>
      <c r="F51" s="504" t="str">
        <f>'D-Dauer Goldenes Ende'!E7</f>
        <v>keine</v>
      </c>
      <c r="G51" s="130"/>
      <c r="H51" s="130"/>
      <c r="I51" s="130"/>
      <c r="J51" s="130"/>
      <c r="K51" s="130"/>
      <c r="L51" s="130"/>
      <c r="M51" s="130"/>
      <c r="N51" s="130"/>
      <c r="O51" s="130"/>
      <c r="P51" s="130"/>
      <c r="Q51" s="130"/>
      <c r="R51" s="130"/>
      <c r="S51" s="130"/>
      <c r="T51" s="130"/>
      <c r="U51" s="130"/>
      <c r="V51" s="130"/>
      <c r="W51" s="130"/>
      <c r="X51" s="130"/>
      <c r="Y51" s="130"/>
      <c r="Z51" s="130"/>
      <c r="AA51" s="160"/>
      <c r="AB51" s="858"/>
    </row>
    <row r="52" spans="1:29" ht="17.100000000000001" customHeight="1">
      <c r="A52" s="858"/>
      <c r="B52" s="162"/>
      <c r="C52" s="163"/>
      <c r="D52" s="163"/>
      <c r="E52" s="163"/>
      <c r="F52" s="644" t="s">
        <v>174</v>
      </c>
      <c r="G52" s="163"/>
      <c r="H52" s="163"/>
      <c r="I52" s="163"/>
      <c r="J52" s="163"/>
      <c r="K52" s="163"/>
      <c r="L52" s="163"/>
      <c r="M52" s="163"/>
      <c r="N52" s="163"/>
      <c r="O52" s="163"/>
      <c r="P52" s="163"/>
      <c r="Q52" s="163"/>
      <c r="R52" s="163"/>
      <c r="S52" s="163"/>
      <c r="T52" s="163"/>
      <c r="U52" s="163"/>
      <c r="V52" s="163"/>
      <c r="W52" s="163"/>
      <c r="X52" s="163"/>
      <c r="Y52" s="163"/>
      <c r="Z52" s="163"/>
      <c r="AA52" s="164"/>
      <c r="AB52" s="858"/>
    </row>
    <row r="53" spans="1:29" ht="17.100000000000001" customHeight="1">
      <c r="A53" s="858"/>
      <c r="B53" s="858"/>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row>
    <row r="54" spans="1:29" ht="17.100000000000001" customHeight="1">
      <c r="A54" s="863"/>
      <c r="B54" s="143"/>
      <c r="C54" s="165"/>
      <c r="D54" s="165"/>
      <c r="E54" s="165"/>
      <c r="F54" s="165"/>
      <c r="G54" s="165"/>
      <c r="H54" s="165"/>
      <c r="I54" s="165"/>
      <c r="J54" s="165"/>
      <c r="K54" s="165"/>
      <c r="L54" s="165"/>
      <c r="M54" s="165"/>
      <c r="N54" s="165"/>
      <c r="O54" s="165"/>
      <c r="P54" s="165"/>
      <c r="Q54" s="165"/>
      <c r="R54" s="165"/>
      <c r="S54" s="165"/>
      <c r="T54" s="45"/>
      <c r="U54" s="165"/>
      <c r="V54" s="165"/>
      <c r="W54" s="165"/>
      <c r="X54" s="165"/>
      <c r="Y54" s="165"/>
      <c r="Z54" s="165"/>
      <c r="AA54" s="165"/>
      <c r="AB54" s="165"/>
    </row>
    <row r="55" spans="1:29" ht="17.100000000000001" customHeight="1">
      <c r="A55" s="863"/>
      <c r="B55" s="143"/>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row>
    <row r="56" spans="1:29" ht="17.100000000000001" customHeight="1">
      <c r="A56" s="165"/>
      <c r="B56" s="143"/>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row>
    <row r="57" spans="1:29" ht="17.100000000000001" customHeight="1">
      <c r="A57" s="165"/>
      <c r="B57" s="143"/>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row>
    <row r="58" spans="1:29" ht="17.100000000000001" customHeight="1">
      <c r="A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row>
    <row r="59" spans="1:29" ht="17.100000000000001" customHeight="1">
      <c r="A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row>
    <row r="60" spans="1:29" ht="17.100000000000001" customHeight="1">
      <c r="A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row>
    <row r="61" spans="1:29" ht="17.100000000000001" customHeight="1">
      <c r="A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row>
    <row r="62" spans="1:29" ht="17.100000000000001" customHeight="1">
      <c r="A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row>
    <row r="63" spans="1:29" ht="17.100000000000001" customHeight="1">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row>
    <row r="64" spans="1:29" ht="17.100000000000001" customHeight="1">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row>
    <row r="65" spans="1:28" ht="15" customHeight="1">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row>
    <row r="66" spans="1:28" ht="15" customHeight="1">
      <c r="A66" s="143"/>
      <c r="B66" s="143"/>
      <c r="C66" s="143"/>
      <c r="D66" s="143"/>
      <c r="E66" s="143"/>
      <c r="S66" s="143"/>
      <c r="T66" s="143"/>
      <c r="U66" s="143"/>
      <c r="V66" s="143"/>
      <c r="W66" s="143"/>
      <c r="X66" s="143"/>
      <c r="Y66" s="143"/>
      <c r="Z66" s="143"/>
      <c r="AA66" s="143"/>
    </row>
    <row r="67" spans="1:28" ht="15" customHeight="1">
      <c r="A67" s="143"/>
      <c r="B67" s="143"/>
      <c r="C67" s="143"/>
      <c r="D67" s="143"/>
      <c r="E67" s="143"/>
      <c r="S67" s="143"/>
      <c r="T67" s="143"/>
      <c r="U67" s="143"/>
      <c r="V67" s="143"/>
      <c r="W67" s="143"/>
      <c r="X67" s="143"/>
      <c r="Y67" s="143"/>
      <c r="Z67" s="143"/>
      <c r="AA67" s="143"/>
    </row>
    <row r="68" spans="1:28" ht="15" customHeight="1">
      <c r="A68" s="143"/>
      <c r="B68" s="143"/>
      <c r="C68" s="143"/>
      <c r="D68" s="143"/>
      <c r="E68" s="143"/>
      <c r="S68" s="143"/>
      <c r="T68" s="143"/>
      <c r="U68" s="143"/>
      <c r="V68" s="143"/>
      <c r="W68" s="143"/>
      <c r="X68" s="143"/>
      <c r="Y68" s="143"/>
      <c r="Z68" s="143"/>
      <c r="AA68" s="143"/>
    </row>
    <row r="69" spans="1:28" ht="15" customHeight="1">
      <c r="A69" s="143"/>
      <c r="B69" s="143"/>
      <c r="S69" s="143"/>
      <c r="T69" s="143"/>
      <c r="U69" s="143"/>
      <c r="V69" s="143"/>
      <c r="W69" s="143"/>
      <c r="X69" s="143"/>
      <c r="Y69" s="143"/>
      <c r="Z69" s="143"/>
      <c r="AA69" s="143"/>
    </row>
  </sheetData>
  <sheetProtection algorithmName="SHA-512" hashValue="0C8Q405g34gMJr7An5DbQptkw9PIntFvL4Hmn1L3hJsgemG2HK7/isAgm5SVJCFLLmiIbvUA+vGnZGyl9zSCCA==" saltValue="8FTmnAS0f5OUqhzBQCmX0g==" spinCount="100000" sheet="1" objects="1" scenarios="1"/>
  <mergeCells count="48">
    <mergeCell ref="Q46:X46"/>
    <mergeCell ref="E33:F33"/>
    <mergeCell ref="L33:M33"/>
    <mergeCell ref="E43:F43"/>
    <mergeCell ref="E44:F44"/>
    <mergeCell ref="L44:M44"/>
    <mergeCell ref="J44:K44"/>
    <mergeCell ref="J45:K45"/>
    <mergeCell ref="J43:M43"/>
    <mergeCell ref="Q42:X42"/>
    <mergeCell ref="T2:U3"/>
    <mergeCell ref="E7:F7"/>
    <mergeCell ref="J24:M24"/>
    <mergeCell ref="L25:M25"/>
    <mergeCell ref="J19:K19"/>
    <mergeCell ref="J20:K20"/>
    <mergeCell ref="J21:K21"/>
    <mergeCell ref="J22:K22"/>
    <mergeCell ref="J25:K25"/>
    <mergeCell ref="E25:F25"/>
    <mergeCell ref="D24:F24"/>
    <mergeCell ref="Q5:S5"/>
    <mergeCell ref="E32:F32"/>
    <mergeCell ref="C2:C3"/>
    <mergeCell ref="D6:F6"/>
    <mergeCell ref="D17:F17"/>
    <mergeCell ref="J17:M17"/>
    <mergeCell ref="E18:F18"/>
    <mergeCell ref="J7:K7"/>
    <mergeCell ref="J8:K8"/>
    <mergeCell ref="J9:K9"/>
    <mergeCell ref="J10:K10"/>
    <mergeCell ref="J11:K11"/>
    <mergeCell ref="L18:M18"/>
    <mergeCell ref="J6:M6"/>
    <mergeCell ref="J26:K26"/>
    <mergeCell ref="L7:M7"/>
    <mergeCell ref="J30:K30"/>
    <mergeCell ref="J27:K27"/>
    <mergeCell ref="J12:K12"/>
    <mergeCell ref="J13:K13"/>
    <mergeCell ref="J14:K14"/>
    <mergeCell ref="J18:K18"/>
    <mergeCell ref="J28:K28"/>
    <mergeCell ref="J29:K29"/>
    <mergeCell ref="L32:M32"/>
    <mergeCell ref="I32:J32"/>
    <mergeCell ref="Q36:X36"/>
  </mergeCells>
  <conditionalFormatting sqref="S47:X48">
    <cfRule type="cellIs" dxfId="269" priority="3" operator="lessThan">
      <formula>0</formula>
    </cfRule>
    <cfRule type="cellIs" dxfId="268" priority="4" operator="greaterThan">
      <formula>0</formula>
    </cfRule>
  </conditionalFormatting>
  <conditionalFormatting sqref="S49:X49">
    <cfRule type="cellIs" dxfId="267" priority="1" operator="greaterThan">
      <formula>0</formula>
    </cfRule>
    <cfRule type="cellIs" dxfId="266" priority="2" operator="lessThan">
      <formula>0</formula>
    </cfRule>
  </conditionalFormatting>
  <dataValidations count="58">
    <dataValidation type="list" allowBlank="1" showInputMessage="1" showErrorMessage="1" sqref="E12" xr:uid="{00000000-0002-0000-0000-000000000000}">
      <formula1>INDIRECT("'D-Bruttozubau'!$C$91:$C$115")</formula1>
    </dataValidation>
    <dataValidation type="list" allowBlank="1" showInputMessage="1" showErrorMessage="1" sqref="E11" xr:uid="{00000000-0002-0000-0000-000001000000}">
      <formula1>INDIRECT("'D-Bruttozubau'!$C$65:$C$89")</formula1>
    </dataValidation>
    <dataValidation type="list" allowBlank="1" showInputMessage="1" showErrorMessage="1" sqref="E13" xr:uid="{00000000-0002-0000-0000-000002000000}">
      <formula1>INDIRECT("'D-Bruttozubau'!$C$13:$C$37")</formula1>
    </dataValidation>
    <dataValidation type="list" allowBlank="1" showInputMessage="1" showErrorMessage="1" sqref="E8" xr:uid="{00000000-0002-0000-0000-000003000000}">
      <formula1>INDIRECT("'D-Bruttozubau'!$C$117:$C$141")</formula1>
    </dataValidation>
    <dataValidation type="list" allowBlank="1" showInputMessage="1" showErrorMessage="1" sqref="E9" xr:uid="{00000000-0002-0000-0000-000004000000}">
      <formula1>INDIRECT("'D-Bruttozubau'!$C$143:$C$167")</formula1>
    </dataValidation>
    <dataValidation type="list" allowBlank="1" showInputMessage="1" showErrorMessage="1" sqref="E10" xr:uid="{00000000-0002-0000-0000-000005000000}">
      <formula1>INDIRECT("'D-Bruttozubau'!$C$169:$C$193")</formula1>
    </dataValidation>
    <dataValidation type="list" allowBlank="1" showInputMessage="1" showErrorMessage="1" sqref="L36" xr:uid="{00000000-0002-0000-0000-000006000000}">
      <formula1>INDIRECT("'D-Profilfaktoren'!$C$169:$C$193")</formula1>
    </dataValidation>
    <dataValidation type="list" allowBlank="1" showInputMessage="1" showErrorMessage="1" sqref="L35" xr:uid="{00000000-0002-0000-0000-000007000000}">
      <formula1>INDIRECT("'D-Profilfaktoren'!$C$143:$C$167")</formula1>
    </dataValidation>
    <dataValidation type="list" allowBlank="1" showInputMessage="1" showErrorMessage="1" sqref="L34" xr:uid="{00000000-0002-0000-0000-000008000000}">
      <formula1>INDIRECT("'D-Profilfaktoren'!$C$117:$C$141")</formula1>
    </dataValidation>
    <dataValidation type="list" allowBlank="1" showInputMessage="1" showErrorMessage="1" sqref="L38" xr:uid="{00000000-0002-0000-0000-000009000000}">
      <formula1>INDIRECT("'D-Profilfaktoren'!$C$91:$C$115")</formula1>
    </dataValidation>
    <dataValidation type="list" allowBlank="1" showInputMessage="1" showErrorMessage="1" sqref="L37" xr:uid="{00000000-0002-0000-0000-00000A000000}">
      <formula1>INDIRECT("'D-Profilfaktoren'!$C$65:$C$89")</formula1>
    </dataValidation>
    <dataValidation type="list" allowBlank="1" showInputMessage="1" showErrorMessage="1" sqref="L40" xr:uid="{00000000-0002-0000-0000-00000B000000}">
      <formula1>INDIRECT("'D-Profilfaktoren'!$C$39:$C$63")</formula1>
    </dataValidation>
    <dataValidation type="list" allowBlank="1" showInputMessage="1" showErrorMessage="1" sqref="L39" xr:uid="{00000000-0002-0000-0000-00000C000000}">
      <formula1>INDIRECT("'D-Profilfaktoren'!$C$13:$C$37")</formula1>
    </dataValidation>
    <dataValidation type="list" allowBlank="1" showInputMessage="1" showErrorMessage="1" sqref="L10" xr:uid="{00000000-0002-0000-0000-00000D000000}">
      <formula1>INDIRECT("'D-Vergütungssatz Neuanlagen'!$C$169:$C$187")</formula1>
    </dataValidation>
    <dataValidation type="list" allowBlank="1" showInputMessage="1" showErrorMessage="1" sqref="L9" xr:uid="{00000000-0002-0000-0000-00000E000000}">
      <formula1>INDIRECT("'D-Vergütungssatz Neuanlagen'!$C$143:$C$167")</formula1>
    </dataValidation>
    <dataValidation type="list" allowBlank="1" showInputMessage="1" showErrorMessage="1" sqref="L8" xr:uid="{00000000-0002-0000-0000-00000F000000}">
      <formula1>INDIRECT("'D-Vergütungssatz Neuanlagen'!$C$117:$C$135")</formula1>
    </dataValidation>
    <dataValidation type="list" allowBlank="1" showInputMessage="1" showErrorMessage="1" sqref="L12" xr:uid="{00000000-0002-0000-0000-000010000000}">
      <formula1>INDIRECT("'D-Vergütungssatz Neuanlagen'!$C$91:$C$115")</formula1>
    </dataValidation>
    <dataValidation type="list" allowBlank="1" showInputMessage="1" showErrorMessage="1" sqref="L11" xr:uid="{00000000-0002-0000-0000-000011000000}">
      <formula1>INDIRECT("'D-Vergütungssatz Neuanlagen'!$C$65:$C$83")</formula1>
    </dataValidation>
    <dataValidation type="list" allowBlank="1" showInputMessage="1" showErrorMessage="1" sqref="L14" xr:uid="{00000000-0002-0000-0000-000012000000}">
      <formula1>INDIRECT("'D-Vergütungssatz Neuanlagen'!$C$39:$C$63")</formula1>
    </dataValidation>
    <dataValidation type="list" allowBlank="1" showInputMessage="1" showErrorMessage="1" sqref="L13" xr:uid="{00000000-0002-0000-0000-000013000000}">
      <formula1>INDIRECT("'D-Vergütungssatz Neuanlagen'!$C$13:$C$37")</formula1>
    </dataValidation>
    <dataValidation type="list" allowBlank="1" showInputMessage="1" showErrorMessage="1" sqref="L29" xr:uid="{00000000-0002-0000-0000-000014000000}">
      <formula1>INDIRECT("'D-Sonstige Kosten'!$B$7:$B$25")</formula1>
    </dataValidation>
    <dataValidation type="list" allowBlank="1" showInputMessage="1" showErrorMessage="1" sqref="E20" xr:uid="{00000000-0002-0000-0000-000015000000}">
      <formula1>INDIRECT("'D-Umlage priv. Letztverbrauch'!$B$7:$B$25")</formula1>
    </dataValidation>
    <dataValidation type="list" allowBlank="1" showInputMessage="1" showErrorMessage="1" sqref="E19" xr:uid="{00000000-0002-0000-0000-000016000000}">
      <formula1>INDIRECT("'D-Privilegierter Letztverbrauch'!$B$7:$B$25")</formula1>
    </dataValidation>
    <dataValidation type="list" allowBlank="1" showInputMessage="1" showErrorMessage="1" sqref="L26" xr:uid="{00000000-0002-0000-0000-000017000000}">
      <formula1>INDIRECT("'D-Nettostromverbrauch'!$B$7:$B$25")</formula1>
    </dataValidation>
    <dataValidation type="list" allowBlank="1" showInputMessage="1" showErrorMessage="1" sqref="L20" xr:uid="{00000000-0002-0000-0000-000018000000}">
      <formula1>INDIRECT("'D-Liquiditätspuffer'!$B$7:$B$25")</formula1>
    </dataValidation>
    <dataValidation type="list" allowBlank="1" showInputMessage="1" showErrorMessage="1" sqref="L27" xr:uid="{00000000-0002-0000-0000-000019000000}">
      <formula1>INDIRECT("'D-Spot-Skalierungsfaktor'!$B$7:$B$25")</formula1>
    </dataValidation>
    <dataValidation type="list" allowBlank="1" showInputMessage="1" showErrorMessage="1" sqref="L19" xr:uid="{00000000-0002-0000-0000-00001A000000}">
      <formula1>INDIRECT("'D-Future Strompreis'!$B$7:$B$25")</formula1>
    </dataValidation>
    <dataValidation type="list" allowBlank="1" showInputMessage="1" showErrorMessage="1" sqref="L28" xr:uid="{00000000-0002-0000-0000-00001B000000}">
      <formula1>INDIRECT("'D-vermiedene Netzentgelte'!$B$7:$B$25")</formula1>
    </dataValidation>
    <dataValidation type="list" allowBlank="1" showInputMessage="1" showErrorMessage="1" sqref="E36" xr:uid="{00000000-0002-0000-0000-00001C000000}">
      <formula1>INDIRECT("'D-Standardauslastung'!$C$169:$C$193")</formula1>
    </dataValidation>
    <dataValidation type="list" allowBlank="1" showInputMessage="1" showErrorMessage="1" sqref="E35" xr:uid="{00000000-0002-0000-0000-00001D000000}">
      <formula1>INDIRECT("'D-Standardauslastung'!$C$143:$C$167")</formula1>
    </dataValidation>
    <dataValidation type="list" allowBlank="1" showInputMessage="1" showErrorMessage="1" sqref="E34" xr:uid="{00000000-0002-0000-0000-00001E000000}">
      <formula1>INDIRECT("'D-Standardauslastung'!$C$117:$C$141")</formula1>
    </dataValidation>
    <dataValidation type="list" allowBlank="1" showInputMessage="1" showErrorMessage="1" sqref="E38" xr:uid="{00000000-0002-0000-0000-00001F000000}">
      <formula1>INDIRECT("'D-Standardauslastung'!$C$91:$C$115")</formula1>
    </dataValidation>
    <dataValidation type="list" allowBlank="1" showInputMessage="1" showErrorMessage="1" sqref="E37" xr:uid="{00000000-0002-0000-0000-000020000000}">
      <formula1>INDIRECT("'D-Standardauslastung'!$C$65:$C$89")</formula1>
    </dataValidation>
    <dataValidation type="list" allowBlank="1" showInputMessage="1" showErrorMessage="1" sqref="E40" xr:uid="{00000000-0002-0000-0000-000021000000}">
      <formula1>INDIRECT("'D-Standardauslastung'!$C$39:$C$63")</formula1>
    </dataValidation>
    <dataValidation type="list" allowBlank="1" showInputMessage="1" showErrorMessage="1" sqref="E39" xr:uid="{00000000-0002-0000-0000-000022000000}">
      <formula1>INDIRECT("'D-Standardauslastung'!$C$13:$C$37")</formula1>
    </dataValidation>
    <dataValidation type="list" allowBlank="1" showInputMessage="1" showErrorMessage="1" sqref="E14" xr:uid="{00000000-0002-0000-0000-000023000000}">
      <formula1>INDIRECT("'D-Bruttozubau'!$C$39:$C$63")</formula1>
    </dataValidation>
    <dataValidation type="list" allowBlank="1" showInputMessage="1" showErrorMessage="1" sqref="I36" xr:uid="{00000000-0002-0000-0000-000024000000}">
      <formula1>INDIRECT("'D-Dargebotsfaktor'!$C$169:$C$193")</formula1>
    </dataValidation>
    <dataValidation type="list" allowBlank="1" showInputMessage="1" showErrorMessage="1" sqref="I35" xr:uid="{00000000-0002-0000-0000-000025000000}">
      <formula1>INDIRECT("'D-Dargebotsfaktor'!$C$143:$C$167")</formula1>
    </dataValidation>
    <dataValidation type="list" allowBlank="1" showInputMessage="1" showErrorMessage="1" sqref="I34" xr:uid="{00000000-0002-0000-0000-000026000000}">
      <formula1>INDIRECT("'D-Dargebotsfaktor'!$C$117:$C$141")</formula1>
    </dataValidation>
    <dataValidation type="list" allowBlank="1" showInputMessage="1" showErrorMessage="1" sqref="I38" xr:uid="{00000000-0002-0000-0000-000027000000}">
      <formula1>INDIRECT("'D-Dargebotsfaktor'!$C$91:$C$115")</formula1>
    </dataValidation>
    <dataValidation type="list" allowBlank="1" showInputMessage="1" showErrorMessage="1" sqref="I37" xr:uid="{00000000-0002-0000-0000-000028000000}">
      <formula1>INDIRECT("'D-Dargebotsfaktor'!$C$65:$C$89")</formula1>
    </dataValidation>
    <dataValidation type="list" allowBlank="1" showInputMessage="1" showErrorMessage="1" sqref="I40" xr:uid="{00000000-0002-0000-0000-000029000000}">
      <formula1>INDIRECT("'D-Dargebotsfaktor'!$C$39:$C$63")</formula1>
    </dataValidation>
    <dataValidation type="list" allowBlank="1" showInputMessage="1" showErrorMessage="1" sqref="I39" xr:uid="{00000000-0002-0000-0000-00002A000000}">
      <formula1>INDIRECT("'D-Dargebotsfaktor'!$C$13:$C$37")</formula1>
    </dataValidation>
    <dataValidation type="list" allowBlank="1" showInputMessage="1" showErrorMessage="1" sqref="L21" xr:uid="{00000000-0002-0000-0000-00002B000000}">
      <formula1>INDIRECT("'D-Kontostand aktuelles Jahr'!$B$7:$B$25")</formula1>
    </dataValidation>
    <dataValidation type="list" allowBlank="1" showInputMessage="1" showErrorMessage="1" sqref="L22" xr:uid="{00000000-0002-0000-0000-00002C000000}">
      <formula1>INDIRECT("'D-Prognosefehler Kontostand'!$B$7:$B$25")</formula1>
    </dataValidation>
    <dataValidation type="list" allowBlank="1" showInputMessage="1" showErrorMessage="1" sqref="E26" xr:uid="{00000000-0002-0000-0000-00002D000000}">
      <formula1>INDIRECT("'D-Eigenverbrauch KWK Neue'!$B$7:$B$25")</formula1>
    </dataValidation>
    <dataValidation type="list" allowBlank="1" showInputMessage="1" showErrorMessage="1" sqref="E28" xr:uid="{00000000-0002-0000-0000-00002E000000}">
      <formula1>INDIRECT("'D-Umlage Eigenverbrauch PV+KWK'!$B$7:$B$25")</formula1>
    </dataValidation>
    <dataValidation type="list" allowBlank="1" showInputMessage="1" showErrorMessage="1" sqref="E27" xr:uid="{00000000-0002-0000-0000-00002F000000}">
      <formula1>INDIRECT("'D-Anteil Eigenverbrauch EE neu'!$C$13:$C$37")</formula1>
    </dataValidation>
    <dataValidation type="list" allowBlank="1" showInputMessage="1" showErrorMessage="1" sqref="E21" xr:uid="{00000000-0002-0000-0000-000030000000}">
      <formula1>INDIRECT("'D-Faktor Zusatzprivilegierung'!$B$7:$B$25")</formula1>
    </dataValidation>
    <dataValidation type="list" allowBlank="1" showInputMessage="1" showErrorMessage="1" sqref="E29" xr:uid="{00000000-0002-0000-0000-000031000000}">
      <formula1>INDIRECT("'D-Umlage EV Bestand'!$B$7:$B$12")</formula1>
    </dataValidation>
    <dataValidation type="list" allowBlank="1" showInputMessage="1" showErrorMessage="1" sqref="L30" xr:uid="{00000000-0002-0000-0000-000032000000}">
      <formula1>INDIRECT("'D-Inflationsrate'!$B$7:$B$25")</formula1>
    </dataValidation>
    <dataValidation type="list" allowBlank="1" showInputMessage="1" showErrorMessage="1" sqref="E45" xr:uid="{00000000-0002-0000-0000-000033000000}">
      <formula1>INDIRECT("'D-Dauer Goldenes Ende'!$C$117:$C$141")</formula1>
    </dataValidation>
    <dataValidation type="list" allowBlank="1" showInputMessage="1" showErrorMessage="1" sqref="E46" xr:uid="{00000000-0002-0000-0000-000034000000}">
      <formula1>INDIRECT("'D-Dauer Goldenes Ende'!$C$143:$C$167")</formula1>
    </dataValidation>
    <dataValidation type="list" allowBlank="1" showInputMessage="1" showErrorMessage="1" sqref="E47" xr:uid="{00000000-0002-0000-0000-000035000000}">
      <formula1>INDIRECT("'D-Dauer Goldenes Ende'!$C$169:$C$193")</formula1>
    </dataValidation>
    <dataValidation type="list" allowBlank="1" showInputMessage="1" showErrorMessage="1" sqref="E48" xr:uid="{00000000-0002-0000-0000-000036000000}">
      <formula1>INDIRECT("'D-Dauer Goldenes Ende'!$C$65:$C$89")</formula1>
    </dataValidation>
    <dataValidation type="list" allowBlank="1" showInputMessage="1" showErrorMessage="1" sqref="E49" xr:uid="{00000000-0002-0000-0000-000037000000}">
      <formula1>INDIRECT("'D-Dauer Goldenes Ende'!$C$91:$C$115")</formula1>
    </dataValidation>
    <dataValidation type="list" allowBlank="1" showInputMessage="1" showErrorMessage="1" sqref="E50" xr:uid="{00000000-0002-0000-0000-000038000000}">
      <formula1>INDIRECT("'D-Dauer Goldenes Ende'!$C$13:$C$37")</formula1>
    </dataValidation>
    <dataValidation type="list" allowBlank="1" showInputMessage="1" showErrorMessage="1" sqref="E51" xr:uid="{00000000-0002-0000-0000-000039000000}">
      <formula1>INDIRECT("'D-Dauer Goldenes Ende'!$C$39:$C$63")</formula1>
    </dataValidation>
  </dataValidations>
  <hyperlinks>
    <hyperlink ref="O26" location="'D-Nettostromverbrauch'!Druckbereich" display="&gt;" xr:uid="{00000000-0004-0000-0000-000000000000}"/>
    <hyperlink ref="H19" location="'D-Privilegierter Letztverbrauch'!A1" display="&gt;" xr:uid="{00000000-0004-0000-0000-000001000000}"/>
    <hyperlink ref="H26" location="'D-Eigenverbrauch KWK Neue'!Druckbereich" display="&gt;" xr:uid="{00000000-0004-0000-0000-000002000000}"/>
    <hyperlink ref="H20" location="'D-Umlage priv. Letztverbrauch'!A1" display="&gt;" xr:uid="{00000000-0004-0000-0000-000003000000}"/>
    <hyperlink ref="H29" location="'D-Umlage EV Bestand'!A1" display="&gt;" xr:uid="{00000000-0004-0000-0000-000004000000}"/>
    <hyperlink ref="O28" location="'D-vermiedene Netzentgelte'!A1" display="&gt;" xr:uid="{00000000-0004-0000-0000-000005000000}"/>
    <hyperlink ref="O19" location="'D-Future Strompreis'!A1" display="&gt;" xr:uid="{00000000-0004-0000-0000-000006000000}"/>
    <hyperlink ref="O27" location="'D-Spot-Skalierungsfaktor'!A1" display="&gt;" xr:uid="{00000000-0004-0000-0000-000007000000}"/>
    <hyperlink ref="O20" location="'D-Liquiditätspuffer'!A1" display="&gt;" xr:uid="{00000000-0004-0000-0000-000008000000}"/>
    <hyperlink ref="O29" location="'D-Sonstige Kosten'!A1" display="&gt;" xr:uid="{00000000-0004-0000-0000-000009000000}"/>
    <hyperlink ref="J41" location="'D-Dargebotsfaktor'!A1" display="&gt;" xr:uid="{00000000-0004-0000-0000-00000A000000}"/>
    <hyperlink ref="F15" location="'D-Bruttozubau'!A1" display="zu den Szenariendaten:   &gt;" xr:uid="{00000000-0004-0000-0000-00000B000000}"/>
    <hyperlink ref="F41" location="'D-Standardauslastung'!A1" display="&gt;" xr:uid="{00000000-0004-0000-0000-00000C000000}"/>
    <hyperlink ref="M41" location="'D-Profilfaktoren'!A1" display="&gt;" xr:uid="{00000000-0004-0000-0000-00000D000000}"/>
    <hyperlink ref="M15" location="'D-Vergütungssatz Neuanlagen'!A1" display="&gt;" xr:uid="{00000000-0004-0000-0000-00000E000000}"/>
    <hyperlink ref="H27" location="'D-Anteil Eigenverbrauch EE neu'!Druckbereich" display="&gt;" xr:uid="{00000000-0004-0000-0000-00000F000000}"/>
    <hyperlink ref="O21" location="'D-Kontostand aktuelles Jahr'!A1" display="&gt;" xr:uid="{00000000-0004-0000-0000-000010000000}"/>
    <hyperlink ref="O22" location="'D-Prognosefehler Kontostand'!A1" display="&gt;" xr:uid="{00000000-0004-0000-0000-000011000000}"/>
    <hyperlink ref="H28" location="'D-Umlage Eigenverbrauch PV+KWK'!A1" display="&gt;" xr:uid="{00000000-0004-0000-0000-000012000000}"/>
    <hyperlink ref="H21" location="'D-Faktor Zusatzprivilegierung'!Druckbereich" display="&gt;" xr:uid="{00000000-0004-0000-0000-000013000000}"/>
    <hyperlink ref="O30" location="'D-Inflationsrate'!A1" display="&gt;" xr:uid="{00000000-0004-0000-0000-000014000000}"/>
    <hyperlink ref="F52" location="'D-Dauer Goldenes Ende'!A1" display="&gt;" xr:uid="{00000000-0004-0000-0000-000015000000}"/>
    <hyperlink ref="O45" location="'D-Zuschuss'!A1" display="&gt;" xr:uid="{E79BB168-0279-4DC8-A11D-76C4EC1237B2}"/>
  </hyperlinks>
  <printOptions verticalCentered="1"/>
  <pageMargins left="0.78740157480314965" right="0.78740157480314965" top="0.98425196850393704" bottom="0.98425196850393704" header="0.59055118110236227" footer="0.59055118110236227"/>
  <pageSetup paperSize="9" scale="35" fitToHeight="0" orientation="landscape" r:id="rId1"/>
  <headerFooter scaleWithDoc="0">
    <oddHeader>&amp;C&amp;"Arial,Fett"&amp;18EEG Calculator</oddHeader>
    <oddFooter>&amp;LExpertenmodus:
Eingangsparameter &amp;&amp; Ergebnisse&amp;C&amp;F  &amp;A
Seite &amp;P/&amp;N&amp;R
&amp;D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28" r:id="rId4" name="Button 4">
              <controlPr defaultSize="0" print="0" autoFill="0" autoPict="0" macro="[0]!ChangeToSimplifiedMode">
                <anchor moveWithCells="1" sizeWithCells="1">
                  <from>
                    <xdr:col>3</xdr:col>
                    <xdr:colOff>504825</xdr:colOff>
                    <xdr:row>1</xdr:row>
                    <xdr:rowOff>57150</xdr:rowOff>
                  </from>
                  <to>
                    <xdr:col>5</xdr:col>
                    <xdr:colOff>228600</xdr:colOff>
                    <xdr:row>2</xdr:row>
                    <xdr:rowOff>133350</xdr:rowOff>
                  </to>
                </anchor>
              </controlPr>
            </control>
          </mc:Choice>
        </mc:AlternateContent>
        <mc:AlternateContent xmlns:mc="http://schemas.openxmlformats.org/markup-compatibility/2006">
          <mc:Choice Requires="x14">
            <control shapeId="103429" r:id="rId5" name="Button 5">
              <controlPr defaultSize="0" print="0" autoFill="0" autoPict="0" macro="[0]!revertToReferenceScenarioExpertMode">
                <anchor moveWithCells="1" sizeWithCells="1">
                  <from>
                    <xdr:col>5</xdr:col>
                    <xdr:colOff>3067050</xdr:colOff>
                    <xdr:row>1</xdr:row>
                    <xdr:rowOff>28575</xdr:rowOff>
                  </from>
                  <to>
                    <xdr:col>8</xdr:col>
                    <xdr:colOff>142875</xdr:colOff>
                    <xdr:row>2</xdr:row>
                    <xdr:rowOff>104775</xdr:rowOff>
                  </to>
                </anchor>
              </controlPr>
            </control>
          </mc:Choice>
        </mc:AlternateContent>
        <mc:AlternateContent xmlns:mc="http://schemas.openxmlformats.org/markup-compatibility/2006">
          <mc:Choice Requires="x14">
            <control shapeId="103435" r:id="rId6" name="Button 11">
              <controlPr defaultSize="0" print="0" autoFill="0" autoPict="0" macro="[0]!goToManual">
                <anchor moveWithCells="1" sizeWithCells="1">
                  <from>
                    <xdr:col>9</xdr:col>
                    <xdr:colOff>295275</xdr:colOff>
                    <xdr:row>1</xdr:row>
                    <xdr:rowOff>28575</xdr:rowOff>
                  </from>
                  <to>
                    <xdr:col>11</xdr:col>
                    <xdr:colOff>57150</xdr:colOff>
                    <xdr:row>2</xdr:row>
                    <xdr:rowOff>104775</xdr:rowOff>
                  </to>
                </anchor>
              </controlPr>
            </control>
          </mc:Choice>
        </mc:AlternateContent>
        <mc:AlternateContent xmlns:mc="http://schemas.openxmlformats.org/markup-compatibility/2006">
          <mc:Choice Requires="x14">
            <control shapeId="103436" r:id="rId7" name="Button 12">
              <controlPr defaultSize="0" print="0" autoFill="0" autoPict="0" macro="[0]!goToResults">
                <anchor moveWithCells="1" sizeWithCells="1">
                  <from>
                    <xdr:col>5</xdr:col>
                    <xdr:colOff>438150</xdr:colOff>
                    <xdr:row>1</xdr:row>
                    <xdr:rowOff>57150</xdr:rowOff>
                  </from>
                  <to>
                    <xdr:col>5</xdr:col>
                    <xdr:colOff>1962150</xdr:colOff>
                    <xdr:row>2</xdr:row>
                    <xdr:rowOff>133350</xdr:rowOff>
                  </to>
                </anchor>
              </controlPr>
            </control>
          </mc:Choice>
        </mc:AlternateContent>
        <mc:AlternateContent xmlns:mc="http://schemas.openxmlformats.org/markup-compatibility/2006">
          <mc:Choice Requires="x14">
            <control shapeId="103456" r:id="rId8" name="Button 32">
              <controlPr defaultSize="0" print="0" autoFill="0" autoPict="0" macro="[0]!switchNominalReal">
                <anchor moveWithCells="1" sizeWithCells="1">
                  <from>
                    <xdr:col>20</xdr:col>
                    <xdr:colOff>47625</xdr:colOff>
                    <xdr:row>4</xdr:row>
                    <xdr:rowOff>57150</xdr:rowOff>
                  </from>
                  <to>
                    <xdr:col>20</xdr:col>
                    <xdr:colOff>752475</xdr:colOff>
                    <xdr:row>4</xdr:row>
                    <xdr:rowOff>323850</xdr:rowOff>
                  </to>
                </anchor>
              </controlPr>
            </control>
          </mc:Choice>
        </mc:AlternateContent>
        <mc:AlternateContent xmlns:mc="http://schemas.openxmlformats.org/markup-compatibility/2006">
          <mc:Choice Requires="x14">
            <control shapeId="103502" r:id="rId9" name="Button 78">
              <controlPr defaultSize="0" print="0" autoFill="0" autoPict="0" macro="[0]!SelectKNDEScenarioExpertMode">
                <anchor moveWithCells="1" sizeWithCells="1">
                  <from>
                    <xdr:col>8</xdr:col>
                    <xdr:colOff>276225</xdr:colOff>
                    <xdr:row>1</xdr:row>
                    <xdr:rowOff>38100</xdr:rowOff>
                  </from>
                  <to>
                    <xdr:col>9</xdr:col>
                    <xdr:colOff>133350</xdr:colOff>
                    <xdr:row>2</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56994AC-B395-4569-AB26-C934D1BAF54C}">
          <x14:formula1>
            <xm:f>'D-Zuschuss'!$B$7:$B$25</xm:f>
          </x14:formula1>
          <xm:sqref>L45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indexed="13"/>
  </sheetPr>
  <dimension ref="A1:J88"/>
  <sheetViews>
    <sheetView workbookViewId="0"/>
  </sheetViews>
  <sheetFormatPr baseColWidth="10" defaultColWidth="11.42578125" defaultRowHeight="15" customHeight="1" outlineLevelRow="1" outlineLevelCol="1"/>
  <cols>
    <col min="1" max="1" width="5.7109375" style="8" customWidth="1"/>
    <col min="2" max="2" width="5.7109375" style="4" customWidth="1"/>
    <col min="3" max="3" width="35.7109375" style="3" customWidth="1"/>
    <col min="4" max="4" width="10.7109375" style="3" hidden="1" customWidth="1" outlineLevel="1"/>
    <col min="5" max="5" width="125.42578125" style="8" customWidth="1" collapsed="1"/>
    <col min="6" max="6" width="5.7109375" style="8" customWidth="1"/>
    <col min="7" max="16384" width="11.42578125" style="8"/>
  </cols>
  <sheetData>
    <row r="1" spans="1:10" ht="15" customHeight="1" outlineLevel="1">
      <c r="A1" s="7" t="s">
        <v>4</v>
      </c>
      <c r="E1" s="7" t="s">
        <v>3</v>
      </c>
    </row>
    <row r="2" spans="1:10" ht="15" customHeight="1">
      <c r="A2" s="7"/>
      <c r="E2" s="3"/>
    </row>
    <row r="3" spans="1:10" ht="15" customHeight="1">
      <c r="B3" s="2" t="s">
        <v>2</v>
      </c>
      <c r="C3" s="209"/>
    </row>
    <row r="4" spans="1:10" ht="15" customHeight="1">
      <c r="B4" s="5"/>
      <c r="E4" s="6"/>
      <c r="G4" s="1524" t="s">
        <v>6</v>
      </c>
      <c r="H4" s="1525"/>
      <c r="I4" s="1525"/>
      <c r="J4" s="1525"/>
    </row>
    <row r="5" spans="1:10" ht="15" customHeight="1">
      <c r="B5" s="4" t="s">
        <v>9</v>
      </c>
      <c r="C5" s="3" t="s">
        <v>1</v>
      </c>
      <c r="G5" s="1524" t="s">
        <v>7</v>
      </c>
      <c r="H5" s="1525"/>
      <c r="I5" s="1525"/>
      <c r="J5" s="1525"/>
    </row>
    <row r="6" spans="1:10" ht="15" customHeight="1">
      <c r="G6" s="1524" t="s">
        <v>8</v>
      </c>
      <c r="H6" s="1525"/>
      <c r="I6" s="1525"/>
      <c r="J6" s="1525"/>
    </row>
    <row r="7" spans="1:10" ht="15" customHeight="1">
      <c r="B7" s="96">
        <v>1</v>
      </c>
      <c r="C7" s="124" t="s">
        <v>184</v>
      </c>
      <c r="D7" s="125" t="s">
        <v>10</v>
      </c>
      <c r="E7" s="125" t="s">
        <v>184</v>
      </c>
    </row>
    <row r="8" spans="1:10" ht="15" customHeight="1">
      <c r="B8" s="96">
        <v>2</v>
      </c>
      <c r="C8" s="124" t="s">
        <v>185</v>
      </c>
      <c r="D8" s="125" t="s">
        <v>10</v>
      </c>
      <c r="E8" s="125" t="s">
        <v>186</v>
      </c>
    </row>
    <row r="9" spans="1:10" ht="15" customHeight="1">
      <c r="B9" s="96">
        <v>3</v>
      </c>
      <c r="C9" s="87" t="s">
        <v>0</v>
      </c>
      <c r="D9" s="98" t="s">
        <v>10</v>
      </c>
      <c r="E9" s="88" t="s">
        <v>187</v>
      </c>
    </row>
    <row r="10" spans="1:10" ht="15" customHeight="1">
      <c r="B10" s="96">
        <v>4</v>
      </c>
      <c r="C10" s="87" t="s">
        <v>2</v>
      </c>
      <c r="D10" s="90" t="s">
        <v>10</v>
      </c>
      <c r="E10" s="88" t="s">
        <v>103</v>
      </c>
    </row>
    <row r="11" spans="1:10" ht="15" customHeight="1">
      <c r="B11" s="96">
        <v>5</v>
      </c>
      <c r="C11" s="87" t="s">
        <v>225</v>
      </c>
      <c r="D11" s="90" t="s">
        <v>10</v>
      </c>
      <c r="E11" s="88" t="s">
        <v>226</v>
      </c>
    </row>
    <row r="12" spans="1:10" ht="15" customHeight="1">
      <c r="B12" s="96">
        <v>6</v>
      </c>
      <c r="C12" s="97" t="s">
        <v>136</v>
      </c>
      <c r="D12" s="90" t="s">
        <v>10</v>
      </c>
      <c r="E12" s="99" t="s">
        <v>153</v>
      </c>
    </row>
    <row r="13" spans="1:10" ht="33" customHeight="1">
      <c r="B13" s="96">
        <v>7</v>
      </c>
      <c r="C13" s="97" t="s">
        <v>150</v>
      </c>
      <c r="D13" s="92" t="s">
        <v>10</v>
      </c>
      <c r="E13" s="99" t="s">
        <v>154</v>
      </c>
    </row>
    <row r="14" spans="1:10" ht="30.75" customHeight="1">
      <c r="B14" s="96">
        <v>8</v>
      </c>
      <c r="C14" s="97" t="s">
        <v>151</v>
      </c>
      <c r="D14" s="92" t="s">
        <v>10</v>
      </c>
      <c r="E14" s="109" t="s">
        <v>155</v>
      </c>
    </row>
    <row r="15" spans="1:10" ht="29.25" customHeight="1">
      <c r="B15" s="96">
        <v>9</v>
      </c>
      <c r="C15" s="89" t="s">
        <v>152</v>
      </c>
      <c r="D15" s="92" t="s">
        <v>10</v>
      </c>
      <c r="E15" s="109" t="s">
        <v>156</v>
      </c>
    </row>
    <row r="16" spans="1:10" ht="15" customHeight="1">
      <c r="B16" s="96">
        <v>10</v>
      </c>
      <c r="C16" s="89" t="s">
        <v>102</v>
      </c>
      <c r="D16" s="92" t="s">
        <v>10</v>
      </c>
      <c r="E16" s="91" t="s">
        <v>104</v>
      </c>
    </row>
    <row r="17" spans="2:5" ht="15" customHeight="1">
      <c r="B17" s="96">
        <v>11</v>
      </c>
      <c r="C17" s="89" t="s">
        <v>204</v>
      </c>
      <c r="D17" s="92" t="s">
        <v>10</v>
      </c>
      <c r="E17" s="91" t="s">
        <v>105</v>
      </c>
    </row>
    <row r="18" spans="2:5" ht="15" customHeight="1">
      <c r="B18" s="96">
        <v>12</v>
      </c>
      <c r="C18" s="89" t="s">
        <v>220</v>
      </c>
      <c r="D18" s="92" t="s">
        <v>10</v>
      </c>
      <c r="E18" s="91" t="s">
        <v>222</v>
      </c>
    </row>
    <row r="19" spans="2:5" ht="15" customHeight="1">
      <c r="B19" s="96">
        <v>13</v>
      </c>
      <c r="C19" s="93" t="s">
        <v>147</v>
      </c>
      <c r="D19" s="92" t="s">
        <v>10</v>
      </c>
      <c r="E19" s="91" t="s">
        <v>221</v>
      </c>
    </row>
    <row r="20" spans="2:5" ht="15" customHeight="1">
      <c r="B20" s="96">
        <v>14</v>
      </c>
      <c r="C20" s="93" t="s">
        <v>148</v>
      </c>
      <c r="D20" s="92" t="s">
        <v>10</v>
      </c>
      <c r="E20" s="95" t="s">
        <v>107</v>
      </c>
    </row>
    <row r="21" spans="2:5" ht="15" customHeight="1">
      <c r="B21" s="96">
        <v>15</v>
      </c>
      <c r="C21" s="93" t="s">
        <v>46</v>
      </c>
      <c r="D21" s="94" t="s">
        <v>10</v>
      </c>
      <c r="E21" s="95" t="s">
        <v>106</v>
      </c>
    </row>
    <row r="22" spans="2:5" ht="15" customHeight="1">
      <c r="B22" s="96">
        <v>16</v>
      </c>
      <c r="C22" s="93" t="s">
        <v>45</v>
      </c>
      <c r="D22" s="94" t="s">
        <v>10</v>
      </c>
      <c r="E22" s="95" t="s">
        <v>108</v>
      </c>
    </row>
    <row r="23" spans="2:5" ht="15" customHeight="1">
      <c r="B23" s="96">
        <v>17</v>
      </c>
      <c r="C23" s="93" t="s">
        <v>47</v>
      </c>
      <c r="D23" s="94" t="s">
        <v>10</v>
      </c>
      <c r="E23" s="95" t="s">
        <v>109</v>
      </c>
    </row>
    <row r="24" spans="2:5" ht="15" customHeight="1">
      <c r="B24" s="96">
        <v>18</v>
      </c>
      <c r="C24" s="93" t="s">
        <v>62</v>
      </c>
      <c r="D24" s="94" t="s">
        <v>10</v>
      </c>
      <c r="E24" s="95" t="s">
        <v>110</v>
      </c>
    </row>
    <row r="25" spans="2:5" ht="15" customHeight="1">
      <c r="B25" s="96">
        <v>19</v>
      </c>
      <c r="C25" s="93" t="s">
        <v>80</v>
      </c>
      <c r="D25" s="94" t="s">
        <v>10</v>
      </c>
      <c r="E25" s="95" t="s">
        <v>111</v>
      </c>
    </row>
    <row r="26" spans="2:5" ht="15" customHeight="1">
      <c r="B26" s="96">
        <v>20</v>
      </c>
      <c r="C26" s="93" t="s">
        <v>95</v>
      </c>
      <c r="D26" s="94" t="s">
        <v>10</v>
      </c>
      <c r="E26" s="95" t="s">
        <v>112</v>
      </c>
    </row>
    <row r="27" spans="2:5" ht="15" customHeight="1">
      <c r="B27" s="96">
        <v>21</v>
      </c>
      <c r="C27" s="93" t="s">
        <v>86</v>
      </c>
      <c r="D27" s="94" t="s">
        <v>10</v>
      </c>
      <c r="E27" s="95" t="s">
        <v>113</v>
      </c>
    </row>
    <row r="28" spans="2:5" ht="15" customHeight="1">
      <c r="B28" s="96">
        <v>22</v>
      </c>
      <c r="C28" s="93" t="s">
        <v>82</v>
      </c>
      <c r="D28" s="94" t="s">
        <v>10</v>
      </c>
      <c r="E28" s="95" t="s">
        <v>115</v>
      </c>
    </row>
    <row r="29" spans="2:5" ht="15" customHeight="1">
      <c r="B29" s="96">
        <v>23</v>
      </c>
      <c r="C29" s="93" t="s">
        <v>48</v>
      </c>
      <c r="D29" s="94" t="s">
        <v>10</v>
      </c>
      <c r="E29" s="95" t="s">
        <v>114</v>
      </c>
    </row>
    <row r="30" spans="2:5" ht="15" customHeight="1">
      <c r="B30" s="96">
        <v>24</v>
      </c>
      <c r="C30" s="93" t="s">
        <v>31</v>
      </c>
      <c r="D30" s="94" t="s">
        <v>10</v>
      </c>
      <c r="E30" s="95" t="s">
        <v>117</v>
      </c>
    </row>
    <row r="31" spans="2:5" ht="15" customHeight="1">
      <c r="B31" s="96">
        <v>25</v>
      </c>
      <c r="C31" s="93" t="s">
        <v>32</v>
      </c>
      <c r="D31" s="94" t="s">
        <v>10</v>
      </c>
      <c r="E31" s="95" t="s">
        <v>116</v>
      </c>
    </row>
    <row r="32" spans="2:5" ht="15" customHeight="1">
      <c r="B32" s="96">
        <v>26</v>
      </c>
      <c r="C32" s="93" t="s">
        <v>33</v>
      </c>
      <c r="D32" s="94" t="s">
        <v>10</v>
      </c>
      <c r="E32" s="95" t="s">
        <v>118</v>
      </c>
    </row>
    <row r="33" spans="2:5" ht="15" customHeight="1">
      <c r="B33" s="96">
        <v>27</v>
      </c>
      <c r="C33" s="93" t="s">
        <v>36</v>
      </c>
      <c r="D33" s="94" t="s">
        <v>10</v>
      </c>
      <c r="E33" s="95" t="s">
        <v>119</v>
      </c>
    </row>
    <row r="34" spans="2:5" ht="15" customHeight="1">
      <c r="B34" s="96">
        <v>28</v>
      </c>
      <c r="C34" s="93" t="s">
        <v>37</v>
      </c>
      <c r="D34" s="94" t="s">
        <v>10</v>
      </c>
      <c r="E34" s="95" t="s">
        <v>120</v>
      </c>
    </row>
    <row r="35" spans="2:5" ht="15" customHeight="1">
      <c r="B35" s="96">
        <v>29</v>
      </c>
      <c r="C35" s="93" t="s">
        <v>38</v>
      </c>
      <c r="D35" s="94" t="s">
        <v>10</v>
      </c>
      <c r="E35" s="95" t="s">
        <v>121</v>
      </c>
    </row>
    <row r="36" spans="2:5" ht="15" customHeight="1">
      <c r="B36" s="96">
        <v>30</v>
      </c>
      <c r="C36" s="93" t="s">
        <v>42</v>
      </c>
      <c r="D36" s="94" t="s">
        <v>10</v>
      </c>
      <c r="E36" s="95" t="s">
        <v>122</v>
      </c>
    </row>
    <row r="37" spans="2:5" ht="15" customHeight="1">
      <c r="B37" s="96">
        <v>31</v>
      </c>
      <c r="C37" s="93" t="s">
        <v>41</v>
      </c>
      <c r="D37" s="94" t="s">
        <v>10</v>
      </c>
      <c r="E37" s="95" t="s">
        <v>123</v>
      </c>
    </row>
    <row r="38" spans="2:5" ht="15" customHeight="1">
      <c r="B38" s="96">
        <v>32</v>
      </c>
      <c r="C38" s="93" t="s">
        <v>40</v>
      </c>
      <c r="D38" s="94" t="s">
        <v>10</v>
      </c>
      <c r="E38" s="95" t="s">
        <v>124</v>
      </c>
    </row>
    <row r="39" spans="2:5" ht="15" customHeight="1">
      <c r="B39" s="96">
        <v>33</v>
      </c>
      <c r="C39" s="93" t="s">
        <v>39</v>
      </c>
      <c r="D39" s="94" t="s">
        <v>10</v>
      </c>
      <c r="E39" s="95" t="s">
        <v>125</v>
      </c>
    </row>
    <row r="40" spans="2:5" ht="15" customHeight="1">
      <c r="B40" s="96">
        <v>34</v>
      </c>
      <c r="C40" s="93" t="s">
        <v>63</v>
      </c>
      <c r="D40" s="94" t="s">
        <v>10</v>
      </c>
      <c r="E40" s="95" t="s">
        <v>126</v>
      </c>
    </row>
    <row r="41" spans="2:5" ht="15" customHeight="1">
      <c r="B41" s="96">
        <v>35</v>
      </c>
      <c r="C41" s="93" t="s">
        <v>83</v>
      </c>
      <c r="D41" s="94" t="s">
        <v>10</v>
      </c>
      <c r="E41" s="95" t="s">
        <v>127</v>
      </c>
    </row>
    <row r="42" spans="2:5" ht="15" customHeight="1">
      <c r="B42" s="96">
        <v>36</v>
      </c>
      <c r="C42" s="93" t="s">
        <v>59</v>
      </c>
      <c r="D42" s="94" t="s">
        <v>10</v>
      </c>
      <c r="E42" s="95" t="s">
        <v>128</v>
      </c>
    </row>
    <row r="43" spans="2:5" ht="15" customHeight="1">
      <c r="B43" s="96">
        <v>37</v>
      </c>
      <c r="C43" s="93" t="s">
        <v>49</v>
      </c>
      <c r="D43" s="94" t="s">
        <v>10</v>
      </c>
      <c r="E43" s="95" t="s">
        <v>129</v>
      </c>
    </row>
    <row r="44" spans="2:5" ht="15" customHeight="1">
      <c r="B44" s="96">
        <v>38</v>
      </c>
      <c r="C44" s="93" t="s">
        <v>30</v>
      </c>
      <c r="D44" s="94" t="s">
        <v>10</v>
      </c>
      <c r="E44" s="95" t="s">
        <v>130</v>
      </c>
    </row>
    <row r="45" spans="2:5" ht="15" customHeight="1">
      <c r="B45" s="96">
        <v>39</v>
      </c>
      <c r="C45" s="93" t="s">
        <v>81</v>
      </c>
      <c r="D45" s="94" t="s">
        <v>10</v>
      </c>
      <c r="E45" s="95" t="s">
        <v>131</v>
      </c>
    </row>
    <row r="46" spans="2:5" ht="15" customHeight="1">
      <c r="B46" s="4">
        <v>40</v>
      </c>
      <c r="C46" s="1" t="s">
        <v>34</v>
      </c>
      <c r="D46" s="3" t="s">
        <v>10</v>
      </c>
      <c r="E46" s="95" t="s">
        <v>132</v>
      </c>
    </row>
    <row r="47" spans="2:5" ht="15" customHeight="1">
      <c r="C47" s="1"/>
      <c r="E47" s="6"/>
    </row>
    <row r="48" spans="2:5" ht="15" customHeight="1">
      <c r="C48" s="1"/>
      <c r="E48" s="6"/>
    </row>
    <row r="49" spans="3:5" ht="15" customHeight="1">
      <c r="C49" s="1"/>
      <c r="E49" s="6"/>
    </row>
    <row r="50" spans="3:5" ht="15" customHeight="1">
      <c r="C50" s="1"/>
      <c r="E50" s="6"/>
    </row>
    <row r="51" spans="3:5" ht="15" customHeight="1">
      <c r="C51" s="1"/>
      <c r="E51" s="6"/>
    </row>
    <row r="52" spans="3:5" ht="15" customHeight="1">
      <c r="C52" s="1"/>
      <c r="E52" s="6"/>
    </row>
    <row r="53" spans="3:5" ht="15" customHeight="1">
      <c r="C53" s="1"/>
      <c r="E53" s="6"/>
    </row>
    <row r="54" spans="3:5" ht="15" customHeight="1">
      <c r="C54" s="1"/>
      <c r="E54" s="6"/>
    </row>
    <row r="55" spans="3:5" ht="15" customHeight="1">
      <c r="C55" s="1"/>
      <c r="E55" s="6"/>
    </row>
    <row r="56" spans="3:5" ht="15" customHeight="1">
      <c r="C56" s="1"/>
      <c r="E56" s="6"/>
    </row>
    <row r="57" spans="3:5" ht="15" customHeight="1">
      <c r="C57" s="1"/>
      <c r="E57" s="6"/>
    </row>
    <row r="58" spans="3:5" ht="15" customHeight="1">
      <c r="C58" s="1"/>
      <c r="E58" s="6"/>
    </row>
    <row r="59" spans="3:5" ht="15" customHeight="1">
      <c r="C59" s="1"/>
      <c r="E59" s="6"/>
    </row>
    <row r="60" spans="3:5" ht="15" customHeight="1">
      <c r="C60" s="1"/>
      <c r="E60" s="6"/>
    </row>
    <row r="61" spans="3:5" ht="15" customHeight="1">
      <c r="C61" s="1"/>
      <c r="E61" s="6"/>
    </row>
    <row r="62" spans="3:5" ht="15" customHeight="1">
      <c r="C62" s="1"/>
      <c r="E62" s="6"/>
    </row>
    <row r="63" spans="3:5" ht="15" customHeight="1">
      <c r="C63" s="1"/>
      <c r="E63" s="6"/>
    </row>
    <row r="64" spans="3:5" ht="15" customHeight="1">
      <c r="C64" s="1"/>
      <c r="E64" s="6"/>
    </row>
    <row r="65" spans="3:5" ht="15" customHeight="1">
      <c r="C65" s="1"/>
      <c r="E65" s="6"/>
    </row>
    <row r="66" spans="3:5" ht="15" customHeight="1">
      <c r="C66" s="1"/>
      <c r="E66" s="6"/>
    </row>
    <row r="67" spans="3:5" ht="15" customHeight="1">
      <c r="C67" s="1"/>
      <c r="E67" s="6"/>
    </row>
    <row r="68" spans="3:5" ht="15" customHeight="1">
      <c r="C68" s="1"/>
      <c r="E68" s="6"/>
    </row>
    <row r="69" spans="3:5" ht="15" customHeight="1">
      <c r="C69" s="1"/>
      <c r="E69" s="6"/>
    </row>
    <row r="70" spans="3:5" ht="15" customHeight="1">
      <c r="C70" s="1"/>
    </row>
    <row r="71" spans="3:5" ht="15" customHeight="1">
      <c r="C71" s="1"/>
    </row>
    <row r="72" spans="3:5" ht="15" customHeight="1">
      <c r="C72" s="1"/>
    </row>
    <row r="73" spans="3:5" ht="15" customHeight="1">
      <c r="C73" s="1"/>
    </row>
    <row r="74" spans="3:5" ht="15" customHeight="1">
      <c r="C74" s="1"/>
    </row>
    <row r="75" spans="3:5" ht="15" customHeight="1">
      <c r="C75" s="1"/>
    </row>
    <row r="76" spans="3:5" ht="15" customHeight="1">
      <c r="C76" s="1"/>
    </row>
    <row r="77" spans="3:5" ht="15" customHeight="1">
      <c r="C77" s="1"/>
    </row>
    <row r="78" spans="3:5" ht="15" customHeight="1">
      <c r="C78" s="1"/>
    </row>
    <row r="79" spans="3:5" ht="15" customHeight="1">
      <c r="C79" s="1"/>
    </row>
    <row r="80" spans="3:5" ht="15" customHeight="1">
      <c r="C80" s="1"/>
    </row>
    <row r="81" spans="3:3" ht="15" customHeight="1">
      <c r="C81" s="1"/>
    </row>
    <row r="82" spans="3:3" ht="15" customHeight="1">
      <c r="C82" s="1"/>
    </row>
    <row r="83" spans="3:3" ht="15" customHeight="1">
      <c r="C83" s="1"/>
    </row>
    <row r="84" spans="3:3" ht="15" customHeight="1">
      <c r="C84" s="1"/>
    </row>
    <row r="85" spans="3:3" ht="15" customHeight="1">
      <c r="C85" s="1"/>
    </row>
    <row r="86" spans="3:3" ht="15" customHeight="1">
      <c r="C86" s="1"/>
    </row>
    <row r="87" spans="3:3" ht="15" customHeight="1">
      <c r="C87" s="1"/>
    </row>
    <row r="88" spans="3:3" ht="15" customHeight="1">
      <c r="C88" s="1"/>
    </row>
  </sheetData>
  <sheetProtection algorithmName="SHA-512" hashValue="lMyNrhA+XkKa+ya26XTygad0R7PAmXLxtlaa2Oug0l1CfVfcFEToW55PwAfrjeWWt9X8KKEvB71mBnTTYqrr2Q==" saltValue="aOV8OiuwOtuapvvPzqRvHw==" spinCount="100000" sheet="1" objects="1" scenarios="1"/>
  <mergeCells count="3">
    <mergeCell ref="G4:J4"/>
    <mergeCell ref="G5:J5"/>
    <mergeCell ref="G6:J6"/>
  </mergeCells>
  <conditionalFormatting sqref="E4 E16:E17 E44:E45 E47:E69 E9:E10 E12">
    <cfRule type="cellIs" dxfId="188" priority="8" stopIfTrue="1" operator="equal">
      <formula>$E$1</formula>
    </cfRule>
  </conditionalFormatting>
  <conditionalFormatting sqref="E20:E43">
    <cfRule type="cellIs" dxfId="187" priority="7" stopIfTrue="1" operator="equal">
      <formula>$E$1</formula>
    </cfRule>
  </conditionalFormatting>
  <conditionalFormatting sqref="E18">
    <cfRule type="cellIs" dxfId="186" priority="6" stopIfTrue="1" operator="equal">
      <formula>$E$1</formula>
    </cfRule>
  </conditionalFormatting>
  <conditionalFormatting sqref="E13:E15">
    <cfRule type="cellIs" dxfId="185" priority="5" stopIfTrue="1" operator="equal">
      <formula>$E$1</formula>
    </cfRule>
  </conditionalFormatting>
  <conditionalFormatting sqref="E46">
    <cfRule type="cellIs" dxfId="184" priority="3" stopIfTrue="1" operator="equal">
      <formula>$E$1</formula>
    </cfRule>
  </conditionalFormatting>
  <conditionalFormatting sqref="E19">
    <cfRule type="cellIs" dxfId="183" priority="4" stopIfTrue="1" operator="equal">
      <formula>$E$1</formula>
    </cfRule>
  </conditionalFormatting>
  <conditionalFormatting sqref="E11">
    <cfRule type="cellIs" dxfId="182" priority="1" stopIfTrue="1" operator="equal">
      <formula>$E$1</formula>
    </cfRule>
  </conditionalFormatting>
  <hyperlinks>
    <hyperlink ref="C7" location="'Impressum'!A1" display="Impressum" xr:uid="{00000000-0004-0000-0800-000000000000}"/>
    <hyperlink ref="C8" location="'Manual'!A1" display="Manual" xr:uid="{00000000-0004-0000-0800-000001000000}"/>
    <hyperlink ref="C9" location="'Version'!A1" display="Version" xr:uid="{00000000-0004-0000-0800-000002000000}"/>
    <hyperlink ref="C10" location="'Index'!A1" display="Index" xr:uid="{00000000-0004-0000-0800-000003000000}"/>
    <hyperlink ref="C11" location="'IndexComplete'!A1" display="IndexComplete" xr:uid="{00000000-0004-0000-0800-000004000000}"/>
    <hyperlink ref="C12" location="'Start'!A1" display="Start" xr:uid="{00000000-0004-0000-0800-000005000000}"/>
    <hyperlink ref="C13" location="'Start-Experte'!A1" display="Start-Experte" xr:uid="{00000000-0004-0000-0800-000006000000}"/>
    <hyperlink ref="C14" location="'Parameter-Entscheider'!A1" display="Parameter-Entscheider" xr:uid="{00000000-0004-0000-0800-000007000000}"/>
    <hyperlink ref="C15" location="'ControlPanel'!A1" display="ControlPanel" xr:uid="{00000000-0004-0000-0800-000008000000}"/>
    <hyperlink ref="C16" location="'MOD-Berechnungen'!A1" display="MOD-Berechnungen" xr:uid="{00000000-0004-0000-0800-000009000000}"/>
    <hyperlink ref="C17" location="'MOD-Jahresgang'!A1" display="MOD-Jahresgang" xr:uid="{00000000-0004-0000-0800-00000A000000}"/>
    <hyperlink ref="C18" location="'GrD-Grafikdaten'!A1" display="GrD-Grafikdaten" xr:uid="{00000000-0004-0000-0800-00000B000000}"/>
    <hyperlink ref="C19" location="'MOD-Output'!A1" display="MOD-Output" xr:uid="{00000000-0004-0000-0800-00000C000000}"/>
    <hyperlink ref="C20" location="'D-Jahreszubau'!A1" display="D-Jahreszubau" xr:uid="{00000000-0004-0000-0800-00000D000000}"/>
    <hyperlink ref="C21" location="'D-Standardauslastung'!A1" display="D-Standardauslastung" xr:uid="{00000000-0004-0000-0800-00000E000000}"/>
    <hyperlink ref="C22" location="'D-Dargebotsfaktor'!A1" display="D-Dargebotsfaktor" xr:uid="{00000000-0004-0000-0800-00000F000000}"/>
    <hyperlink ref="C23" location="'D-Anteil Direktvermarktung'!A1" display="D-Anteil Direktvermarktung" xr:uid="{00000000-0004-0000-0800-000010000000}"/>
    <hyperlink ref="C24" location="'D-Anteil Eigenverbrauch'!A1" display="D-Anteil Eigenverbrauch" xr:uid="{00000000-0004-0000-0800-000011000000}"/>
    <hyperlink ref="C25" location="'D-Anteil Sonstige DV'!A1" display="D-Anteil Sonstige DV" xr:uid="{00000000-0004-0000-0800-000012000000}"/>
    <hyperlink ref="C26" location="'D-Profilfaktoren-real'!A1" display="D-Profilfaktoren-real" xr:uid="{00000000-0004-0000-0800-000013000000}"/>
    <hyperlink ref="C27" location="'D-Vergütungssatz Neuanlagen'!A1" display="D-Vergütungssatz Neuanlagen" xr:uid="{00000000-0004-0000-0800-000014000000}"/>
    <hyperlink ref="C28" location="'D-Vergütung Eigenverbrauch'!A1" display="D-Vergütung Eigenverbrauch" xr:uid="{00000000-0004-0000-0800-000015000000}"/>
    <hyperlink ref="C29" location="'D-Managementprämie'!A1" display="D-Managementprämie" xr:uid="{00000000-0004-0000-0800-000016000000}"/>
    <hyperlink ref="C30" location="'D-Future Strompreis'!A1" display="D-Future Strompreis" xr:uid="{00000000-0004-0000-0800-000017000000}"/>
    <hyperlink ref="C31" location="'D-Spot-Skalierungsfaktor'!A1" display="D-Spot-Skalierungsfaktor" xr:uid="{00000000-0004-0000-0800-000018000000}"/>
    <hyperlink ref="C32" location="'D-Liquiditätspuffer'!A1" display="D-Liquiditätspuffer" xr:uid="{00000000-0004-0000-0800-000019000000}"/>
    <hyperlink ref="C33" location="'D-Gesamtstromverbrauch'!A1" display="D-Gesamtstromverbrauch" xr:uid="{00000000-0004-0000-0800-00001A000000}"/>
    <hyperlink ref="C34" location="'D-Privilegierter Letztverbrauch'!A1" display="D-Privilegierter Letztverbrauch" xr:uid="{00000000-0004-0000-0800-00001B000000}"/>
    <hyperlink ref="C35" location="'D-Eigenstromverbrauch'!A1" display="D-Eigenstromverbrauch" xr:uid="{00000000-0004-0000-0800-00001C000000}"/>
    <hyperlink ref="C36" location="'D-Grünstromprivileg'!A1" display="D-Grünstromprivileg" xr:uid="{00000000-0004-0000-0800-00001D000000}"/>
    <hyperlink ref="C37" location="'D-Umlage priv. Letztverbrauch'!A1" display="D-Umlage priv. Letztverbrauch" xr:uid="{00000000-0004-0000-0800-00001E000000}"/>
    <hyperlink ref="C38" location="'D-Umlage Eigenstromverbrauch'!A1" display="D-Umlage Eigenstromverbrauch" xr:uid="{00000000-0004-0000-0800-00001F000000}"/>
    <hyperlink ref="C39" location="'D-Umlage Grünstromprivileg'!A1" display="D-Umlage Grünstromprivileg" xr:uid="{00000000-0004-0000-0800-000020000000}"/>
    <hyperlink ref="C40" location="'D-vermiedene Netzentgelte'!A1" display="D-vermiedene Netzentgelte" xr:uid="{00000000-0004-0000-0800-000021000000}"/>
    <hyperlink ref="C41" location="'D-Sonstige Kosten'!A1" display="D-Sonstige Kosten" xr:uid="{00000000-0004-0000-0800-000022000000}"/>
    <hyperlink ref="C42" location="'D-Stromerzeugung'!A1" display="D-Stromerzeugung" xr:uid="{00000000-0004-0000-0800-000023000000}"/>
    <hyperlink ref="C43" location="'D-Mittlerer Vergütungssatz'!A1" display="D-Mittlerer Vergütungssatz" xr:uid="{00000000-0004-0000-0800-000024000000}"/>
    <hyperlink ref="C44" location="'D-Profilfaktoren'!A1" display="D-Profilfaktoren" xr:uid="{00000000-0004-0000-0800-000025000000}"/>
    <hyperlink ref="C45" location="'D-Profilfaktoren-Marktprämie'!A1" display="D-Profilfaktoren-Marktprämie" xr:uid="{00000000-0004-0000-0800-000026000000}"/>
    <hyperlink ref="C46" location="'D-Kontostand September'!A1" display="D-Kontostand September" xr:uid="{00000000-0004-0000-0800-000027000000}"/>
  </hyperlinks>
  <pageMargins left="0.78740157499999996" right="0.78740157499999996" top="0.984251969" bottom="0.984251969" header="0.4921259845" footer="0.4921259845"/>
  <pageSetup paperSize="9" orientation="portrait" horizontalDpi="1200" verticalDpi="1200" r:id="rId1"/>
  <headerFooter alignWithMargins="0"/>
  <drawing r:id="rId2"/>
  <legacyDrawing r:id="rId3"/>
  <controls>
    <mc:AlternateContent xmlns:mc="http://schemas.openxmlformats.org/markup-compatibility/2006">
      <mc:Choice Requires="x14">
        <control shapeId="153601" r:id="rId4" name="IndexAktualisieren">
          <controlPr defaultSize="0" autoLine="0" r:id="rId5">
            <anchor moveWithCells="1">
              <from>
                <xdr:col>6</xdr:col>
                <xdr:colOff>0</xdr:colOff>
                <xdr:row>7</xdr:row>
                <xdr:rowOff>0</xdr:rowOff>
              </from>
              <to>
                <xdr:col>10</xdr:col>
                <xdr:colOff>0</xdr:colOff>
                <xdr:row>9</xdr:row>
                <xdr:rowOff>133350</xdr:rowOff>
              </to>
            </anchor>
          </controlPr>
        </control>
      </mc:Choice>
      <mc:Fallback>
        <control shapeId="153601" r:id="rId4" name="IndexAktualisieren"/>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5">
    <tabColor rgb="FF00B0F0"/>
    <pageSetUpPr fitToPage="1"/>
  </sheetPr>
  <dimension ref="A1:AU454"/>
  <sheetViews>
    <sheetView workbookViewId="0">
      <selection activeCell="S11" sqref="S11"/>
    </sheetView>
  </sheetViews>
  <sheetFormatPr baseColWidth="10" defaultColWidth="11.5703125" defaultRowHeight="12.75" customHeight="1" outlineLevelRow="2" outlineLevelCol="1"/>
  <cols>
    <col min="1" max="1" width="6.5703125" style="509" customWidth="1"/>
    <col min="2" max="2" width="26.28515625" style="301" hidden="1" customWidth="1" outlineLevel="1"/>
    <col min="3" max="3" width="20.7109375" style="10" hidden="1" customWidth="1" outlineLevel="1"/>
    <col min="4" max="4" width="1.7109375" style="29" hidden="1" customWidth="1" outlineLevel="1"/>
    <col min="5" max="5" width="80.140625" style="301" customWidth="1" collapsed="1"/>
    <col min="6" max="9" width="6.85546875" style="331" bestFit="1" customWidth="1"/>
    <col min="10" max="10" width="8.85546875" style="331" bestFit="1" customWidth="1"/>
    <col min="11" max="11" width="8.42578125" style="331" customWidth="1"/>
    <col min="12" max="12" width="9.5703125" style="331" bestFit="1" customWidth="1"/>
    <col min="13" max="13" width="10.5703125" style="331" bestFit="1" customWidth="1"/>
    <col min="14" max="28" width="9.5703125" style="331" bestFit="1" customWidth="1"/>
    <col min="29" max="30" width="10.140625" style="331" bestFit="1" customWidth="1"/>
    <col min="31" max="31" width="7.7109375" style="331" customWidth="1"/>
    <col min="32" max="32" width="10" style="9" hidden="1" customWidth="1" outlineLevel="1"/>
    <col min="33" max="33" width="10.140625" style="9" hidden="1" customWidth="1" outlineLevel="1"/>
    <col min="34" max="34" width="34.7109375" style="9" hidden="1" customWidth="1" outlineLevel="1"/>
    <col min="35" max="35" width="5.5703125" style="9" hidden="1" customWidth="1" outlineLevel="1"/>
    <col min="36" max="36" width="45.7109375" style="589" customWidth="1" collapsed="1"/>
    <col min="37" max="37" width="7.28515625" style="9" bestFit="1" customWidth="1"/>
    <col min="38" max="38" width="13.85546875" style="9" bestFit="1" customWidth="1"/>
    <col min="39" max="41" width="11.5703125" style="9"/>
    <col min="42" max="42" width="14.42578125" style="9" bestFit="1" customWidth="1"/>
    <col min="43" max="43" width="13.85546875" style="9" bestFit="1" customWidth="1"/>
    <col min="44" max="16384" width="11.5703125" style="9"/>
  </cols>
  <sheetData>
    <row r="1" spans="1:36" ht="12.75" customHeight="1">
      <c r="A1" s="508" t="s">
        <v>183</v>
      </c>
      <c r="B1" s="20" t="s">
        <v>68</v>
      </c>
      <c r="C1" s="19"/>
      <c r="D1" s="28"/>
      <c r="E1" s="20" t="s">
        <v>133</v>
      </c>
      <c r="O1" s="296"/>
    </row>
    <row r="2" spans="1:36" ht="12.75" customHeight="1">
      <c r="A2" s="508"/>
      <c r="B2" s="10"/>
      <c r="E2" s="10"/>
      <c r="O2" s="296"/>
    </row>
    <row r="3" spans="1:36" ht="12.75" customHeight="1">
      <c r="A3" s="508"/>
      <c r="B3" s="10"/>
      <c r="E3" s="914" t="s">
        <v>639</v>
      </c>
      <c r="O3" s="296"/>
    </row>
    <row r="4" spans="1:36" ht="12.75" customHeight="1">
      <c r="A4" s="508"/>
      <c r="B4" s="10"/>
      <c r="E4" s="104" t="s">
        <v>640</v>
      </c>
      <c r="O4" s="296"/>
    </row>
    <row r="5" spans="1:36" ht="36.75" customHeight="1">
      <c r="A5" s="938" t="s">
        <v>484</v>
      </c>
      <c r="B5" s="321" t="s">
        <v>18</v>
      </c>
      <c r="C5" s="18" t="s">
        <v>64</v>
      </c>
      <c r="D5" s="207" t="s">
        <v>16</v>
      </c>
      <c r="F5" s="1035">
        <v>2010</v>
      </c>
      <c r="G5" s="1036">
        <v>2011</v>
      </c>
      <c r="H5" s="1036">
        <v>2012</v>
      </c>
      <c r="I5" s="1036">
        <v>2013</v>
      </c>
      <c r="J5" s="1036">
        <v>2014</v>
      </c>
      <c r="K5" s="1036">
        <v>2015</v>
      </c>
      <c r="L5" s="1036">
        <v>2016</v>
      </c>
      <c r="M5" s="1036">
        <v>2017</v>
      </c>
      <c r="N5" s="1036">
        <v>2018</v>
      </c>
      <c r="O5" s="1036">
        <v>2019</v>
      </c>
      <c r="P5" s="1036">
        <v>2020</v>
      </c>
      <c r="Q5" s="1036">
        <v>2021</v>
      </c>
      <c r="R5" s="1036">
        <v>2022</v>
      </c>
      <c r="S5" s="1036">
        <v>2023</v>
      </c>
      <c r="T5" s="1036">
        <v>2024</v>
      </c>
      <c r="U5" s="1036">
        <v>2025</v>
      </c>
      <c r="V5" s="1036">
        <v>2026</v>
      </c>
      <c r="W5" s="1036">
        <v>2027</v>
      </c>
      <c r="X5" s="1036">
        <v>2028</v>
      </c>
      <c r="Y5" s="1036">
        <v>2029</v>
      </c>
      <c r="Z5" s="1036">
        <v>2030</v>
      </c>
      <c r="AA5" s="1036">
        <v>2031</v>
      </c>
      <c r="AB5" s="1036">
        <v>2032</v>
      </c>
      <c r="AC5" s="1036">
        <v>2033</v>
      </c>
      <c r="AD5" s="1036">
        <v>2034</v>
      </c>
      <c r="AE5" s="1036">
        <v>2035</v>
      </c>
      <c r="AF5" s="1037" t="s">
        <v>433</v>
      </c>
      <c r="AG5" s="1037" t="s">
        <v>650</v>
      </c>
      <c r="AH5" s="1052"/>
      <c r="AI5" s="1052"/>
      <c r="AJ5" s="1038" t="s">
        <v>377</v>
      </c>
    </row>
    <row r="6" spans="1:36" ht="12.75" customHeight="1">
      <c r="A6" s="560"/>
      <c r="B6" s="142"/>
      <c r="C6" s="142"/>
      <c r="D6" s="142"/>
      <c r="E6" s="196" t="s">
        <v>89</v>
      </c>
      <c r="F6" s="142"/>
      <c r="G6" s="142"/>
      <c r="H6" s="142"/>
      <c r="I6" s="142"/>
      <c r="J6" s="142"/>
      <c r="K6" s="142"/>
      <c r="L6" s="142"/>
      <c r="M6" s="229"/>
      <c r="N6" s="208"/>
      <c r="O6" s="228"/>
      <c r="P6" s="142"/>
      <c r="Q6" s="142"/>
      <c r="R6" s="142"/>
      <c r="S6" s="142"/>
      <c r="T6" s="142"/>
      <c r="U6" s="142"/>
      <c r="V6" s="142"/>
      <c r="W6" s="142"/>
      <c r="X6" s="142"/>
      <c r="Y6" s="142"/>
      <c r="Z6" s="142"/>
      <c r="AA6" s="142"/>
      <c r="AB6" s="142"/>
      <c r="AC6" s="142"/>
      <c r="AD6" s="142"/>
      <c r="AE6" s="142"/>
      <c r="AG6" s="492"/>
      <c r="AH6" s="492"/>
      <c r="AI6" s="492"/>
    </row>
    <row r="7" spans="1:36" s="142" customFormat="1" ht="12.75" customHeight="1">
      <c r="A7" s="561">
        <v>7</v>
      </c>
      <c r="B7" s="321" t="str">
        <f>'D-Future Strompreis'!B$6</f>
        <v>Referenz</v>
      </c>
      <c r="C7" s="22" t="str">
        <f>'D-Future Strompreis'!C$6</f>
        <v>fh</v>
      </c>
      <c r="D7" s="30" t="str">
        <f>'D-Future Strompreis'!D$6</f>
        <v>7,8 -&gt; 5,4 ct/kWh</v>
      </c>
      <c r="E7" s="321" t="s">
        <v>428</v>
      </c>
      <c r="F7" s="915">
        <f>'D-Future Strompreis'!F$6</f>
        <v>53.650480000000002</v>
      </c>
      <c r="G7" s="915">
        <f>'D-Future Strompreis'!G$6</f>
        <v>50.739089999999997</v>
      </c>
      <c r="H7" s="915">
        <f>'D-Future Strompreis'!H$6</f>
        <v>55.22</v>
      </c>
      <c r="I7" s="915">
        <f>'D-Future Strompreis'!I$6</f>
        <v>51.15</v>
      </c>
      <c r="J7" s="915">
        <f>'D-Future Strompreis'!J$6</f>
        <v>41.45</v>
      </c>
      <c r="K7" s="915">
        <f>'D-Future Strompreis'!K$6</f>
        <v>35.67</v>
      </c>
      <c r="L7" s="915">
        <f>'D-Future Strompreis'!L$6</f>
        <v>31.26</v>
      </c>
      <c r="M7" s="915">
        <f>'D-Future Strompreis'!M$6</f>
        <v>26.75</v>
      </c>
      <c r="N7" s="916">
        <f>'D-Future Strompreis'!N$6</f>
        <v>32.22</v>
      </c>
      <c r="O7" s="917">
        <f>'D-Future Strompreis'!O$6</f>
        <v>46.28</v>
      </c>
      <c r="P7" s="915">
        <f>'D-Future Strompreis'!P$6</f>
        <v>49.34</v>
      </c>
      <c r="Q7" s="915">
        <f>'D-Future Strompreis'!Q$6</f>
        <v>40.74</v>
      </c>
      <c r="R7" s="915">
        <f>'D-Future Strompreis'!R$6</f>
        <v>78.400000000000006</v>
      </c>
      <c r="S7" s="915">
        <f>'D-Future Strompreis'!S$6</f>
        <v>86.22660098522168</v>
      </c>
      <c r="T7" s="915">
        <f>'D-Future Strompreis'!T$6</f>
        <v>70.402096629377098</v>
      </c>
      <c r="U7" s="915">
        <f>'D-Future Strompreis'!U$6</f>
        <v>68.472296751857399</v>
      </c>
      <c r="V7" s="915">
        <f>'D-Future Strompreis'!V$6</f>
        <v>66.537050342848488</v>
      </c>
      <c r="W7" s="915">
        <f>'D-Future Strompreis'!W$6</f>
        <v>65.303113892286774</v>
      </c>
      <c r="X7" s="915">
        <f>'D-Future Strompreis'!X$6</f>
        <v>63.661282021169072</v>
      </c>
      <c r="Y7" s="915">
        <f>'D-Future Strompreis'!Y$6</f>
        <v>62.107776680056098</v>
      </c>
      <c r="Z7" s="915">
        <f>'D-Future Strompreis'!Z$6</f>
        <v>60.879228870271717</v>
      </c>
      <c r="AA7" s="915">
        <f>'D-Future Strompreis'!AA$6</f>
        <v>59.620953014298841</v>
      </c>
      <c r="AB7" s="915">
        <f>'D-Future Strompreis'!AB$6</f>
        <v>58.056983905361491</v>
      </c>
      <c r="AC7" s="915">
        <f>'D-Future Strompreis'!AC$6</f>
        <v>56.526219334208548</v>
      </c>
      <c r="AD7" s="915">
        <f>'D-Future Strompreis'!AD$6</f>
        <v>55.028019455052871</v>
      </c>
      <c r="AE7" s="916">
        <f>'D-Future Strompreis'!AE$6</f>
        <v>53.561756081971204</v>
      </c>
      <c r="AF7" s="940"/>
      <c r="AG7" s="940"/>
      <c r="AH7" s="1048"/>
      <c r="AI7" s="1048"/>
      <c r="AJ7" s="1039"/>
    </row>
    <row r="8" spans="1:36" ht="12.75" customHeight="1" outlineLevel="1">
      <c r="A8" s="561">
        <v>8</v>
      </c>
      <c r="B8" s="16" t="str">
        <f>'D-Spot-Skalierungsfaktor'!B$6</f>
        <v>Referenz</v>
      </c>
      <c r="C8" s="12" t="str">
        <f>'D-Spot-Skalierungsfaktor'!C$6</f>
        <v>fh</v>
      </c>
      <c r="D8" s="31" t="str">
        <f>'D-Spot-Skalierungsfaktor'!D$6</f>
        <v>100%</v>
      </c>
      <c r="E8" s="16" t="s">
        <v>54</v>
      </c>
      <c r="F8" s="918">
        <f>'D-Spot-Skalierungsfaktor'!F$6</f>
        <v>0</v>
      </c>
      <c r="G8" s="918">
        <f>'D-Spot-Skalierungsfaktor'!G$6</f>
        <v>0</v>
      </c>
      <c r="H8" s="918">
        <f>'D-Spot-Skalierungsfaktor'!H$6</f>
        <v>0</v>
      </c>
      <c r="I8" s="918">
        <f>'D-Spot-Skalierungsfaktor'!I$6</f>
        <v>0.68426197458455529</v>
      </c>
      <c r="J8" s="918">
        <f>'D-Spot-Skalierungsfaktor'!J$6</f>
        <v>0.9</v>
      </c>
      <c r="K8" s="918">
        <f>'D-Spot-Skalierungsfaktor'!K$6</f>
        <v>0.9</v>
      </c>
      <c r="L8" s="918">
        <f>'D-Spot-Skalierungsfaktor'!L$6</f>
        <v>0.9</v>
      </c>
      <c r="M8" s="918">
        <f>'D-Spot-Skalierungsfaktor'!M$6</f>
        <v>0.9</v>
      </c>
      <c r="N8" s="919">
        <f>'D-Spot-Skalierungsfaktor'!N$6</f>
        <v>0.9</v>
      </c>
      <c r="O8" s="920">
        <f>'D-Spot-Skalierungsfaktor'!O$6</f>
        <v>0.9</v>
      </c>
      <c r="P8" s="918">
        <f>'D-Spot-Skalierungsfaktor'!P$6</f>
        <v>0.9</v>
      </c>
      <c r="Q8" s="918">
        <f>'D-Spot-Skalierungsfaktor'!Q$6</f>
        <v>1.6512027491408934</v>
      </c>
      <c r="R8" s="918">
        <f>'D-Spot-Skalierungsfaktor'!R$6</f>
        <v>1</v>
      </c>
      <c r="S8" s="918">
        <f>'D-Spot-Skalierungsfaktor'!S$6</f>
        <v>1</v>
      </c>
      <c r="T8" s="918">
        <f>'D-Spot-Skalierungsfaktor'!T$6</f>
        <v>1</v>
      </c>
      <c r="U8" s="918">
        <f>'D-Spot-Skalierungsfaktor'!U$6</f>
        <v>1</v>
      </c>
      <c r="V8" s="918">
        <f>'D-Spot-Skalierungsfaktor'!V$6</f>
        <v>1</v>
      </c>
      <c r="W8" s="918">
        <f>'D-Spot-Skalierungsfaktor'!W$6</f>
        <v>1</v>
      </c>
      <c r="X8" s="918">
        <f>'D-Spot-Skalierungsfaktor'!X$6</f>
        <v>1</v>
      </c>
      <c r="Y8" s="918">
        <f>'D-Spot-Skalierungsfaktor'!Y$6</f>
        <v>1</v>
      </c>
      <c r="Z8" s="918">
        <f>'D-Spot-Skalierungsfaktor'!Z$6</f>
        <v>1</v>
      </c>
      <c r="AA8" s="918">
        <f>'D-Spot-Skalierungsfaktor'!AA$6</f>
        <v>1</v>
      </c>
      <c r="AB8" s="918">
        <f>'D-Spot-Skalierungsfaktor'!AB$6</f>
        <v>1</v>
      </c>
      <c r="AC8" s="918">
        <f>'D-Spot-Skalierungsfaktor'!AC$6</f>
        <v>1</v>
      </c>
      <c r="AD8" s="918">
        <f>'D-Spot-Skalierungsfaktor'!AD$6</f>
        <v>1</v>
      </c>
      <c r="AE8" s="919">
        <f>'D-Spot-Skalierungsfaktor'!AE$6</f>
        <v>1</v>
      </c>
      <c r="AF8" s="940"/>
      <c r="AG8" s="940"/>
      <c r="AH8" s="1048"/>
      <c r="AI8" s="1048"/>
      <c r="AJ8" s="345"/>
    </row>
    <row r="9" spans="1:36" ht="12.75" customHeight="1" outlineLevel="1">
      <c r="A9" s="561">
        <v>9</v>
      </c>
      <c r="B9" s="16" t="str">
        <f>'D-Liquiditätspuffer'!B$6</f>
        <v>Referenz</v>
      </c>
      <c r="C9" s="12" t="str">
        <f>'D-Liquiditätspuffer'!C$6</f>
        <v>fh</v>
      </c>
      <c r="D9" s="31" t="str">
        <f>'D-Liquiditätspuffer'!D$6</f>
        <v>ÜNB-Umlageberechnungen, danach 6%</v>
      </c>
      <c r="E9" s="16" t="s">
        <v>217</v>
      </c>
      <c r="F9" s="918">
        <f>'D-Liquiditätspuffer'!F$6</f>
        <v>0</v>
      </c>
      <c r="G9" s="918">
        <f>'D-Liquiditätspuffer'!G$6</f>
        <v>0</v>
      </c>
      <c r="H9" s="918">
        <f>'D-Liquiditätspuffer'!H$6</f>
        <v>0.03</v>
      </c>
      <c r="I9" s="918">
        <f>'D-Liquiditätspuffer'!I$6</f>
        <v>0.1</v>
      </c>
      <c r="J9" s="918">
        <f>'D-Liquiditätspuffer'!J$6</f>
        <v>0.1</v>
      </c>
      <c r="K9" s="918">
        <f>'D-Liquiditätspuffer'!K$6</f>
        <v>0.1</v>
      </c>
      <c r="L9" s="918">
        <f>'D-Liquiditätspuffer'!L$6</f>
        <v>0.1</v>
      </c>
      <c r="M9" s="918">
        <f>'D-Liquiditätspuffer'!M$6</f>
        <v>0.06</v>
      </c>
      <c r="N9" s="919">
        <f>'D-Liquiditätspuffer'!N$6</f>
        <v>0.06</v>
      </c>
      <c r="O9" s="920">
        <f>'D-Liquiditätspuffer'!O$6</f>
        <v>0.06</v>
      </c>
      <c r="P9" s="918">
        <f>'D-Liquiditätspuffer'!P$6</f>
        <v>0.08</v>
      </c>
      <c r="Q9" s="918">
        <f>'D-Liquiditätspuffer'!Q$6</f>
        <v>0.1</v>
      </c>
      <c r="R9" s="918">
        <f>'D-Liquiditätspuffer'!R$6</f>
        <v>0.05</v>
      </c>
      <c r="S9" s="918">
        <f>'D-Liquiditätspuffer'!S$6</f>
        <v>0.06</v>
      </c>
      <c r="T9" s="918">
        <f>'D-Liquiditätspuffer'!T$6</f>
        <v>0.06</v>
      </c>
      <c r="U9" s="918">
        <f>'D-Liquiditätspuffer'!U$6</f>
        <v>0.06</v>
      </c>
      <c r="V9" s="918">
        <f>'D-Liquiditätspuffer'!V$6</f>
        <v>0.06</v>
      </c>
      <c r="W9" s="918">
        <f>'D-Liquiditätspuffer'!W$6</f>
        <v>0.06</v>
      </c>
      <c r="X9" s="918">
        <f>'D-Liquiditätspuffer'!X$6</f>
        <v>0.06</v>
      </c>
      <c r="Y9" s="918">
        <f>'D-Liquiditätspuffer'!Y$6</f>
        <v>0.06</v>
      </c>
      <c r="Z9" s="918">
        <f>'D-Liquiditätspuffer'!Z$6</f>
        <v>0.06</v>
      </c>
      <c r="AA9" s="918">
        <f>'D-Liquiditätspuffer'!AA$6</f>
        <v>0.06</v>
      </c>
      <c r="AB9" s="918">
        <f>'D-Liquiditätspuffer'!AB$6</f>
        <v>0.06</v>
      </c>
      <c r="AC9" s="918">
        <f>'D-Liquiditätspuffer'!AC$6</f>
        <v>0.06</v>
      </c>
      <c r="AD9" s="918">
        <f>'D-Liquiditätspuffer'!AD$6</f>
        <v>0.06</v>
      </c>
      <c r="AE9" s="919">
        <f>'D-Liquiditätspuffer'!AE$6</f>
        <v>0.06</v>
      </c>
      <c r="AF9" s="940"/>
      <c r="AG9" s="940"/>
      <c r="AH9" s="1048"/>
      <c r="AI9" s="1048"/>
      <c r="AJ9" s="345"/>
    </row>
    <row r="10" spans="1:36" ht="12.75" customHeight="1" outlineLevel="1">
      <c r="A10" s="561">
        <v>10</v>
      </c>
      <c r="B10" s="16" t="str">
        <f>'D-Kontostand Vorjahr'!B$6</f>
        <v>Historisch</v>
      </c>
      <c r="C10" s="12" t="str">
        <f>'D-Kontostand Vorjahr'!C$6</f>
        <v>fh</v>
      </c>
      <c r="D10" s="31" t="str">
        <f>'D-Kontostand Vorjahr'!D$6</f>
        <v>ÜNB-Jahresprognosen</v>
      </c>
      <c r="E10" s="16" t="s">
        <v>410</v>
      </c>
      <c r="F10" s="918">
        <f>'D-Kontostand Vorjahr'!F$6</f>
        <v>0</v>
      </c>
      <c r="G10" s="918">
        <f>'D-Kontostand Vorjahr'!G$6</f>
        <v>-1.11629894236</v>
      </c>
      <c r="H10" s="918">
        <f>'D-Kontostand Vorjahr'!H$6</f>
        <v>-0.71124112144000007</v>
      </c>
      <c r="I10" s="918">
        <f>'D-Kontostand Vorjahr'!I$6</f>
        <v>-2.5889139132900003</v>
      </c>
      <c r="J10" s="918">
        <f>'D-Kontostand Vorjahr'!J$6</f>
        <v>-2.1969250054800002</v>
      </c>
      <c r="K10" s="918">
        <f>'D-Kontostand Vorjahr'!K$6</f>
        <v>1.38074493721</v>
      </c>
      <c r="L10" s="918">
        <f>'D-Kontostand Vorjahr'!L$6</f>
        <v>2.5211899999999998</v>
      </c>
      <c r="M10" s="918">
        <f>'D-Kontostand Vorjahr'!M$6</f>
        <v>1.9478101488699999</v>
      </c>
      <c r="N10" s="919">
        <f>'D-Kontostand Vorjahr'!N$6</f>
        <v>3.3292301430700002</v>
      </c>
      <c r="O10" s="920">
        <f>'D-Kontostand Vorjahr'!O$6</f>
        <v>3.6518353547200002</v>
      </c>
      <c r="P10" s="918">
        <f>'D-Kontostand Vorjahr'!P$6</f>
        <v>2.19040541733</v>
      </c>
      <c r="Q10" s="918">
        <f>'D-Kontostand Vorjahr'!Q$6</f>
        <v>-4.0803942770500008</v>
      </c>
      <c r="R10" s="918">
        <f>'D-Kontostand Vorjahr'!R$6</f>
        <v>4.5469536436400002</v>
      </c>
      <c r="S10" s="918">
        <f>'D-Kontostand Vorjahr'!S$6</f>
        <v>0</v>
      </c>
      <c r="T10" s="918">
        <f>'D-Kontostand Vorjahr'!T$6</f>
        <v>0</v>
      </c>
      <c r="U10" s="918">
        <f>'D-Kontostand Vorjahr'!U$6</f>
        <v>0</v>
      </c>
      <c r="V10" s="918">
        <f>'D-Kontostand Vorjahr'!V$6</f>
        <v>0</v>
      </c>
      <c r="W10" s="918">
        <f>'D-Kontostand Vorjahr'!W$6</f>
        <v>0</v>
      </c>
      <c r="X10" s="918">
        <f>'D-Kontostand Vorjahr'!X$6</f>
        <v>0</v>
      </c>
      <c r="Y10" s="918">
        <f>'D-Kontostand Vorjahr'!Y$6</f>
        <v>0</v>
      </c>
      <c r="Z10" s="918">
        <f>'D-Kontostand Vorjahr'!Z$6</f>
        <v>0</v>
      </c>
      <c r="AA10" s="918">
        <f>'D-Kontostand Vorjahr'!AA$6</f>
        <v>0</v>
      </c>
      <c r="AB10" s="918">
        <f>'D-Kontostand Vorjahr'!AB$6</f>
        <v>0</v>
      </c>
      <c r="AC10" s="918">
        <f>'D-Kontostand Vorjahr'!AC$6</f>
        <v>0</v>
      </c>
      <c r="AD10" s="918">
        <f>'D-Kontostand Vorjahr'!AD$6</f>
        <v>0</v>
      </c>
      <c r="AE10" s="919">
        <f>'D-Kontostand Vorjahr'!AE$6</f>
        <v>0</v>
      </c>
      <c r="AF10" s="940"/>
      <c r="AG10" s="940"/>
      <c r="AH10" s="1048"/>
      <c r="AI10" s="1048"/>
      <c r="AJ10" s="345"/>
    </row>
    <row r="11" spans="1:36" ht="12.75" customHeight="1" outlineLevel="1">
      <c r="A11" s="561">
        <v>11</v>
      </c>
      <c r="B11" s="16" t="str">
        <f>'D-Nettostromverbrauch'!B$6</f>
        <v>Referenz</v>
      </c>
      <c r="C11" s="12" t="str">
        <f>'D-Nettostromverbrauch'!C$6</f>
        <v>fh</v>
      </c>
      <c r="D11" s="31" t="str">
        <f>'D-Nettostromverbrauch'!D$6</f>
        <v>2022-2026: ÜNB-Umlageberechnung 2021. Danach ansteigend auf 600 TWh in 2030</v>
      </c>
      <c r="E11" s="16" t="s">
        <v>494</v>
      </c>
      <c r="F11" s="918">
        <f>'D-Nettostromverbrauch'!F$6</f>
        <v>535.4</v>
      </c>
      <c r="G11" s="918">
        <f>'D-Nettostromverbrauch'!G$6</f>
        <v>536.79999999999995</v>
      </c>
      <c r="H11" s="918">
        <f>'D-Nettostromverbrauch'!H$6</f>
        <v>540.29999999999995</v>
      </c>
      <c r="I11" s="918">
        <f>'D-Nettostromverbrauch'!I$6</f>
        <v>537.10000000000014</v>
      </c>
      <c r="J11" s="918">
        <f>'D-Nettostromverbrauch'!J$6</f>
        <v>529.87864653548297</v>
      </c>
      <c r="K11" s="918">
        <f>'D-Nettostromverbrauch'!K$6</f>
        <v>520.6</v>
      </c>
      <c r="L11" s="918">
        <f>'D-Nettostromverbrauch'!L$6</f>
        <v>511.6</v>
      </c>
      <c r="M11" s="918">
        <f>'D-Nettostromverbrauch'!M$6</f>
        <v>521.90464399999996</v>
      </c>
      <c r="N11" s="919">
        <f>'D-Nettostromverbrauch'!N$6</f>
        <v>524.64</v>
      </c>
      <c r="O11" s="920">
        <f>'D-Nettostromverbrauch'!O$6</f>
        <v>536.23646499999995</v>
      </c>
      <c r="P11" s="918">
        <f>'D-Nettostromverbrauch'!P$6</f>
        <v>538.51776999999993</v>
      </c>
      <c r="Q11" s="918">
        <f>'D-Nettostromverbrauch'!Q$6</f>
        <v>518.52683000000002</v>
      </c>
      <c r="R11" s="918">
        <f>'D-Nettostromverbrauch'!R$6</f>
        <v>518</v>
      </c>
      <c r="S11" s="918">
        <f>'D-Nettostromverbrauch'!S$6</f>
        <v>515.70000000000005</v>
      </c>
      <c r="T11" s="918">
        <f>'D-Nettostromverbrauch'!T$6</f>
        <v>515.20000000000005</v>
      </c>
      <c r="U11" s="918">
        <f>'D-Nettostromverbrauch'!U$6</f>
        <v>512.6</v>
      </c>
      <c r="V11" s="918">
        <f>'D-Nettostromverbrauch'!V$6</f>
        <v>512.20000000000005</v>
      </c>
      <c r="W11" s="918">
        <f>'D-Nettostromverbrauch'!W$6</f>
        <v>534.15000000000009</v>
      </c>
      <c r="X11" s="918">
        <f>'D-Nettostromverbrauch'!X$6</f>
        <v>556.1</v>
      </c>
      <c r="Y11" s="918">
        <f>'D-Nettostromverbrauch'!Y$6</f>
        <v>578.04999999999995</v>
      </c>
      <c r="Z11" s="918">
        <f>'D-Nettostromverbrauch'!Z$6</f>
        <v>600</v>
      </c>
      <c r="AA11" s="918">
        <f>'D-Nettostromverbrauch'!AA$6</f>
        <v>621.95000000000005</v>
      </c>
      <c r="AB11" s="918">
        <f>'D-Nettostromverbrauch'!AB$6</f>
        <v>643.90000000000009</v>
      </c>
      <c r="AC11" s="918">
        <f>'D-Nettostromverbrauch'!AC$6</f>
        <v>665.85000000000014</v>
      </c>
      <c r="AD11" s="918">
        <f>'D-Nettostromverbrauch'!AD$6</f>
        <v>687.80000000000018</v>
      </c>
      <c r="AE11" s="919">
        <f>'D-Nettostromverbrauch'!AE$6</f>
        <v>709.75000000000023</v>
      </c>
      <c r="AF11" s="940"/>
      <c r="AG11" s="940"/>
      <c r="AH11" s="1048"/>
      <c r="AI11" s="1048"/>
      <c r="AJ11" s="345"/>
    </row>
    <row r="12" spans="1:36" ht="12.75" customHeight="1" outlineLevel="1">
      <c r="A12" s="561">
        <v>12</v>
      </c>
      <c r="B12" s="16" t="str">
        <f>'D-Privilegierter Letztverbrauch'!B$6</f>
        <v>Referenz</v>
      </c>
      <c r="C12" s="12" t="str">
        <f>'D-Privilegierter Letztverbrauch'!C$6</f>
        <v>fh</v>
      </c>
      <c r="D12" s="31" t="str">
        <f>'D-Privilegierter Letztverbrauch'!D$6</f>
        <v>MFP Referenz</v>
      </c>
      <c r="E12" s="16" t="s">
        <v>53</v>
      </c>
      <c r="F12" s="918">
        <f>'D-Privilegierter Letztverbrauch'!F$6</f>
        <v>67.885999999999996</v>
      </c>
      <c r="G12" s="918">
        <f>'D-Privilegierter Letztverbrauch'!G$6</f>
        <v>74.729966079999997</v>
      </c>
      <c r="H12" s="918">
        <f>'D-Privilegierter Letztverbrauch'!H$6</f>
        <v>84.727446</v>
      </c>
      <c r="I12" s="918">
        <f>'D-Privilegierter Letztverbrauch'!I$6</f>
        <v>96.225492000000003</v>
      </c>
      <c r="J12" s="918">
        <f>'D-Privilegierter Letztverbrauch'!J$6</f>
        <v>106.52299099999999</v>
      </c>
      <c r="K12" s="918">
        <f>'D-Privilegierter Letztverbrauch'!K$6</f>
        <v>110.247</v>
      </c>
      <c r="L12" s="918">
        <f>'D-Privilegierter Letztverbrauch'!L$6</f>
        <v>103.9</v>
      </c>
      <c r="M12" s="918">
        <f>'D-Privilegierter Letztverbrauch'!M$6</f>
        <v>114.145597</v>
      </c>
      <c r="N12" s="919">
        <f>'D-Privilegierter Letztverbrauch'!N$6</f>
        <v>114.690017</v>
      </c>
      <c r="O12" s="920">
        <f>'D-Privilegierter Letztverbrauch'!O$6</f>
        <v>113.926688</v>
      </c>
      <c r="P12" s="918">
        <f>'D-Privilegierter Letztverbrauch'!P$6</f>
        <v>116.17166499999999</v>
      </c>
      <c r="Q12" s="918">
        <f>'D-Privilegierter Letztverbrauch'!Q$6</f>
        <v>112.73</v>
      </c>
      <c r="R12" s="918">
        <f>'D-Privilegierter Letztverbrauch'!R$6</f>
        <v>118.62</v>
      </c>
      <c r="S12" s="918">
        <f>'D-Privilegierter Letztverbrauch'!S$6</f>
        <v>116.59</v>
      </c>
      <c r="T12" s="918">
        <f>'D-Privilegierter Letztverbrauch'!T$6</f>
        <v>119.55</v>
      </c>
      <c r="U12" s="918">
        <f>'D-Privilegierter Letztverbrauch'!U$6</f>
        <v>119.81</v>
      </c>
      <c r="V12" s="918">
        <f>'D-Privilegierter Letztverbrauch'!V$6</f>
        <v>121.07</v>
      </c>
      <c r="W12" s="918">
        <f>'D-Privilegierter Letztverbrauch'!W$6</f>
        <v>121.07</v>
      </c>
      <c r="X12" s="918">
        <f>'D-Privilegierter Letztverbrauch'!X$6</f>
        <v>121.07</v>
      </c>
      <c r="Y12" s="918">
        <f>'D-Privilegierter Letztverbrauch'!Y$6</f>
        <v>121.07</v>
      </c>
      <c r="Z12" s="918">
        <f>'D-Privilegierter Letztverbrauch'!Z$6</f>
        <v>121.07</v>
      </c>
      <c r="AA12" s="918">
        <f>'D-Privilegierter Letztverbrauch'!AA$6</f>
        <v>121.07</v>
      </c>
      <c r="AB12" s="918">
        <f>'D-Privilegierter Letztverbrauch'!AB$6</f>
        <v>121.07</v>
      </c>
      <c r="AC12" s="918">
        <f>'D-Privilegierter Letztverbrauch'!AC$6</f>
        <v>121.07</v>
      </c>
      <c r="AD12" s="918">
        <f>'D-Privilegierter Letztverbrauch'!AD$6</f>
        <v>121.07</v>
      </c>
      <c r="AE12" s="919">
        <f>'D-Privilegierter Letztverbrauch'!AE$6</f>
        <v>121.07</v>
      </c>
      <c r="AF12" s="940"/>
      <c r="AG12" s="940"/>
      <c r="AH12" s="1048"/>
      <c r="AI12" s="1048"/>
      <c r="AJ12" s="345"/>
    </row>
    <row r="13" spans="1:36" ht="12.75" customHeight="1" outlineLevel="1">
      <c r="A13" s="561">
        <v>13</v>
      </c>
      <c r="B13" s="16" t="str">
        <f>'D-Eigenverbrauch fossil Bestand'!B$6</f>
        <v>Referenz</v>
      </c>
      <c r="C13" s="12" t="str">
        <f>'D-Eigenverbrauch fossil Bestand'!C$6</f>
        <v>fh</v>
      </c>
      <c r="D13" s="31" t="str">
        <f>'D-Eigenverbrauch fossil Bestand'!D$6</f>
        <v>Eigenversorgung nach §61(3) aus ÜNB-Umlageberechnung für 2020</v>
      </c>
      <c r="E13" s="16" t="s">
        <v>290</v>
      </c>
      <c r="F13" s="918">
        <f>'D-Eigenverbrauch fossil Bestand'!F$6</f>
        <v>66.919000000000011</v>
      </c>
      <c r="G13" s="918">
        <f>'D-Eigenverbrauch fossil Bestand'!G$6</f>
        <v>54.256241999999979</v>
      </c>
      <c r="H13" s="918">
        <f>'D-Eigenverbrauch fossil Bestand'!H$6</f>
        <v>62.173272999999973</v>
      </c>
      <c r="I13" s="918">
        <f>'D-Eigenverbrauch fossil Bestand'!I$6</f>
        <v>52.680143000000065</v>
      </c>
      <c r="J13" s="918">
        <f>'D-Eigenverbrauch fossil Bestand'!J$6</f>
        <v>44.33</v>
      </c>
      <c r="K13" s="918">
        <f>'D-Eigenverbrauch fossil Bestand'!K$6</f>
        <v>57.291305999999999</v>
      </c>
      <c r="L13" s="918">
        <f>'D-Eigenverbrauch fossil Bestand'!L$6</f>
        <v>48.547290999999994</v>
      </c>
      <c r="M13" s="918">
        <f>'D-Eigenverbrauch fossil Bestand'!M$6</f>
        <v>60.951926519999994</v>
      </c>
      <c r="N13" s="919">
        <f>'D-Eigenverbrauch fossil Bestand'!N$6</f>
        <v>61.173551851607797</v>
      </c>
      <c r="O13" s="920">
        <f>'D-Eigenverbrauch fossil Bestand'!O$6</f>
        <v>69.750429999999994</v>
      </c>
      <c r="P13" s="918">
        <f>'D-Eigenverbrauch fossil Bestand'!P$6</f>
        <v>68.086641999999998</v>
      </c>
      <c r="Q13" s="918">
        <f>'D-Eigenverbrauch fossil Bestand'!Q$6</f>
        <v>60.732941999999994</v>
      </c>
      <c r="R13" s="918">
        <f>'D-Eigenverbrauch fossil Bestand'!R$6</f>
        <v>47.785909999999994</v>
      </c>
      <c r="S13" s="918">
        <f>'D-Eigenverbrauch fossil Bestand'!S$6</f>
        <v>47.785909999999994</v>
      </c>
      <c r="T13" s="918">
        <f>'D-Eigenverbrauch fossil Bestand'!T$6</f>
        <v>47.785909999999994</v>
      </c>
      <c r="U13" s="918">
        <f>'D-Eigenverbrauch fossil Bestand'!U$6</f>
        <v>47.785909999999994</v>
      </c>
      <c r="V13" s="918">
        <f>'D-Eigenverbrauch fossil Bestand'!V$6</f>
        <v>47.785909999999994</v>
      </c>
      <c r="W13" s="918">
        <f>'D-Eigenverbrauch fossil Bestand'!W$6</f>
        <v>47.785909999999994</v>
      </c>
      <c r="X13" s="918">
        <f>'D-Eigenverbrauch fossil Bestand'!X$6</f>
        <v>47.785909999999994</v>
      </c>
      <c r="Y13" s="918">
        <f>'D-Eigenverbrauch fossil Bestand'!Y$6</f>
        <v>47.785909999999994</v>
      </c>
      <c r="Z13" s="918">
        <f>'D-Eigenverbrauch fossil Bestand'!Z$6</f>
        <v>47.785909999999994</v>
      </c>
      <c r="AA13" s="918">
        <f>'D-Eigenverbrauch fossil Bestand'!AA$6</f>
        <v>47.785909999999994</v>
      </c>
      <c r="AB13" s="918">
        <f>'D-Eigenverbrauch fossil Bestand'!AB$6</f>
        <v>47.785909999999994</v>
      </c>
      <c r="AC13" s="918">
        <f>'D-Eigenverbrauch fossil Bestand'!AC$6</f>
        <v>47.785909999999994</v>
      </c>
      <c r="AD13" s="918">
        <f>'D-Eigenverbrauch fossil Bestand'!AD$6</f>
        <v>47.785909999999994</v>
      </c>
      <c r="AE13" s="919">
        <f>'D-Eigenverbrauch fossil Bestand'!AE$6</f>
        <v>47.785909999999994</v>
      </c>
      <c r="AF13" s="940"/>
      <c r="AG13" s="940"/>
      <c r="AH13" s="1055"/>
      <c r="AI13" s="1049"/>
      <c r="AJ13" s="345"/>
    </row>
    <row r="14" spans="1:36" ht="12.75" customHeight="1" outlineLevel="1">
      <c r="A14" s="561">
        <v>14</v>
      </c>
      <c r="B14" s="16" t="str">
        <f>'D-Eigenverbrauch KWK Neue'!B$6</f>
        <v>Referenz</v>
      </c>
      <c r="C14" s="16" t="str">
        <f>'D-Eigenverbrauch KWK Neue'!C$6</f>
        <v>fh</v>
      </c>
      <c r="D14" s="31" t="str">
        <f>'D-Eigenverbrauch KWK Neue'!D$6</f>
        <v>2021: ÜNB-Umlageberechnungen bis 2025, danach konstant</v>
      </c>
      <c r="E14" s="16" t="s">
        <v>269</v>
      </c>
      <c r="F14" s="918">
        <f>'D-Eigenverbrauch KWK Neue'!F$6</f>
        <v>0</v>
      </c>
      <c r="G14" s="918">
        <f>'D-Eigenverbrauch KWK Neue'!G$6</f>
        <v>0</v>
      </c>
      <c r="H14" s="918">
        <f>'D-Eigenverbrauch KWK Neue'!H$6</f>
        <v>0</v>
      </c>
      <c r="I14" s="918">
        <f>'D-Eigenverbrauch KWK Neue'!I$6</f>
        <v>0</v>
      </c>
      <c r="J14" s="918">
        <f>'D-Eigenverbrauch KWK Neue'!J$6</f>
        <v>0</v>
      </c>
      <c r="K14" s="918">
        <f>'D-Eigenverbrauch KWK Neue'!K$6</f>
        <v>0.2</v>
      </c>
      <c r="L14" s="918">
        <f>'D-Eigenverbrauch KWK Neue'!L$6</f>
        <v>0.52702499999999997</v>
      </c>
      <c r="M14" s="918">
        <f>'D-Eigenverbrauch KWK Neue'!M$6</f>
        <v>0.79537799999999992</v>
      </c>
      <c r="N14" s="919">
        <f>'D-Eigenverbrauch KWK Neue'!N$6</f>
        <v>1.2451939999999999</v>
      </c>
      <c r="O14" s="920">
        <f>'D-Eigenverbrauch KWK Neue'!O$6</f>
        <v>2.9838139999999997</v>
      </c>
      <c r="P14" s="918">
        <f>'D-Eigenverbrauch KWK Neue'!P$6</f>
        <v>3.2852449999999997</v>
      </c>
      <c r="Q14" s="918">
        <f>'D-Eigenverbrauch KWK Neue'!Q$6</f>
        <v>5.1942199999999996</v>
      </c>
      <c r="R14" s="918">
        <f>'D-Eigenverbrauch KWK Neue'!R$6</f>
        <v>6.1048070000000001</v>
      </c>
      <c r="S14" s="918">
        <f>'D-Eigenverbrauch KWK Neue'!S$6</f>
        <v>6.5</v>
      </c>
      <c r="T14" s="918">
        <f>'D-Eigenverbrauch KWK Neue'!T$6</f>
        <v>6.9</v>
      </c>
      <c r="U14" s="918">
        <f>'D-Eigenverbrauch KWK Neue'!U$6</f>
        <v>7.31</v>
      </c>
      <c r="V14" s="918">
        <f>'D-Eigenverbrauch KWK Neue'!V$6</f>
        <v>7.71</v>
      </c>
      <c r="W14" s="918">
        <f>'D-Eigenverbrauch KWK Neue'!W$6</f>
        <v>7.71</v>
      </c>
      <c r="X14" s="918">
        <f>'D-Eigenverbrauch KWK Neue'!X$6</f>
        <v>7.71</v>
      </c>
      <c r="Y14" s="918">
        <f>'D-Eigenverbrauch KWK Neue'!Y$6</f>
        <v>7.71</v>
      </c>
      <c r="Z14" s="918">
        <f>'D-Eigenverbrauch KWK Neue'!Z$6</f>
        <v>7.71</v>
      </c>
      <c r="AA14" s="918">
        <f>'D-Eigenverbrauch KWK Neue'!AA$6</f>
        <v>7.71</v>
      </c>
      <c r="AB14" s="918">
        <f>'D-Eigenverbrauch KWK Neue'!AB$6</f>
        <v>7.71</v>
      </c>
      <c r="AC14" s="918">
        <f>'D-Eigenverbrauch KWK Neue'!AC$6</f>
        <v>7.71</v>
      </c>
      <c r="AD14" s="918">
        <f>'D-Eigenverbrauch KWK Neue'!AD$6</f>
        <v>7.71</v>
      </c>
      <c r="AE14" s="919">
        <f>'D-Eigenverbrauch KWK Neue'!AE$6</f>
        <v>7.71</v>
      </c>
      <c r="AF14" s="940"/>
      <c r="AG14" s="940"/>
      <c r="AH14" s="1055"/>
      <c r="AI14" s="1055"/>
      <c r="AJ14" s="345"/>
    </row>
    <row r="15" spans="1:36" ht="12.75" customHeight="1" outlineLevel="1">
      <c r="A15" s="561">
        <v>15</v>
      </c>
      <c r="B15" s="16" t="str">
        <f>'D-Eigenverbrauch fossile Neue'!B$6</f>
        <v>Referenz</v>
      </c>
      <c r="C15" s="12" t="str">
        <f>'D-Eigenverbrauch fossile Neue'!C$6</f>
        <v>fh</v>
      </c>
      <c r="D15" s="31" t="str">
        <f>'D-Eigenverbrauch fossile Neue'!D$6</f>
        <v>Kein Neubau</v>
      </c>
      <c r="E15" s="16" t="s">
        <v>270</v>
      </c>
      <c r="F15" s="918">
        <f>'D-Eigenverbrauch fossile Neue'!F$6</f>
        <v>0</v>
      </c>
      <c r="G15" s="918">
        <f>'D-Eigenverbrauch fossile Neue'!G$6</f>
        <v>0</v>
      </c>
      <c r="H15" s="918">
        <f>'D-Eigenverbrauch fossile Neue'!H$6</f>
        <v>0</v>
      </c>
      <c r="I15" s="918">
        <f>'D-Eigenverbrauch fossile Neue'!I$6</f>
        <v>0</v>
      </c>
      <c r="J15" s="918">
        <f>'D-Eigenverbrauch fossile Neue'!J$6</f>
        <v>0</v>
      </c>
      <c r="K15" s="918">
        <f>'D-Eigenverbrauch fossile Neue'!K$6</f>
        <v>0</v>
      </c>
      <c r="L15" s="918">
        <f>'D-Eigenverbrauch fossile Neue'!L$6</f>
        <v>0</v>
      </c>
      <c r="M15" s="918">
        <f>'D-Eigenverbrauch fossile Neue'!M$6</f>
        <v>1.1745889999999999</v>
      </c>
      <c r="N15" s="919">
        <f>'D-Eigenverbrauch fossile Neue'!N$6</f>
        <v>1.5439479999999999</v>
      </c>
      <c r="O15" s="920">
        <f>'D-Eigenverbrauch fossile Neue'!O$6</f>
        <v>2.5107649999999997</v>
      </c>
      <c r="P15" s="918">
        <f>'D-Eigenverbrauch fossile Neue'!P$6</f>
        <v>3.6564139999999998</v>
      </c>
      <c r="Q15" s="918">
        <f>'D-Eigenverbrauch fossile Neue'!Q$6</f>
        <v>3.8827539999999998</v>
      </c>
      <c r="R15" s="918">
        <f>'D-Eigenverbrauch fossile Neue'!R$6</f>
        <v>5.2223569999999997</v>
      </c>
      <c r="S15" s="918">
        <f>'D-Eigenverbrauch fossile Neue'!S$6</f>
        <v>5.2223569999999997</v>
      </c>
      <c r="T15" s="918">
        <f>'D-Eigenverbrauch fossile Neue'!T$6</f>
        <v>5.2223569999999997</v>
      </c>
      <c r="U15" s="918">
        <f>'D-Eigenverbrauch fossile Neue'!U$6</f>
        <v>5.2223569999999997</v>
      </c>
      <c r="V15" s="918">
        <f>'D-Eigenverbrauch fossile Neue'!V$6</f>
        <v>5.2223569999999997</v>
      </c>
      <c r="W15" s="918">
        <f>'D-Eigenverbrauch fossile Neue'!W$6</f>
        <v>5.2223569999999997</v>
      </c>
      <c r="X15" s="918">
        <f>'D-Eigenverbrauch fossile Neue'!X$6</f>
        <v>5.2223569999999997</v>
      </c>
      <c r="Y15" s="918">
        <f>'D-Eigenverbrauch fossile Neue'!Y$6</f>
        <v>5.2223569999999997</v>
      </c>
      <c r="Z15" s="918">
        <f>'D-Eigenverbrauch fossile Neue'!Z$6</f>
        <v>5.2223569999999997</v>
      </c>
      <c r="AA15" s="918">
        <f>'D-Eigenverbrauch fossile Neue'!AA$6</f>
        <v>5.2223569999999997</v>
      </c>
      <c r="AB15" s="918">
        <f>'D-Eigenverbrauch fossile Neue'!AB$6</f>
        <v>5.2223569999999997</v>
      </c>
      <c r="AC15" s="918">
        <f>'D-Eigenverbrauch fossile Neue'!AC$6</f>
        <v>5.2223569999999997</v>
      </c>
      <c r="AD15" s="918">
        <f>'D-Eigenverbrauch fossile Neue'!AD$6</f>
        <v>5.2223569999999997</v>
      </c>
      <c r="AE15" s="919">
        <f>'D-Eigenverbrauch fossile Neue'!AE$6</f>
        <v>5.2223569999999997</v>
      </c>
      <c r="AF15" s="940"/>
      <c r="AG15" s="940"/>
      <c r="AH15" s="1048"/>
      <c r="AI15" s="1048"/>
      <c r="AJ15" s="345"/>
    </row>
    <row r="16" spans="1:36" ht="12.75" customHeight="1" outlineLevel="1">
      <c r="A16" s="561">
        <v>16</v>
      </c>
      <c r="B16" s="16" t="str">
        <f>'D-Grünstromprivileg'!B$6</f>
        <v>Referenz</v>
      </c>
      <c r="C16" s="12" t="str">
        <f>'D-Grünstromprivileg'!C$6</f>
        <v>mh</v>
      </c>
      <c r="D16" s="353" t="str">
        <f>'D-Grünstromprivileg'!D$6</f>
        <v>ÜNB-Jahresprognosen und Prognos 2012; ab 2015 kein Grünstromprivileg mehr</v>
      </c>
      <c r="E16" s="16" t="s">
        <v>291</v>
      </c>
      <c r="F16" s="918">
        <f>'D-Grünstromprivileg'!F$6</f>
        <v>0</v>
      </c>
      <c r="G16" s="918">
        <f>'D-Grünstromprivileg'!G$6</f>
        <v>24.664059639999998</v>
      </c>
      <c r="H16" s="918">
        <f>'D-Grünstromprivileg'!H$6</f>
        <v>6.3188509999999996</v>
      </c>
      <c r="I16" s="918">
        <f>'D-Grünstromprivileg'!I$6</f>
        <v>2.5983429999999998</v>
      </c>
      <c r="J16" s="918">
        <f>'D-Grünstromprivileg'!J$6</f>
        <v>5.9772400000000001</v>
      </c>
      <c r="K16" s="918">
        <f>'D-Grünstromprivileg'!K$6</f>
        <v>0</v>
      </c>
      <c r="L16" s="918">
        <f>'D-Grünstromprivileg'!L$6</f>
        <v>0</v>
      </c>
      <c r="M16" s="918">
        <f>'D-Grünstromprivileg'!M$6</f>
        <v>0</v>
      </c>
      <c r="N16" s="919">
        <f>'D-Grünstromprivileg'!N$6</f>
        <v>0</v>
      </c>
      <c r="O16" s="920">
        <f>'D-Grünstromprivileg'!O$6</f>
        <v>0</v>
      </c>
      <c r="P16" s="918">
        <f>'D-Grünstromprivileg'!P$6</f>
        <v>0</v>
      </c>
      <c r="Q16" s="918">
        <f>'D-Grünstromprivileg'!Q$6</f>
        <v>0</v>
      </c>
      <c r="R16" s="918">
        <f>'D-Grünstromprivileg'!R$6</f>
        <v>0</v>
      </c>
      <c r="S16" s="918">
        <f>'D-Grünstromprivileg'!S$6</f>
        <v>0</v>
      </c>
      <c r="T16" s="918">
        <f>'D-Grünstromprivileg'!T$6</f>
        <v>0</v>
      </c>
      <c r="U16" s="918">
        <f>'D-Grünstromprivileg'!U$6</f>
        <v>0</v>
      </c>
      <c r="V16" s="918">
        <f>'D-Grünstromprivileg'!V$6</f>
        <v>0</v>
      </c>
      <c r="W16" s="918">
        <f>'D-Grünstromprivileg'!W$6</f>
        <v>0</v>
      </c>
      <c r="X16" s="918">
        <f>'D-Grünstromprivileg'!X$6</f>
        <v>0</v>
      </c>
      <c r="Y16" s="918">
        <f>'D-Grünstromprivileg'!Y$6</f>
        <v>0</v>
      </c>
      <c r="Z16" s="918">
        <f>'D-Grünstromprivileg'!Z$6</f>
        <v>0</v>
      </c>
      <c r="AA16" s="918">
        <f>'D-Grünstromprivileg'!AA$6</f>
        <v>0</v>
      </c>
      <c r="AB16" s="918">
        <f>'D-Grünstromprivileg'!AB$6</f>
        <v>0</v>
      </c>
      <c r="AC16" s="918">
        <f>'D-Grünstromprivileg'!AC$6</f>
        <v>0</v>
      </c>
      <c r="AD16" s="918">
        <f>'D-Grünstromprivileg'!AD$6</f>
        <v>0</v>
      </c>
      <c r="AE16" s="919">
        <f>'D-Grünstromprivileg'!AE$6</f>
        <v>0</v>
      </c>
      <c r="AF16" s="940"/>
      <c r="AG16" s="940"/>
      <c r="AH16" s="1048"/>
      <c r="AI16" s="1048"/>
      <c r="AJ16" s="345"/>
    </row>
    <row r="17" spans="1:36" ht="12.75" customHeight="1" outlineLevel="1">
      <c r="A17" s="561">
        <v>17</v>
      </c>
      <c r="B17" s="321" t="str">
        <f>'D-Umlage priv. Letztverbrauch'!B$6</f>
        <v>Referenz</v>
      </c>
      <c r="C17" s="22" t="str">
        <f>'D-Umlage priv. Letztverbrauch'!C$6</f>
        <v>dr</v>
      </c>
      <c r="D17" s="30" t="str">
        <f>'D-Umlage priv. Letztverbrauch'!D$6</f>
        <v>15% (gem. EEG 2021)</v>
      </c>
      <c r="E17" s="302" t="s">
        <v>272</v>
      </c>
      <c r="F17" s="921">
        <f>'D-Umlage priv. Letztverbrauch'!F$6</f>
        <v>2.4421006724375267E-2</v>
      </c>
      <c r="G17" s="921">
        <f>'D-Umlage priv. Letztverbrauch'!G$6</f>
        <v>1.416149742259081E-2</v>
      </c>
      <c r="H17" s="921">
        <f>'D-Umlage priv. Letztverbrauch'!H$6</f>
        <v>1.3920264634567114E-2</v>
      </c>
      <c r="I17" s="921">
        <f>'D-Umlage priv. Letztverbrauch'!I$6</f>
        <v>6.442107437727964E-3</v>
      </c>
      <c r="J17" s="922">
        <f>'D-Umlage priv. Letztverbrauch'!J$6</f>
        <v>2.083534312096447E-2</v>
      </c>
      <c r="K17" s="915">
        <f>'D-Umlage priv. Letztverbrauch'!K$6</f>
        <v>0.15</v>
      </c>
      <c r="L17" s="915">
        <f>'D-Umlage priv. Letztverbrauch'!L$6</f>
        <v>0.15</v>
      </c>
      <c r="M17" s="915">
        <f>'D-Umlage priv. Letztverbrauch'!M$6</f>
        <v>0.15</v>
      </c>
      <c r="N17" s="916">
        <f>'D-Umlage priv. Letztverbrauch'!N$6</f>
        <v>0.15</v>
      </c>
      <c r="O17" s="915">
        <f>'D-Umlage priv. Letztverbrauch'!O$6</f>
        <v>0.15</v>
      </c>
      <c r="P17" s="915">
        <f>'D-Umlage priv. Letztverbrauch'!P$6</f>
        <v>0.15</v>
      </c>
      <c r="Q17" s="915">
        <f>'D-Umlage priv. Letztverbrauch'!Q$6</f>
        <v>0.15</v>
      </c>
      <c r="R17" s="915">
        <f>'D-Umlage priv. Letztverbrauch'!R$6</f>
        <v>0.15</v>
      </c>
      <c r="S17" s="915">
        <f>'D-Umlage priv. Letztverbrauch'!S$6</f>
        <v>0.15</v>
      </c>
      <c r="T17" s="915">
        <f>'D-Umlage priv. Letztverbrauch'!T$6</f>
        <v>0.15</v>
      </c>
      <c r="U17" s="915">
        <f>'D-Umlage priv. Letztverbrauch'!U$6</f>
        <v>0.15</v>
      </c>
      <c r="V17" s="915">
        <f>'D-Umlage priv. Letztverbrauch'!V$6</f>
        <v>0.15</v>
      </c>
      <c r="W17" s="915">
        <f>'D-Umlage priv. Letztverbrauch'!W$6</f>
        <v>0.15</v>
      </c>
      <c r="X17" s="915">
        <f>'D-Umlage priv. Letztverbrauch'!X$6</f>
        <v>0.15</v>
      </c>
      <c r="Y17" s="915">
        <f>'D-Umlage priv. Letztverbrauch'!Y$6</f>
        <v>0.15</v>
      </c>
      <c r="Z17" s="915">
        <f>'D-Umlage priv. Letztverbrauch'!Z$6</f>
        <v>0.15</v>
      </c>
      <c r="AA17" s="915">
        <f>'D-Umlage priv. Letztverbrauch'!AA$6</f>
        <v>0.15</v>
      </c>
      <c r="AB17" s="915">
        <f>'D-Umlage priv. Letztverbrauch'!AB$6</f>
        <v>0.15</v>
      </c>
      <c r="AC17" s="915">
        <f>'D-Umlage priv. Letztverbrauch'!AC$6</f>
        <v>0.15</v>
      </c>
      <c r="AD17" s="915">
        <f>'D-Umlage priv. Letztverbrauch'!AD$6</f>
        <v>0.15</v>
      </c>
      <c r="AE17" s="916">
        <f>'D-Umlage priv. Letztverbrauch'!AE$6</f>
        <v>0.15</v>
      </c>
      <c r="AF17" s="940"/>
      <c r="AG17" s="940"/>
      <c r="AH17" s="1048"/>
      <c r="AI17" s="1048"/>
      <c r="AJ17" s="345"/>
    </row>
    <row r="18" spans="1:36" ht="12.75" customHeight="1" outlineLevel="1">
      <c r="A18" s="561">
        <v>18</v>
      </c>
      <c r="B18" s="16" t="str">
        <f>'D-Faktor Zusatzprivilegierung'!B$6</f>
        <v>Referenz</v>
      </c>
      <c r="C18" s="12" t="str">
        <f>'D-Faktor Zusatzprivilegierung'!C$6</f>
        <v>fh</v>
      </c>
      <c r="D18" s="31" t="str">
        <f>'D-Faktor Zusatzprivilegierung'!D$6</f>
        <v>Bis 2022: ÜNB-Umlageberechnungen, danach konstant (wirkt wie vollständige Befreiung von 62% des priv. LV)</v>
      </c>
      <c r="E18" s="304" t="s">
        <v>354</v>
      </c>
      <c r="F18" s="918">
        <f>'D-Faktor Zusatzprivilegierung'!F$6</f>
        <v>0</v>
      </c>
      <c r="G18" s="918">
        <f>'D-Faktor Zusatzprivilegierung'!G$6</f>
        <v>0</v>
      </c>
      <c r="H18" s="918">
        <f>'D-Faktor Zusatzprivilegierung'!H$6</f>
        <v>0</v>
      </c>
      <c r="I18" s="918">
        <f>'D-Faktor Zusatzprivilegierung'!I$6</f>
        <v>0</v>
      </c>
      <c r="J18" s="918">
        <f>'D-Faktor Zusatzprivilegierung'!J$6</f>
        <v>0</v>
      </c>
      <c r="K18" s="918">
        <f>'D-Faktor Zusatzprivilegierung'!K$6</f>
        <v>0.53400000000000003</v>
      </c>
      <c r="L18" s="918">
        <f>'D-Faktor Zusatzprivilegierung'!L$6</f>
        <v>0.502</v>
      </c>
      <c r="M18" s="918">
        <f>'D-Faktor Zusatzprivilegierung'!M$6</f>
        <v>0.61956606648897039</v>
      </c>
      <c r="N18" s="919">
        <f>'D-Faktor Zusatzprivilegierung'!N$6</f>
        <v>0.59982457576591419</v>
      </c>
      <c r="O18" s="918">
        <f>'D-Faktor Zusatzprivilegierung'!O$6</f>
        <v>0.61796806733819043</v>
      </c>
      <c r="P18" s="918">
        <f>'D-Faktor Zusatzprivilegierung'!P$6</f>
        <v>0.62235249305977924</v>
      </c>
      <c r="Q18" s="918">
        <f>'D-Faktor Zusatzprivilegierung'!Q$6</f>
        <v>0.6181753273601267</v>
      </c>
      <c r="R18" s="918">
        <f>'D-Faktor Zusatzprivilegierung'!R$6</f>
        <v>0.60592012608777501</v>
      </c>
      <c r="S18" s="918">
        <f>'D-Faktor Zusatzprivilegierung'!S$6</f>
        <v>0.60592012608777501</v>
      </c>
      <c r="T18" s="918">
        <f>'D-Faktor Zusatzprivilegierung'!T$6</f>
        <v>0.60592012608777501</v>
      </c>
      <c r="U18" s="918">
        <f>'D-Faktor Zusatzprivilegierung'!U$6</f>
        <v>0.60592012608777501</v>
      </c>
      <c r="V18" s="918">
        <f>'D-Faktor Zusatzprivilegierung'!V$6</f>
        <v>0.60592012608777501</v>
      </c>
      <c r="W18" s="918">
        <f>'D-Faktor Zusatzprivilegierung'!W$6</f>
        <v>0.60592012608777501</v>
      </c>
      <c r="X18" s="918">
        <f>'D-Faktor Zusatzprivilegierung'!X$6</f>
        <v>0.60592012608777501</v>
      </c>
      <c r="Y18" s="918">
        <f>'D-Faktor Zusatzprivilegierung'!Y$6</f>
        <v>0.60592012608777501</v>
      </c>
      <c r="Z18" s="918">
        <f>'D-Faktor Zusatzprivilegierung'!Z$6</f>
        <v>0.60592012608777501</v>
      </c>
      <c r="AA18" s="918">
        <f>'D-Faktor Zusatzprivilegierung'!AA$6</f>
        <v>0.60592012608777501</v>
      </c>
      <c r="AB18" s="918">
        <f>'D-Faktor Zusatzprivilegierung'!AB$6</f>
        <v>0.60592012608777501</v>
      </c>
      <c r="AC18" s="918">
        <f>'D-Faktor Zusatzprivilegierung'!AC$6</f>
        <v>0.60592012608777501</v>
      </c>
      <c r="AD18" s="918">
        <f>'D-Faktor Zusatzprivilegierung'!AD$6</f>
        <v>0.60592012608777501</v>
      </c>
      <c r="AE18" s="919">
        <f>'D-Faktor Zusatzprivilegierung'!AE$6</f>
        <v>0.60592012608777501</v>
      </c>
      <c r="AF18" s="940"/>
      <c r="AG18" s="940"/>
      <c r="AH18" s="1050"/>
      <c r="AI18" s="1050"/>
      <c r="AJ18" s="345"/>
    </row>
    <row r="19" spans="1:36" ht="12.75" customHeight="1" outlineLevel="1">
      <c r="A19" s="561">
        <v>19</v>
      </c>
      <c r="B19" s="16"/>
      <c r="C19" s="12"/>
      <c r="D19" s="31"/>
      <c r="E19" s="304" t="s">
        <v>381</v>
      </c>
      <c r="F19" s="918">
        <f>'D-Umlage EV Bestand'!F$6</f>
        <v>0</v>
      </c>
      <c r="G19" s="918">
        <f>'D-Umlage EV Bestand'!G$6</f>
        <v>0</v>
      </c>
      <c r="H19" s="918">
        <f>'D-Umlage EV Bestand'!H$6</f>
        <v>0</v>
      </c>
      <c r="I19" s="918">
        <f>'D-Umlage EV Bestand'!I$6</f>
        <v>0</v>
      </c>
      <c r="J19" s="918">
        <f>'D-Umlage EV Bestand'!J$6</f>
        <v>0</v>
      </c>
      <c r="K19" s="918">
        <f>'D-Umlage EV Bestand'!K$6</f>
        <v>0</v>
      </c>
      <c r="L19" s="918">
        <f>'D-Umlage EV Bestand'!L$6</f>
        <v>0</v>
      </c>
      <c r="M19" s="918">
        <f>'D-Umlage EV Bestand'!M$6</f>
        <v>0</v>
      </c>
      <c r="N19" s="919">
        <f>'D-Umlage EV Bestand'!N$6</f>
        <v>0</v>
      </c>
      <c r="O19" s="918">
        <f>'D-Umlage EV Bestand'!O$6</f>
        <v>0</v>
      </c>
      <c r="P19" s="918">
        <f>'D-Umlage EV Bestand'!P$6</f>
        <v>0</v>
      </c>
      <c r="Q19" s="918">
        <f>'D-Umlage EV Bestand'!Q$6</f>
        <v>0</v>
      </c>
      <c r="R19" s="918">
        <f>'D-Umlage EV Bestand'!R$6</f>
        <v>0</v>
      </c>
      <c r="S19" s="918">
        <f>'D-Umlage EV Bestand'!S$6</f>
        <v>0</v>
      </c>
      <c r="T19" s="918">
        <f>'D-Umlage EV Bestand'!T$6</f>
        <v>0</v>
      </c>
      <c r="U19" s="918">
        <f>'D-Umlage EV Bestand'!U$6</f>
        <v>0</v>
      </c>
      <c r="V19" s="918">
        <f>'D-Umlage EV Bestand'!V$6</f>
        <v>0</v>
      </c>
      <c r="W19" s="918">
        <f>'D-Umlage EV Bestand'!W$6</f>
        <v>0</v>
      </c>
      <c r="X19" s="918">
        <f>'D-Umlage EV Bestand'!X$6</f>
        <v>0</v>
      </c>
      <c r="Y19" s="918">
        <f>'D-Umlage EV Bestand'!Y$6</f>
        <v>0</v>
      </c>
      <c r="Z19" s="918">
        <f>'D-Umlage EV Bestand'!Z$6</f>
        <v>0</v>
      </c>
      <c r="AA19" s="918">
        <f>'D-Umlage EV Bestand'!AA$6</f>
        <v>0</v>
      </c>
      <c r="AB19" s="918">
        <f>'D-Umlage EV Bestand'!AB$6</f>
        <v>0</v>
      </c>
      <c r="AC19" s="918">
        <f>'D-Umlage EV Bestand'!AC$6</f>
        <v>0</v>
      </c>
      <c r="AD19" s="918">
        <f>'D-Umlage EV Bestand'!AD$6</f>
        <v>0</v>
      </c>
      <c r="AE19" s="919">
        <f>'D-Umlage EV Bestand'!AE$6</f>
        <v>0</v>
      </c>
      <c r="AF19" s="940" t="s">
        <v>461</v>
      </c>
      <c r="AG19" s="941" t="s">
        <v>461</v>
      </c>
      <c r="AJ19" s="345"/>
    </row>
    <row r="20" spans="1:36" ht="12.75" customHeight="1" outlineLevel="1">
      <c r="A20" s="561">
        <v>20</v>
      </c>
      <c r="B20" s="16" t="str">
        <f>'D-Umlage Eigenverbrauch PV+KWK'!B$6</f>
        <v>Referenz</v>
      </c>
      <c r="C20" s="12" t="str">
        <f>'D-Umlage Eigenverbrauch PV+KWK'!C$6</f>
        <v>mh</v>
      </c>
      <c r="D20" s="31" t="str">
        <f>'D-Umlage Eigenverbrauch PV+KWK'!D$6</f>
        <v>gem. EEG 2017, ab 2020 konstant 38%</v>
      </c>
      <c r="E20" s="304" t="s">
        <v>273</v>
      </c>
      <c r="F20" s="918">
        <f>'D-Umlage Eigenverbrauch PV+KWK'!F$6</f>
        <v>0</v>
      </c>
      <c r="G20" s="918">
        <f>'D-Umlage Eigenverbrauch PV+KWK'!G$6</f>
        <v>0</v>
      </c>
      <c r="H20" s="918">
        <f>'D-Umlage Eigenverbrauch PV+KWK'!H$6</f>
        <v>0</v>
      </c>
      <c r="I20" s="918">
        <f>'D-Umlage Eigenverbrauch PV+KWK'!I$6</f>
        <v>0</v>
      </c>
      <c r="J20" s="918">
        <f>'D-Umlage Eigenverbrauch PV+KWK'!J$6</f>
        <v>0</v>
      </c>
      <c r="K20" s="918">
        <f>'D-Umlage Eigenverbrauch PV+KWK'!K$6</f>
        <v>0.3</v>
      </c>
      <c r="L20" s="918">
        <f>'D-Umlage Eigenverbrauch PV+KWK'!L$6</f>
        <v>0.35</v>
      </c>
      <c r="M20" s="918">
        <f>'D-Umlage Eigenverbrauch PV+KWK'!M$6</f>
        <v>0.40000062775558548</v>
      </c>
      <c r="N20" s="919">
        <f>'D-Umlage Eigenverbrauch PV+KWK'!N$6</f>
        <v>0.33640703685486462</v>
      </c>
      <c r="O20" s="918">
        <f>'D-Umlage Eigenverbrauch PV+KWK'!O$6</f>
        <v>0.36296708149217022</v>
      </c>
      <c r="P20" s="918">
        <f>'D-Umlage Eigenverbrauch PV+KWK'!P$6</f>
        <v>0.37707011244336597</v>
      </c>
      <c r="Q20" s="918">
        <f>'D-Umlage Eigenverbrauch PV+KWK'!Q$6</f>
        <v>0.37707011244336597</v>
      </c>
      <c r="R20" s="918">
        <f>'D-Umlage Eigenverbrauch PV+KWK'!R$6</f>
        <v>0.51337757596926303</v>
      </c>
      <c r="S20" s="918">
        <f>'D-Umlage Eigenverbrauch PV+KWK'!S$6</f>
        <v>0.51337757596926303</v>
      </c>
      <c r="T20" s="918">
        <f>'D-Umlage Eigenverbrauch PV+KWK'!T$6</f>
        <v>0.51337757596926303</v>
      </c>
      <c r="U20" s="918">
        <f>'D-Umlage Eigenverbrauch PV+KWK'!U$6</f>
        <v>0.51337757596926303</v>
      </c>
      <c r="V20" s="918">
        <f>'D-Umlage Eigenverbrauch PV+KWK'!V$6</f>
        <v>0.51337757596926303</v>
      </c>
      <c r="W20" s="918">
        <f>'D-Umlage Eigenverbrauch PV+KWK'!W$6</f>
        <v>0.51337757596926303</v>
      </c>
      <c r="X20" s="918">
        <f>'D-Umlage Eigenverbrauch PV+KWK'!X$6</f>
        <v>0.51337757596926303</v>
      </c>
      <c r="Y20" s="918">
        <f>'D-Umlage Eigenverbrauch PV+KWK'!Y$6</f>
        <v>0.51337757596926303</v>
      </c>
      <c r="Z20" s="918">
        <f>'D-Umlage Eigenverbrauch PV+KWK'!Z$6</f>
        <v>0.51337757596926303</v>
      </c>
      <c r="AA20" s="918">
        <f>'D-Umlage Eigenverbrauch PV+KWK'!AA$6</f>
        <v>0.51337757596926303</v>
      </c>
      <c r="AB20" s="918">
        <f>'D-Umlage Eigenverbrauch PV+KWK'!AB$6</f>
        <v>0.51337757596926303</v>
      </c>
      <c r="AC20" s="918">
        <f>'D-Umlage Eigenverbrauch PV+KWK'!AC$6</f>
        <v>0.51337757596926303</v>
      </c>
      <c r="AD20" s="918">
        <f>'D-Umlage Eigenverbrauch PV+KWK'!AD$6</f>
        <v>0.51337757596926303</v>
      </c>
      <c r="AE20" s="919">
        <f>'D-Umlage Eigenverbrauch PV+KWK'!AE$6</f>
        <v>0.51337757596926303</v>
      </c>
      <c r="AF20" s="940"/>
      <c r="AG20" s="940"/>
      <c r="AJ20" s="345"/>
    </row>
    <row r="21" spans="1:36" ht="12.75" customHeight="1" outlineLevel="1">
      <c r="A21" s="561">
        <v>21</v>
      </c>
      <c r="B21" s="16" t="str">
        <f>'D-Umlage Eigenverb fossile Neue'!B$6</f>
        <v>Referenz</v>
      </c>
      <c r="C21" s="12" t="str">
        <f>'D-Umlage Eigenverb fossile Neue'!C$6</f>
        <v>mh</v>
      </c>
      <c r="D21" s="31" t="str">
        <f>'D-Umlage Eigenverb fossile Neue'!D$6</f>
        <v>100% (gem. EEG 2014)</v>
      </c>
      <c r="E21" s="304" t="s">
        <v>274</v>
      </c>
      <c r="F21" s="918">
        <f>'D-Umlage Eigenverb fossile Neue'!F$6</f>
        <v>0</v>
      </c>
      <c r="G21" s="918">
        <f>'D-Umlage Eigenverb fossile Neue'!G$6</f>
        <v>0</v>
      </c>
      <c r="H21" s="918">
        <f>'D-Umlage Eigenverb fossile Neue'!H$6</f>
        <v>0</v>
      </c>
      <c r="I21" s="918">
        <f>'D-Umlage Eigenverb fossile Neue'!I$6</f>
        <v>0</v>
      </c>
      <c r="J21" s="918">
        <f>'D-Umlage Eigenverb fossile Neue'!J$6</f>
        <v>0</v>
      </c>
      <c r="K21" s="918">
        <f>'D-Umlage Eigenverb fossile Neue'!K$6</f>
        <v>1</v>
      </c>
      <c r="L21" s="918">
        <f>'D-Umlage Eigenverb fossile Neue'!L$6</f>
        <v>1</v>
      </c>
      <c r="M21" s="918">
        <f>'D-Umlage Eigenverb fossile Neue'!M$6</f>
        <v>1</v>
      </c>
      <c r="N21" s="919">
        <f>'D-Umlage Eigenverb fossile Neue'!N$6</f>
        <v>1</v>
      </c>
      <c r="O21" s="918">
        <f>'D-Umlage Eigenverb fossile Neue'!O$6</f>
        <v>1</v>
      </c>
      <c r="P21" s="918">
        <f>'D-Umlage Eigenverb fossile Neue'!P$6</f>
        <v>1</v>
      </c>
      <c r="Q21" s="918">
        <f>'D-Umlage Eigenverb fossile Neue'!Q$6</f>
        <v>1</v>
      </c>
      <c r="R21" s="918">
        <f>'D-Umlage Eigenverb fossile Neue'!R$6</f>
        <v>1</v>
      </c>
      <c r="S21" s="918">
        <f>'D-Umlage Eigenverb fossile Neue'!S$6</f>
        <v>1</v>
      </c>
      <c r="T21" s="918">
        <f>'D-Umlage Eigenverb fossile Neue'!T$6</f>
        <v>1</v>
      </c>
      <c r="U21" s="918">
        <f>'D-Umlage Eigenverb fossile Neue'!U$6</f>
        <v>1</v>
      </c>
      <c r="V21" s="918">
        <f>'D-Umlage Eigenverb fossile Neue'!V$6</f>
        <v>1</v>
      </c>
      <c r="W21" s="918">
        <f>'D-Umlage Eigenverb fossile Neue'!W$6</f>
        <v>1</v>
      </c>
      <c r="X21" s="918">
        <f>'D-Umlage Eigenverb fossile Neue'!X$6</f>
        <v>1</v>
      </c>
      <c r="Y21" s="918">
        <f>'D-Umlage Eigenverb fossile Neue'!Y$6</f>
        <v>1</v>
      </c>
      <c r="Z21" s="918">
        <f>'D-Umlage Eigenverb fossile Neue'!Z$6</f>
        <v>1</v>
      </c>
      <c r="AA21" s="918">
        <f>'D-Umlage Eigenverb fossile Neue'!AA$6</f>
        <v>1</v>
      </c>
      <c r="AB21" s="918">
        <f>'D-Umlage Eigenverb fossile Neue'!AB$6</f>
        <v>1</v>
      </c>
      <c r="AC21" s="918">
        <f>'D-Umlage Eigenverb fossile Neue'!AC$6</f>
        <v>1</v>
      </c>
      <c r="AD21" s="918">
        <f>'D-Umlage Eigenverb fossile Neue'!AD$6</f>
        <v>1</v>
      </c>
      <c r="AE21" s="919">
        <f>'D-Umlage Eigenverb fossile Neue'!AE$6</f>
        <v>1</v>
      </c>
      <c r="AF21" s="940"/>
      <c r="AG21" s="940"/>
      <c r="AJ21" s="345"/>
    </row>
    <row r="22" spans="1:36" ht="12.75" customHeight="1" outlineLevel="1">
      <c r="A22" s="561">
        <v>22</v>
      </c>
      <c r="B22" s="303" t="str">
        <f>'D-Umlagereduktion Grünstrom'!B$6</f>
        <v>Referenz</v>
      </c>
      <c r="C22" s="24" t="str">
        <f>'D-Umlagereduktion Grünstrom'!C$6</f>
        <v>mh</v>
      </c>
      <c r="D22" s="32" t="str">
        <f>'D-Umlagereduktion Grünstrom'!D$6</f>
        <v>ÜNB-Jahresprognosen. Abzug von Umlage in Höhe der Umlage (100% Befreiung) von 2009-2011, Abzug von 2ct/kWh in 2012 und 2013.</v>
      </c>
      <c r="E22" s="305" t="s">
        <v>411</v>
      </c>
      <c r="F22" s="923">
        <f>'D-Umlagereduktion Grünstrom'!F$6</f>
        <v>20.47</v>
      </c>
      <c r="G22" s="923">
        <f>'D-Umlagereduktion Grünstrom'!G$6</f>
        <v>35.31</v>
      </c>
      <c r="H22" s="923">
        <f>'D-Umlagereduktion Grünstrom'!H$6</f>
        <v>20</v>
      </c>
      <c r="I22" s="923">
        <f>'D-Umlagereduktion Grünstrom'!I$6</f>
        <v>20</v>
      </c>
      <c r="J22" s="923">
        <f>'D-Umlagereduktion Grünstrom'!J$6</f>
        <v>20</v>
      </c>
      <c r="K22" s="923">
        <f>'D-Umlagereduktion Grünstrom'!K$6</f>
        <v>0</v>
      </c>
      <c r="L22" s="923">
        <f>'D-Umlagereduktion Grünstrom'!L$6</f>
        <v>0</v>
      </c>
      <c r="M22" s="923">
        <f>'D-Umlagereduktion Grünstrom'!M$6</f>
        <v>0</v>
      </c>
      <c r="N22" s="924">
        <f>'D-Umlagereduktion Grünstrom'!N$6</f>
        <v>0</v>
      </c>
      <c r="O22" s="923">
        <f>'D-Umlagereduktion Grünstrom'!O$6</f>
        <v>0</v>
      </c>
      <c r="P22" s="923">
        <f>'D-Umlagereduktion Grünstrom'!P$6</f>
        <v>0</v>
      </c>
      <c r="Q22" s="923">
        <f>'D-Umlagereduktion Grünstrom'!Q$6</f>
        <v>0</v>
      </c>
      <c r="R22" s="923">
        <f>'D-Umlagereduktion Grünstrom'!R$6</f>
        <v>0</v>
      </c>
      <c r="S22" s="923">
        <f>'D-Umlagereduktion Grünstrom'!S$6</f>
        <v>0</v>
      </c>
      <c r="T22" s="923">
        <f>'D-Umlagereduktion Grünstrom'!T$6</f>
        <v>0</v>
      </c>
      <c r="U22" s="923">
        <f>'D-Umlagereduktion Grünstrom'!U$6</f>
        <v>0</v>
      </c>
      <c r="V22" s="923">
        <f>'D-Umlagereduktion Grünstrom'!V$6</f>
        <v>0</v>
      </c>
      <c r="W22" s="923">
        <f>'D-Umlagereduktion Grünstrom'!W$6</f>
        <v>0</v>
      </c>
      <c r="X22" s="923">
        <f>'D-Umlagereduktion Grünstrom'!X$6</f>
        <v>0</v>
      </c>
      <c r="Y22" s="923">
        <f>'D-Umlagereduktion Grünstrom'!Y$6</f>
        <v>0</v>
      </c>
      <c r="Z22" s="923">
        <f>'D-Umlagereduktion Grünstrom'!Z$6</f>
        <v>0</v>
      </c>
      <c r="AA22" s="923">
        <f>'D-Umlagereduktion Grünstrom'!AA$6</f>
        <v>0</v>
      </c>
      <c r="AB22" s="923">
        <f>'D-Umlagereduktion Grünstrom'!AB$6</f>
        <v>0</v>
      </c>
      <c r="AC22" s="923">
        <f>'D-Umlagereduktion Grünstrom'!AC$6</f>
        <v>0</v>
      </c>
      <c r="AD22" s="923">
        <f>'D-Umlagereduktion Grünstrom'!AD$6</f>
        <v>0</v>
      </c>
      <c r="AE22" s="924">
        <f>'D-Umlagereduktion Grünstrom'!AE$6</f>
        <v>0</v>
      </c>
      <c r="AF22" s="940"/>
      <c r="AG22" s="940"/>
      <c r="AH22" s="1048"/>
      <c r="AI22" s="1048"/>
      <c r="AJ22" s="345"/>
    </row>
    <row r="23" spans="1:36" ht="12.75" customHeight="1" outlineLevel="1">
      <c r="A23" s="561">
        <v>23</v>
      </c>
      <c r="B23" s="16" t="str">
        <f>'D-vermiedene Netzentgelte'!B$6</f>
        <v>Referenz</v>
      </c>
      <c r="C23" s="12" t="str">
        <f>'D-vermiedene Netzentgelte'!C$6</f>
        <v>fh</v>
      </c>
      <c r="D23" s="31" t="str">
        <f>'D-vermiedene Netzentgelte'!D$6</f>
        <v>7.17€/MWh</v>
      </c>
      <c r="E23" s="16" t="s">
        <v>429</v>
      </c>
      <c r="F23" s="918">
        <f>'D-vermiedene Netzentgelte'!F$6</f>
        <v>3.6986274118651017</v>
      </c>
      <c r="G23" s="918">
        <f>'D-vermiedene Netzentgelte'!G$6</f>
        <v>3.67623039746714</v>
      </c>
      <c r="H23" s="918">
        <f>'D-vermiedene Netzentgelte'!H$6</f>
        <v>3.8466309856018386</v>
      </c>
      <c r="I23" s="918">
        <f>'D-vermiedene Netzentgelte'!I$6</f>
        <v>3.7273122127772123</v>
      </c>
      <c r="J23" s="918">
        <f>'D-vermiedene Netzentgelte'!J$6</f>
        <v>4.6460245701332967</v>
      </c>
      <c r="K23" s="918">
        <f>'D-vermiedene Netzentgelte'!K$6</f>
        <v>4.6631872317218352</v>
      </c>
      <c r="L23" s="918">
        <f>'D-vermiedene Netzentgelte'!L$6</f>
        <v>4.8191604494594991</v>
      </c>
      <c r="M23" s="918">
        <f>'D-vermiedene Netzentgelte'!M$6</f>
        <v>7.7231242789896131</v>
      </c>
      <c r="N23" s="919">
        <f>'D-vermiedene Netzentgelte'!N$6</f>
        <v>6.3391841590858826</v>
      </c>
      <c r="O23" s="920">
        <f>'D-vermiedene Netzentgelte'!O$6</f>
        <v>7.3821193026159877</v>
      </c>
      <c r="P23" s="918">
        <f>'D-vermiedene Netzentgelte'!P$6</f>
        <v>7.0575324728422038</v>
      </c>
      <c r="Q23" s="918">
        <f>'D-vermiedene Netzentgelte'!Q$6</f>
        <v>7.1727090185728217</v>
      </c>
      <c r="R23" s="918">
        <f>'D-vermiedene Netzentgelte'!R$6</f>
        <v>6.2705314571955393</v>
      </c>
      <c r="S23" s="918">
        <f>'D-vermiedene Netzentgelte'!S$6</f>
        <v>6.2705314571955393</v>
      </c>
      <c r="T23" s="918">
        <f>'D-vermiedene Netzentgelte'!T$6</f>
        <v>6.2705314571955393</v>
      </c>
      <c r="U23" s="918">
        <f>'D-vermiedene Netzentgelte'!U$6</f>
        <v>6.2705314571955393</v>
      </c>
      <c r="V23" s="918">
        <f>'D-vermiedene Netzentgelte'!V$6</f>
        <v>6.2705314571955393</v>
      </c>
      <c r="W23" s="918">
        <f>'D-vermiedene Netzentgelte'!W$6</f>
        <v>6.2705314571955393</v>
      </c>
      <c r="X23" s="918">
        <f>'D-vermiedene Netzentgelte'!X$6</f>
        <v>6.2705314571955393</v>
      </c>
      <c r="Y23" s="918">
        <f>'D-vermiedene Netzentgelte'!Y$6</f>
        <v>6.2705314571955393</v>
      </c>
      <c r="Z23" s="918">
        <f>'D-vermiedene Netzentgelte'!Z$6</f>
        <v>6.2705314571955393</v>
      </c>
      <c r="AA23" s="918">
        <f>'D-vermiedene Netzentgelte'!AA$6</f>
        <v>6.2705314571955393</v>
      </c>
      <c r="AB23" s="918">
        <f>'D-vermiedene Netzentgelte'!AB$6</f>
        <v>6.2705314571955393</v>
      </c>
      <c r="AC23" s="918">
        <f>'D-vermiedene Netzentgelte'!AC$6</f>
        <v>6.2705314571955393</v>
      </c>
      <c r="AD23" s="918">
        <f>'D-vermiedene Netzentgelte'!AD$6</f>
        <v>6.2705314571955393</v>
      </c>
      <c r="AE23" s="919">
        <f>'D-vermiedene Netzentgelte'!AE$6</f>
        <v>6.2705314571955393</v>
      </c>
      <c r="AF23" s="940"/>
      <c r="AG23" s="940"/>
      <c r="AH23" s="1050"/>
      <c r="AI23" s="1048"/>
      <c r="AJ23" s="345"/>
    </row>
    <row r="24" spans="1:36" ht="12.75" customHeight="1" outlineLevel="2">
      <c r="A24" s="561">
        <v>24</v>
      </c>
      <c r="B24" s="303" t="str">
        <f>'D-Sonstige Kosten'!B$6</f>
        <v>Referenz</v>
      </c>
      <c r="C24" s="24" t="str">
        <f>'D-Sonstige Kosten'!C$6</f>
        <v>fh</v>
      </c>
      <c r="D24" s="32" t="str">
        <f>'D-Sonstige Kosten'!D$6</f>
        <v>0,06Mrd. €</v>
      </c>
      <c r="E24" s="303" t="s">
        <v>430</v>
      </c>
      <c r="F24" s="923">
        <f>'D-Sonstige Kosten'!F$6</f>
        <v>0.38450000000000001</v>
      </c>
      <c r="G24" s="923">
        <f>'D-Sonstige Kosten'!G$6</f>
        <v>0.42218865985000004</v>
      </c>
      <c r="H24" s="923">
        <f>'D-Sonstige Kosten'!H$6</f>
        <v>0.23028867101000003</v>
      </c>
      <c r="I24" s="923">
        <f>'D-Sonstige Kosten'!I$6</f>
        <v>0.15466122681000002</v>
      </c>
      <c r="J24" s="923">
        <f>'D-Sonstige Kosten'!J$6</f>
        <v>0.29887697133000007</v>
      </c>
      <c r="K24" s="923">
        <f>'D-Sonstige Kosten'!K$6</f>
        <v>0.19595140036000003</v>
      </c>
      <c r="L24" s="923">
        <f>'D-Sonstige Kosten'!L$6</f>
        <v>0.13908307713999998</v>
      </c>
      <c r="M24" s="923">
        <f>'D-Sonstige Kosten'!M$6</f>
        <v>0.14340741743000002</v>
      </c>
      <c r="N24" s="924">
        <f>'D-Sonstige Kosten'!N$6</f>
        <v>6.8122188890000004E-2</v>
      </c>
      <c r="O24" s="925">
        <f>'D-Sonstige Kosten'!O$6</f>
        <v>7.0404653730000002E-2</v>
      </c>
      <c r="P24" s="923">
        <f>'D-Sonstige Kosten'!P$6</f>
        <v>6.4167895450000012E-2</v>
      </c>
      <c r="Q24" s="923">
        <f>'D-Sonstige Kosten'!Q$6</f>
        <v>5.9920528000000001E-2</v>
      </c>
      <c r="R24" s="923">
        <f>'D-Sonstige Kosten'!R$6</f>
        <v>0.10050276386000001</v>
      </c>
      <c r="S24" s="923">
        <f>'D-Sonstige Kosten'!S$6</f>
        <v>0.10050276386000001</v>
      </c>
      <c r="T24" s="923">
        <f>'D-Sonstige Kosten'!T$6</f>
        <v>0.10050276386000001</v>
      </c>
      <c r="U24" s="923">
        <f>'D-Sonstige Kosten'!U$6</f>
        <v>0.10050276386000001</v>
      </c>
      <c r="V24" s="923">
        <f>'D-Sonstige Kosten'!V$6</f>
        <v>0.10050276386000001</v>
      </c>
      <c r="W24" s="923">
        <f>'D-Sonstige Kosten'!W$6</f>
        <v>0.10050276386000001</v>
      </c>
      <c r="X24" s="923">
        <f>'D-Sonstige Kosten'!X$6</f>
        <v>0.10050276386000001</v>
      </c>
      <c r="Y24" s="923">
        <f>'D-Sonstige Kosten'!Y$6</f>
        <v>0.10050276386000001</v>
      </c>
      <c r="Z24" s="923">
        <f>'D-Sonstige Kosten'!Z$6</f>
        <v>0.10050276386000001</v>
      </c>
      <c r="AA24" s="923">
        <f>'D-Sonstige Kosten'!AA$6</f>
        <v>0.10050276386000001</v>
      </c>
      <c r="AB24" s="923">
        <f>'D-Sonstige Kosten'!AB$6</f>
        <v>0.10050276386000001</v>
      </c>
      <c r="AC24" s="923">
        <f>'D-Sonstige Kosten'!AC$6</f>
        <v>0.10050276386000001</v>
      </c>
      <c r="AD24" s="923">
        <f>'D-Sonstige Kosten'!AD$6</f>
        <v>0.10050276386000001</v>
      </c>
      <c r="AE24" s="924">
        <f>'D-Sonstige Kosten'!AE$6</f>
        <v>0.10050276386000001</v>
      </c>
      <c r="AF24" s="940"/>
      <c r="AG24" s="940"/>
      <c r="AH24" s="1050"/>
      <c r="AI24" s="1048"/>
      <c r="AJ24" s="345"/>
    </row>
    <row r="25" spans="1:36" ht="12.75" customHeight="1" outlineLevel="2">
      <c r="A25" s="561">
        <v>25</v>
      </c>
      <c r="B25" s="10"/>
      <c r="C25" s="26"/>
      <c r="D25" s="34"/>
      <c r="E25" s="303" t="s">
        <v>542</v>
      </c>
      <c r="F25" s="926">
        <f>'D-Inflationsrate'!F6</f>
        <v>1.0999999999999999E-2</v>
      </c>
      <c r="G25" s="926">
        <f>'D-Inflationsrate'!G6</f>
        <v>2.1000000000000001E-2</v>
      </c>
      <c r="H25" s="926">
        <f>'D-Inflationsrate'!H6</f>
        <v>0.02</v>
      </c>
      <c r="I25" s="926">
        <f>'D-Inflationsrate'!I6</f>
        <v>1.4E-2</v>
      </c>
      <c r="J25" s="926">
        <f>'D-Inflationsrate'!J6</f>
        <v>0.01</v>
      </c>
      <c r="K25" s="926">
        <f>'D-Inflationsrate'!K6</f>
        <v>5.0000000000000001E-3</v>
      </c>
      <c r="L25" s="926">
        <f>'D-Inflationsrate'!L6</f>
        <v>5.0000000000000001E-3</v>
      </c>
      <c r="M25" s="926">
        <f>'D-Inflationsrate'!M6</f>
        <v>1.4999999999999999E-2</v>
      </c>
      <c r="N25" s="927">
        <f>'D-Inflationsrate'!N6</f>
        <v>1.7999999999999999E-2</v>
      </c>
      <c r="O25" s="928">
        <f>'D-Inflationsrate'!O6</f>
        <v>1.4E-2</v>
      </c>
      <c r="P25" s="926">
        <f>'D-Inflationsrate'!P6</f>
        <v>5.0000000000000001E-3</v>
      </c>
      <c r="Q25" s="926">
        <f>'D-Inflationsrate'!Q6</f>
        <v>2.9000000000000001E-2</v>
      </c>
      <c r="R25" s="926">
        <f>'D-Inflationsrate'!R6</f>
        <v>1.4999999999999999E-2</v>
      </c>
      <c r="S25" s="926">
        <f>'D-Inflationsrate'!S6</f>
        <v>1.4999999999999999E-2</v>
      </c>
      <c r="T25" s="926">
        <f>'D-Inflationsrate'!T6</f>
        <v>1.4999999999999999E-2</v>
      </c>
      <c r="U25" s="926">
        <f>'D-Inflationsrate'!U6</f>
        <v>1.4999999999999999E-2</v>
      </c>
      <c r="V25" s="926">
        <f>'D-Inflationsrate'!V6</f>
        <v>1.4999999999999999E-2</v>
      </c>
      <c r="W25" s="926">
        <f>'D-Inflationsrate'!W6</f>
        <v>1.4999999999999999E-2</v>
      </c>
      <c r="X25" s="926">
        <f>'D-Inflationsrate'!X6</f>
        <v>1.4999999999999999E-2</v>
      </c>
      <c r="Y25" s="926">
        <f>'D-Inflationsrate'!Y6</f>
        <v>1.4999999999999999E-2</v>
      </c>
      <c r="Z25" s="926">
        <f>'D-Inflationsrate'!Z6</f>
        <v>1.4999999999999999E-2</v>
      </c>
      <c r="AA25" s="926">
        <f>'D-Inflationsrate'!AA6</f>
        <v>1.4999999999999999E-2</v>
      </c>
      <c r="AB25" s="926">
        <f>'D-Inflationsrate'!AB6</f>
        <v>1.4999999999999999E-2</v>
      </c>
      <c r="AC25" s="926">
        <f>'D-Inflationsrate'!AC6</f>
        <v>1.4999999999999999E-2</v>
      </c>
      <c r="AD25" s="926">
        <f>'D-Inflationsrate'!AD6</f>
        <v>1.4999999999999999E-2</v>
      </c>
      <c r="AE25" s="927">
        <f>'D-Inflationsrate'!AE6</f>
        <v>1.4999999999999999E-2</v>
      </c>
      <c r="AF25" s="940" t="s">
        <v>463</v>
      </c>
      <c r="AG25" s="940" t="s">
        <v>463</v>
      </c>
      <c r="AH25" s="1048"/>
      <c r="AI25" s="1048"/>
      <c r="AJ25" s="340"/>
    </row>
    <row r="26" spans="1:36" ht="12.75" customHeight="1" outlineLevel="2">
      <c r="A26" s="561">
        <v>26</v>
      </c>
      <c r="B26" s="10"/>
      <c r="C26" s="26"/>
      <c r="D26" s="34"/>
      <c r="E26" s="303" t="s">
        <v>736</v>
      </c>
      <c r="F26" s="1084">
        <f>IF(F5&lt;ControlPanel!$D$60,G26/(1+G25),IF(F5&gt;ControlPanel!$D$60,E26*(1+F25),1))</f>
        <v>0.84407955261879419</v>
      </c>
      <c r="G26" s="1085">
        <f>IF(G5&lt;ControlPanel!$D$60,H26/(1+H25),IF(G5&gt;ControlPanel!$D$60,F26*(1+G25),1))</f>
        <v>0.86180522322378883</v>
      </c>
      <c r="H26" s="1085">
        <f>IF(H5&lt;ControlPanel!$D$60,I26/(1+I25),IF(H5&gt;ControlPanel!$D$60,G26*(1+H25),1))</f>
        <v>0.8790413276882646</v>
      </c>
      <c r="I26" s="1085">
        <f>IF(I5&lt;ControlPanel!$D$60,J26/(1+J25),IF(I5&gt;ControlPanel!$D$60,H26*(1+I25),1))</f>
        <v>0.89134790627590033</v>
      </c>
      <c r="J26" s="1085">
        <f>IF(J5&lt;ControlPanel!$D$60,K26/(1+K25),IF(J5&gt;ControlPanel!$D$60,I26*(1+J25),1))</f>
        <v>0.90026138533865929</v>
      </c>
      <c r="K26" s="1085">
        <f>IF(K5&lt;ControlPanel!$D$60,L26/(1+L25),IF(K5&gt;ControlPanel!$D$60,J26*(1+K25),1))</f>
        <v>0.90476269226535244</v>
      </c>
      <c r="L26" s="1085">
        <f>IF(L5&lt;ControlPanel!$D$60,M26/(1+M25),IF(L5&gt;ControlPanel!$D$60,K26*(1+L25),1))</f>
        <v>0.90928650572667913</v>
      </c>
      <c r="M26" s="1085">
        <f>IF(M5&lt;ControlPanel!$D$60,N26/(1+N25),IF(M5&gt;ControlPanel!$D$60,L26*(1+M25),1))</f>
        <v>0.92292580331257923</v>
      </c>
      <c r="N26" s="1085">
        <f>IF(N5&lt;ControlPanel!$D$60,O26/(1+O25),IF(N5&gt;ControlPanel!$D$60,M26*(1+N25),1))</f>
        <v>0.93953846777220562</v>
      </c>
      <c r="O26" s="1085">
        <f>IF(O5&lt;ControlPanel!$D$60,P26/(1+P25),IF(O5&gt;ControlPanel!$D$60,N26*(1+O25),1))</f>
        <v>0.95269200632101647</v>
      </c>
      <c r="P26" s="1085">
        <f>IF(P5&lt;ControlPanel!$D$60,Q26/(1+Q25),IF(P5&gt;ControlPanel!$D$60,O26*(1+P25),1))</f>
        <v>0.95745546635262146</v>
      </c>
      <c r="Q26" s="1085">
        <f>IF(Q5&lt;ControlPanel!$D$60,R26/(1+R25),IF(Q5&gt;ControlPanel!$D$60,P26*(1+Q25),1))</f>
        <v>0.98522167487684742</v>
      </c>
      <c r="R26" s="1104">
        <f>IF(R5&lt;ControlPanel!$D$60,S26/(1+S25),IF(R5&gt;ControlPanel!$D$60,Q26*(1+R25),1))</f>
        <v>1</v>
      </c>
      <c r="S26" s="1085">
        <f>IF(S5&lt;ControlPanel!$D$60,T26/(1+T25),IF(S5&gt;ControlPanel!$D$60,R26*(1+S25),1))</f>
        <v>1.0149999999999999</v>
      </c>
      <c r="T26" s="1085">
        <f>IF(T5&lt;ControlPanel!$D$60,U26/(1+U25),IF(T5&gt;ControlPanel!$D$60,S26*(1+T25),1))</f>
        <v>1.0302249999999997</v>
      </c>
      <c r="U26" s="1085">
        <f>IF(U5&lt;ControlPanel!$D$60,V26/(1+V25),IF(U5&gt;ControlPanel!$D$60,T26*(1+U25),1))</f>
        <v>1.0456783749999996</v>
      </c>
      <c r="V26" s="1085">
        <f>IF(V5&lt;ControlPanel!$D$60,W26/(1+W25),IF(V5&gt;ControlPanel!$D$60,U26*(1+V25),1))</f>
        <v>1.0613635506249994</v>
      </c>
      <c r="W26" s="1085">
        <f>IF(W5&lt;ControlPanel!$D$60,X26/(1+X25),IF(W5&gt;ControlPanel!$D$60,V26*(1+W25),1))</f>
        <v>1.0772840038843743</v>
      </c>
      <c r="X26" s="1085">
        <f>IF(X5&lt;ControlPanel!$D$60,Y26/(1+Y25),IF(X5&gt;ControlPanel!$D$60,W26*(1+X25),1))</f>
        <v>1.0934432639426397</v>
      </c>
      <c r="Y26" s="1085">
        <f>IF(Y5&lt;ControlPanel!$D$60,Z26/(1+Z25),IF(Y5&gt;ControlPanel!$D$60,X26*(1+Y25),1))</f>
        <v>1.1098449129017791</v>
      </c>
      <c r="Z26" s="1085">
        <f>IF(Z5&lt;ControlPanel!$D$60,AA26/(1+AA25),IF(Z5&gt;ControlPanel!$D$60,Y26*(1+Z25),1))</f>
        <v>1.1264925865953057</v>
      </c>
      <c r="AA26" s="1085">
        <f>IF(AA5&lt;ControlPanel!$D$60,AB26/(1+AB25),IF(AA5&gt;ControlPanel!$D$60,Z26*(1+AA25),1))</f>
        <v>1.1433899753942351</v>
      </c>
      <c r="AB26" s="1085">
        <f>IF(AB5&lt;ControlPanel!$D$60,AC26/(1+AC25),IF(AB5&gt;ControlPanel!$D$60,AA26*(1+AB25),1))</f>
        <v>1.1605408250251485</v>
      </c>
      <c r="AC26" s="1085">
        <f>IF(AC5&lt;ControlPanel!$D$60,AD26/(1+AD25),IF(AC5&gt;ControlPanel!$D$60,AB26*(1+AC25),1))</f>
        <v>1.1779489374005256</v>
      </c>
      <c r="AD26" s="1085">
        <f>IF(AD5&lt;ControlPanel!$D$60,AE26/(1+AE25),IF(AD5&gt;ControlPanel!$D$60,AC26*(1+AD25),1))</f>
        <v>1.1956181714615335</v>
      </c>
      <c r="AE26" s="1086">
        <f>IF(AE5&lt;ControlPanel!$D$60,AF26/(1+AF25),IF(AE5&gt;ControlPanel!$D$60,AD26*(1+AE25),1))</f>
        <v>1.2135524440334564</v>
      </c>
      <c r="AF26" s="940" t="s">
        <v>702</v>
      </c>
      <c r="AG26" s="940" t="s">
        <v>463</v>
      </c>
      <c r="AH26" s="1048"/>
      <c r="AI26" s="1048"/>
      <c r="AJ26" s="345" t="s">
        <v>654</v>
      </c>
    </row>
    <row r="27" spans="1:36" ht="12.75" customHeight="1" outlineLevel="1">
      <c r="A27" s="561">
        <v>27</v>
      </c>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940"/>
      <c r="AG27" s="940"/>
      <c r="AH27" s="1048"/>
      <c r="AI27" s="1048"/>
      <c r="AJ27" s="345"/>
    </row>
    <row r="28" spans="1:36" ht="12.75" customHeight="1" outlineLevel="1">
      <c r="A28" s="561">
        <v>28</v>
      </c>
      <c r="E28" s="322" t="s">
        <v>538</v>
      </c>
      <c r="N28" s="349"/>
      <c r="O28" s="296"/>
      <c r="AF28" s="940"/>
      <c r="AG28" s="940"/>
      <c r="AH28" s="1048"/>
      <c r="AI28" s="1048"/>
      <c r="AJ28" s="345"/>
    </row>
    <row r="29" spans="1:36" ht="12.75" customHeight="1" outlineLevel="2">
      <c r="A29" s="561">
        <v>29</v>
      </c>
      <c r="B29" s="321" t="e">
        <f>#REF!</f>
        <v>#REF!</v>
      </c>
      <c r="C29" s="22" t="e">
        <f>#REF!</f>
        <v>#REF!</v>
      </c>
      <c r="D29" s="30" t="e">
        <f>#REF!</f>
        <v>#REF!</v>
      </c>
      <c r="E29" s="321" t="s">
        <v>25</v>
      </c>
      <c r="F29" s="915">
        <f>'D-Profilfaktoren'!G$6</f>
        <v>1</v>
      </c>
      <c r="G29" s="915">
        <f>'D-Profilfaktoren'!H$6</f>
        <v>1</v>
      </c>
      <c r="H29" s="915">
        <f>'D-Profilfaktoren'!I$6</f>
        <v>1</v>
      </c>
      <c r="I29" s="915">
        <f>'D-Profilfaktoren'!J$6</f>
        <v>1</v>
      </c>
      <c r="J29" s="915">
        <f>'D-Profilfaktoren'!K$6</f>
        <v>1</v>
      </c>
      <c r="K29" s="915">
        <f>'D-Profilfaktoren'!L$6</f>
        <v>1</v>
      </c>
      <c r="L29" s="921">
        <f>'D-Profilfaktoren'!M$6</f>
        <v>1</v>
      </c>
      <c r="M29" s="921">
        <f>'D-Profilfaktoren'!N$6</f>
        <v>1</v>
      </c>
      <c r="N29" s="916">
        <f>'D-Profilfaktoren'!O$6</f>
        <v>1</v>
      </c>
      <c r="O29" s="917">
        <f>'D-Profilfaktoren'!P$6</f>
        <v>1</v>
      </c>
      <c r="P29" s="915">
        <f>'D-Profilfaktoren'!Q$6</f>
        <v>1</v>
      </c>
      <c r="Q29" s="915">
        <f>'D-Profilfaktoren'!R$6</f>
        <v>1</v>
      </c>
      <c r="R29" s="915">
        <f>'D-Profilfaktoren'!S$6</f>
        <v>1</v>
      </c>
      <c r="S29" s="915">
        <f>'D-Profilfaktoren'!T$6</f>
        <v>1</v>
      </c>
      <c r="T29" s="915">
        <f>'D-Profilfaktoren'!U$6</f>
        <v>1</v>
      </c>
      <c r="U29" s="915">
        <f>'D-Profilfaktoren'!V$6</f>
        <v>1</v>
      </c>
      <c r="V29" s="915">
        <f>'D-Profilfaktoren'!W$6</f>
        <v>1</v>
      </c>
      <c r="W29" s="915">
        <f>'D-Profilfaktoren'!X$6</f>
        <v>1</v>
      </c>
      <c r="X29" s="915">
        <f>'D-Profilfaktoren'!Y$6</f>
        <v>1</v>
      </c>
      <c r="Y29" s="915">
        <f>'D-Profilfaktoren'!Z$6</f>
        <v>1</v>
      </c>
      <c r="Z29" s="915">
        <f>'D-Profilfaktoren'!AA$6</f>
        <v>1</v>
      </c>
      <c r="AA29" s="915">
        <f>'D-Profilfaktoren'!AB$6</f>
        <v>1</v>
      </c>
      <c r="AB29" s="915">
        <f>'D-Profilfaktoren'!AC$6</f>
        <v>1</v>
      </c>
      <c r="AC29" s="915">
        <f>'D-Profilfaktoren'!AD$6</f>
        <v>1</v>
      </c>
      <c r="AD29" s="915">
        <f>'D-Profilfaktoren'!AE$6</f>
        <v>1</v>
      </c>
      <c r="AE29" s="916">
        <f>'D-Profilfaktoren'!AF$6</f>
        <v>1</v>
      </c>
      <c r="AF29" s="940"/>
      <c r="AG29" s="940"/>
      <c r="AH29" s="1048"/>
      <c r="AI29" s="1048"/>
      <c r="AJ29" s="345"/>
    </row>
    <row r="30" spans="1:36" ht="12.75" customHeight="1" outlineLevel="2">
      <c r="A30" s="561">
        <v>30</v>
      </c>
      <c r="B30" s="16" t="e">
        <f>#REF!</f>
        <v>#REF!</v>
      </c>
      <c r="C30" s="12" t="e">
        <f>#REF!</f>
        <v>#REF!</v>
      </c>
      <c r="D30" s="31" t="e">
        <f>#REF!</f>
        <v>#REF!</v>
      </c>
      <c r="E30" s="16" t="s">
        <v>50</v>
      </c>
      <c r="F30" s="918">
        <f>'D-Profilfaktoren'!G$7</f>
        <v>1</v>
      </c>
      <c r="G30" s="918">
        <f>'D-Profilfaktoren'!H$7</f>
        <v>1</v>
      </c>
      <c r="H30" s="918">
        <f>'D-Profilfaktoren'!I$7</f>
        <v>1</v>
      </c>
      <c r="I30" s="918">
        <f>'D-Profilfaktoren'!J$7</f>
        <v>1</v>
      </c>
      <c r="J30" s="918">
        <f>'D-Profilfaktoren'!K$7</f>
        <v>1</v>
      </c>
      <c r="K30" s="918">
        <f>'D-Profilfaktoren'!L$7</f>
        <v>1</v>
      </c>
      <c r="L30" s="1094">
        <f>'D-Profilfaktoren'!M$7</f>
        <v>1</v>
      </c>
      <c r="M30" s="1094">
        <f>'D-Profilfaktoren'!N$7</f>
        <v>1</v>
      </c>
      <c r="N30" s="919">
        <f>'D-Profilfaktoren'!O$7</f>
        <v>1</v>
      </c>
      <c r="O30" s="920">
        <f>'D-Profilfaktoren'!P$7</f>
        <v>1</v>
      </c>
      <c r="P30" s="918">
        <f>'D-Profilfaktoren'!Q$7</f>
        <v>1</v>
      </c>
      <c r="Q30" s="918">
        <f>'D-Profilfaktoren'!R$7</f>
        <v>1</v>
      </c>
      <c r="R30" s="918">
        <f>'D-Profilfaktoren'!S$7</f>
        <v>1</v>
      </c>
      <c r="S30" s="918">
        <f>'D-Profilfaktoren'!T$7</f>
        <v>1</v>
      </c>
      <c r="T30" s="918">
        <f>'D-Profilfaktoren'!U$7</f>
        <v>1</v>
      </c>
      <c r="U30" s="918">
        <f>'D-Profilfaktoren'!V$7</f>
        <v>1</v>
      </c>
      <c r="V30" s="918">
        <f>'D-Profilfaktoren'!W$7</f>
        <v>1</v>
      </c>
      <c r="W30" s="918">
        <f>'D-Profilfaktoren'!X$7</f>
        <v>1</v>
      </c>
      <c r="X30" s="918">
        <f>'D-Profilfaktoren'!Y$7</f>
        <v>1</v>
      </c>
      <c r="Y30" s="918">
        <f>'D-Profilfaktoren'!Z$7</f>
        <v>1</v>
      </c>
      <c r="Z30" s="918">
        <f>'D-Profilfaktoren'!AA$7</f>
        <v>1</v>
      </c>
      <c r="AA30" s="918">
        <f>'D-Profilfaktoren'!AB$7</f>
        <v>1</v>
      </c>
      <c r="AB30" s="918">
        <f>'D-Profilfaktoren'!AC$7</f>
        <v>1</v>
      </c>
      <c r="AC30" s="918">
        <f>'D-Profilfaktoren'!AD$7</f>
        <v>1</v>
      </c>
      <c r="AD30" s="918">
        <f>'D-Profilfaktoren'!AE$7</f>
        <v>1</v>
      </c>
      <c r="AE30" s="919">
        <f>'D-Profilfaktoren'!AF$7</f>
        <v>1</v>
      </c>
      <c r="AF30" s="940"/>
      <c r="AG30" s="940"/>
      <c r="AH30" s="939"/>
      <c r="AI30" s="939"/>
      <c r="AJ30" s="345"/>
    </row>
    <row r="31" spans="1:36" ht="12.75" customHeight="1" outlineLevel="2">
      <c r="A31" s="561">
        <v>31</v>
      </c>
      <c r="B31" s="16" t="e">
        <f>#REF!</f>
        <v>#REF!</v>
      </c>
      <c r="C31" s="12" t="e">
        <f>#REF!</f>
        <v>#REF!</v>
      </c>
      <c r="D31" s="31" t="e">
        <f>#REF!</f>
        <v>#REF!</v>
      </c>
      <c r="E31" s="16" t="s">
        <v>13</v>
      </c>
      <c r="F31" s="918">
        <f>'D-Profilfaktoren'!G$8</f>
        <v>1</v>
      </c>
      <c r="G31" s="918">
        <f>'D-Profilfaktoren'!H$8</f>
        <v>1</v>
      </c>
      <c r="H31" s="918">
        <f>'D-Profilfaktoren'!I$8</f>
        <v>1</v>
      </c>
      <c r="I31" s="918">
        <f>'D-Profilfaktoren'!J$8</f>
        <v>1</v>
      </c>
      <c r="J31" s="918">
        <f>'D-Profilfaktoren'!K$8</f>
        <v>1</v>
      </c>
      <c r="K31" s="918">
        <f>'D-Profilfaktoren'!L$8</f>
        <v>1</v>
      </c>
      <c r="L31" s="1094">
        <f>'D-Profilfaktoren'!M$8</f>
        <v>1</v>
      </c>
      <c r="M31" s="1094">
        <f>'D-Profilfaktoren'!N$8</f>
        <v>1</v>
      </c>
      <c r="N31" s="919">
        <f>'D-Profilfaktoren'!O$8</f>
        <v>1</v>
      </c>
      <c r="O31" s="920">
        <f>'D-Profilfaktoren'!P$8</f>
        <v>1</v>
      </c>
      <c r="P31" s="918">
        <f>'D-Profilfaktoren'!Q$8</f>
        <v>1</v>
      </c>
      <c r="Q31" s="918">
        <f>'D-Profilfaktoren'!R$8</f>
        <v>1</v>
      </c>
      <c r="R31" s="918">
        <f>'D-Profilfaktoren'!S$8</f>
        <v>1</v>
      </c>
      <c r="S31" s="918">
        <f>'D-Profilfaktoren'!T$8</f>
        <v>1</v>
      </c>
      <c r="T31" s="918">
        <f>'D-Profilfaktoren'!U$8</f>
        <v>1</v>
      </c>
      <c r="U31" s="918">
        <f>'D-Profilfaktoren'!V$8</f>
        <v>1</v>
      </c>
      <c r="V31" s="918">
        <f>'D-Profilfaktoren'!W$8</f>
        <v>1</v>
      </c>
      <c r="W31" s="918">
        <f>'D-Profilfaktoren'!X$8</f>
        <v>1</v>
      </c>
      <c r="X31" s="918">
        <f>'D-Profilfaktoren'!Y$8</f>
        <v>1</v>
      </c>
      <c r="Y31" s="918">
        <f>'D-Profilfaktoren'!Z$8</f>
        <v>1</v>
      </c>
      <c r="Z31" s="918">
        <f>'D-Profilfaktoren'!AA$8</f>
        <v>1</v>
      </c>
      <c r="AA31" s="918">
        <f>'D-Profilfaktoren'!AB$8</f>
        <v>1</v>
      </c>
      <c r="AB31" s="918">
        <f>'D-Profilfaktoren'!AC$8</f>
        <v>1</v>
      </c>
      <c r="AC31" s="918">
        <f>'D-Profilfaktoren'!AD$8</f>
        <v>1</v>
      </c>
      <c r="AD31" s="918">
        <f>'D-Profilfaktoren'!AE$8</f>
        <v>1</v>
      </c>
      <c r="AE31" s="919">
        <f>'D-Profilfaktoren'!AF$8</f>
        <v>1</v>
      </c>
      <c r="AF31" s="940"/>
      <c r="AG31" s="940"/>
      <c r="AH31" s="939"/>
      <c r="AI31" s="939"/>
      <c r="AJ31" s="345"/>
    </row>
    <row r="32" spans="1:36" ht="12.75" customHeight="1" outlineLevel="2">
      <c r="A32" s="561">
        <v>32</v>
      </c>
      <c r="B32" s="16" t="e">
        <f>#REF!</f>
        <v>#REF!</v>
      </c>
      <c r="C32" s="12" t="e">
        <f>#REF!</f>
        <v>#REF!</v>
      </c>
      <c r="D32" s="31" t="e">
        <f>#REF!</f>
        <v>#REF!</v>
      </c>
      <c r="E32" s="16" t="s">
        <v>12</v>
      </c>
      <c r="F32" s="918">
        <f>'D-Profilfaktoren'!G$9</f>
        <v>1</v>
      </c>
      <c r="G32" s="918">
        <f>'D-Profilfaktoren'!H$9</f>
        <v>1</v>
      </c>
      <c r="H32" s="918">
        <f>'D-Profilfaktoren'!I$9</f>
        <v>1</v>
      </c>
      <c r="I32" s="918">
        <f>'D-Profilfaktoren'!J$9</f>
        <v>1</v>
      </c>
      <c r="J32" s="918">
        <f>'D-Profilfaktoren'!K$9</f>
        <v>1</v>
      </c>
      <c r="K32" s="918">
        <f>'D-Profilfaktoren'!L$9</f>
        <v>1</v>
      </c>
      <c r="L32" s="1094">
        <f>'D-Profilfaktoren'!M$9</f>
        <v>1</v>
      </c>
      <c r="M32" s="1094">
        <f>'D-Profilfaktoren'!N$9</f>
        <v>1</v>
      </c>
      <c r="N32" s="919">
        <f>'D-Profilfaktoren'!O$9</f>
        <v>1</v>
      </c>
      <c r="O32" s="920">
        <f>'D-Profilfaktoren'!P$9</f>
        <v>1</v>
      </c>
      <c r="P32" s="918">
        <f>'D-Profilfaktoren'!Q$9</f>
        <v>1</v>
      </c>
      <c r="Q32" s="918">
        <f>'D-Profilfaktoren'!R$9</f>
        <v>1</v>
      </c>
      <c r="R32" s="918">
        <f>'D-Profilfaktoren'!S$9</f>
        <v>1</v>
      </c>
      <c r="S32" s="918">
        <f>'D-Profilfaktoren'!T$9</f>
        <v>1</v>
      </c>
      <c r="T32" s="918">
        <f>'D-Profilfaktoren'!U$9</f>
        <v>1</v>
      </c>
      <c r="U32" s="918">
        <f>'D-Profilfaktoren'!V$9</f>
        <v>1</v>
      </c>
      <c r="V32" s="918">
        <f>'D-Profilfaktoren'!W$9</f>
        <v>1</v>
      </c>
      <c r="W32" s="918">
        <f>'D-Profilfaktoren'!X$9</f>
        <v>1</v>
      </c>
      <c r="X32" s="918">
        <f>'D-Profilfaktoren'!Y$9</f>
        <v>1</v>
      </c>
      <c r="Y32" s="918">
        <f>'D-Profilfaktoren'!Z$9</f>
        <v>1</v>
      </c>
      <c r="Z32" s="918">
        <f>'D-Profilfaktoren'!AA$9</f>
        <v>1</v>
      </c>
      <c r="AA32" s="918">
        <f>'D-Profilfaktoren'!AB$9</f>
        <v>1</v>
      </c>
      <c r="AB32" s="918">
        <f>'D-Profilfaktoren'!AC$9</f>
        <v>1</v>
      </c>
      <c r="AC32" s="918">
        <f>'D-Profilfaktoren'!AD$9</f>
        <v>1</v>
      </c>
      <c r="AD32" s="918">
        <f>'D-Profilfaktoren'!AE$9</f>
        <v>1</v>
      </c>
      <c r="AE32" s="919">
        <f>'D-Profilfaktoren'!AF$9</f>
        <v>1</v>
      </c>
      <c r="AF32" s="940"/>
      <c r="AG32" s="940"/>
      <c r="AH32" s="939"/>
      <c r="AI32" s="939"/>
      <c r="AJ32" s="345"/>
    </row>
    <row r="33" spans="1:36" ht="12.75" customHeight="1" outlineLevel="2">
      <c r="A33" s="561">
        <v>33</v>
      </c>
      <c r="B33" s="16" t="e">
        <f>#REF!</f>
        <v>#REF!</v>
      </c>
      <c r="C33" s="12" t="e">
        <f>#REF!</f>
        <v>#REF!</v>
      </c>
      <c r="D33" s="31" t="e">
        <f>#REF!</f>
        <v>#REF!</v>
      </c>
      <c r="E33" s="16" t="s">
        <v>24</v>
      </c>
      <c r="F33" s="918">
        <f>'D-Profilfaktoren'!G$10</f>
        <v>0.82750000000000001</v>
      </c>
      <c r="G33" s="918">
        <f>'D-Profilfaktoren'!H$10</f>
        <v>0.82</v>
      </c>
      <c r="H33" s="918">
        <f>'D-Profilfaktoren'!I$10</f>
        <v>0.90500000000000003</v>
      </c>
      <c r="I33" s="918">
        <f>'D-Profilfaktoren'!J$10</f>
        <v>0.88900000000000001</v>
      </c>
      <c r="J33" s="918">
        <f>'D-Profilfaktoren'!K$10</f>
        <v>0.85099999999999998</v>
      </c>
      <c r="K33" s="1095">
        <f>'D-Profilfaktoren'!L$10</f>
        <v>0.84899999999999998</v>
      </c>
      <c r="L33" s="1094">
        <f>'D-Profilfaktoren'!M$10</f>
        <v>0.88</v>
      </c>
      <c r="M33" s="1094">
        <f>'D-Profilfaktoren'!N$10</f>
        <v>0.873</v>
      </c>
      <c r="N33" s="919">
        <f>'D-Profilfaktoren'!O$10</f>
        <v>0.82699999999999996</v>
      </c>
      <c r="O33" s="920">
        <f>'D-Profilfaktoren'!P$10</f>
        <v>0.78400000000000003</v>
      </c>
      <c r="P33" s="918">
        <f>'D-Profilfaktoren'!Q$10</f>
        <v>0.89200000000000002</v>
      </c>
      <c r="Q33" s="918">
        <f>'D-Profilfaktoren'!R$10</f>
        <v>0.86899999999999999</v>
      </c>
      <c r="R33" s="918">
        <f>'D-Profilfaktoren'!S$10</f>
        <v>0.904522613065326</v>
      </c>
      <c r="S33" s="918">
        <f>'D-Profilfaktoren'!T$10</f>
        <v>0.88693467336683396</v>
      </c>
      <c r="T33" s="918">
        <f>'D-Profilfaktoren'!U$10</f>
        <v>0.88567839195979903</v>
      </c>
      <c r="U33" s="918">
        <f>'D-Profilfaktoren'!V$10</f>
        <v>0.83040201005025105</v>
      </c>
      <c r="V33" s="918">
        <f>'D-Profilfaktoren'!W$10</f>
        <v>0.845477386934673</v>
      </c>
      <c r="W33" s="918">
        <f>'D-Profilfaktoren'!X$10</f>
        <v>0.82205257054503256</v>
      </c>
      <c r="X33" s="918">
        <f>'D-Profilfaktoren'!Y$10</f>
        <v>0.79862775415539211</v>
      </c>
      <c r="Y33" s="918">
        <f>'D-Profilfaktoren'!Z$10</f>
        <v>0.77520293776575167</v>
      </c>
      <c r="Z33" s="918">
        <f>'D-Profilfaktoren'!AA$10</f>
        <v>0.75177812137611122</v>
      </c>
      <c r="AA33" s="918">
        <f>'D-Profilfaktoren'!AB$10</f>
        <v>0.72835330498647077</v>
      </c>
      <c r="AB33" s="918">
        <f>'D-Profilfaktoren'!AC$10</f>
        <v>0.70492848859683033</v>
      </c>
      <c r="AC33" s="918">
        <f>'D-Profilfaktoren'!AD$10</f>
        <v>0.68150367220718988</v>
      </c>
      <c r="AD33" s="918">
        <f>'D-Profilfaktoren'!AE$10</f>
        <v>0.65807885581754944</v>
      </c>
      <c r="AE33" s="919">
        <f>'D-Profilfaktoren'!AF$10</f>
        <v>0.6</v>
      </c>
      <c r="AF33" s="940"/>
      <c r="AG33" s="940"/>
      <c r="AH33" s="939"/>
      <c r="AI33" s="939"/>
      <c r="AJ33" s="345"/>
    </row>
    <row r="34" spans="1:36" ht="12.75" customHeight="1" outlineLevel="2">
      <c r="A34" s="561">
        <v>34</v>
      </c>
      <c r="B34" s="16" t="e">
        <f>#REF!</f>
        <v>#REF!</v>
      </c>
      <c r="C34" s="12" t="e">
        <f>#REF!</f>
        <v>#REF!</v>
      </c>
      <c r="D34" s="31" t="e">
        <f>#REF!</f>
        <v>#REF!</v>
      </c>
      <c r="E34" s="16" t="s">
        <v>26</v>
      </c>
      <c r="F34" s="918">
        <f>'D-Profilfaktoren'!G$11</f>
        <v>0.82750000000000001</v>
      </c>
      <c r="G34" s="918">
        <f>'D-Profilfaktoren'!H$11</f>
        <v>0.82</v>
      </c>
      <c r="H34" s="918">
        <f>'D-Profilfaktoren'!I$11</f>
        <v>1.02</v>
      </c>
      <c r="I34" s="918">
        <f>'D-Profilfaktoren'!J$11</f>
        <v>0.997</v>
      </c>
      <c r="J34" s="918">
        <f>'D-Profilfaktoren'!K$11</f>
        <v>0.91800000000000004</v>
      </c>
      <c r="K34" s="1095">
        <f>'D-Profilfaktoren'!L$11</f>
        <v>0.94099999999999995</v>
      </c>
      <c r="L34" s="1094">
        <f>'D-Profilfaktoren'!M$11</f>
        <v>0.98</v>
      </c>
      <c r="M34" s="1094">
        <f>'D-Profilfaktoren'!N$11</f>
        <v>0.92100000000000004</v>
      </c>
      <c r="N34" s="919">
        <f>'D-Profilfaktoren'!O$11</f>
        <v>0.90600000000000003</v>
      </c>
      <c r="O34" s="920">
        <f>'D-Profilfaktoren'!P$11</f>
        <v>0.91300000000000003</v>
      </c>
      <c r="P34" s="918">
        <f>'D-Profilfaktoren'!Q$11</f>
        <v>0.92200000000000004</v>
      </c>
      <c r="Q34" s="918">
        <f>'D-Profilfaktoren'!R$11</f>
        <v>0.88800000000000001</v>
      </c>
      <c r="R34" s="918">
        <f>'D-Profilfaktoren'!S$11</f>
        <v>0.94269005847953202</v>
      </c>
      <c r="S34" s="918">
        <f>'D-Profilfaktoren'!T$11</f>
        <v>0.92514619883040905</v>
      </c>
      <c r="T34" s="918">
        <f>'D-Profilfaktoren'!U$11</f>
        <v>0.92280701754385897</v>
      </c>
      <c r="U34" s="918">
        <f>'D-Profilfaktoren'!V$11</f>
        <v>0.88304093567251396</v>
      </c>
      <c r="V34" s="918">
        <f>'D-Profilfaktoren'!W$11</f>
        <v>0.88888888888888795</v>
      </c>
      <c r="W34" s="918">
        <f>'D-Profilfaktoren'!X$11</f>
        <v>0.87022042285200085</v>
      </c>
      <c r="X34" s="918">
        <f>'D-Profilfaktoren'!Y$11</f>
        <v>0.85155195681511375</v>
      </c>
      <c r="Y34" s="918">
        <f>'D-Profilfaktoren'!Z$11</f>
        <v>0.83288349077822665</v>
      </c>
      <c r="Z34" s="918">
        <f>'D-Profilfaktoren'!AA$11</f>
        <v>0.81421502474133955</v>
      </c>
      <c r="AA34" s="918">
        <f>'D-Profilfaktoren'!AB$11</f>
        <v>0.79554655870445246</v>
      </c>
      <c r="AB34" s="918">
        <f>'D-Profilfaktoren'!AC$11</f>
        <v>0.77687809266756536</v>
      </c>
      <c r="AC34" s="918">
        <f>'D-Profilfaktoren'!AD$11</f>
        <v>0.75820962663067826</v>
      </c>
      <c r="AD34" s="918">
        <f>'D-Profilfaktoren'!AE$11</f>
        <v>0.73954116059379116</v>
      </c>
      <c r="AE34" s="919">
        <f>'D-Profilfaktoren'!AF$11</f>
        <v>0.7</v>
      </c>
      <c r="AF34" s="940"/>
      <c r="AG34" s="940"/>
      <c r="AH34" s="939"/>
      <c r="AI34" s="939"/>
      <c r="AJ34" s="345"/>
    </row>
    <row r="35" spans="1:36" ht="12.75" customHeight="1" outlineLevel="2">
      <c r="A35" s="561">
        <v>35</v>
      </c>
      <c r="B35" s="303" t="e">
        <f>#REF!</f>
        <v>#REF!</v>
      </c>
      <c r="C35" s="24" t="e">
        <f>#REF!</f>
        <v>#REF!</v>
      </c>
      <c r="D35" s="32" t="e">
        <f>#REF!</f>
        <v>#REF!</v>
      </c>
      <c r="E35" s="303" t="s">
        <v>74</v>
      </c>
      <c r="F35" s="923">
        <f>'D-Profilfaktoren'!G$12</f>
        <v>1.2</v>
      </c>
      <c r="G35" s="923">
        <f>'D-Profilfaktoren'!H$12</f>
        <v>1.2</v>
      </c>
      <c r="H35" s="923">
        <f>'D-Profilfaktoren'!I$12</f>
        <v>1.046</v>
      </c>
      <c r="I35" s="923">
        <f>'D-Profilfaktoren'!J$12</f>
        <v>0.98099999999999998</v>
      </c>
      <c r="J35" s="923">
        <f>'D-Profilfaktoren'!K$12</f>
        <v>1.0109999999999999</v>
      </c>
      <c r="K35" s="1096">
        <f>'D-Profilfaktoren'!L$12</f>
        <v>0.84899999999999998</v>
      </c>
      <c r="L35" s="926">
        <f>'D-Profilfaktoren'!M$12</f>
        <v>0.98</v>
      </c>
      <c r="M35" s="926">
        <f>'D-Profilfaktoren'!N$12</f>
        <v>0.997</v>
      </c>
      <c r="N35" s="924">
        <f>'D-Profilfaktoren'!O$12</f>
        <v>0.95</v>
      </c>
      <c r="O35" s="925">
        <f>'D-Profilfaktoren'!P$12</f>
        <v>0.98899999999999999</v>
      </c>
      <c r="P35" s="923">
        <f>'D-Profilfaktoren'!Q$12</f>
        <v>0.95299999999999996</v>
      </c>
      <c r="Q35" s="923">
        <f>'D-Profilfaktoren'!R$12</f>
        <v>0.91500000000000004</v>
      </c>
      <c r="R35" s="923">
        <f>'D-Profilfaktoren'!S$12</f>
        <v>0.91239048811013801</v>
      </c>
      <c r="S35" s="923">
        <f>'D-Profilfaktoren'!T$12</f>
        <v>0.88760951188986204</v>
      </c>
      <c r="T35" s="923">
        <f>'D-Profilfaktoren'!U$12</f>
        <v>0.858322903629537</v>
      </c>
      <c r="U35" s="923">
        <f>'D-Profilfaktoren'!V$12</f>
        <v>0.81551939924906103</v>
      </c>
      <c r="V35" s="923">
        <f>'D-Profilfaktoren'!W$12</f>
        <v>0.78172715894868505</v>
      </c>
      <c r="W35" s="923">
        <f>'D-Profilfaktoren'!X$12</f>
        <v>0.75769712140175138</v>
      </c>
      <c r="X35" s="923">
        <f>'D-Profilfaktoren'!Y$12</f>
        <v>0.73366708385481771</v>
      </c>
      <c r="Y35" s="923">
        <f>'D-Profilfaktoren'!Z$12</f>
        <v>0.70963704630788405</v>
      </c>
      <c r="Z35" s="923">
        <f>'D-Profilfaktoren'!AA$12</f>
        <v>0.68560700876095038</v>
      </c>
      <c r="AA35" s="923">
        <f>'D-Profilfaktoren'!AB$12</f>
        <v>0.66157697121401671</v>
      </c>
      <c r="AB35" s="923">
        <f>'D-Profilfaktoren'!AC$12</f>
        <v>0.63754693366708304</v>
      </c>
      <c r="AC35" s="923">
        <f>'D-Profilfaktoren'!AD$12</f>
        <v>0.61351689612014937</v>
      </c>
      <c r="AD35" s="923">
        <f>'D-Profilfaktoren'!AE$12</f>
        <v>0.5894868585732157</v>
      </c>
      <c r="AE35" s="924">
        <f>'D-Profilfaktoren'!AF$12</f>
        <v>0.6</v>
      </c>
      <c r="AF35" s="940"/>
      <c r="AG35" s="940"/>
      <c r="AH35" s="939"/>
      <c r="AI35" s="939"/>
      <c r="AJ35" s="345"/>
    </row>
    <row r="36" spans="1:36" ht="12.75" customHeight="1" outlineLevel="1">
      <c r="A36" s="561">
        <v>36</v>
      </c>
      <c r="B36" s="10"/>
      <c r="N36" s="349"/>
      <c r="O36" s="296"/>
      <c r="AF36" s="940"/>
      <c r="AG36" s="940"/>
      <c r="AH36" s="939"/>
      <c r="AI36" s="939"/>
      <c r="AJ36" s="345"/>
    </row>
    <row r="37" spans="1:36" ht="12.75" customHeight="1" outlineLevel="1">
      <c r="A37" s="561" t="s">
        <v>801</v>
      </c>
      <c r="E37" s="322" t="s">
        <v>800</v>
      </c>
      <c r="N37" s="349"/>
      <c r="O37" s="296"/>
      <c r="AF37" s="940"/>
      <c r="AG37" s="940"/>
      <c r="AH37" s="1048"/>
      <c r="AI37" s="1048"/>
      <c r="AJ37" s="340" t="s">
        <v>799</v>
      </c>
    </row>
    <row r="38" spans="1:36" ht="12.75" customHeight="1" outlineLevel="2">
      <c r="A38" s="561" t="s">
        <v>802</v>
      </c>
      <c r="B38" s="321" t="e">
        <f>#REF!</f>
        <v>#REF!</v>
      </c>
      <c r="C38" s="22" t="e">
        <f>#REF!</f>
        <v>#REF!</v>
      </c>
      <c r="D38" s="30" t="e">
        <f>#REF!</f>
        <v>#REF!</v>
      </c>
      <c r="E38" s="321" t="s">
        <v>25</v>
      </c>
      <c r="F38" s="915">
        <f>'D-Profilfaktoren_Marktprämie'!G6</f>
        <v>0</v>
      </c>
      <c r="G38" s="915">
        <f>'D-Profilfaktoren_Marktprämie'!H6</f>
        <v>0</v>
      </c>
      <c r="H38" s="915">
        <f>'D-Profilfaktoren_Marktprämie'!I6</f>
        <v>0.997</v>
      </c>
      <c r="I38" s="915">
        <f>'D-Profilfaktoren_Marktprämie'!J6</f>
        <v>0.99499999999999988</v>
      </c>
      <c r="J38" s="915">
        <f>'D-Profilfaktoren_Marktprämie'!K6</f>
        <v>0.999</v>
      </c>
      <c r="K38" s="915">
        <f>'D-Profilfaktoren_Marktprämie'!L6</f>
        <v>0.98105590087551808</v>
      </c>
      <c r="L38" s="921">
        <f>'D-Profilfaktoren_Marktprämie'!M6</f>
        <v>0.9956912515825258</v>
      </c>
      <c r="M38" s="921">
        <f>'D-Profilfaktoren_Marktprämie'!N6</f>
        <v>1.0116209702340726</v>
      </c>
      <c r="N38" s="916">
        <f>'D-Profilfaktoren_Marktprämie'!O6</f>
        <v>0.9709722384042121</v>
      </c>
      <c r="O38" s="917">
        <f>'D-Profilfaktoren_Marktprämie'!P6</f>
        <v>0.86677709396424174</v>
      </c>
      <c r="P38" s="915">
        <f>'D-Profilfaktoren_Marktprämie'!Q6</f>
        <v>0.90209234807398175</v>
      </c>
      <c r="Q38" s="915">
        <f>'D-Profilfaktoren_Marktprämie'!R6</f>
        <v>0.856711414157037</v>
      </c>
      <c r="R38" s="915">
        <f>'D-Profilfaktoren_Marktprämie'!S6</f>
        <v>0.8009600117483695</v>
      </c>
      <c r="S38" s="915">
        <f>'D-Profilfaktoren_Marktprämie'!T6</f>
        <v>0</v>
      </c>
      <c r="T38" s="915">
        <f>'D-Profilfaktoren_Marktprämie'!U6</f>
        <v>0</v>
      </c>
      <c r="U38" s="915">
        <f>'D-Profilfaktoren_Marktprämie'!V6</f>
        <v>0</v>
      </c>
      <c r="V38" s="915">
        <f>'D-Profilfaktoren_Marktprämie'!W6</f>
        <v>0</v>
      </c>
      <c r="W38" s="915">
        <f>'D-Profilfaktoren_Marktprämie'!X6</f>
        <v>0</v>
      </c>
      <c r="X38" s="915">
        <f>'D-Profilfaktoren_Marktprämie'!Y6</f>
        <v>0</v>
      </c>
      <c r="Y38" s="915">
        <f>'D-Profilfaktoren_Marktprämie'!Z6</f>
        <v>0</v>
      </c>
      <c r="Z38" s="915">
        <f>'D-Profilfaktoren_Marktprämie'!AA6</f>
        <v>0</v>
      </c>
      <c r="AA38" s="915">
        <f>'D-Profilfaktoren_Marktprämie'!AB6</f>
        <v>0</v>
      </c>
      <c r="AB38" s="915">
        <f>'D-Profilfaktoren_Marktprämie'!AC6</f>
        <v>0</v>
      </c>
      <c r="AC38" s="915">
        <f>'D-Profilfaktoren_Marktprämie'!AD6</f>
        <v>0</v>
      </c>
      <c r="AD38" s="915">
        <f>'D-Profilfaktoren_Marktprämie'!AE6</f>
        <v>0</v>
      </c>
      <c r="AE38" s="916">
        <f>'D-Profilfaktoren_Marktprämie'!AF6</f>
        <v>0</v>
      </c>
      <c r="AF38" s="940"/>
      <c r="AG38" s="940"/>
      <c r="AH38" s="1048"/>
      <c r="AI38" s="1048"/>
      <c r="AJ38" s="340" t="s">
        <v>799</v>
      </c>
    </row>
    <row r="39" spans="1:36" ht="12.75" customHeight="1" outlineLevel="2">
      <c r="A39" s="561" t="s">
        <v>803</v>
      </c>
      <c r="B39" s="16" t="e">
        <f>#REF!</f>
        <v>#REF!</v>
      </c>
      <c r="C39" s="12" t="e">
        <f>#REF!</f>
        <v>#REF!</v>
      </c>
      <c r="D39" s="31" t="e">
        <f>#REF!</f>
        <v>#REF!</v>
      </c>
      <c r="E39" s="16" t="s">
        <v>50</v>
      </c>
      <c r="F39" s="918">
        <f>'D-Profilfaktoren_Marktprämie'!G7</f>
        <v>0</v>
      </c>
      <c r="G39" s="918">
        <f>'D-Profilfaktoren_Marktprämie'!H7</f>
        <v>0</v>
      </c>
      <c r="H39" s="918">
        <f>'D-Profilfaktoren_Marktprämie'!I7</f>
        <v>1</v>
      </c>
      <c r="I39" s="918">
        <f>'D-Profilfaktoren_Marktprämie'!J7</f>
        <v>1</v>
      </c>
      <c r="J39" s="918">
        <f>'D-Profilfaktoren_Marktprämie'!K7</f>
        <v>1.0009999999999999</v>
      </c>
      <c r="K39" s="918">
        <f>'D-Profilfaktoren_Marktprämie'!L7</f>
        <v>0.97717321179556171</v>
      </c>
      <c r="L39" s="1094">
        <f>'D-Profilfaktoren_Marktprämie'!M7</f>
        <v>1.0002629114025319</v>
      </c>
      <c r="M39" s="1094">
        <f>'D-Profilfaktoren_Marktprämie'!N7</f>
        <v>1.0049373882866919</v>
      </c>
      <c r="N39" s="919">
        <f>'D-Profilfaktoren_Marktprämie'!O7</f>
        <v>0.97058959073921358</v>
      </c>
      <c r="O39" s="920">
        <f>'D-Profilfaktoren_Marktprämie'!P7</f>
        <v>0.86662455275027428</v>
      </c>
      <c r="P39" s="918">
        <f>'D-Profilfaktoren_Marktprämie'!Q7</f>
        <v>0.90281181980152869</v>
      </c>
      <c r="Q39" s="918">
        <f>'D-Profilfaktoren_Marktprämie'!R7</f>
        <v>0.8571700494579414</v>
      </c>
      <c r="R39" s="918">
        <f>'D-Profilfaktoren_Marktprämie'!S7</f>
        <v>0.80269712483770439</v>
      </c>
      <c r="S39" s="918">
        <f>'D-Profilfaktoren_Marktprämie'!T7</f>
        <v>0</v>
      </c>
      <c r="T39" s="918">
        <f>'D-Profilfaktoren_Marktprämie'!U7</f>
        <v>0</v>
      </c>
      <c r="U39" s="918">
        <f>'D-Profilfaktoren_Marktprämie'!V7</f>
        <v>0</v>
      </c>
      <c r="V39" s="918">
        <f>'D-Profilfaktoren_Marktprämie'!W7</f>
        <v>0</v>
      </c>
      <c r="W39" s="918">
        <f>'D-Profilfaktoren_Marktprämie'!X7</f>
        <v>0</v>
      </c>
      <c r="X39" s="918">
        <f>'D-Profilfaktoren_Marktprämie'!Y7</f>
        <v>0</v>
      </c>
      <c r="Y39" s="918">
        <f>'D-Profilfaktoren_Marktprämie'!Z7</f>
        <v>0</v>
      </c>
      <c r="Z39" s="918">
        <f>'D-Profilfaktoren_Marktprämie'!AA7</f>
        <v>0</v>
      </c>
      <c r="AA39" s="918">
        <f>'D-Profilfaktoren_Marktprämie'!AB7</f>
        <v>0</v>
      </c>
      <c r="AB39" s="918">
        <f>'D-Profilfaktoren_Marktprämie'!AC7</f>
        <v>0</v>
      </c>
      <c r="AC39" s="918">
        <f>'D-Profilfaktoren_Marktprämie'!AD7</f>
        <v>0</v>
      </c>
      <c r="AD39" s="918">
        <f>'D-Profilfaktoren_Marktprämie'!AE7</f>
        <v>0</v>
      </c>
      <c r="AE39" s="919">
        <f>'D-Profilfaktoren_Marktprämie'!AF7</f>
        <v>0</v>
      </c>
      <c r="AF39" s="940"/>
      <c r="AG39" s="940"/>
      <c r="AH39" s="939"/>
      <c r="AI39" s="939"/>
      <c r="AJ39" s="340" t="s">
        <v>799</v>
      </c>
    </row>
    <row r="40" spans="1:36" ht="12.75" customHeight="1" outlineLevel="2">
      <c r="A40" s="561" t="s">
        <v>804</v>
      </c>
      <c r="B40" s="16" t="e">
        <f>#REF!</f>
        <v>#REF!</v>
      </c>
      <c r="C40" s="12" t="e">
        <f>#REF!</f>
        <v>#REF!</v>
      </c>
      <c r="D40" s="31" t="e">
        <f>#REF!</f>
        <v>#REF!</v>
      </c>
      <c r="E40" s="16" t="s">
        <v>13</v>
      </c>
      <c r="F40" s="918">
        <f>'D-Profilfaktoren_Marktprämie'!G8</f>
        <v>0</v>
      </c>
      <c r="G40" s="918">
        <f>'D-Profilfaktoren_Marktprämie'!H8</f>
        <v>0</v>
      </c>
      <c r="H40" s="918">
        <f>'D-Profilfaktoren_Marktprämie'!I8</f>
        <v>1</v>
      </c>
      <c r="I40" s="918">
        <f>'D-Profilfaktoren_Marktprämie'!J8</f>
        <v>1</v>
      </c>
      <c r="J40" s="918">
        <f>'D-Profilfaktoren_Marktprämie'!K8</f>
        <v>1</v>
      </c>
      <c r="K40" s="918">
        <f>'D-Profilfaktoren_Marktprämie'!L8</f>
        <v>0.97709594916872755</v>
      </c>
      <c r="L40" s="1094">
        <f>'D-Profilfaktoren_Marktprämie'!M8</f>
        <v>1.0002385970999215</v>
      </c>
      <c r="M40" s="1094">
        <f>'D-Profilfaktoren_Marktprämie'!N8</f>
        <v>1.0063944731686187</v>
      </c>
      <c r="N40" s="919">
        <f>'D-Profilfaktoren_Marktprämie'!O8</f>
        <v>0.9705803052660652</v>
      </c>
      <c r="O40" s="920">
        <f>'D-Profilfaktoren_Marktprämie'!P8</f>
        <v>0.86662613565660029</v>
      </c>
      <c r="P40" s="918">
        <f>'D-Profilfaktoren_Marktprämie'!Q8</f>
        <v>0.903426744754666</v>
      </c>
      <c r="Q40" s="918">
        <f>'D-Profilfaktoren_Marktprämie'!R8</f>
        <v>0.85645616834366967</v>
      </c>
      <c r="R40" s="918">
        <f>'D-Profilfaktoren_Marktprämie'!S8</f>
        <v>0.80261389816483342</v>
      </c>
      <c r="S40" s="918">
        <f>'D-Profilfaktoren_Marktprämie'!T8</f>
        <v>0</v>
      </c>
      <c r="T40" s="918">
        <f>'D-Profilfaktoren_Marktprämie'!U8</f>
        <v>0</v>
      </c>
      <c r="U40" s="918">
        <f>'D-Profilfaktoren_Marktprämie'!V8</f>
        <v>0</v>
      </c>
      <c r="V40" s="918">
        <f>'D-Profilfaktoren_Marktprämie'!W8</f>
        <v>0</v>
      </c>
      <c r="W40" s="918">
        <f>'D-Profilfaktoren_Marktprämie'!X8</f>
        <v>0</v>
      </c>
      <c r="X40" s="918">
        <f>'D-Profilfaktoren_Marktprämie'!Y8</f>
        <v>0</v>
      </c>
      <c r="Y40" s="918">
        <f>'D-Profilfaktoren_Marktprämie'!Z8</f>
        <v>0</v>
      </c>
      <c r="Z40" s="918">
        <f>'D-Profilfaktoren_Marktprämie'!AA8</f>
        <v>0</v>
      </c>
      <c r="AA40" s="918">
        <f>'D-Profilfaktoren_Marktprämie'!AB8</f>
        <v>0</v>
      </c>
      <c r="AB40" s="918">
        <f>'D-Profilfaktoren_Marktprämie'!AC8</f>
        <v>0</v>
      </c>
      <c r="AC40" s="918">
        <f>'D-Profilfaktoren_Marktprämie'!AD8</f>
        <v>0</v>
      </c>
      <c r="AD40" s="918">
        <f>'D-Profilfaktoren_Marktprämie'!AE8</f>
        <v>0</v>
      </c>
      <c r="AE40" s="919">
        <f>'D-Profilfaktoren_Marktprämie'!AF8</f>
        <v>0</v>
      </c>
      <c r="AF40" s="940"/>
      <c r="AG40" s="940"/>
      <c r="AH40" s="939"/>
      <c r="AI40" s="939"/>
      <c r="AJ40" s="340" t="s">
        <v>799</v>
      </c>
    </row>
    <row r="41" spans="1:36" ht="12.75" customHeight="1" outlineLevel="2">
      <c r="A41" s="561" t="s">
        <v>805</v>
      </c>
      <c r="B41" s="16" t="e">
        <f>#REF!</f>
        <v>#REF!</v>
      </c>
      <c r="C41" s="12" t="e">
        <f>#REF!</f>
        <v>#REF!</v>
      </c>
      <c r="D41" s="31" t="e">
        <f>#REF!</f>
        <v>#REF!</v>
      </c>
      <c r="E41" s="16" t="s">
        <v>12</v>
      </c>
      <c r="F41" s="918">
        <f>'D-Profilfaktoren_Marktprämie'!G9</f>
        <v>0</v>
      </c>
      <c r="G41" s="918">
        <f>'D-Profilfaktoren_Marktprämie'!H9</f>
        <v>0</v>
      </c>
      <c r="H41" s="918">
        <f>'D-Profilfaktoren_Marktprämie'!I9</f>
        <v>1</v>
      </c>
      <c r="I41" s="918">
        <f>'D-Profilfaktoren_Marktprämie'!J9</f>
        <v>1</v>
      </c>
      <c r="J41" s="918">
        <f>'D-Profilfaktoren_Marktprämie'!K9</f>
        <v>1.0009999999999999</v>
      </c>
      <c r="K41" s="918">
        <f>'D-Profilfaktoren_Marktprämie'!L9</f>
        <v>0.9704087662222286</v>
      </c>
      <c r="L41" s="1094">
        <f>'D-Profilfaktoren_Marktprämie'!M9</f>
        <v>1.0002616235355399</v>
      </c>
      <c r="M41" s="1094">
        <f>'D-Profilfaktoren_Marktprämie'!N9</f>
        <v>1.0008007458944923</v>
      </c>
      <c r="N41" s="919">
        <f>'D-Profilfaktoren_Marktprämie'!O9</f>
        <v>0.9576555779076602</v>
      </c>
      <c r="O41" s="920">
        <f>'D-Profilfaktoren_Marktprämie'!P9</f>
        <v>0.86672159719942365</v>
      </c>
      <c r="P41" s="918">
        <f>'D-Profilfaktoren_Marktprämie'!Q9</f>
        <v>0.90252197726556671</v>
      </c>
      <c r="Q41" s="918">
        <f>'D-Profilfaktoren_Marktprämie'!R9</f>
        <v>0.85439545882115719</v>
      </c>
      <c r="R41" s="918">
        <f>'D-Profilfaktoren_Marktprämie'!S9</f>
        <v>0.80012668123190367</v>
      </c>
      <c r="S41" s="918">
        <f>'D-Profilfaktoren_Marktprämie'!T9</f>
        <v>0</v>
      </c>
      <c r="T41" s="918">
        <f>'D-Profilfaktoren_Marktprämie'!U9</f>
        <v>0</v>
      </c>
      <c r="U41" s="918">
        <f>'D-Profilfaktoren_Marktprämie'!V9</f>
        <v>0</v>
      </c>
      <c r="V41" s="918">
        <f>'D-Profilfaktoren_Marktprämie'!W9</f>
        <v>0</v>
      </c>
      <c r="W41" s="918">
        <f>'D-Profilfaktoren_Marktprämie'!X9</f>
        <v>0</v>
      </c>
      <c r="X41" s="918">
        <f>'D-Profilfaktoren_Marktprämie'!Y9</f>
        <v>0</v>
      </c>
      <c r="Y41" s="918">
        <f>'D-Profilfaktoren_Marktprämie'!Z9</f>
        <v>0</v>
      </c>
      <c r="Z41" s="918">
        <f>'D-Profilfaktoren_Marktprämie'!AA9</f>
        <v>0</v>
      </c>
      <c r="AA41" s="918">
        <f>'D-Profilfaktoren_Marktprämie'!AB9</f>
        <v>0</v>
      </c>
      <c r="AB41" s="918">
        <f>'D-Profilfaktoren_Marktprämie'!AC9</f>
        <v>0</v>
      </c>
      <c r="AC41" s="918">
        <f>'D-Profilfaktoren_Marktprämie'!AD9</f>
        <v>0</v>
      </c>
      <c r="AD41" s="918">
        <f>'D-Profilfaktoren_Marktprämie'!AE9</f>
        <v>0</v>
      </c>
      <c r="AE41" s="919">
        <f>'D-Profilfaktoren_Marktprämie'!AF9</f>
        <v>0</v>
      </c>
      <c r="AF41" s="940"/>
      <c r="AG41" s="940"/>
      <c r="AH41" s="939"/>
      <c r="AI41" s="939"/>
      <c r="AJ41" s="340" t="s">
        <v>799</v>
      </c>
    </row>
    <row r="42" spans="1:36" ht="12.75" customHeight="1" outlineLevel="2">
      <c r="A42" s="561" t="s">
        <v>806</v>
      </c>
      <c r="B42" s="16" t="e">
        <f>#REF!</f>
        <v>#REF!</v>
      </c>
      <c r="C42" s="12" t="e">
        <f>#REF!</f>
        <v>#REF!</v>
      </c>
      <c r="D42" s="31" t="e">
        <f>#REF!</f>
        <v>#REF!</v>
      </c>
      <c r="E42" s="16" t="s">
        <v>24</v>
      </c>
      <c r="F42" s="918">
        <f>'D-Profilfaktoren_Marktprämie'!G10</f>
        <v>0</v>
      </c>
      <c r="G42" s="918">
        <f>'D-Profilfaktoren_Marktprämie'!H10</f>
        <v>0</v>
      </c>
      <c r="H42" s="918">
        <f>'D-Profilfaktoren_Marktprämie'!I10</f>
        <v>0.90500000000000003</v>
      </c>
      <c r="I42" s="918">
        <f>'D-Profilfaktoren_Marktprämie'!J10</f>
        <v>0.88900000000000012</v>
      </c>
      <c r="J42" s="918">
        <f>'D-Profilfaktoren_Marktprämie'!K10</f>
        <v>0.85099999999999998</v>
      </c>
      <c r="K42" s="1095">
        <f>'D-Profilfaktoren_Marktprämie'!L10</f>
        <v>0.87804199451939391</v>
      </c>
      <c r="L42" s="1094">
        <f>'D-Profilfaktoren_Marktprämie'!M10</f>
        <v>0.88474320646636939</v>
      </c>
      <c r="M42" s="1094">
        <f>'D-Profilfaktoren_Marktprämie'!N10</f>
        <v>0.88556376387505709</v>
      </c>
      <c r="N42" s="919">
        <f>'D-Profilfaktoren_Marktprämie'!O10</f>
        <v>0.79928775421656872</v>
      </c>
      <c r="O42" s="920">
        <f>'D-Profilfaktoren_Marktprämie'!P10</f>
        <v>0.67846507330943984</v>
      </c>
      <c r="P42" s="918">
        <f>'D-Profilfaktoren_Marktprämie'!Q10</f>
        <v>0.76098384865625657</v>
      </c>
      <c r="Q42" s="918">
        <f>'D-Profilfaktoren_Marktprämie'!R10</f>
        <v>0.74498851826199786</v>
      </c>
      <c r="R42" s="918">
        <f>'D-Profilfaktoren_Marktprämie'!S10</f>
        <v>0.73040126499934588</v>
      </c>
      <c r="S42" s="918">
        <f>'D-Profilfaktoren_Marktprämie'!T10</f>
        <v>0</v>
      </c>
      <c r="T42" s="918">
        <f>'D-Profilfaktoren_Marktprämie'!U10</f>
        <v>0</v>
      </c>
      <c r="U42" s="918">
        <f>'D-Profilfaktoren_Marktprämie'!V10</f>
        <v>0</v>
      </c>
      <c r="V42" s="918">
        <f>'D-Profilfaktoren_Marktprämie'!W10</f>
        <v>0</v>
      </c>
      <c r="W42" s="918">
        <f>'D-Profilfaktoren_Marktprämie'!X10</f>
        <v>0</v>
      </c>
      <c r="X42" s="918">
        <f>'D-Profilfaktoren_Marktprämie'!Y10</f>
        <v>0</v>
      </c>
      <c r="Y42" s="918">
        <f>'D-Profilfaktoren_Marktprämie'!Z10</f>
        <v>0</v>
      </c>
      <c r="Z42" s="918">
        <f>'D-Profilfaktoren_Marktprämie'!AA10</f>
        <v>0</v>
      </c>
      <c r="AA42" s="918">
        <f>'D-Profilfaktoren_Marktprämie'!AB10</f>
        <v>0</v>
      </c>
      <c r="AB42" s="918">
        <f>'D-Profilfaktoren_Marktprämie'!AC10</f>
        <v>0</v>
      </c>
      <c r="AC42" s="918">
        <f>'D-Profilfaktoren_Marktprämie'!AD10</f>
        <v>0</v>
      </c>
      <c r="AD42" s="918">
        <f>'D-Profilfaktoren_Marktprämie'!AE10</f>
        <v>0</v>
      </c>
      <c r="AE42" s="919">
        <f>'D-Profilfaktoren_Marktprämie'!AF10</f>
        <v>0</v>
      </c>
      <c r="AF42" s="940"/>
      <c r="AG42" s="940"/>
      <c r="AH42" s="939"/>
      <c r="AI42" s="939"/>
      <c r="AJ42" s="340" t="s">
        <v>799</v>
      </c>
    </row>
    <row r="43" spans="1:36" ht="12.75" customHeight="1" outlineLevel="2">
      <c r="A43" s="561" t="s">
        <v>807</v>
      </c>
      <c r="B43" s="16" t="e">
        <f>#REF!</f>
        <v>#REF!</v>
      </c>
      <c r="C43" s="12" t="e">
        <f>#REF!</f>
        <v>#REF!</v>
      </c>
      <c r="D43" s="31" t="e">
        <f>#REF!</f>
        <v>#REF!</v>
      </c>
      <c r="E43" s="16" t="s">
        <v>26</v>
      </c>
      <c r="F43" s="918">
        <f>'D-Profilfaktoren_Marktprämie'!G11</f>
        <v>0</v>
      </c>
      <c r="G43" s="918">
        <f>'D-Profilfaktoren_Marktprämie'!H11</f>
        <v>0</v>
      </c>
      <c r="H43" s="918">
        <f>'D-Profilfaktoren_Marktprämie'!I11</f>
        <v>1.02</v>
      </c>
      <c r="I43" s="918">
        <f>'D-Profilfaktoren_Marktprämie'!J11</f>
        <v>0.997</v>
      </c>
      <c r="J43" s="918">
        <f>'D-Profilfaktoren_Marktprämie'!K11</f>
        <v>0.91799999999999993</v>
      </c>
      <c r="K43" s="1095">
        <f>'D-Profilfaktoren_Marktprämie'!L11</f>
        <v>0.93555612050472214</v>
      </c>
      <c r="L43" s="1094">
        <f>'D-Profilfaktoren_Marktprämie'!M11</f>
        <v>0.9825534567397779</v>
      </c>
      <c r="M43" s="1094">
        <f>'D-Profilfaktoren_Marktprämie'!N11</f>
        <v>0.92131005898091034</v>
      </c>
      <c r="N43" s="919">
        <f>'D-Profilfaktoren_Marktprämie'!O11</f>
        <v>0.88317632340840491</v>
      </c>
      <c r="O43" s="920">
        <f>'D-Profilfaktoren_Marktprämie'!P11</f>
        <v>0.79026862178293367</v>
      </c>
      <c r="P43" s="918">
        <f>'D-Profilfaktoren_Marktprämie'!Q11</f>
        <v>0.78878831448197484</v>
      </c>
      <c r="Q43" s="918">
        <f>'D-Profilfaktoren_Marktprämie'!R11</f>
        <v>0.76115118938091875</v>
      </c>
      <c r="R43" s="918">
        <f>'D-Profilfaktoren_Marktprämie'!S11</f>
        <v>0.76039618267720654</v>
      </c>
      <c r="S43" s="918">
        <f>'D-Profilfaktoren_Marktprämie'!T11</f>
        <v>0</v>
      </c>
      <c r="T43" s="918">
        <f>'D-Profilfaktoren_Marktprämie'!U11</f>
        <v>0</v>
      </c>
      <c r="U43" s="918">
        <f>'D-Profilfaktoren_Marktprämie'!V11</f>
        <v>0</v>
      </c>
      <c r="V43" s="918">
        <f>'D-Profilfaktoren_Marktprämie'!W11</f>
        <v>0</v>
      </c>
      <c r="W43" s="918">
        <f>'D-Profilfaktoren_Marktprämie'!X11</f>
        <v>0</v>
      </c>
      <c r="X43" s="918">
        <f>'D-Profilfaktoren_Marktprämie'!Y11</f>
        <v>0</v>
      </c>
      <c r="Y43" s="918">
        <f>'D-Profilfaktoren_Marktprämie'!Z11</f>
        <v>0</v>
      </c>
      <c r="Z43" s="918">
        <f>'D-Profilfaktoren_Marktprämie'!AA11</f>
        <v>0</v>
      </c>
      <c r="AA43" s="918">
        <f>'D-Profilfaktoren_Marktprämie'!AB11</f>
        <v>0</v>
      </c>
      <c r="AB43" s="918">
        <f>'D-Profilfaktoren_Marktprämie'!AC11</f>
        <v>0</v>
      </c>
      <c r="AC43" s="918">
        <f>'D-Profilfaktoren_Marktprämie'!AD11</f>
        <v>0</v>
      </c>
      <c r="AD43" s="918">
        <f>'D-Profilfaktoren_Marktprämie'!AE11</f>
        <v>0</v>
      </c>
      <c r="AE43" s="919">
        <f>'D-Profilfaktoren_Marktprämie'!AF11</f>
        <v>0</v>
      </c>
      <c r="AF43" s="940"/>
      <c r="AG43" s="940"/>
      <c r="AH43" s="939"/>
      <c r="AI43" s="939"/>
      <c r="AJ43" s="340" t="s">
        <v>799</v>
      </c>
    </row>
    <row r="44" spans="1:36" ht="12.75" customHeight="1" outlineLevel="2">
      <c r="A44" s="561" t="s">
        <v>808</v>
      </c>
      <c r="B44" s="303" t="e">
        <f>#REF!</f>
        <v>#REF!</v>
      </c>
      <c r="C44" s="24" t="e">
        <f>#REF!</f>
        <v>#REF!</v>
      </c>
      <c r="D44" s="32" t="e">
        <f>#REF!</f>
        <v>#REF!</v>
      </c>
      <c r="E44" s="303" t="s">
        <v>74</v>
      </c>
      <c r="F44" s="923">
        <f>'D-Profilfaktoren_Marktprämie'!G12</f>
        <v>0</v>
      </c>
      <c r="G44" s="923">
        <f>'D-Profilfaktoren_Marktprämie'!H12</f>
        <v>0</v>
      </c>
      <c r="H44" s="923">
        <f>'D-Profilfaktoren_Marktprämie'!I12</f>
        <v>1.046</v>
      </c>
      <c r="I44" s="923">
        <f>'D-Profilfaktoren_Marktprämie'!J12</f>
        <v>0.98100000000000009</v>
      </c>
      <c r="J44" s="923">
        <f>'D-Profilfaktoren_Marktprämie'!K12</f>
        <v>1.0109999999999999</v>
      </c>
      <c r="K44" s="1096">
        <f>'D-Profilfaktoren_Marktprämie'!L12</f>
        <v>0.94011333796182017</v>
      </c>
      <c r="L44" s="926">
        <f>'D-Profilfaktoren_Marktprämie'!M12</f>
        <v>0.97823510223085741</v>
      </c>
      <c r="M44" s="926">
        <f>'D-Profilfaktoren_Marktprämie'!N12</f>
        <v>1.0007946618334671</v>
      </c>
      <c r="N44" s="924">
        <f>'D-Profilfaktoren_Marktprämie'!O12</f>
        <v>0.9155231610892961</v>
      </c>
      <c r="O44" s="925">
        <f>'D-Profilfaktoren_Marktprämie'!P12</f>
        <v>0.85632717217267751</v>
      </c>
      <c r="P44" s="923">
        <f>'D-Profilfaktoren_Marktprämie'!Q12</f>
        <v>0.8187078708852541</v>
      </c>
      <c r="Q44" s="923">
        <f>'D-Profilfaktoren_Marktprämie'!R12</f>
        <v>0.78547462477492302</v>
      </c>
      <c r="R44" s="923">
        <f>'D-Profilfaktoren_Marktprämie'!S12</f>
        <v>0.73094824259947966</v>
      </c>
      <c r="S44" s="923">
        <f>'D-Profilfaktoren_Marktprämie'!T12</f>
        <v>0</v>
      </c>
      <c r="T44" s="923">
        <f>'D-Profilfaktoren_Marktprämie'!U12</f>
        <v>0</v>
      </c>
      <c r="U44" s="923">
        <f>'D-Profilfaktoren_Marktprämie'!V12</f>
        <v>0</v>
      </c>
      <c r="V44" s="923">
        <f>'D-Profilfaktoren_Marktprämie'!W12</f>
        <v>0</v>
      </c>
      <c r="W44" s="923">
        <f>'D-Profilfaktoren_Marktprämie'!X12</f>
        <v>0</v>
      </c>
      <c r="X44" s="923">
        <f>'D-Profilfaktoren_Marktprämie'!Y12</f>
        <v>0</v>
      </c>
      <c r="Y44" s="923">
        <f>'D-Profilfaktoren_Marktprämie'!Z12</f>
        <v>0</v>
      </c>
      <c r="Z44" s="923">
        <f>'D-Profilfaktoren_Marktprämie'!AA12</f>
        <v>0</v>
      </c>
      <c r="AA44" s="923">
        <f>'D-Profilfaktoren_Marktprämie'!AB12</f>
        <v>0</v>
      </c>
      <c r="AB44" s="923">
        <f>'D-Profilfaktoren_Marktprämie'!AC12</f>
        <v>0</v>
      </c>
      <c r="AC44" s="923">
        <f>'D-Profilfaktoren_Marktprämie'!AD12</f>
        <v>0</v>
      </c>
      <c r="AD44" s="923">
        <f>'D-Profilfaktoren_Marktprämie'!AE12</f>
        <v>0</v>
      </c>
      <c r="AE44" s="924">
        <f>'D-Profilfaktoren_Marktprämie'!AF12</f>
        <v>0</v>
      </c>
      <c r="AF44" s="940"/>
      <c r="AG44" s="940"/>
      <c r="AH44" s="939"/>
      <c r="AI44" s="939"/>
      <c r="AJ44" s="340" t="s">
        <v>799</v>
      </c>
    </row>
    <row r="45" spans="1:36" ht="12.75" customHeight="1" outlineLevel="1">
      <c r="A45" s="561" t="s">
        <v>809</v>
      </c>
      <c r="B45" s="10"/>
      <c r="N45" s="349"/>
      <c r="O45" s="296"/>
      <c r="AF45" s="940"/>
      <c r="AG45" s="940"/>
      <c r="AH45" s="939"/>
      <c r="AI45" s="939"/>
      <c r="AJ45" s="345"/>
    </row>
    <row r="46" spans="1:36" ht="12.75" customHeight="1" outlineLevel="1">
      <c r="A46" s="561">
        <v>37</v>
      </c>
      <c r="B46" s="10"/>
      <c r="E46" s="322" t="s">
        <v>51</v>
      </c>
      <c r="N46" s="349"/>
      <c r="O46" s="296"/>
      <c r="AF46" s="940"/>
      <c r="AG46" s="940"/>
      <c r="AH46" s="939"/>
      <c r="AI46" s="939"/>
      <c r="AJ46" s="345"/>
    </row>
    <row r="47" spans="1:36" ht="12.75" customHeight="1" outlineLevel="2">
      <c r="A47" s="561">
        <v>38</v>
      </c>
      <c r="B47" s="321" t="str">
        <f>'D-Dargebotsfaktor'!C$6</f>
        <v>Referenz</v>
      </c>
      <c r="C47" s="22" t="str">
        <f>'D-Dargebotsfaktor'!D$6</f>
        <v>mh</v>
      </c>
      <c r="D47" s="30" t="str">
        <f>'D-Dargebotsfaktor'!E$6</f>
        <v>100%</v>
      </c>
      <c r="E47" s="321" t="s">
        <v>25</v>
      </c>
      <c r="F47" s="915">
        <f>'D-Dargebotsfaktor'!G$6</f>
        <v>0</v>
      </c>
      <c r="G47" s="915">
        <f>'D-Dargebotsfaktor'!H$6</f>
        <v>0</v>
      </c>
      <c r="H47" s="915">
        <f>'D-Dargebotsfaktor'!I$6</f>
        <v>0</v>
      </c>
      <c r="I47" s="915">
        <f>'D-Dargebotsfaktor'!J$6</f>
        <v>0</v>
      </c>
      <c r="J47" s="915">
        <f>'D-Dargebotsfaktor'!K$6</f>
        <v>1</v>
      </c>
      <c r="K47" s="915">
        <f>'D-Dargebotsfaktor'!L$6</f>
        <v>1</v>
      </c>
      <c r="L47" s="915">
        <f>'D-Dargebotsfaktor'!M$6</f>
        <v>1</v>
      </c>
      <c r="M47" s="915">
        <f>'D-Dargebotsfaktor'!N$6</f>
        <v>1</v>
      </c>
      <c r="N47" s="916">
        <f>'D-Dargebotsfaktor'!O$6</f>
        <v>1</v>
      </c>
      <c r="O47" s="917">
        <f>'D-Dargebotsfaktor'!P$6</f>
        <v>1</v>
      </c>
      <c r="P47" s="915">
        <f>'D-Dargebotsfaktor'!Q$6</f>
        <v>1</v>
      </c>
      <c r="Q47" s="915">
        <f>'D-Dargebotsfaktor'!R$6</f>
        <v>1</v>
      </c>
      <c r="R47" s="915">
        <f>'D-Dargebotsfaktor'!S$6</f>
        <v>1</v>
      </c>
      <c r="S47" s="915">
        <f>'D-Dargebotsfaktor'!T$6</f>
        <v>1</v>
      </c>
      <c r="T47" s="915">
        <f>'D-Dargebotsfaktor'!U$6</f>
        <v>1</v>
      </c>
      <c r="U47" s="915">
        <f>'D-Dargebotsfaktor'!V$6</f>
        <v>1</v>
      </c>
      <c r="V47" s="915">
        <f>'D-Dargebotsfaktor'!W$6</f>
        <v>1</v>
      </c>
      <c r="W47" s="915">
        <f>'D-Dargebotsfaktor'!X$6</f>
        <v>1</v>
      </c>
      <c r="X47" s="915">
        <f>'D-Dargebotsfaktor'!Y$6</f>
        <v>1</v>
      </c>
      <c r="Y47" s="915">
        <f>'D-Dargebotsfaktor'!Z$6</f>
        <v>1</v>
      </c>
      <c r="Z47" s="915">
        <f>'D-Dargebotsfaktor'!AA$6</f>
        <v>1</v>
      </c>
      <c r="AA47" s="915">
        <f>'D-Dargebotsfaktor'!AB$6</f>
        <v>1</v>
      </c>
      <c r="AB47" s="915">
        <f>'D-Dargebotsfaktor'!AC$6</f>
        <v>1</v>
      </c>
      <c r="AC47" s="915">
        <f>'D-Dargebotsfaktor'!AD$6</f>
        <v>1</v>
      </c>
      <c r="AD47" s="915">
        <f>'D-Dargebotsfaktor'!AE$6</f>
        <v>1</v>
      </c>
      <c r="AE47" s="916">
        <f>'D-Dargebotsfaktor'!AF$6</f>
        <v>1</v>
      </c>
      <c r="AF47" s="940"/>
      <c r="AG47" s="940"/>
      <c r="AH47" s="939"/>
      <c r="AI47" s="939"/>
      <c r="AJ47" s="345"/>
    </row>
    <row r="48" spans="1:36" ht="12.75" customHeight="1" outlineLevel="2">
      <c r="A48" s="561">
        <v>39</v>
      </c>
      <c r="B48" s="16" t="str">
        <f>'D-Dargebotsfaktor'!C$7</f>
        <v>Referenz</v>
      </c>
      <c r="C48" s="12" t="str">
        <f>'D-Dargebotsfaktor'!D$7</f>
        <v>mh</v>
      </c>
      <c r="D48" s="31" t="str">
        <f>'D-Dargebotsfaktor'!E$7</f>
        <v>100%</v>
      </c>
      <c r="E48" s="16" t="s">
        <v>50</v>
      </c>
      <c r="F48" s="918">
        <f>'D-Dargebotsfaktor'!G$7</f>
        <v>0</v>
      </c>
      <c r="G48" s="918">
        <f>'D-Dargebotsfaktor'!H$7</f>
        <v>0</v>
      </c>
      <c r="H48" s="918">
        <f>'D-Dargebotsfaktor'!I$7</f>
        <v>0</v>
      </c>
      <c r="I48" s="918">
        <f>'D-Dargebotsfaktor'!J$7</f>
        <v>0</v>
      </c>
      <c r="J48" s="918">
        <f>'D-Dargebotsfaktor'!K$7</f>
        <v>1</v>
      </c>
      <c r="K48" s="918">
        <f>'D-Dargebotsfaktor'!L$7</f>
        <v>1</v>
      </c>
      <c r="L48" s="918">
        <f>'D-Dargebotsfaktor'!M$7</f>
        <v>1</v>
      </c>
      <c r="M48" s="918">
        <f>'D-Dargebotsfaktor'!N$7</f>
        <v>1</v>
      </c>
      <c r="N48" s="919">
        <f>'D-Dargebotsfaktor'!O$7</f>
        <v>1</v>
      </c>
      <c r="O48" s="920">
        <f>'D-Dargebotsfaktor'!P$7</f>
        <v>1</v>
      </c>
      <c r="P48" s="918">
        <f>'D-Dargebotsfaktor'!Q$7</f>
        <v>1</v>
      </c>
      <c r="Q48" s="918">
        <f>'D-Dargebotsfaktor'!R$7</f>
        <v>1</v>
      </c>
      <c r="R48" s="918">
        <f>'D-Dargebotsfaktor'!S$7</f>
        <v>1</v>
      </c>
      <c r="S48" s="918">
        <f>'D-Dargebotsfaktor'!T$7</f>
        <v>1</v>
      </c>
      <c r="T48" s="918">
        <f>'D-Dargebotsfaktor'!U$7</f>
        <v>1</v>
      </c>
      <c r="U48" s="918">
        <f>'D-Dargebotsfaktor'!V$7</f>
        <v>1</v>
      </c>
      <c r="V48" s="918">
        <f>'D-Dargebotsfaktor'!W$7</f>
        <v>1</v>
      </c>
      <c r="W48" s="918">
        <f>'D-Dargebotsfaktor'!X$7</f>
        <v>1</v>
      </c>
      <c r="X48" s="918">
        <f>'D-Dargebotsfaktor'!Y$7</f>
        <v>1</v>
      </c>
      <c r="Y48" s="918">
        <f>'D-Dargebotsfaktor'!Z$7</f>
        <v>1</v>
      </c>
      <c r="Z48" s="918">
        <f>'D-Dargebotsfaktor'!AA$7</f>
        <v>1</v>
      </c>
      <c r="AA48" s="918">
        <f>'D-Dargebotsfaktor'!AB$7</f>
        <v>1</v>
      </c>
      <c r="AB48" s="918">
        <f>'D-Dargebotsfaktor'!AC$7</f>
        <v>1</v>
      </c>
      <c r="AC48" s="918">
        <f>'D-Dargebotsfaktor'!AD$7</f>
        <v>1</v>
      </c>
      <c r="AD48" s="918">
        <f>'D-Dargebotsfaktor'!AE$7</f>
        <v>1</v>
      </c>
      <c r="AE48" s="919">
        <f>'D-Dargebotsfaktor'!AF$7</f>
        <v>1</v>
      </c>
      <c r="AF48" s="940"/>
      <c r="AG48" s="940"/>
      <c r="AH48" s="939"/>
      <c r="AI48" s="939"/>
      <c r="AJ48" s="345"/>
    </row>
    <row r="49" spans="1:36" ht="12.75" customHeight="1" outlineLevel="2">
      <c r="A49" s="561">
        <v>40</v>
      </c>
      <c r="B49" s="16" t="str">
        <f>'D-Dargebotsfaktor'!C$8</f>
        <v>Referenz</v>
      </c>
      <c r="C49" s="12" t="str">
        <f>'D-Dargebotsfaktor'!D$8</f>
        <v>mh</v>
      </c>
      <c r="D49" s="31" t="str">
        <f>'D-Dargebotsfaktor'!E$8</f>
        <v>100%</v>
      </c>
      <c r="E49" s="16" t="s">
        <v>13</v>
      </c>
      <c r="F49" s="918">
        <f>'D-Dargebotsfaktor'!G$8</f>
        <v>0</v>
      </c>
      <c r="G49" s="918">
        <f>'D-Dargebotsfaktor'!H$8</f>
        <v>0</v>
      </c>
      <c r="H49" s="918">
        <f>'D-Dargebotsfaktor'!I$8</f>
        <v>0</v>
      </c>
      <c r="I49" s="918">
        <f>'D-Dargebotsfaktor'!J$8</f>
        <v>0</v>
      </c>
      <c r="J49" s="918">
        <f>'D-Dargebotsfaktor'!K$8</f>
        <v>1</v>
      </c>
      <c r="K49" s="918">
        <f>'D-Dargebotsfaktor'!L$8</f>
        <v>1</v>
      </c>
      <c r="L49" s="918">
        <f>'D-Dargebotsfaktor'!M$8</f>
        <v>1</v>
      </c>
      <c r="M49" s="918">
        <f>'D-Dargebotsfaktor'!N$8</f>
        <v>1</v>
      </c>
      <c r="N49" s="919">
        <f>'D-Dargebotsfaktor'!O$8</f>
        <v>1</v>
      </c>
      <c r="O49" s="920">
        <f>'D-Dargebotsfaktor'!P$8</f>
        <v>1</v>
      </c>
      <c r="P49" s="918">
        <f>'D-Dargebotsfaktor'!Q$8</f>
        <v>1</v>
      </c>
      <c r="Q49" s="918">
        <f>'D-Dargebotsfaktor'!R$8</f>
        <v>1</v>
      </c>
      <c r="R49" s="918">
        <f>'D-Dargebotsfaktor'!S$8</f>
        <v>1</v>
      </c>
      <c r="S49" s="918">
        <f>'D-Dargebotsfaktor'!T$8</f>
        <v>1</v>
      </c>
      <c r="T49" s="918">
        <f>'D-Dargebotsfaktor'!U$8</f>
        <v>1</v>
      </c>
      <c r="U49" s="918">
        <f>'D-Dargebotsfaktor'!V$8</f>
        <v>1</v>
      </c>
      <c r="V49" s="918">
        <f>'D-Dargebotsfaktor'!W$8</f>
        <v>1</v>
      </c>
      <c r="W49" s="918">
        <f>'D-Dargebotsfaktor'!X$8</f>
        <v>1</v>
      </c>
      <c r="X49" s="918">
        <f>'D-Dargebotsfaktor'!Y$8</f>
        <v>1</v>
      </c>
      <c r="Y49" s="918">
        <f>'D-Dargebotsfaktor'!Z$8</f>
        <v>1</v>
      </c>
      <c r="Z49" s="918">
        <f>'D-Dargebotsfaktor'!AA$8</f>
        <v>1</v>
      </c>
      <c r="AA49" s="918">
        <f>'D-Dargebotsfaktor'!AB$8</f>
        <v>1</v>
      </c>
      <c r="AB49" s="918">
        <f>'D-Dargebotsfaktor'!AC$8</f>
        <v>1</v>
      </c>
      <c r="AC49" s="918">
        <f>'D-Dargebotsfaktor'!AD$8</f>
        <v>1</v>
      </c>
      <c r="AD49" s="918">
        <f>'D-Dargebotsfaktor'!AE$8</f>
        <v>1</v>
      </c>
      <c r="AE49" s="919">
        <f>'D-Dargebotsfaktor'!AF$8</f>
        <v>1</v>
      </c>
      <c r="AF49" s="940"/>
      <c r="AG49" s="940"/>
      <c r="AH49" s="939"/>
      <c r="AI49" s="939"/>
      <c r="AJ49" s="345"/>
    </row>
    <row r="50" spans="1:36" ht="12.75" customHeight="1" outlineLevel="2">
      <c r="A50" s="561">
        <v>41</v>
      </c>
      <c r="B50" s="16" t="str">
        <f>'D-Dargebotsfaktor'!C$9</f>
        <v>Referenz</v>
      </c>
      <c r="C50" s="12" t="str">
        <f>'D-Dargebotsfaktor'!D$9</f>
        <v>mh</v>
      </c>
      <c r="D50" s="31" t="str">
        <f>'D-Dargebotsfaktor'!E$9</f>
        <v>100%</v>
      </c>
      <c r="E50" s="16" t="s">
        <v>12</v>
      </c>
      <c r="F50" s="918">
        <f>'D-Dargebotsfaktor'!G$9</f>
        <v>0</v>
      </c>
      <c r="G50" s="918">
        <f>'D-Dargebotsfaktor'!H$9</f>
        <v>0</v>
      </c>
      <c r="H50" s="918">
        <f>'D-Dargebotsfaktor'!I$9</f>
        <v>0</v>
      </c>
      <c r="I50" s="918">
        <f>'D-Dargebotsfaktor'!J$9</f>
        <v>0</v>
      </c>
      <c r="J50" s="918">
        <f>'D-Dargebotsfaktor'!K$9</f>
        <v>1</v>
      </c>
      <c r="K50" s="918">
        <f>'D-Dargebotsfaktor'!L$9</f>
        <v>1</v>
      </c>
      <c r="L50" s="918">
        <f>'D-Dargebotsfaktor'!M$9</f>
        <v>1</v>
      </c>
      <c r="M50" s="918">
        <f>'D-Dargebotsfaktor'!N$9</f>
        <v>1</v>
      </c>
      <c r="N50" s="919">
        <f>'D-Dargebotsfaktor'!O$9</f>
        <v>1</v>
      </c>
      <c r="O50" s="920">
        <f>'D-Dargebotsfaktor'!P$9</f>
        <v>1</v>
      </c>
      <c r="P50" s="918">
        <f>'D-Dargebotsfaktor'!Q$9</f>
        <v>1</v>
      </c>
      <c r="Q50" s="918">
        <f>'D-Dargebotsfaktor'!R$9</f>
        <v>1</v>
      </c>
      <c r="R50" s="918">
        <f>'D-Dargebotsfaktor'!S$9</f>
        <v>1</v>
      </c>
      <c r="S50" s="918">
        <f>'D-Dargebotsfaktor'!T$9</f>
        <v>1</v>
      </c>
      <c r="T50" s="918">
        <f>'D-Dargebotsfaktor'!U$9</f>
        <v>1</v>
      </c>
      <c r="U50" s="918">
        <f>'D-Dargebotsfaktor'!V$9</f>
        <v>1</v>
      </c>
      <c r="V50" s="918">
        <f>'D-Dargebotsfaktor'!W$9</f>
        <v>1</v>
      </c>
      <c r="W50" s="918">
        <f>'D-Dargebotsfaktor'!X$9</f>
        <v>1</v>
      </c>
      <c r="X50" s="918">
        <f>'D-Dargebotsfaktor'!Y$9</f>
        <v>1</v>
      </c>
      <c r="Y50" s="918">
        <f>'D-Dargebotsfaktor'!Z$9</f>
        <v>1</v>
      </c>
      <c r="Z50" s="918">
        <f>'D-Dargebotsfaktor'!AA$9</f>
        <v>1</v>
      </c>
      <c r="AA50" s="918">
        <f>'D-Dargebotsfaktor'!AB$9</f>
        <v>1</v>
      </c>
      <c r="AB50" s="918">
        <f>'D-Dargebotsfaktor'!AC$9</f>
        <v>1</v>
      </c>
      <c r="AC50" s="918">
        <f>'D-Dargebotsfaktor'!AD$9</f>
        <v>1</v>
      </c>
      <c r="AD50" s="918">
        <f>'D-Dargebotsfaktor'!AE$9</f>
        <v>1</v>
      </c>
      <c r="AE50" s="919">
        <f>'D-Dargebotsfaktor'!AF$9</f>
        <v>1</v>
      </c>
      <c r="AF50" s="940"/>
      <c r="AG50" s="940"/>
      <c r="AH50" s="939"/>
      <c r="AI50" s="939"/>
      <c r="AJ50" s="345"/>
    </row>
    <row r="51" spans="1:36" ht="12.75" customHeight="1" outlineLevel="2">
      <c r="A51" s="561">
        <v>42</v>
      </c>
      <c r="B51" s="16" t="str">
        <f>'D-Dargebotsfaktor'!C$10</f>
        <v>Referenz</v>
      </c>
      <c r="C51" s="12" t="str">
        <f>'D-Dargebotsfaktor'!D$10</f>
        <v>mh</v>
      </c>
      <c r="D51" s="31" t="str">
        <f>'D-Dargebotsfaktor'!E$10</f>
        <v>100%</v>
      </c>
      <c r="E51" s="16" t="s">
        <v>24</v>
      </c>
      <c r="F51" s="918">
        <f>'D-Dargebotsfaktor'!G$10</f>
        <v>0</v>
      </c>
      <c r="G51" s="918">
        <f>'D-Dargebotsfaktor'!H$10</f>
        <v>0</v>
      </c>
      <c r="H51" s="918">
        <f>'D-Dargebotsfaktor'!I$10</f>
        <v>0</v>
      </c>
      <c r="I51" s="918">
        <f>'D-Dargebotsfaktor'!J$10</f>
        <v>0</v>
      </c>
      <c r="J51" s="918">
        <f>'D-Dargebotsfaktor'!K$10</f>
        <v>1</v>
      </c>
      <c r="K51" s="918">
        <f>'D-Dargebotsfaktor'!L$10</f>
        <v>1</v>
      </c>
      <c r="L51" s="918">
        <f>'D-Dargebotsfaktor'!M$10</f>
        <v>1</v>
      </c>
      <c r="M51" s="918">
        <f>'D-Dargebotsfaktor'!N$10</f>
        <v>1</v>
      </c>
      <c r="N51" s="919">
        <f>'D-Dargebotsfaktor'!O$10</f>
        <v>1</v>
      </c>
      <c r="O51" s="920">
        <f>'D-Dargebotsfaktor'!P$10</f>
        <v>1</v>
      </c>
      <c r="P51" s="918">
        <f>'D-Dargebotsfaktor'!Q$10</f>
        <v>1</v>
      </c>
      <c r="Q51" s="918">
        <f>'D-Dargebotsfaktor'!R$10</f>
        <v>1</v>
      </c>
      <c r="R51" s="918">
        <f>'D-Dargebotsfaktor'!S$10</f>
        <v>1</v>
      </c>
      <c r="S51" s="918">
        <f>'D-Dargebotsfaktor'!T$10</f>
        <v>1</v>
      </c>
      <c r="T51" s="918">
        <f>'D-Dargebotsfaktor'!U$10</f>
        <v>1</v>
      </c>
      <c r="U51" s="918">
        <f>'D-Dargebotsfaktor'!V$10</f>
        <v>1</v>
      </c>
      <c r="V51" s="918">
        <f>'D-Dargebotsfaktor'!W$10</f>
        <v>1</v>
      </c>
      <c r="W51" s="918">
        <f>'D-Dargebotsfaktor'!X$10</f>
        <v>1</v>
      </c>
      <c r="X51" s="918">
        <f>'D-Dargebotsfaktor'!Y$10</f>
        <v>1</v>
      </c>
      <c r="Y51" s="918">
        <f>'D-Dargebotsfaktor'!Z$10</f>
        <v>1</v>
      </c>
      <c r="Z51" s="918">
        <f>'D-Dargebotsfaktor'!AA$10</f>
        <v>1</v>
      </c>
      <c r="AA51" s="918">
        <f>'D-Dargebotsfaktor'!AB$10</f>
        <v>1</v>
      </c>
      <c r="AB51" s="918">
        <f>'D-Dargebotsfaktor'!AC$10</f>
        <v>1</v>
      </c>
      <c r="AC51" s="918">
        <f>'D-Dargebotsfaktor'!AD$10</f>
        <v>1</v>
      </c>
      <c r="AD51" s="918">
        <f>'D-Dargebotsfaktor'!AE$10</f>
        <v>1</v>
      </c>
      <c r="AE51" s="919">
        <f>'D-Dargebotsfaktor'!AF$10</f>
        <v>1</v>
      </c>
      <c r="AF51" s="940"/>
      <c r="AG51" s="940"/>
      <c r="AH51" s="939"/>
      <c r="AI51" s="939"/>
      <c r="AJ51" s="345"/>
    </row>
    <row r="52" spans="1:36" ht="12.75" customHeight="1" outlineLevel="2">
      <c r="A52" s="561">
        <v>43</v>
      </c>
      <c r="B52" s="16" t="str">
        <f>'D-Dargebotsfaktor'!C$11</f>
        <v>Referenz</v>
      </c>
      <c r="C52" s="12" t="str">
        <f>'D-Dargebotsfaktor'!D$11</f>
        <v>mh</v>
      </c>
      <c r="D52" s="31" t="str">
        <f>'D-Dargebotsfaktor'!E$11</f>
        <v>100%</v>
      </c>
      <c r="E52" s="16" t="s">
        <v>26</v>
      </c>
      <c r="F52" s="918">
        <f>'D-Dargebotsfaktor'!G$11</f>
        <v>0</v>
      </c>
      <c r="G52" s="918">
        <f>'D-Dargebotsfaktor'!H$11</f>
        <v>0</v>
      </c>
      <c r="H52" s="918">
        <f>'D-Dargebotsfaktor'!I$11</f>
        <v>0</v>
      </c>
      <c r="I52" s="918">
        <f>'D-Dargebotsfaktor'!J$11</f>
        <v>0</v>
      </c>
      <c r="J52" s="918">
        <f>'D-Dargebotsfaktor'!K$11</f>
        <v>1</v>
      </c>
      <c r="K52" s="918">
        <f>'D-Dargebotsfaktor'!L$11</f>
        <v>1</v>
      </c>
      <c r="L52" s="918">
        <f>'D-Dargebotsfaktor'!M$11</f>
        <v>1</v>
      </c>
      <c r="M52" s="918">
        <f>'D-Dargebotsfaktor'!N$11</f>
        <v>1</v>
      </c>
      <c r="N52" s="919">
        <f>'D-Dargebotsfaktor'!O$11</f>
        <v>1</v>
      </c>
      <c r="O52" s="920">
        <f>'D-Dargebotsfaktor'!P$11</f>
        <v>1</v>
      </c>
      <c r="P52" s="918">
        <f>'D-Dargebotsfaktor'!Q$11</f>
        <v>1</v>
      </c>
      <c r="Q52" s="918">
        <f>'D-Dargebotsfaktor'!R$11</f>
        <v>1</v>
      </c>
      <c r="R52" s="918">
        <f>'D-Dargebotsfaktor'!S$11</f>
        <v>1</v>
      </c>
      <c r="S52" s="918">
        <f>'D-Dargebotsfaktor'!T$11</f>
        <v>1</v>
      </c>
      <c r="T52" s="918">
        <f>'D-Dargebotsfaktor'!U$11</f>
        <v>1</v>
      </c>
      <c r="U52" s="918">
        <f>'D-Dargebotsfaktor'!V$11</f>
        <v>1</v>
      </c>
      <c r="V52" s="918">
        <f>'D-Dargebotsfaktor'!W$11</f>
        <v>1</v>
      </c>
      <c r="W52" s="918">
        <f>'D-Dargebotsfaktor'!X$11</f>
        <v>1</v>
      </c>
      <c r="X52" s="918">
        <f>'D-Dargebotsfaktor'!Y$11</f>
        <v>1</v>
      </c>
      <c r="Y52" s="918">
        <f>'D-Dargebotsfaktor'!Z$11</f>
        <v>1</v>
      </c>
      <c r="Z52" s="918">
        <f>'D-Dargebotsfaktor'!AA$11</f>
        <v>1</v>
      </c>
      <c r="AA52" s="918">
        <f>'D-Dargebotsfaktor'!AB$11</f>
        <v>1</v>
      </c>
      <c r="AB52" s="918">
        <f>'D-Dargebotsfaktor'!AC$11</f>
        <v>1</v>
      </c>
      <c r="AC52" s="918">
        <f>'D-Dargebotsfaktor'!AD$11</f>
        <v>1</v>
      </c>
      <c r="AD52" s="918">
        <f>'D-Dargebotsfaktor'!AE$11</f>
        <v>1</v>
      </c>
      <c r="AE52" s="919">
        <f>'D-Dargebotsfaktor'!AF$11</f>
        <v>1</v>
      </c>
      <c r="AF52" s="940"/>
      <c r="AG52" s="940"/>
      <c r="AH52" s="939"/>
      <c r="AI52" s="939"/>
      <c r="AJ52" s="345"/>
    </row>
    <row r="53" spans="1:36" ht="12.75" customHeight="1" outlineLevel="2">
      <c r="A53" s="561">
        <v>44</v>
      </c>
      <c r="B53" s="303" t="str">
        <f>'D-Dargebotsfaktor'!C$12</f>
        <v>Referenz</v>
      </c>
      <c r="C53" s="24" t="str">
        <f>'D-Dargebotsfaktor'!D$12</f>
        <v>mh</v>
      </c>
      <c r="D53" s="32" t="str">
        <f>'D-Dargebotsfaktor'!E$12</f>
        <v>100%</v>
      </c>
      <c r="E53" s="303" t="s">
        <v>74</v>
      </c>
      <c r="F53" s="923">
        <f>'D-Dargebotsfaktor'!G$12</f>
        <v>0</v>
      </c>
      <c r="G53" s="923">
        <f>'D-Dargebotsfaktor'!H$12</f>
        <v>0</v>
      </c>
      <c r="H53" s="923">
        <f>'D-Dargebotsfaktor'!I$12</f>
        <v>0</v>
      </c>
      <c r="I53" s="923">
        <f>'D-Dargebotsfaktor'!J$12</f>
        <v>0</v>
      </c>
      <c r="J53" s="923">
        <f>'D-Dargebotsfaktor'!K$12</f>
        <v>1</v>
      </c>
      <c r="K53" s="923">
        <f>'D-Dargebotsfaktor'!L$12</f>
        <v>1</v>
      </c>
      <c r="L53" s="923">
        <f>'D-Dargebotsfaktor'!M$12</f>
        <v>1</v>
      </c>
      <c r="M53" s="923">
        <f>'D-Dargebotsfaktor'!N$12</f>
        <v>1</v>
      </c>
      <c r="N53" s="924">
        <f>'D-Dargebotsfaktor'!O$12</f>
        <v>1</v>
      </c>
      <c r="O53" s="925">
        <f>'D-Dargebotsfaktor'!P$12</f>
        <v>1</v>
      </c>
      <c r="P53" s="923">
        <f>'D-Dargebotsfaktor'!Q$12</f>
        <v>1</v>
      </c>
      <c r="Q53" s="923">
        <f>'D-Dargebotsfaktor'!R$12</f>
        <v>1</v>
      </c>
      <c r="R53" s="923">
        <f>'D-Dargebotsfaktor'!S$12</f>
        <v>1</v>
      </c>
      <c r="S53" s="923">
        <f>'D-Dargebotsfaktor'!T$12</f>
        <v>1</v>
      </c>
      <c r="T53" s="923">
        <f>'D-Dargebotsfaktor'!U$12</f>
        <v>1</v>
      </c>
      <c r="U53" s="923">
        <f>'D-Dargebotsfaktor'!V$12</f>
        <v>1</v>
      </c>
      <c r="V53" s="923">
        <f>'D-Dargebotsfaktor'!W$12</f>
        <v>1</v>
      </c>
      <c r="W53" s="923">
        <f>'D-Dargebotsfaktor'!X$12</f>
        <v>1</v>
      </c>
      <c r="X53" s="923">
        <f>'D-Dargebotsfaktor'!Y$12</f>
        <v>1</v>
      </c>
      <c r="Y53" s="923">
        <f>'D-Dargebotsfaktor'!Z$12</f>
        <v>1</v>
      </c>
      <c r="Z53" s="923">
        <f>'D-Dargebotsfaktor'!AA$12</f>
        <v>1</v>
      </c>
      <c r="AA53" s="923">
        <f>'D-Dargebotsfaktor'!AB$12</f>
        <v>1</v>
      </c>
      <c r="AB53" s="923">
        <f>'D-Dargebotsfaktor'!AC$12</f>
        <v>1</v>
      </c>
      <c r="AC53" s="923">
        <f>'D-Dargebotsfaktor'!AD$12</f>
        <v>1</v>
      </c>
      <c r="AD53" s="923">
        <f>'D-Dargebotsfaktor'!AE$12</f>
        <v>1</v>
      </c>
      <c r="AE53" s="924">
        <f>'D-Dargebotsfaktor'!AF$12</f>
        <v>1</v>
      </c>
      <c r="AF53" s="940"/>
      <c r="AG53" s="940"/>
      <c r="AH53" s="939"/>
      <c r="AI53" s="939"/>
      <c r="AJ53" s="345"/>
    </row>
    <row r="54" spans="1:36" ht="12.75" customHeight="1" outlineLevel="1">
      <c r="A54" s="561">
        <v>45</v>
      </c>
      <c r="B54" s="10"/>
      <c r="N54" s="349"/>
      <c r="O54" s="296"/>
      <c r="AF54" s="940"/>
      <c r="AG54" s="940"/>
      <c r="AH54" s="939"/>
      <c r="AI54" s="939"/>
      <c r="AJ54" s="345"/>
    </row>
    <row r="55" spans="1:36" ht="12.75" customHeight="1" outlineLevel="1">
      <c r="A55" s="561">
        <v>46</v>
      </c>
      <c r="B55" s="10"/>
      <c r="E55" s="322" t="s">
        <v>543</v>
      </c>
      <c r="N55" s="349"/>
      <c r="O55" s="296"/>
      <c r="AF55" s="940" t="s">
        <v>544</v>
      </c>
      <c r="AG55" s="940"/>
      <c r="AH55" s="939"/>
      <c r="AI55" s="939"/>
      <c r="AJ55" s="345"/>
    </row>
    <row r="56" spans="1:36" ht="12.75" customHeight="1" outlineLevel="2">
      <c r="A56" s="561">
        <v>47</v>
      </c>
      <c r="B56" s="321" t="str">
        <f>'D-Bruttozubau'!C$6</f>
        <v>Referenz</v>
      </c>
      <c r="C56" s="22" t="str">
        <f>'D-Bruttozubau'!D$6</f>
        <v>fh</v>
      </c>
      <c r="D56" s="30" t="str">
        <f>'D-Bruttozubau'!E$6</f>
        <v>0,01 GW/a</v>
      </c>
      <c r="E56" s="321" t="s">
        <v>25</v>
      </c>
      <c r="F56" s="915">
        <f>'D-Bruttozubau'!G$6</f>
        <v>0.11411000000000038</v>
      </c>
      <c r="G56" s="915">
        <f>'D-Bruttozubau'!H$6</f>
        <v>9.2075899999999766E-2</v>
      </c>
      <c r="H56" s="915">
        <f>'D-Bruttozubau'!I$6</f>
        <v>5.082349999999991E-2</v>
      </c>
      <c r="I56" s="915">
        <f>'D-Bruttozubau'!J$6</f>
        <v>7.4043600000000209E-2</v>
      </c>
      <c r="J56" s="915">
        <f>'D-Bruttozubau'!K$6</f>
        <v>0</v>
      </c>
      <c r="K56" s="915">
        <f>'D-Bruttozubau'!L$6</f>
        <v>0.2908247849999997</v>
      </c>
      <c r="L56" s="915">
        <f>'D-Bruttozubau'!M$6</f>
        <v>2.1633774999999821E-2</v>
      </c>
      <c r="M56" s="915">
        <f>'D-Bruttozubau'!N$6</f>
        <v>5.4000000000000003E-3</v>
      </c>
      <c r="N56" s="916">
        <f>'D-Bruttozubau'!O$6</f>
        <v>1.4999999999999999E-2</v>
      </c>
      <c r="O56" s="917">
        <f>'D-Bruttozubau'!P$6</f>
        <v>1.7000000000000001E-2</v>
      </c>
      <c r="P56" s="915">
        <f>'D-Bruttozubau'!Q$6</f>
        <v>1.2999999999999999E-2</v>
      </c>
      <c r="Q56" s="915">
        <f>'D-Bruttozubau'!R$6</f>
        <v>1.4E-2</v>
      </c>
      <c r="R56" s="915">
        <f>'D-Bruttozubau'!S$6</f>
        <v>1.0999999999999999E-2</v>
      </c>
      <c r="S56" s="915">
        <f>'D-Bruttozubau'!T$6</f>
        <v>1.0999999999999999E-2</v>
      </c>
      <c r="T56" s="915">
        <f>'D-Bruttozubau'!U$6</f>
        <v>1.0999999999999999E-2</v>
      </c>
      <c r="U56" s="915">
        <f>'D-Bruttozubau'!V$6</f>
        <v>1.0999999999999999E-2</v>
      </c>
      <c r="V56" s="915">
        <f>'D-Bruttozubau'!W$6</f>
        <v>1.0999999999999999E-2</v>
      </c>
      <c r="W56" s="915">
        <f>'D-Bruttozubau'!X$6</f>
        <v>1.0999999999999999E-2</v>
      </c>
      <c r="X56" s="915">
        <f>'D-Bruttozubau'!Y$6</f>
        <v>1.0999999999999999E-2</v>
      </c>
      <c r="Y56" s="915">
        <f>'D-Bruttozubau'!Z$6</f>
        <v>1.0999999999999999E-2</v>
      </c>
      <c r="Z56" s="915">
        <f>'D-Bruttozubau'!AA$6</f>
        <v>1.0999999999999999E-2</v>
      </c>
      <c r="AA56" s="915">
        <f>'D-Bruttozubau'!AB$6</f>
        <v>1.0999999999999999E-2</v>
      </c>
      <c r="AB56" s="915">
        <f>'D-Bruttozubau'!AC$6</f>
        <v>1.0999999999999999E-2</v>
      </c>
      <c r="AC56" s="915">
        <f>'D-Bruttozubau'!AD$6</f>
        <v>1.0999999999999999E-2</v>
      </c>
      <c r="AD56" s="915">
        <f>'D-Bruttozubau'!AE$6</f>
        <v>1.0999999999999999E-2</v>
      </c>
      <c r="AE56" s="916">
        <f>'D-Bruttozubau'!AF$6</f>
        <v>1.0999999999999999E-2</v>
      </c>
      <c r="AF56" s="940"/>
      <c r="AG56" s="940"/>
      <c r="AH56" s="939"/>
      <c r="AI56" s="939"/>
      <c r="AJ56" s="345"/>
    </row>
    <row r="57" spans="1:36" ht="12.75" customHeight="1" outlineLevel="2">
      <c r="A57" s="561">
        <v>48</v>
      </c>
      <c r="B57" s="16" t="str">
        <f>'D-Bruttozubau'!C$7</f>
        <v>Referenz</v>
      </c>
      <c r="C57" s="12" t="str">
        <f>'D-Bruttozubau'!D$7</f>
        <v>fh</v>
      </c>
      <c r="D57" s="31" t="str">
        <f>'D-Bruttozubau'!E$7</f>
        <v>0,01GW/a</v>
      </c>
      <c r="E57" s="16" t="s">
        <v>50</v>
      </c>
      <c r="F57" s="918">
        <f>'D-Bruttozubau'!G$7</f>
        <v>1.5435999999999849E-2</v>
      </c>
      <c r="G57" s="918">
        <f>'D-Bruttozubau'!H$7</f>
        <v>1.2638999999999964E-2</v>
      </c>
      <c r="H57" s="918">
        <f>'D-Bruttozubau'!I$7</f>
        <v>7.8030000000000209E-3</v>
      </c>
      <c r="I57" s="918">
        <f>'D-Bruttozubau'!J$7</f>
        <v>8.2572000000000756E-3</v>
      </c>
      <c r="J57" s="918">
        <f>'D-Bruttozubau'!K$7</f>
        <v>0</v>
      </c>
      <c r="K57" s="918">
        <f>'D-Bruttozubau'!L$7</f>
        <v>4.5781999999999823E-2</v>
      </c>
      <c r="L57" s="918">
        <f>'D-Bruttozubau'!M$7</f>
        <v>4.0839999999999765E-3</v>
      </c>
      <c r="M57" s="918">
        <f>'D-Bruttozubau'!N$7</f>
        <v>1.6999999999999999E-3</v>
      </c>
      <c r="N57" s="919">
        <f>'D-Bruttozubau'!O$7</f>
        <v>6.0000000000000001E-3</v>
      </c>
      <c r="O57" s="920">
        <f>'D-Bruttozubau'!P$7</f>
        <v>2E-3</v>
      </c>
      <c r="P57" s="918">
        <f>'D-Bruttozubau'!Q$7</f>
        <v>2E-3</v>
      </c>
      <c r="Q57" s="918">
        <f>'D-Bruttozubau'!R$7</f>
        <v>1.9000000000000002E-3</v>
      </c>
      <c r="R57" s="918">
        <f>'D-Bruttozubau'!S$7</f>
        <v>1.9000000000000002E-3</v>
      </c>
      <c r="S57" s="918">
        <f>'D-Bruttozubau'!T$7</f>
        <v>1.9000000000000002E-3</v>
      </c>
      <c r="T57" s="918">
        <f>'D-Bruttozubau'!U$7</f>
        <v>1.9000000000000002E-3</v>
      </c>
      <c r="U57" s="918">
        <f>'D-Bruttozubau'!V$7</f>
        <v>1.9000000000000002E-3</v>
      </c>
      <c r="V57" s="918">
        <f>'D-Bruttozubau'!W$7</f>
        <v>1.9000000000000002E-3</v>
      </c>
      <c r="W57" s="918">
        <f>'D-Bruttozubau'!X$7</f>
        <v>0.01</v>
      </c>
      <c r="X57" s="918">
        <f>'D-Bruttozubau'!Y$7</f>
        <v>0.01</v>
      </c>
      <c r="Y57" s="918">
        <f>'D-Bruttozubau'!Z$7</f>
        <v>0.01</v>
      </c>
      <c r="Z57" s="918">
        <f>'D-Bruttozubau'!AA$7</f>
        <v>0.01</v>
      </c>
      <c r="AA57" s="918">
        <f>'D-Bruttozubau'!AB$7</f>
        <v>0.01</v>
      </c>
      <c r="AB57" s="918">
        <f>'D-Bruttozubau'!AC$7</f>
        <v>0.01</v>
      </c>
      <c r="AC57" s="918">
        <f>'D-Bruttozubau'!AD$7</f>
        <v>0.01</v>
      </c>
      <c r="AD57" s="918">
        <f>'D-Bruttozubau'!AE$7</f>
        <v>0.01</v>
      </c>
      <c r="AE57" s="919">
        <f>'D-Bruttozubau'!AF$7</f>
        <v>0.01</v>
      </c>
      <c r="AF57" s="940"/>
      <c r="AG57" s="940"/>
      <c r="AH57" s="939"/>
      <c r="AI57" s="939"/>
      <c r="AJ57" s="345"/>
    </row>
    <row r="58" spans="1:36" ht="12.75" customHeight="1" outlineLevel="2">
      <c r="A58" s="561">
        <v>49</v>
      </c>
      <c r="B58" s="16" t="str">
        <f>'D-Bruttozubau'!C$8</f>
        <v>Referenz</v>
      </c>
      <c r="C58" s="12" t="str">
        <f>'D-Bruttozubau'!D$8</f>
        <v>fh</v>
      </c>
      <c r="D58" s="31" t="str">
        <f>'D-Bruttozubau'!E$8</f>
        <v>MFP Trend; 0,2 GW/a</v>
      </c>
      <c r="E58" s="16" t="s">
        <v>13</v>
      </c>
      <c r="F58" s="918">
        <f>'D-Bruttozubau'!G$8</f>
        <v>0.41799999999999998</v>
      </c>
      <c r="G58" s="918">
        <f>'D-Bruttozubau'!H$8</f>
        <v>0.86586812999999996</v>
      </c>
      <c r="H58" s="918">
        <f>'D-Bruttozubau'!I$8</f>
        <v>0.32809184000000102</v>
      </c>
      <c r="I58" s="918">
        <f>'D-Bruttozubau'!J$8</f>
        <v>0.67685502999999902</v>
      </c>
      <c r="J58" s="918">
        <f>'D-Bruttozubau'!K$8</f>
        <v>0.21741000000000099</v>
      </c>
      <c r="K58" s="918">
        <f>'D-Bruttozubau'!L$8</f>
        <v>0.23461600000000002</v>
      </c>
      <c r="L58" s="918">
        <f>'D-Bruttozubau'!M$8</f>
        <v>0.22497200000000001</v>
      </c>
      <c r="M58" s="918">
        <f>'D-Bruttozubau'!N$8</f>
        <v>0.30678699999999998</v>
      </c>
      <c r="N58" s="919">
        <f>'D-Bruttozubau'!O$8</f>
        <v>0.42751108100000101</v>
      </c>
      <c r="O58" s="920">
        <f>'D-Bruttozubau'!P$8</f>
        <v>0.33253365899999998</v>
      </c>
      <c r="P58" s="918">
        <f>'D-Bruttozubau'!Q$8</f>
        <v>0.17599999999999999</v>
      </c>
      <c r="Q58" s="918">
        <f>'D-Bruttozubau'!R$8</f>
        <v>0.124</v>
      </c>
      <c r="R58" s="918">
        <f>'D-Bruttozubau'!S$8</f>
        <v>0.36699999999999999</v>
      </c>
      <c r="S58" s="918">
        <f>'D-Bruttozubau'!T$8</f>
        <v>0.36699999999999999</v>
      </c>
      <c r="T58" s="918">
        <f>'D-Bruttozubau'!U$8</f>
        <v>0.36699999999999999</v>
      </c>
      <c r="U58" s="918">
        <f>'D-Bruttozubau'!V$8</f>
        <v>0.36699999999999999</v>
      </c>
      <c r="V58" s="918">
        <f>'D-Bruttozubau'!W$8</f>
        <v>0.36699999999999999</v>
      </c>
      <c r="W58" s="918">
        <f>'D-Bruttozubau'!X$8</f>
        <v>0.2</v>
      </c>
      <c r="X58" s="918">
        <f>'D-Bruttozubau'!Y$8</f>
        <v>0.2</v>
      </c>
      <c r="Y58" s="918">
        <f>'D-Bruttozubau'!Z$8</f>
        <v>0.2</v>
      </c>
      <c r="Z58" s="918">
        <f>'D-Bruttozubau'!AA$8</f>
        <v>0.2</v>
      </c>
      <c r="AA58" s="918">
        <f>'D-Bruttozubau'!AB$8</f>
        <v>0.2</v>
      </c>
      <c r="AB58" s="918">
        <f>'D-Bruttozubau'!AC$8</f>
        <v>0.2</v>
      </c>
      <c r="AC58" s="918">
        <f>'D-Bruttozubau'!AD$8</f>
        <v>0.2</v>
      </c>
      <c r="AD58" s="918">
        <f>'D-Bruttozubau'!AE$8</f>
        <v>0.2</v>
      </c>
      <c r="AE58" s="919">
        <f>'D-Bruttozubau'!AF$8</f>
        <v>0.2</v>
      </c>
      <c r="AF58" s="940"/>
      <c r="AG58" s="940"/>
      <c r="AH58" s="939"/>
      <c r="AI58" s="939"/>
      <c r="AJ58" s="345"/>
    </row>
    <row r="59" spans="1:36" ht="12.75" customHeight="1" outlineLevel="2">
      <c r="A59" s="561">
        <v>50</v>
      </c>
      <c r="B59" s="16" t="str">
        <f>'D-Bruttozubau'!C$9</f>
        <v>Referenz</v>
      </c>
      <c r="C59" s="12" t="str">
        <f>'D-Bruttozubau'!D$9</f>
        <v>fh</v>
      </c>
      <c r="D59" s="31" t="str">
        <f>'D-Bruttozubau'!E$9</f>
        <v>0,01GW/a</v>
      </c>
      <c r="E59" s="16" t="s">
        <v>12</v>
      </c>
      <c r="F59" s="918">
        <f>'D-Bruttozubau'!G$9</f>
        <v>0</v>
      </c>
      <c r="G59" s="918">
        <f>'D-Bruttozubau'!H$9</f>
        <v>0</v>
      </c>
      <c r="H59" s="918">
        <f>'D-Bruttozubau'!I$9</f>
        <v>1.1799999999999998E-2</v>
      </c>
      <c r="I59" s="918">
        <f>'D-Bruttozubau'!J$9</f>
        <v>1.132E-2</v>
      </c>
      <c r="J59" s="918">
        <f>'D-Bruttozubau'!K$9</f>
        <v>3.7300000000000041E-3</v>
      </c>
      <c r="K59" s="918">
        <f>'D-Bruttozubau'!L$9</f>
        <v>0</v>
      </c>
      <c r="L59" s="918">
        <f>'D-Bruttozubau'!M$9</f>
        <v>4.9999999999999984E-3</v>
      </c>
      <c r="M59" s="918">
        <f>'D-Bruttozubau'!N$9</f>
        <v>2E-3</v>
      </c>
      <c r="N59" s="919">
        <f>'D-Bruttozubau'!O$9</f>
        <v>5.0000000000000001E-3</v>
      </c>
      <c r="O59" s="920">
        <f>'D-Bruttozubau'!P$9</f>
        <v>4.0000000000000001E-3</v>
      </c>
      <c r="P59" s="918">
        <f>'D-Bruttozubau'!Q$9</f>
        <v>5.0000000000000001E-3</v>
      </c>
      <c r="Q59" s="918">
        <f>'D-Bruttozubau'!R$9</f>
        <v>8.9999999999999993E-3</v>
      </c>
      <c r="R59" s="918">
        <f>'D-Bruttozubau'!S$9</f>
        <v>0.03</v>
      </c>
      <c r="S59" s="918">
        <f>'D-Bruttozubau'!T$9</f>
        <v>3.4000000000000002E-2</v>
      </c>
      <c r="T59" s="918">
        <f>'D-Bruttozubau'!U$9</f>
        <v>3.7999999999999999E-2</v>
      </c>
      <c r="U59" s="918">
        <f>'D-Bruttozubau'!V$9</f>
        <v>4.1000000000000002E-2</v>
      </c>
      <c r="V59" s="918">
        <f>'D-Bruttozubau'!W$9</f>
        <v>4.4999999999999998E-2</v>
      </c>
      <c r="W59" s="918">
        <f>'D-Bruttozubau'!X$9</f>
        <v>0.01</v>
      </c>
      <c r="X59" s="918">
        <f>'D-Bruttozubau'!Y$9</f>
        <v>0.01</v>
      </c>
      <c r="Y59" s="918">
        <f>'D-Bruttozubau'!Z$9</f>
        <v>0.01</v>
      </c>
      <c r="Z59" s="918">
        <f>'D-Bruttozubau'!AA$9</f>
        <v>0.01</v>
      </c>
      <c r="AA59" s="918">
        <f>'D-Bruttozubau'!AB$9</f>
        <v>0.01</v>
      </c>
      <c r="AB59" s="918">
        <f>'D-Bruttozubau'!AC$9</f>
        <v>0.01</v>
      </c>
      <c r="AC59" s="918">
        <f>'D-Bruttozubau'!AD$9</f>
        <v>0.01</v>
      </c>
      <c r="AD59" s="918">
        <f>'D-Bruttozubau'!AE$9</f>
        <v>0.01</v>
      </c>
      <c r="AE59" s="919">
        <f>'D-Bruttozubau'!AF$9</f>
        <v>0.01</v>
      </c>
      <c r="AF59" s="940"/>
      <c r="AG59" s="940"/>
      <c r="AH59" s="939"/>
      <c r="AI59" s="939"/>
      <c r="AJ59" s="345"/>
    </row>
    <row r="60" spans="1:36" ht="12.75" customHeight="1" outlineLevel="2">
      <c r="A60" s="561">
        <v>51</v>
      </c>
      <c r="B60" s="16" t="str">
        <f>'D-Bruttozubau'!C$10</f>
        <v>Referenz</v>
      </c>
      <c r="C60" s="12" t="str">
        <f>'D-Bruttozubau'!D$10</f>
        <v>fh</v>
      </c>
      <c r="D60" s="31" t="str">
        <f>'D-Bruttozubau'!E$10</f>
        <v>1,5 GW bis 2021, ab 2023 2,5 GW/a</v>
      </c>
      <c r="E60" s="16" t="s">
        <v>24</v>
      </c>
      <c r="F60" s="918">
        <f>'D-Bruttozubau'!G$10</f>
        <v>1.411797</v>
      </c>
      <c r="G60" s="918">
        <f>'D-Bruttozubau'!H$10</f>
        <v>1.8712979999999999</v>
      </c>
      <c r="H60" s="918">
        <f>'D-Bruttozubau'!I$10</f>
        <v>2.4085290000000001</v>
      </c>
      <c r="I60" s="918">
        <f>'D-Bruttozubau'!J$10</f>
        <v>2.9965709999999999</v>
      </c>
      <c r="J60" s="918">
        <f>'D-Bruttozubau'!K$10</f>
        <v>4.6522969999999999</v>
      </c>
      <c r="K60" s="918">
        <f>'D-Bruttozubau'!L$10</f>
        <v>3.7872080000000001</v>
      </c>
      <c r="L60" s="918">
        <f>'D-Bruttozubau'!M$10</f>
        <v>4.4454030000000007</v>
      </c>
      <c r="M60" s="918">
        <f>'D-Bruttozubau'!N$10</f>
        <v>5.5017449999999997</v>
      </c>
      <c r="N60" s="919">
        <f>'D-Bruttozubau'!O$10</f>
        <v>2.4031500000000001</v>
      </c>
      <c r="O60" s="920">
        <f>'D-Bruttozubau'!P$10</f>
        <v>1.5</v>
      </c>
      <c r="P60" s="918">
        <f>'D-Bruttozubau'!Q$10</f>
        <v>1.5</v>
      </c>
      <c r="Q60" s="918">
        <f>'D-Bruttozubau'!R$10</f>
        <v>1.5</v>
      </c>
      <c r="R60" s="918">
        <f>'D-Bruttozubau'!S$10</f>
        <v>2</v>
      </c>
      <c r="S60" s="918">
        <f>'D-Bruttozubau'!T$10</f>
        <v>2.5</v>
      </c>
      <c r="T60" s="918">
        <f>'D-Bruttozubau'!U$10</f>
        <v>2.5</v>
      </c>
      <c r="U60" s="918">
        <f>'D-Bruttozubau'!V$10</f>
        <v>2.5</v>
      </c>
      <c r="V60" s="918">
        <f>'D-Bruttozubau'!W$10</f>
        <v>2.5</v>
      </c>
      <c r="W60" s="918">
        <f>'D-Bruttozubau'!X$10</f>
        <v>2.5</v>
      </c>
      <c r="X60" s="918">
        <f>'D-Bruttozubau'!Y$10</f>
        <v>2.5</v>
      </c>
      <c r="Y60" s="918">
        <f>'D-Bruttozubau'!Z$10</f>
        <v>2.5</v>
      </c>
      <c r="Z60" s="918">
        <f>'D-Bruttozubau'!AA$10</f>
        <v>2.5</v>
      </c>
      <c r="AA60" s="918">
        <f>'D-Bruttozubau'!AB$10</f>
        <v>2.5</v>
      </c>
      <c r="AB60" s="918">
        <f>'D-Bruttozubau'!AC$10</f>
        <v>2.5</v>
      </c>
      <c r="AC60" s="918">
        <f>'D-Bruttozubau'!AD$10</f>
        <v>2.5</v>
      </c>
      <c r="AD60" s="918">
        <f>'D-Bruttozubau'!AE$10</f>
        <v>2.5</v>
      </c>
      <c r="AE60" s="919">
        <f>'D-Bruttozubau'!AF$10</f>
        <v>2.5</v>
      </c>
      <c r="AF60" s="940"/>
      <c r="AG60" s="940"/>
      <c r="AH60" s="939"/>
      <c r="AI60" s="939"/>
      <c r="AJ60" s="345"/>
    </row>
    <row r="61" spans="1:36" ht="12.75" customHeight="1" outlineLevel="2">
      <c r="A61" s="561">
        <v>52</v>
      </c>
      <c r="B61" s="16" t="str">
        <f>'D-Bruttozubau'!C$11</f>
        <v>Referenz</v>
      </c>
      <c r="C61" s="12" t="str">
        <f>'D-Bruttozubau'!D$11</f>
        <v>fh</v>
      </c>
      <c r="D61" s="31" t="str">
        <f>'D-Bruttozubau'!E$11</f>
        <v>MFP Trend, danach konstant 1,6 GW</v>
      </c>
      <c r="E61" s="16" t="s">
        <v>26</v>
      </c>
      <c r="F61" s="918">
        <f>'D-Bruttozubau'!G$11</f>
        <v>4.4999999999999998E-2</v>
      </c>
      <c r="G61" s="918">
        <f>'D-Bruttozubau'!H$11</f>
        <v>0.108</v>
      </c>
      <c r="H61" s="918">
        <f>'D-Bruttozubau'!I$11</f>
        <v>0.08</v>
      </c>
      <c r="I61" s="918">
        <f>'D-Bruttozubau'!J$11</f>
        <v>0.24</v>
      </c>
      <c r="J61" s="918">
        <f>'D-Bruttozubau'!K$11</f>
        <v>0.48599999999999999</v>
      </c>
      <c r="K61" s="918">
        <f>'D-Bruttozubau'!L$11</f>
        <v>2.2890000000000001</v>
      </c>
      <c r="L61" s="918">
        <f>'D-Bruttozubau'!M$11</f>
        <v>0.86899999999999999</v>
      </c>
      <c r="M61" s="918">
        <f>'D-Bruttozubau'!N$11</f>
        <v>1.254</v>
      </c>
      <c r="N61" s="919">
        <f>'D-Bruttozubau'!O$11</f>
        <v>0.98699999999999999</v>
      </c>
      <c r="O61" s="920">
        <f>'D-Bruttozubau'!P$11</f>
        <v>1.135</v>
      </c>
      <c r="P61" s="918">
        <f>'D-Bruttozubau'!Q$11</f>
        <v>0.219</v>
      </c>
      <c r="Q61" s="918">
        <f>'D-Bruttozubau'!R$11</f>
        <v>0</v>
      </c>
      <c r="R61" s="918">
        <f>'D-Bruttozubau'!S$11</f>
        <v>0.34200000000000003</v>
      </c>
      <c r="S61" s="918">
        <f>'D-Bruttozubau'!T$11</f>
        <v>0.749</v>
      </c>
      <c r="T61" s="918">
        <f>'D-Bruttozubau'!U$11</f>
        <v>1.1259999999999999</v>
      </c>
      <c r="U61" s="918">
        <f>'D-Bruttozubau'!V$11</f>
        <v>0.9</v>
      </c>
      <c r="V61" s="918">
        <f>'D-Bruttozubau'!W$11</f>
        <v>0.95799999999999996</v>
      </c>
      <c r="W61" s="918">
        <f>'D-Bruttozubau'!X$11</f>
        <v>0.95799999999999996</v>
      </c>
      <c r="X61" s="918">
        <f>'D-Bruttozubau'!Y$11</f>
        <v>0.95799999999999996</v>
      </c>
      <c r="Y61" s="918">
        <f>'D-Bruttozubau'!Z$11</f>
        <v>0.95799999999999996</v>
      </c>
      <c r="Z61" s="918">
        <f>'D-Bruttozubau'!AA$11</f>
        <v>0.95799999999999996</v>
      </c>
      <c r="AA61" s="918">
        <f>'D-Bruttozubau'!AB$11</f>
        <v>0.95799999999999996</v>
      </c>
      <c r="AB61" s="918">
        <f>'D-Bruttozubau'!AC$11</f>
        <v>0.95799999999999996</v>
      </c>
      <c r="AC61" s="918">
        <f>'D-Bruttozubau'!AD$11</f>
        <v>0.95799999999999996</v>
      </c>
      <c r="AD61" s="918">
        <f>'D-Bruttozubau'!AE$11</f>
        <v>0.95799999999999996</v>
      </c>
      <c r="AE61" s="919">
        <f>'D-Bruttozubau'!AF$11</f>
        <v>0.95799999999999996</v>
      </c>
      <c r="AF61" s="940"/>
      <c r="AG61" s="940"/>
      <c r="AH61" s="939"/>
      <c r="AI61" s="939"/>
      <c r="AJ61" s="345"/>
    </row>
    <row r="62" spans="1:36" ht="12.75" customHeight="1" outlineLevel="2">
      <c r="A62" s="561">
        <v>53</v>
      </c>
      <c r="B62" s="303" t="str">
        <f>'D-Bruttozubau'!C$12</f>
        <v>Referenz</v>
      </c>
      <c r="C62" s="24" t="str">
        <f>'D-Bruttozubau'!D$12</f>
        <v>fh</v>
      </c>
      <c r="D62" s="32" t="str">
        <f>'D-Bruttozubau'!E$12</f>
        <v>MFP Trend</v>
      </c>
      <c r="E62" s="303" t="s">
        <v>74</v>
      </c>
      <c r="F62" s="923">
        <f>'D-Bruttozubau'!G$12</f>
        <v>7.44</v>
      </c>
      <c r="G62" s="923">
        <f>'D-Bruttozubau'!H$12</f>
        <v>7.91</v>
      </c>
      <c r="H62" s="923">
        <f>'D-Bruttozubau'!I$12</f>
        <v>8.1609999999999996</v>
      </c>
      <c r="I62" s="923">
        <f>'D-Bruttozubau'!J$12</f>
        <v>2.633</v>
      </c>
      <c r="J62" s="923">
        <f>'D-Bruttozubau'!K$12</f>
        <v>1.19</v>
      </c>
      <c r="K62" s="1096">
        <f>'D-Bruttozubau'!L$12</f>
        <v>1.3240000000000001</v>
      </c>
      <c r="L62" s="923">
        <f>'D-Bruttozubau'!M$12</f>
        <v>1.4550000000000001</v>
      </c>
      <c r="M62" s="923">
        <f>'D-Bruttozubau'!N$12</f>
        <v>1.6140000000000001</v>
      </c>
      <c r="N62" s="924">
        <f>'D-Bruttozubau'!O$12</f>
        <v>2.8650000000000002</v>
      </c>
      <c r="O62" s="925">
        <f>'D-Bruttozubau'!P$12</f>
        <v>3.8889999999999998</v>
      </c>
      <c r="P62" s="923">
        <f>'D-Bruttozubau'!Q$12</f>
        <v>4.8010000000000002</v>
      </c>
      <c r="Q62" s="923">
        <f>'D-Bruttozubau'!R$12</f>
        <v>5.4139999999999997</v>
      </c>
      <c r="R62" s="923">
        <f>'D-Bruttozubau'!S$12</f>
        <v>6.335</v>
      </c>
      <c r="S62" s="923">
        <f>'D-Bruttozubau'!T$12</f>
        <v>8.33</v>
      </c>
      <c r="T62" s="923">
        <f>'D-Bruttozubau'!U$12</f>
        <v>8.1289999999999996</v>
      </c>
      <c r="U62" s="923">
        <f>'D-Bruttozubau'!V$12</f>
        <v>7.766</v>
      </c>
      <c r="V62" s="923">
        <f>'D-Bruttozubau'!W$12</f>
        <v>7.8319999999999999</v>
      </c>
      <c r="W62" s="923">
        <f>'D-Bruttozubau'!X$12</f>
        <v>3</v>
      </c>
      <c r="X62" s="923">
        <f>'D-Bruttozubau'!Y$12</f>
        <v>3</v>
      </c>
      <c r="Y62" s="923">
        <f>'D-Bruttozubau'!Z$12</f>
        <v>3</v>
      </c>
      <c r="Z62" s="923">
        <f>'D-Bruttozubau'!AA$12</f>
        <v>3</v>
      </c>
      <c r="AA62" s="923">
        <f>'D-Bruttozubau'!AB$12</f>
        <v>3</v>
      </c>
      <c r="AB62" s="923">
        <f>'D-Bruttozubau'!AC$12</f>
        <v>3</v>
      </c>
      <c r="AC62" s="923">
        <f>'D-Bruttozubau'!AD$12</f>
        <v>3</v>
      </c>
      <c r="AD62" s="923">
        <f>'D-Bruttozubau'!AE$12</f>
        <v>3</v>
      </c>
      <c r="AE62" s="924">
        <f>'D-Bruttozubau'!AF$12</f>
        <v>3</v>
      </c>
      <c r="AF62" s="940"/>
      <c r="AG62" s="940"/>
      <c r="AH62" s="939"/>
      <c r="AI62" s="939"/>
      <c r="AJ62" s="345"/>
    </row>
    <row r="63" spans="1:36" ht="12.75" customHeight="1" outlineLevel="2">
      <c r="A63" s="561">
        <v>54</v>
      </c>
      <c r="B63" s="10"/>
      <c r="C63" s="26"/>
      <c r="D63" s="34"/>
      <c r="E63" s="10"/>
      <c r="AF63" s="940"/>
      <c r="AG63" s="940"/>
      <c r="AH63" s="939"/>
      <c r="AI63" s="939"/>
      <c r="AJ63" s="345"/>
    </row>
    <row r="64" spans="1:36" ht="12.75" customHeight="1" outlineLevel="1">
      <c r="A64" s="561">
        <v>55</v>
      </c>
      <c r="B64" s="10"/>
      <c r="E64" s="322" t="s">
        <v>384</v>
      </c>
      <c r="L64" s="331">
        <f>K69-L69</f>
        <v>0.34400000000000119</v>
      </c>
      <c r="N64" s="349"/>
      <c r="O64" s="296"/>
      <c r="AF64" s="940"/>
      <c r="AG64" s="940" t="s">
        <v>464</v>
      </c>
      <c r="AH64" s="939"/>
      <c r="AI64" s="939"/>
      <c r="AJ64" s="345"/>
    </row>
    <row r="65" spans="1:36" ht="12.75" customHeight="1" outlineLevel="2">
      <c r="A65" s="561">
        <v>56</v>
      </c>
      <c r="B65" s="321" t="str">
        <f>'D-Standardauslastung'!C$6</f>
        <v>Referenz</v>
      </c>
      <c r="C65" s="22" t="str">
        <f>'D-Standardauslastung'!D$6</f>
        <v>fh</v>
      </c>
      <c r="D65" s="30" t="str">
        <f>'D-Standardauslastung'!E$6</f>
        <v>MFP Trend</v>
      </c>
      <c r="E65" s="321" t="s">
        <v>25</v>
      </c>
      <c r="F65" s="915">
        <f>'D-Bestand Kapazität'!G6</f>
        <v>0</v>
      </c>
      <c r="G65" s="915">
        <f>'D-Bestand Kapazität'!H6</f>
        <v>0</v>
      </c>
      <c r="H65" s="915">
        <f>'D-Bestand Kapazität'!I6</f>
        <v>0</v>
      </c>
      <c r="I65" s="915">
        <f>'D-Bestand Kapazität'!J6</f>
        <v>0</v>
      </c>
      <c r="J65" s="915">
        <f>'D-Bestand Kapazität'!K6</f>
        <v>1.5617438099999998</v>
      </c>
      <c r="K65" s="915">
        <f>'D-Bestand Kapazität'!L6</f>
        <v>1.5617438099999998</v>
      </c>
      <c r="L65" s="915">
        <f>'D-Bestand Kapazität'!M6</f>
        <v>1.5617438099999998</v>
      </c>
      <c r="M65" s="915">
        <f>'D-Bestand Kapazität'!N6</f>
        <v>1.5617438099999998</v>
      </c>
      <c r="N65" s="916">
        <f>'D-Bestand Kapazität'!O6</f>
        <v>1.5617438099999998</v>
      </c>
      <c r="O65" s="917">
        <f>'D-Bestand Kapazität'!P6</f>
        <v>1.5617438099999998</v>
      </c>
      <c r="P65" s="915">
        <f>'D-Bestand Kapazität'!Q6</f>
        <v>1.5617438099999998</v>
      </c>
      <c r="Q65" s="915">
        <f>'D-Bestand Kapazität'!R6</f>
        <v>1.5617438099999998</v>
      </c>
      <c r="R65" s="915">
        <f>'D-Bestand Kapazität'!S6</f>
        <v>1.5617438099999998</v>
      </c>
      <c r="S65" s="915">
        <f>'D-Bestand Kapazität'!T6</f>
        <v>1.5617438099999998</v>
      </c>
      <c r="T65" s="915">
        <f>'D-Bestand Kapazität'!U6</f>
        <v>1.5617438099999998</v>
      </c>
      <c r="U65" s="915">
        <f>'D-Bestand Kapazität'!V6</f>
        <v>1.5617438099999998</v>
      </c>
      <c r="V65" s="915">
        <f>'D-Bestand Kapazität'!W6</f>
        <v>1.5617438099999998</v>
      </c>
      <c r="W65" s="915">
        <f>'D-Bestand Kapazität'!X6</f>
        <v>1.5617438099999998</v>
      </c>
      <c r="X65" s="915">
        <f>'D-Bestand Kapazität'!Y6</f>
        <v>1.5617438099999998</v>
      </c>
      <c r="Y65" s="915">
        <f>'D-Bestand Kapazität'!Z6</f>
        <v>1.5617438099999998</v>
      </c>
      <c r="Z65" s="915">
        <f>'D-Bestand Kapazität'!AA6</f>
        <v>1.45086618</v>
      </c>
      <c r="AA65" s="915">
        <f>'D-Bestand Kapazität'!AB6</f>
        <v>1.3595179899999998</v>
      </c>
      <c r="AB65" s="915">
        <f>'D-Bestand Kapazität'!AC6</f>
        <v>1.2860902400000001</v>
      </c>
      <c r="AC65" s="915">
        <f>'D-Bestand Kapazität'!AD6</f>
        <v>1.2395648899999998</v>
      </c>
      <c r="AD65" s="915">
        <f>'D-Bestand Kapazität'!AE6</f>
        <v>1.1316575499999999</v>
      </c>
      <c r="AE65" s="916">
        <f>'D-Bestand Kapazität'!AF6</f>
        <v>1.1188063499999998</v>
      </c>
      <c r="AF65" s="940"/>
      <c r="AG65" s="940" t="s">
        <v>464</v>
      </c>
      <c r="AH65" s="557"/>
      <c r="AI65" s="939"/>
      <c r="AJ65" s="345"/>
    </row>
    <row r="66" spans="1:36" ht="12.75" customHeight="1" outlineLevel="2">
      <c r="A66" s="561">
        <v>57</v>
      </c>
      <c r="B66" s="16" t="str">
        <f>'D-Standardauslastung'!C$7</f>
        <v>Referenz</v>
      </c>
      <c r="C66" s="12" t="str">
        <f>'D-Standardauslastung'!D$7</f>
        <v>fh</v>
      </c>
      <c r="D66" s="31" t="str">
        <f>'D-Standardauslastung'!E$7</f>
        <v>MFP Trend</v>
      </c>
      <c r="E66" s="16" t="s">
        <v>50</v>
      </c>
      <c r="F66" s="918">
        <f>'D-Bestand Kapazität'!G7</f>
        <v>0</v>
      </c>
      <c r="G66" s="918">
        <f>'D-Bestand Kapazität'!H7</f>
        <v>0</v>
      </c>
      <c r="H66" s="918">
        <f>'D-Bestand Kapazität'!I7</f>
        <v>0</v>
      </c>
      <c r="I66" s="918">
        <f>'D-Bestand Kapazität'!J7</f>
        <v>0</v>
      </c>
      <c r="J66" s="918">
        <f>'D-Bestand Kapazität'!K7</f>
        <v>0.50447248999999994</v>
      </c>
      <c r="K66" s="918">
        <f>'D-Bestand Kapazität'!L7</f>
        <v>0.50447248999999994</v>
      </c>
      <c r="L66" s="918">
        <f>'D-Bestand Kapazität'!M7</f>
        <v>0.50447248999999994</v>
      </c>
      <c r="M66" s="918">
        <f>'D-Bestand Kapazität'!N7</f>
        <v>0.50447248999999994</v>
      </c>
      <c r="N66" s="919">
        <f>'D-Bestand Kapazität'!O7</f>
        <v>0.50447248999999994</v>
      </c>
      <c r="O66" s="920">
        <f>'D-Bestand Kapazität'!P7</f>
        <v>0.50447248999999994</v>
      </c>
      <c r="P66" s="918">
        <f>'D-Bestand Kapazität'!Q7</f>
        <v>0.50447248999999994</v>
      </c>
      <c r="Q66" s="918">
        <f>'D-Bestand Kapazität'!R7</f>
        <v>0.32682229000000002</v>
      </c>
      <c r="R66" s="918">
        <f>'D-Bestand Kapazität'!S7</f>
        <v>0.27378529000000001</v>
      </c>
      <c r="S66" s="918">
        <f>'D-Bestand Kapazität'!T7</f>
        <v>0.21108429000000001</v>
      </c>
      <c r="T66" s="918">
        <f>'D-Bestand Kapazität'!U7</f>
        <v>0.13316929</v>
      </c>
      <c r="U66" s="918">
        <f>'D-Bestand Kapazität'!V7</f>
        <v>6.6771990000000003E-2</v>
      </c>
      <c r="V66" s="918">
        <f>'D-Bestand Kapazität'!W7</f>
        <v>5.3154990000000006E-2</v>
      </c>
      <c r="W66" s="918">
        <f>'D-Bestand Kapazität'!X7</f>
        <v>4.4618990000000004E-2</v>
      </c>
      <c r="X66" s="918">
        <f>'D-Bestand Kapazität'!Y7</f>
        <v>3.6103990000000002E-2</v>
      </c>
      <c r="Y66" s="918">
        <f>'D-Bestand Kapazität'!Z7</f>
        <v>3.0399990000000002E-2</v>
      </c>
      <c r="Z66" s="918">
        <f>'D-Bestand Kapazität'!AA7</f>
        <v>2.0893000000000005E-2</v>
      </c>
      <c r="AA66" s="918">
        <f>'D-Bestand Kapazität'!AB7</f>
        <v>1.7971000000000004E-2</v>
      </c>
      <c r="AB66" s="918">
        <f>'D-Bestand Kapazität'!AC7</f>
        <v>8.7540000000000014E-3</v>
      </c>
      <c r="AC66" s="918">
        <f>'D-Bestand Kapazität'!AD7</f>
        <v>6.9640000000000006E-3</v>
      </c>
      <c r="AD66" s="918">
        <f>'D-Bestand Kapazität'!AE7</f>
        <v>5.836E-3</v>
      </c>
      <c r="AE66" s="919">
        <f>'D-Bestand Kapazität'!AF7</f>
        <v>0</v>
      </c>
      <c r="AF66" s="940"/>
      <c r="AG66" s="940" t="s">
        <v>464</v>
      </c>
      <c r="AH66" s="939"/>
      <c r="AI66" s="939"/>
      <c r="AJ66" s="345"/>
    </row>
    <row r="67" spans="1:36" ht="12.75" customHeight="1" outlineLevel="2">
      <c r="A67" s="561">
        <v>58</v>
      </c>
      <c r="B67" s="16" t="str">
        <f>'D-Standardauslastung'!C$8</f>
        <v>Referenz</v>
      </c>
      <c r="C67" s="12" t="str">
        <f>'D-Standardauslastung'!D$8</f>
        <v>fh</v>
      </c>
      <c r="D67" s="31" t="str">
        <f>'D-Standardauslastung'!E$8</f>
        <v>MFP Trend</v>
      </c>
      <c r="E67" s="16" t="s">
        <v>13</v>
      </c>
      <c r="F67" s="918">
        <f>'D-Bestand Kapazität'!G8</f>
        <v>0</v>
      </c>
      <c r="G67" s="918">
        <f>'D-Bestand Kapazität'!H8</f>
        <v>0</v>
      </c>
      <c r="H67" s="918">
        <f>'D-Bestand Kapazität'!I8</f>
        <v>0</v>
      </c>
      <c r="I67" s="918">
        <f>'D-Bestand Kapazität'!J8</f>
        <v>0</v>
      </c>
      <c r="J67" s="918">
        <f>'D-Bestand Kapazität'!K8</f>
        <v>6.7990000000000004</v>
      </c>
      <c r="K67" s="918">
        <f>'D-Bestand Kapazität'!L8</f>
        <v>6.7990000000000004</v>
      </c>
      <c r="L67" s="918">
        <f>'D-Bestand Kapazität'!M8</f>
        <v>6.7990000000000004</v>
      </c>
      <c r="M67" s="918">
        <f>'D-Bestand Kapazität'!N8</f>
        <v>6.7990000000000004</v>
      </c>
      <c r="N67" s="919">
        <f>'D-Bestand Kapazität'!O8</f>
        <v>6.7990000000000004</v>
      </c>
      <c r="O67" s="920">
        <f>'D-Bestand Kapazität'!P8</f>
        <v>6.7990000000000004</v>
      </c>
      <c r="P67" s="918">
        <f>'D-Bestand Kapazität'!Q8</f>
        <v>6.7990000000000004</v>
      </c>
      <c r="Q67" s="918">
        <f>'D-Bestand Kapazität'!R8</f>
        <v>6.6231892300000004</v>
      </c>
      <c r="R67" s="918">
        <f>'D-Bestand Kapazität'!S8</f>
        <v>6.4349554299999987</v>
      </c>
      <c r="S67" s="918">
        <f>'D-Bestand Kapazität'!T8</f>
        <v>6.2947062699999998</v>
      </c>
      <c r="T67" s="918">
        <f>'D-Bestand Kapazität'!U8</f>
        <v>6.0627479199999996</v>
      </c>
      <c r="U67" s="918">
        <f>'D-Bestand Kapazität'!V8</f>
        <v>5.4902409299999997</v>
      </c>
      <c r="V67" s="918">
        <f>'D-Bestand Kapazität'!W8</f>
        <v>4.7945024299999996</v>
      </c>
      <c r="W67" s="918">
        <f>'D-Bestand Kapazität'!X8</f>
        <v>3.9465003999999988</v>
      </c>
      <c r="X67" s="918">
        <f>'D-Bestand Kapazität'!Y8</f>
        <v>3.3060079999999994</v>
      </c>
      <c r="Y67" s="918">
        <f>'D-Bestand Kapazität'!Z8</f>
        <v>2.9487315999999995</v>
      </c>
      <c r="Z67" s="918">
        <f>'D-Bestand Kapazität'!AA8</f>
        <v>2.4935236000000001</v>
      </c>
      <c r="AA67" s="918">
        <f>'D-Bestand Kapazität'!AB8</f>
        <v>1.8564320000000003</v>
      </c>
      <c r="AB67" s="918">
        <f>'D-Bestand Kapazität'!AC8</f>
        <v>0.80025794000000006</v>
      </c>
      <c r="AC67" s="918">
        <f>'D-Bestand Kapazität'!AD8</f>
        <v>0.46639323999999999</v>
      </c>
      <c r="AD67" s="918">
        <f>'D-Bestand Kapazität'!AE8</f>
        <v>0.21003932999999994</v>
      </c>
      <c r="AE67" s="919">
        <f>'D-Bestand Kapazität'!AF8</f>
        <v>0</v>
      </c>
      <c r="AF67" s="940"/>
      <c r="AG67" s="940" t="s">
        <v>464</v>
      </c>
      <c r="AH67" s="939"/>
      <c r="AI67" s="939"/>
      <c r="AJ67" s="345"/>
    </row>
    <row r="68" spans="1:36" ht="12.75" customHeight="1" outlineLevel="2">
      <c r="A68" s="561">
        <v>59</v>
      </c>
      <c r="B68" s="16" t="str">
        <f>'D-Standardauslastung'!C$9</f>
        <v>Referenz</v>
      </c>
      <c r="C68" s="12" t="str">
        <f>'D-Standardauslastung'!D$9</f>
        <v>fh</v>
      </c>
      <c r="D68" s="31" t="str">
        <f>'D-Standardauslastung'!E$9</f>
        <v>MFP Trend</v>
      </c>
      <c r="E68" s="16" t="s">
        <v>12</v>
      </c>
      <c r="F68" s="918">
        <f>'D-Bestand Kapazität'!G9</f>
        <v>0</v>
      </c>
      <c r="G68" s="918">
        <f>'D-Bestand Kapazität'!H9</f>
        <v>0</v>
      </c>
      <c r="H68" s="918">
        <f>'D-Bestand Kapazität'!I9</f>
        <v>0</v>
      </c>
      <c r="I68" s="918">
        <f>'D-Bestand Kapazität'!J9</f>
        <v>0</v>
      </c>
      <c r="J68" s="918">
        <f>'D-Bestand Kapazität'!K9</f>
        <v>3.3985000000000001E-2</v>
      </c>
      <c r="K68" s="918">
        <f>'D-Bestand Kapazität'!L9</f>
        <v>3.3985000000000001E-2</v>
      </c>
      <c r="L68" s="918">
        <f>'D-Bestand Kapazität'!M9</f>
        <v>3.3985000000000001E-2</v>
      </c>
      <c r="M68" s="918">
        <f>'D-Bestand Kapazität'!N9</f>
        <v>3.3985000000000001E-2</v>
      </c>
      <c r="N68" s="919">
        <f>'D-Bestand Kapazität'!O9</f>
        <v>3.3985000000000001E-2</v>
      </c>
      <c r="O68" s="920">
        <f>'D-Bestand Kapazität'!P9</f>
        <v>3.3985000000000001E-2</v>
      </c>
      <c r="P68" s="918">
        <f>'D-Bestand Kapazität'!Q9</f>
        <v>3.3985000000000001E-2</v>
      </c>
      <c r="Q68" s="918">
        <f>'D-Bestand Kapazität'!R9</f>
        <v>3.3985000000000001E-2</v>
      </c>
      <c r="R68" s="918">
        <f>'D-Bestand Kapazität'!S9</f>
        <v>3.3985000000000001E-2</v>
      </c>
      <c r="S68" s="918">
        <f>'D-Bestand Kapazität'!T9</f>
        <v>3.3985000000000001E-2</v>
      </c>
      <c r="T68" s="918">
        <f>'D-Bestand Kapazität'!U9</f>
        <v>3.3985000000000001E-2</v>
      </c>
      <c r="U68" s="918">
        <f>'D-Bestand Kapazität'!V9</f>
        <v>3.3765000000000003E-2</v>
      </c>
      <c r="V68" s="918">
        <f>'D-Bestand Kapazität'!W9</f>
        <v>3.3765000000000003E-2</v>
      </c>
      <c r="W68" s="918">
        <f>'D-Bestand Kapazität'!X9</f>
        <v>3.3765000000000003E-2</v>
      </c>
      <c r="X68" s="918">
        <f>'D-Bestand Kapazität'!Y9</f>
        <v>3.0765000000000001E-2</v>
      </c>
      <c r="Y68" s="918">
        <f>'D-Bestand Kapazität'!Z9</f>
        <v>3.0765000000000001E-2</v>
      </c>
      <c r="Z68" s="918">
        <f>'D-Bestand Kapazität'!AA9</f>
        <v>2.6615000000000003E-2</v>
      </c>
      <c r="AA68" s="918">
        <f>'D-Bestand Kapazität'!AB9</f>
        <v>2.6615000000000003E-2</v>
      </c>
      <c r="AB68" s="918">
        <f>'D-Bestand Kapazität'!AC9</f>
        <v>2.6615000000000003E-2</v>
      </c>
      <c r="AC68" s="918">
        <f>'D-Bestand Kapazität'!AD9</f>
        <v>1.4815E-2</v>
      </c>
      <c r="AD68" s="918">
        <f>'D-Bestand Kapazität'!AE9</f>
        <v>3.5000000000000001E-3</v>
      </c>
      <c r="AE68" s="919">
        <f>'D-Bestand Kapazität'!AF9</f>
        <v>0</v>
      </c>
      <c r="AF68" s="940"/>
      <c r="AG68" s="940" t="s">
        <v>464</v>
      </c>
      <c r="AH68" s="939"/>
      <c r="AI68" s="939"/>
      <c r="AJ68" s="345"/>
    </row>
    <row r="69" spans="1:36" ht="12.75" customHeight="1" outlineLevel="2">
      <c r="A69" s="561">
        <v>60</v>
      </c>
      <c r="B69" s="16" t="str">
        <f>'D-Standardauslastung'!C$10</f>
        <v>Referenz</v>
      </c>
      <c r="C69" s="12" t="str">
        <f>'D-Standardauslastung'!D$10</f>
        <v>fh</v>
      </c>
      <c r="D69" s="31" t="str">
        <f>'D-Standardauslastung'!E$10</f>
        <v>Anstieg auf 2600h in 2035</v>
      </c>
      <c r="E69" s="16" t="s">
        <v>24</v>
      </c>
      <c r="F69" s="918">
        <f>'D-Bestand Kapazität'!G10</f>
        <v>0</v>
      </c>
      <c r="G69" s="918">
        <f>'D-Bestand Kapazität'!H10</f>
        <v>0</v>
      </c>
      <c r="H69" s="918">
        <f>'D-Bestand Kapazität'!I10</f>
        <v>0</v>
      </c>
      <c r="I69" s="918">
        <f>'D-Bestand Kapazität'!J10</f>
        <v>0</v>
      </c>
      <c r="J69" s="918">
        <f>'D-Bestand Kapazität'!K10</f>
        <v>37.619999999999997</v>
      </c>
      <c r="K69" s="918">
        <f>'D-Bestand Kapazität'!L10</f>
        <v>37.508569479999998</v>
      </c>
      <c r="L69" s="918">
        <f>'D-Bestand Kapazität'!M10</f>
        <v>37.164569479999997</v>
      </c>
      <c r="M69" s="918">
        <f>'D-Bestand Kapazität'!N10</f>
        <v>36.764569479999999</v>
      </c>
      <c r="N69" s="919">
        <f>'D-Bestand Kapazität'!O10</f>
        <v>36.264569479999999</v>
      </c>
      <c r="O69" s="920">
        <f>'D-Bestand Kapazität'!P10</f>
        <v>35.664569479999997</v>
      </c>
      <c r="P69" s="918">
        <f>'D-Bestand Kapazität'!Q10</f>
        <v>34.964569480000002</v>
      </c>
      <c r="Q69" s="918">
        <f>'D-Bestand Kapazität'!R10</f>
        <v>33.158776369999998</v>
      </c>
      <c r="R69" s="918">
        <f>'D-Bestand Kapazität'!S10</f>
        <v>30.565102570000001</v>
      </c>
      <c r="S69" s="918">
        <f>'D-Bestand Kapazität'!T10</f>
        <v>27.51489948</v>
      </c>
      <c r="T69" s="918">
        <f>'D-Bestand Kapazität'!U10</f>
        <v>24.797031480000001</v>
      </c>
      <c r="U69" s="918">
        <f>'D-Bestand Kapazität'!V10</f>
        <v>22.74326048</v>
      </c>
      <c r="V69" s="918">
        <f>'D-Bestand Kapazität'!W10</f>
        <v>20.92921698</v>
      </c>
      <c r="W69" s="918">
        <f>'D-Bestand Kapazität'!X10</f>
        <v>18.699378980000002</v>
      </c>
      <c r="X69" s="918">
        <f>'D-Bestand Kapazität'!Y10</f>
        <v>17.013132779999999</v>
      </c>
      <c r="Y69" s="918">
        <f>'D-Bestand Kapazität'!Z10</f>
        <v>16.241268779999999</v>
      </c>
      <c r="Z69" s="918">
        <f>'D-Bestand Kapazität'!AA10</f>
        <v>13.541928859999999</v>
      </c>
      <c r="AA69" s="918">
        <f>'D-Bestand Kapazität'!AB10</f>
        <v>12.115269209999999</v>
      </c>
      <c r="AB69" s="918">
        <f>'D-Bestand Kapazität'!AC10</f>
        <v>10.238786949999998</v>
      </c>
      <c r="AC69" s="918">
        <f>'D-Bestand Kapazität'!AD10</f>
        <v>7.8176624199999987</v>
      </c>
      <c r="AD69" s="918">
        <f>'D-Bestand Kapazität'!AE10</f>
        <v>4.7852306299999992</v>
      </c>
      <c r="AE69" s="919">
        <f>'D-Bestand Kapazität'!AF10</f>
        <v>0</v>
      </c>
      <c r="AF69" s="940"/>
      <c r="AG69" s="940" t="s">
        <v>464</v>
      </c>
      <c r="AH69" s="940"/>
      <c r="AI69" s="940"/>
      <c r="AJ69" s="345"/>
    </row>
    <row r="70" spans="1:36" ht="12.75" customHeight="1" outlineLevel="2">
      <c r="A70" s="561">
        <v>61</v>
      </c>
      <c r="B70" s="16" t="str">
        <f>'D-Standardauslastung'!C$11</f>
        <v>Referenz</v>
      </c>
      <c r="C70" s="12" t="str">
        <f>'D-Standardauslastung'!D$11</f>
        <v>as/pl/fh</v>
      </c>
      <c r="D70" s="31" t="str">
        <f>'D-Standardauslastung'!E$11</f>
        <v>Anstieg auf 4700 h in 2035</v>
      </c>
      <c r="E70" s="16" t="s">
        <v>26</v>
      </c>
      <c r="F70" s="918">
        <f>'D-Bestand Kapazität'!G11</f>
        <v>0</v>
      </c>
      <c r="G70" s="918">
        <f>'D-Bestand Kapazität'!H11</f>
        <v>0</v>
      </c>
      <c r="H70" s="918">
        <f>'D-Bestand Kapazität'!I11</f>
        <v>0</v>
      </c>
      <c r="I70" s="918">
        <f>'D-Bestand Kapazität'!J11</f>
        <v>0</v>
      </c>
      <c r="J70" s="918">
        <f>'D-Bestand Kapazität'!K11</f>
        <v>0.99399999999999999</v>
      </c>
      <c r="K70" s="918">
        <f>'D-Bestand Kapazität'!L11</f>
        <v>0.99399999999999999</v>
      </c>
      <c r="L70" s="918">
        <f>'D-Bestand Kapazität'!M11</f>
        <v>0.99399999999999999</v>
      </c>
      <c r="M70" s="918">
        <f>'D-Bestand Kapazität'!N11</f>
        <v>0.99399999999999999</v>
      </c>
      <c r="N70" s="919">
        <f>'D-Bestand Kapazität'!O11</f>
        <v>0.99399999999999999</v>
      </c>
      <c r="O70" s="920">
        <f>'D-Bestand Kapazität'!P11</f>
        <v>0.99399999999999999</v>
      </c>
      <c r="P70" s="918">
        <f>'D-Bestand Kapazität'!Q11</f>
        <v>0.99399999999999999</v>
      </c>
      <c r="Q70" s="918">
        <f>'D-Bestand Kapazität'!R11</f>
        <v>0.99399999999999999</v>
      </c>
      <c r="R70" s="918">
        <f>'D-Bestand Kapazität'!S11</f>
        <v>0.99399999999999999</v>
      </c>
      <c r="S70" s="918">
        <f>'D-Bestand Kapazität'!T11</f>
        <v>0.99399999999999999</v>
      </c>
      <c r="T70" s="918">
        <f>'D-Bestand Kapazität'!U11</f>
        <v>0.99399999999999999</v>
      </c>
      <c r="U70" s="918">
        <f>'D-Bestand Kapazität'!V11</f>
        <v>0.99399999999999999</v>
      </c>
      <c r="V70" s="918">
        <f>'D-Bestand Kapazität'!W11</f>
        <v>0.99399999999999999</v>
      </c>
      <c r="W70" s="918">
        <f>'D-Bestand Kapazität'!X11</f>
        <v>0.99399999999999999</v>
      </c>
      <c r="X70" s="918">
        <f>'D-Bestand Kapazität'!Y11</f>
        <v>0.99399999999999999</v>
      </c>
      <c r="Y70" s="918">
        <f>'D-Bestand Kapazität'!Z11</f>
        <v>0.99399999999999999</v>
      </c>
      <c r="Z70" s="918">
        <f>'D-Bestand Kapazität'!AA11</f>
        <v>0.96219999999999994</v>
      </c>
      <c r="AA70" s="918">
        <f>'D-Bestand Kapazität'!AB11</f>
        <v>0.9171999999999999</v>
      </c>
      <c r="AB70" s="918">
        <f>'D-Bestand Kapazität'!AC11</f>
        <v>0.80889999999999995</v>
      </c>
      <c r="AC70" s="918">
        <f>'D-Bestand Kapazität'!AD11</f>
        <v>0.72889999999999999</v>
      </c>
      <c r="AD70" s="918">
        <f>'D-Bestand Kapazität'!AE11</f>
        <v>0.4889</v>
      </c>
      <c r="AE70" s="919">
        <f>'D-Bestand Kapazität'!AF11</f>
        <v>0</v>
      </c>
      <c r="AF70" s="940"/>
      <c r="AG70" s="940" t="s">
        <v>464</v>
      </c>
      <c r="AH70" s="940"/>
      <c r="AI70" s="940"/>
      <c r="AJ70" s="345"/>
    </row>
    <row r="71" spans="1:36" ht="12.75" customHeight="1" outlineLevel="2">
      <c r="A71" s="561">
        <v>62</v>
      </c>
      <c r="B71" s="303" t="str">
        <f>'D-Standardauslastung'!C$12</f>
        <v>Referenz</v>
      </c>
      <c r="C71" s="24" t="str">
        <f>'D-Standardauslastung'!D$12</f>
        <v>fh</v>
      </c>
      <c r="D71" s="32" t="str">
        <f>'D-Standardauslastung'!E$12</f>
        <v>Anstieg auf 950h in 2035</v>
      </c>
      <c r="E71" s="303" t="s">
        <v>74</v>
      </c>
      <c r="F71" s="923">
        <f>'D-Bestand Kapazität'!G12</f>
        <v>0</v>
      </c>
      <c r="G71" s="923">
        <f>'D-Bestand Kapazität'!H12</f>
        <v>0</v>
      </c>
      <c r="H71" s="923">
        <f>'D-Bestand Kapazität'!I12</f>
        <v>0</v>
      </c>
      <c r="I71" s="923">
        <f>'D-Bestand Kapazität'!J12</f>
        <v>0</v>
      </c>
      <c r="J71" s="923">
        <f>'D-Bestand Kapazität'!K12</f>
        <v>37.9</v>
      </c>
      <c r="K71" s="923">
        <f>'D-Bestand Kapazität'!L12</f>
        <v>37.9</v>
      </c>
      <c r="L71" s="923">
        <f>'D-Bestand Kapazität'!M12</f>
        <v>37.9</v>
      </c>
      <c r="M71" s="923">
        <f>'D-Bestand Kapazität'!N12</f>
        <v>37.9</v>
      </c>
      <c r="N71" s="924">
        <f>'D-Bestand Kapazität'!O12</f>
        <v>37.9</v>
      </c>
      <c r="O71" s="925">
        <f>'D-Bestand Kapazität'!P12</f>
        <v>37.9</v>
      </c>
      <c r="P71" s="923">
        <f>'D-Bestand Kapazität'!Q12</f>
        <v>37.9</v>
      </c>
      <c r="Q71" s="923">
        <f>'D-Bestand Kapazität'!R12</f>
        <v>37.776027506000062</v>
      </c>
      <c r="R71" s="923">
        <f>'D-Bestand Kapazität'!S12</f>
        <v>37.667388816000063</v>
      </c>
      <c r="S71" s="923">
        <f>'D-Bestand Kapazität'!T12</f>
        <v>37.557167266000064</v>
      </c>
      <c r="T71" s="923">
        <f>'D-Bestand Kapazität'!U12</f>
        <v>37.414720716000062</v>
      </c>
      <c r="U71" s="923">
        <f>'D-Bestand Kapazität'!V12</f>
        <v>36.758691416000062</v>
      </c>
      <c r="V71" s="923">
        <f>'D-Bestand Kapazität'!W12</f>
        <v>35.834089356000064</v>
      </c>
      <c r="W71" s="923">
        <f>'D-Bestand Kapazität'!X12</f>
        <v>34.989494406000063</v>
      </c>
      <c r="X71" s="923">
        <f>'D-Bestand Kapazität'!Y12</f>
        <v>33.735743280000058</v>
      </c>
      <c r="Y71" s="923">
        <f>'D-Bestand Kapazität'!Z12</f>
        <v>31.75620017000006</v>
      </c>
      <c r="Z71" s="923">
        <f>'D-Bestand Kapazität'!AA12</f>
        <v>27.317740330000046</v>
      </c>
      <c r="AA71" s="923">
        <f>'D-Bestand Kapazität'!AB12</f>
        <v>19.723863990000012</v>
      </c>
      <c r="AB71" s="923">
        <f>'D-Bestand Kapazität'!AC12</f>
        <v>11.723473930000008</v>
      </c>
      <c r="AC71" s="923">
        <f>'D-Bestand Kapazität'!AD12</f>
        <v>4.8811800499999842</v>
      </c>
      <c r="AD71" s="923">
        <f>'D-Bestand Kapazität'!AE12</f>
        <v>1.7455592899999977</v>
      </c>
      <c r="AE71" s="924">
        <f>'D-Bestand Kapazität'!AF12</f>
        <v>0</v>
      </c>
      <c r="AF71" s="940"/>
      <c r="AG71" s="940" t="s">
        <v>464</v>
      </c>
      <c r="AH71" s="940"/>
      <c r="AI71" s="940"/>
      <c r="AJ71" s="345"/>
    </row>
    <row r="72" spans="1:36" ht="12.75" customHeight="1" outlineLevel="1">
      <c r="A72" s="561">
        <v>63</v>
      </c>
      <c r="B72" s="10"/>
      <c r="E72" s="10"/>
      <c r="AF72" s="940"/>
      <c r="AG72" s="940" t="s">
        <v>464</v>
      </c>
      <c r="AH72" s="940"/>
      <c r="AI72" s="940"/>
      <c r="AJ72" s="345"/>
    </row>
    <row r="73" spans="1:36" ht="12.75" customHeight="1" outlineLevel="1">
      <c r="A73" s="561">
        <v>64</v>
      </c>
      <c r="B73" s="10"/>
      <c r="E73" s="322" t="s">
        <v>385</v>
      </c>
      <c r="N73" s="349"/>
      <c r="O73" s="296"/>
      <c r="AF73" s="940"/>
      <c r="AG73" s="940" t="s">
        <v>464</v>
      </c>
      <c r="AH73" s="940"/>
      <c r="AI73" s="940"/>
      <c r="AJ73" s="345"/>
    </row>
    <row r="74" spans="1:36" ht="12.75" customHeight="1" outlineLevel="1">
      <c r="A74" s="561">
        <v>65</v>
      </c>
      <c r="B74" s="10"/>
      <c r="E74" s="321" t="s">
        <v>25</v>
      </c>
      <c r="F74" s="915">
        <f>'D-Bestand Strommenge'!G6</f>
        <v>0</v>
      </c>
      <c r="G74" s="915">
        <f>'D-Bestand Strommenge'!H6</f>
        <v>0</v>
      </c>
      <c r="H74" s="915">
        <f>'D-Bestand Strommenge'!I6</f>
        <v>0</v>
      </c>
      <c r="I74" s="915">
        <f>'D-Bestand Strommenge'!J6</f>
        <v>0</v>
      </c>
      <c r="J74" s="915">
        <f>'D-Bestand Strommenge'!K6</f>
        <v>6.3400577197004209</v>
      </c>
      <c r="K74" s="915">
        <f>'D-Bestand Strommenge'!L6</f>
        <v>6.3653839009576823</v>
      </c>
      <c r="L74" s="915">
        <f>'D-Bestand Strommenge'!M6</f>
        <v>6.3653839009576823</v>
      </c>
      <c r="M74" s="922">
        <f>'D-Bestand Strommenge'!N6</f>
        <v>6.3653839009576823</v>
      </c>
      <c r="N74" s="916">
        <f>'D-Bestand Strommenge'!O6</f>
        <v>6.3653839009576823</v>
      </c>
      <c r="O74" s="917">
        <f>'D-Bestand Strommenge'!P6</f>
        <v>6.3653839009576823</v>
      </c>
      <c r="P74" s="915">
        <f>'D-Bestand Strommenge'!Q6</f>
        <v>6.3653839009576823</v>
      </c>
      <c r="Q74" s="915">
        <f>'D-Bestand Strommenge'!R6</f>
        <v>6.3653839009576823</v>
      </c>
      <c r="R74" s="915">
        <f>'D-Bestand Strommenge'!S6</f>
        <v>6.3653839009576823</v>
      </c>
      <c r="S74" s="915">
        <f>'D-Bestand Strommenge'!T6</f>
        <v>6.3653839009576823</v>
      </c>
      <c r="T74" s="915">
        <f>'D-Bestand Strommenge'!U6</f>
        <v>6.3653839009576823</v>
      </c>
      <c r="U74" s="915">
        <f>'D-Bestand Strommenge'!V6</f>
        <v>6.3653839009576823</v>
      </c>
      <c r="V74" s="915">
        <f>'D-Bestand Strommenge'!W6</f>
        <v>6.3653839009576823</v>
      </c>
      <c r="W74" s="915">
        <f>'D-Bestand Strommenge'!X6</f>
        <v>6.3653839009576823</v>
      </c>
      <c r="X74" s="915">
        <f>'D-Bestand Strommenge'!Y6</f>
        <v>6.3653839009576823</v>
      </c>
      <c r="Y74" s="915">
        <f>'D-Bestand Strommenge'!Z6</f>
        <v>6.3653839009576823</v>
      </c>
      <c r="Z74" s="915">
        <f>'D-Bestand Strommenge'!AA6</f>
        <v>5.8264018677620077</v>
      </c>
      <c r="AA74" s="915">
        <f>'D-Bestand Strommenge'!AB6</f>
        <v>5.3606672290276043</v>
      </c>
      <c r="AB74" s="915">
        <f>'D-Bestand Strommenge'!AC6</f>
        <v>5.0397223665748268</v>
      </c>
      <c r="AC74" s="915">
        <f>'D-Bestand Strommenge'!AD6</f>
        <v>4.8537221589924613</v>
      </c>
      <c r="AD74" s="915">
        <f>'D-Bestand Strommenge'!AE6</f>
        <v>4.2530569317466336</v>
      </c>
      <c r="AE74" s="916">
        <f>'D-Bestand Strommenge'!AF6</f>
        <v>4.2024045692321126</v>
      </c>
      <c r="AF74" s="940"/>
      <c r="AG74" s="940" t="s">
        <v>464</v>
      </c>
      <c r="AH74" s="557"/>
      <c r="AI74" s="939"/>
      <c r="AJ74" s="345"/>
    </row>
    <row r="75" spans="1:36" ht="12.75" customHeight="1" outlineLevel="1">
      <c r="A75" s="561">
        <v>66</v>
      </c>
      <c r="B75" s="10"/>
      <c r="E75" s="16" t="s">
        <v>50</v>
      </c>
      <c r="F75" s="918">
        <f>'D-Bestand Strommenge'!G7</f>
        <v>0</v>
      </c>
      <c r="G75" s="918">
        <f>'D-Bestand Strommenge'!H7</f>
        <v>0</v>
      </c>
      <c r="H75" s="918">
        <f>'D-Bestand Strommenge'!I7</f>
        <v>0</v>
      </c>
      <c r="I75" s="918">
        <f>'D-Bestand Strommenge'!J7</f>
        <v>0</v>
      </c>
      <c r="J75" s="918">
        <f>'D-Bestand Strommenge'!K7</f>
        <v>1.4340048917520307</v>
      </c>
      <c r="K75" s="918">
        <f>'D-Bestand Strommenge'!L7</f>
        <v>1.4380650412409677</v>
      </c>
      <c r="L75" s="918">
        <f>'D-Bestand Strommenge'!M7</f>
        <v>1.4380650412409677</v>
      </c>
      <c r="M75" s="1095">
        <f>'D-Bestand Strommenge'!N7</f>
        <v>1.4380650412409677</v>
      </c>
      <c r="N75" s="919">
        <f>'D-Bestand Strommenge'!O7</f>
        <v>1.4380650412409677</v>
      </c>
      <c r="O75" s="920">
        <f>'D-Bestand Strommenge'!P7</f>
        <v>1.4380650412409677</v>
      </c>
      <c r="P75" s="918">
        <f>'D-Bestand Strommenge'!Q7</f>
        <v>1.4380650412409677</v>
      </c>
      <c r="Q75" s="918">
        <f>'D-Bestand Strommenge'!R7</f>
        <v>1.1116422809573945</v>
      </c>
      <c r="R75" s="918">
        <f>'D-Bestand Strommenge'!S7</f>
        <v>1.0106083811612576</v>
      </c>
      <c r="S75" s="918">
        <f>'D-Bestand Strommenge'!T7</f>
        <v>0.74197769522039103</v>
      </c>
      <c r="T75" s="918">
        <f>'D-Bestand Strommenge'!U7</f>
        <v>0.43927686747089773</v>
      </c>
      <c r="U75" s="918">
        <f>'D-Bestand Strommenge'!V7</f>
        <v>0.15582886179697539</v>
      </c>
      <c r="V75" s="918">
        <f>'D-Bestand Strommenge'!W7</f>
        <v>0.12537230832477717</v>
      </c>
      <c r="W75" s="918">
        <f>'D-Bestand Strommenge'!X7</f>
        <v>0.10047524852672238</v>
      </c>
      <c r="X75" s="918">
        <f>'D-Bestand Strommenge'!Y7</f>
        <v>9.6752700738409095E-2</v>
      </c>
      <c r="Y75" s="918">
        <f>'D-Bestand Strommenge'!Z7</f>
        <v>9.3619703214801536E-2</v>
      </c>
      <c r="Z75" s="918">
        <f>'D-Bestand Strommenge'!AA7</f>
        <v>5.5079993384563354E-2</v>
      </c>
      <c r="AA75" s="918">
        <f>'D-Bestand Strommenge'!AB7</f>
        <v>4.8352437199624974E-2</v>
      </c>
      <c r="AB75" s="918">
        <f>'D-Bestand Strommenge'!AC7</f>
        <v>1.5104555416539968E-2</v>
      </c>
      <c r="AC75" s="918">
        <f>'D-Bestand Strommenge'!AD7</f>
        <v>1.2367230452041226E-2</v>
      </c>
      <c r="AD75" s="918">
        <f>'D-Bestand Strommenge'!AE7</f>
        <v>8.1202989778740627E-3</v>
      </c>
      <c r="AE75" s="919">
        <f>'D-Bestand Strommenge'!AF7</f>
        <v>0</v>
      </c>
      <c r="AF75" s="940"/>
      <c r="AG75" s="940" t="s">
        <v>464</v>
      </c>
      <c r="AH75" s="940"/>
      <c r="AI75" s="940"/>
      <c r="AJ75" s="345"/>
    </row>
    <row r="76" spans="1:36" ht="12.75" customHeight="1" outlineLevel="1">
      <c r="A76" s="561">
        <v>67</v>
      </c>
      <c r="B76" s="10"/>
      <c r="E76" s="16" t="s">
        <v>13</v>
      </c>
      <c r="F76" s="918">
        <f>'D-Bestand Strommenge'!G8</f>
        <v>0</v>
      </c>
      <c r="G76" s="918">
        <f>'D-Bestand Strommenge'!H8</f>
        <v>0</v>
      </c>
      <c r="H76" s="918">
        <f>'D-Bestand Strommenge'!I8</f>
        <v>0</v>
      </c>
      <c r="I76" s="918">
        <f>'D-Bestand Strommenge'!J8</f>
        <v>0</v>
      </c>
      <c r="J76" s="918">
        <f>'D-Bestand Strommenge'!K8</f>
        <v>38.108395000000002</v>
      </c>
      <c r="K76" s="918">
        <f>'D-Bestand Strommenge'!L8</f>
        <v>38.108395000000002</v>
      </c>
      <c r="L76" s="918">
        <f>'D-Bestand Strommenge'!M8</f>
        <v>38.108395000000002</v>
      </c>
      <c r="M76" s="1095">
        <f>'D-Bestand Strommenge'!N8</f>
        <v>38.108395000000002</v>
      </c>
      <c r="N76" s="919">
        <f>'D-Bestand Strommenge'!O8</f>
        <v>38.108395000000002</v>
      </c>
      <c r="O76" s="920">
        <f>'D-Bestand Strommenge'!P8</f>
        <v>38.108395000000002</v>
      </c>
      <c r="P76" s="918">
        <f>'D-Bestand Strommenge'!Q8</f>
        <v>38.108395000000002</v>
      </c>
      <c r="Q76" s="918">
        <f>'D-Bestand Strommenge'!R8</f>
        <v>37.122975634150002</v>
      </c>
      <c r="R76" s="918">
        <f>'D-Bestand Strommenge'!S8</f>
        <v>36.067925185149996</v>
      </c>
      <c r="S76" s="918">
        <f>'D-Bestand Strommenge'!T8</f>
        <v>35.281828643349996</v>
      </c>
      <c r="T76" s="918">
        <f>'D-Bestand Strommenge'!U8</f>
        <v>33.981702091599999</v>
      </c>
      <c r="U76" s="918">
        <f>'D-Bestand Strommenge'!V8</f>
        <v>30.77280041265</v>
      </c>
      <c r="V76" s="918">
        <f>'D-Bestand Strommenge'!W8</f>
        <v>26.873186120149999</v>
      </c>
      <c r="W76" s="918">
        <f>'D-Bestand Strommenge'!X8</f>
        <v>22.120134741999994</v>
      </c>
      <c r="X76" s="918">
        <f>'D-Bestand Strommenge'!Y8</f>
        <v>18.530174839999997</v>
      </c>
      <c r="Y76" s="918">
        <f>'D-Bestand Strommenge'!Z8</f>
        <v>16.527640617999996</v>
      </c>
      <c r="Z76" s="918">
        <f>'D-Bestand Strommenge'!AA8</f>
        <v>13.976199778</v>
      </c>
      <c r="AA76" s="918">
        <f>'D-Bestand Strommenge'!AB8</f>
        <v>10.405301360000001</v>
      </c>
      <c r="AB76" s="918">
        <f>'D-Bestand Strommenge'!AC8</f>
        <v>4.4854457537000005</v>
      </c>
      <c r="AC76" s="918">
        <f>'D-Bestand Strommenge'!AD8</f>
        <v>2.6141341102000002</v>
      </c>
      <c r="AD76" s="918">
        <f>'D-Bestand Strommenge'!AE8</f>
        <v>1.1772704446499997</v>
      </c>
      <c r="AE76" s="919">
        <f>'D-Bestand Strommenge'!AF8</f>
        <v>0</v>
      </c>
      <c r="AF76" s="940"/>
      <c r="AG76" s="940" t="s">
        <v>464</v>
      </c>
      <c r="AH76" s="940"/>
      <c r="AI76" s="940"/>
      <c r="AJ76" s="345"/>
    </row>
    <row r="77" spans="1:36" ht="12.75" customHeight="1" outlineLevel="1">
      <c r="A77" s="561">
        <v>68</v>
      </c>
      <c r="B77" s="10"/>
      <c r="E77" s="16" t="s">
        <v>12</v>
      </c>
      <c r="F77" s="918">
        <f>'D-Bestand Strommenge'!G9</f>
        <v>0</v>
      </c>
      <c r="G77" s="918">
        <f>'D-Bestand Strommenge'!H9</f>
        <v>0</v>
      </c>
      <c r="H77" s="918">
        <f>'D-Bestand Strommenge'!I9</f>
        <v>0</v>
      </c>
      <c r="I77" s="918">
        <f>'D-Bestand Strommenge'!J9</f>
        <v>0</v>
      </c>
      <c r="J77" s="918">
        <f>'D-Bestand Strommenge'!K9</f>
        <v>0.14134193593954347</v>
      </c>
      <c r="K77" s="918">
        <f>'D-Bestand Strommenge'!L9</f>
        <v>0.14968884020373421</v>
      </c>
      <c r="L77" s="918">
        <f>'D-Bestand Strommenge'!M9</f>
        <v>0.14968884020373421</v>
      </c>
      <c r="M77" s="1095">
        <f>'D-Bestand Strommenge'!N9</f>
        <v>0.14968884020373421</v>
      </c>
      <c r="N77" s="919">
        <f>'D-Bestand Strommenge'!O9</f>
        <v>0.14968884020373421</v>
      </c>
      <c r="O77" s="920">
        <f>'D-Bestand Strommenge'!P9</f>
        <v>0.14968884020373421</v>
      </c>
      <c r="P77" s="918">
        <f>'D-Bestand Strommenge'!Q9</f>
        <v>0.14968884020373421</v>
      </c>
      <c r="Q77" s="918">
        <f>'D-Bestand Strommenge'!R9</f>
        <v>0.14968884020373421</v>
      </c>
      <c r="R77" s="918">
        <f>'D-Bestand Strommenge'!S9</f>
        <v>0.14968884020373421</v>
      </c>
      <c r="S77" s="918">
        <f>'D-Bestand Strommenge'!T9</f>
        <v>0.14968884020373421</v>
      </c>
      <c r="T77" s="918">
        <f>'D-Bestand Strommenge'!U9</f>
        <v>0.14968884020373421</v>
      </c>
      <c r="U77" s="918">
        <f>'D-Bestand Strommenge'!V9</f>
        <v>0.14968884020373421</v>
      </c>
      <c r="V77" s="918">
        <f>'D-Bestand Strommenge'!W9</f>
        <v>0.14968884020373421</v>
      </c>
      <c r="W77" s="918">
        <f>'D-Bestand Strommenge'!X9</f>
        <v>0.14968884020373421</v>
      </c>
      <c r="X77" s="918">
        <f>'D-Bestand Strommenge'!Y9</f>
        <v>0.14968884020373421</v>
      </c>
      <c r="Y77" s="918">
        <f>'D-Bestand Strommenge'!Z9</f>
        <v>0.14968884020373421</v>
      </c>
      <c r="Z77" s="918">
        <f>'D-Bestand Strommenge'!AA9</f>
        <v>0.14027279747116281</v>
      </c>
      <c r="AA77" s="918">
        <f>'D-Bestand Strommenge'!AB9</f>
        <v>0.14027279747116281</v>
      </c>
      <c r="AB77" s="918">
        <f>'D-Bestand Strommenge'!AC9</f>
        <v>0.14027279747116281</v>
      </c>
      <c r="AC77" s="918">
        <f>'D-Bestand Strommenge'!AD9</f>
        <v>8.0174710482014119E-2</v>
      </c>
      <c r="AD77" s="918">
        <f>'D-Bestand Strommenge'!AE9</f>
        <v>1.6693808528381489E-2</v>
      </c>
      <c r="AE77" s="919">
        <f>'D-Bestand Strommenge'!AF9</f>
        <v>0</v>
      </c>
      <c r="AF77" s="940"/>
      <c r="AG77" s="940" t="s">
        <v>464</v>
      </c>
      <c r="AH77" s="940"/>
      <c r="AI77" s="940"/>
      <c r="AJ77" s="345"/>
    </row>
    <row r="78" spans="1:36" ht="12.75" customHeight="1" outlineLevel="1">
      <c r="A78" s="561">
        <v>69</v>
      </c>
      <c r="B78" s="10"/>
      <c r="E78" s="16" t="s">
        <v>24</v>
      </c>
      <c r="F78" s="918">
        <f>'D-Bestand Strommenge'!G10</f>
        <v>0</v>
      </c>
      <c r="G78" s="918">
        <f>'D-Bestand Strommenge'!H10</f>
        <v>0</v>
      </c>
      <c r="H78" s="918">
        <f>'D-Bestand Strommenge'!I10</f>
        <v>0</v>
      </c>
      <c r="I78" s="918">
        <f>'D-Bestand Strommenge'!J10</f>
        <v>0</v>
      </c>
      <c r="J78" s="918">
        <f>'D-Bestand Strommenge'!K10</f>
        <v>61.583939999999998</v>
      </c>
      <c r="K78" s="918">
        <f>'D-Bestand Strommenge'!L10</f>
        <v>61.401528238759994</v>
      </c>
      <c r="L78" s="918">
        <f>'D-Bestand Strommenge'!M10</f>
        <v>60.838400238759995</v>
      </c>
      <c r="M78" s="1095">
        <f>'D-Bestand Strommenge'!N10</f>
        <v>60.183600238759993</v>
      </c>
      <c r="N78" s="919">
        <f>'D-Bestand Strommenge'!O10</f>
        <v>59.365100238759993</v>
      </c>
      <c r="O78" s="920">
        <f>'D-Bestand Strommenge'!P10</f>
        <v>58.382900238759994</v>
      </c>
      <c r="P78" s="918">
        <f>'D-Bestand Strommenge'!Q10</f>
        <v>57.237000238760004</v>
      </c>
      <c r="Q78" s="918">
        <f>'D-Bestand Strommenge'!R10</f>
        <v>54.280916917689993</v>
      </c>
      <c r="R78" s="918">
        <f>'D-Bestand Strommenge'!S10</f>
        <v>50.035072907089997</v>
      </c>
      <c r="S78" s="918">
        <f>'D-Bestand Strommenge'!T10</f>
        <v>45.04189044876</v>
      </c>
      <c r="T78" s="918">
        <f>'D-Bestand Strommenge'!U10</f>
        <v>40.592740532759997</v>
      </c>
      <c r="U78" s="918">
        <f>'D-Bestand Strommenge'!V10</f>
        <v>37.230717405759997</v>
      </c>
      <c r="V78" s="918">
        <f>'D-Bestand Strommenge'!W10</f>
        <v>34.261128196259996</v>
      </c>
      <c r="W78" s="918">
        <f>'D-Bestand Strommenge'!X10</f>
        <v>30.610883390260007</v>
      </c>
      <c r="X78" s="918">
        <f>'D-Bestand Strommenge'!Y10</f>
        <v>27.850498360859998</v>
      </c>
      <c r="Y78" s="918">
        <f>'D-Bestand Strommenge'!Z10</f>
        <v>26.586956992859999</v>
      </c>
      <c r="Z78" s="918">
        <f>'D-Bestand Strommenge'!AA10</f>
        <v>22.168137543819999</v>
      </c>
      <c r="AA78" s="918">
        <f>'D-Bestand Strommenge'!AB10</f>
        <v>19.832695696769999</v>
      </c>
      <c r="AB78" s="918">
        <f>'D-Bestand Strommenge'!AC10</f>
        <v>16.760894237149998</v>
      </c>
      <c r="AC78" s="918">
        <f>'D-Bestand Strommenge'!AD10</f>
        <v>12.797513381539998</v>
      </c>
      <c r="AD78" s="918">
        <f>'D-Bestand Strommenge'!AE10</f>
        <v>7.8334225413099983</v>
      </c>
      <c r="AE78" s="919">
        <f>'D-Bestand Strommenge'!AF10</f>
        <v>0</v>
      </c>
      <c r="AF78" s="940"/>
      <c r="AG78" s="940" t="s">
        <v>464</v>
      </c>
      <c r="AH78" s="940"/>
      <c r="AI78" s="940"/>
      <c r="AJ78" s="345"/>
    </row>
    <row r="79" spans="1:36" ht="12.75" customHeight="1" outlineLevel="1">
      <c r="A79" s="561">
        <v>70</v>
      </c>
      <c r="B79" s="10"/>
      <c r="E79" s="16" t="s">
        <v>26</v>
      </c>
      <c r="F79" s="918">
        <f>'D-Bestand Strommenge'!G11</f>
        <v>0</v>
      </c>
      <c r="G79" s="918">
        <f>'D-Bestand Strommenge'!H11</f>
        <v>0</v>
      </c>
      <c r="H79" s="918">
        <f>'D-Bestand Strommenge'!I11</f>
        <v>0</v>
      </c>
      <c r="I79" s="918">
        <f>'D-Bestand Strommenge'!J11</f>
        <v>0</v>
      </c>
      <c r="J79" s="918">
        <f>'D-Bestand Strommenge'!K11</f>
        <v>3.4412280000000002</v>
      </c>
      <c r="K79" s="918">
        <f>'D-Bestand Strommenge'!L11</f>
        <v>3.4412280000000002</v>
      </c>
      <c r="L79" s="918">
        <f>'D-Bestand Strommenge'!M11</f>
        <v>3.4412280000000002</v>
      </c>
      <c r="M79" s="1095">
        <f>'D-Bestand Strommenge'!N11</f>
        <v>3.4412280000000002</v>
      </c>
      <c r="N79" s="919">
        <f>'D-Bestand Strommenge'!O11</f>
        <v>3.4412280000000002</v>
      </c>
      <c r="O79" s="920">
        <f>'D-Bestand Strommenge'!P11</f>
        <v>3.4412280000000002</v>
      </c>
      <c r="P79" s="918">
        <f>'D-Bestand Strommenge'!Q11</f>
        <v>3.4412280000000002</v>
      </c>
      <c r="Q79" s="918">
        <f>'D-Bestand Strommenge'!R11</f>
        <v>3.4412280000000002</v>
      </c>
      <c r="R79" s="918">
        <f>'D-Bestand Strommenge'!S11</f>
        <v>3.4412280000000002</v>
      </c>
      <c r="S79" s="918">
        <f>'D-Bestand Strommenge'!T11</f>
        <v>3.4412280000000002</v>
      </c>
      <c r="T79" s="918">
        <f>'D-Bestand Strommenge'!U11</f>
        <v>3.4412280000000002</v>
      </c>
      <c r="U79" s="918">
        <f>'D-Bestand Strommenge'!V11</f>
        <v>3.4412280000000002</v>
      </c>
      <c r="V79" s="918">
        <f>'D-Bestand Strommenge'!W11</f>
        <v>3.4412280000000002</v>
      </c>
      <c r="W79" s="918">
        <f>'D-Bestand Strommenge'!X11</f>
        <v>3.4412280000000002</v>
      </c>
      <c r="X79" s="918">
        <f>'D-Bestand Strommenge'!Y11</f>
        <v>3.4412280000000002</v>
      </c>
      <c r="Y79" s="918">
        <f>'D-Bestand Strommenge'!Z11</f>
        <v>3.4412280000000002</v>
      </c>
      <c r="Z79" s="918">
        <f>'D-Bestand Strommenge'!AA11</f>
        <v>3.3311363999999997</v>
      </c>
      <c r="AA79" s="918">
        <f>'D-Bestand Strommenge'!AB11</f>
        <v>3.1753463999999996</v>
      </c>
      <c r="AB79" s="918">
        <f>'D-Bestand Strommenge'!AC11</f>
        <v>2.8004118</v>
      </c>
      <c r="AC79" s="918">
        <f>'D-Bestand Strommenge'!AD11</f>
        <v>2.5234517999999997</v>
      </c>
      <c r="AD79" s="918">
        <f>'D-Bestand Strommenge'!AE11</f>
        <v>1.6925717999999998</v>
      </c>
      <c r="AE79" s="919">
        <f>'D-Bestand Strommenge'!AF11</f>
        <v>0</v>
      </c>
      <c r="AF79" s="940"/>
      <c r="AG79" s="940" t="s">
        <v>464</v>
      </c>
      <c r="AH79" s="940"/>
      <c r="AI79" s="940"/>
      <c r="AJ79" s="345"/>
    </row>
    <row r="80" spans="1:36" ht="12.75" customHeight="1" outlineLevel="1">
      <c r="A80" s="561">
        <v>71</v>
      </c>
      <c r="B80" s="10"/>
      <c r="E80" s="303" t="s">
        <v>74</v>
      </c>
      <c r="F80" s="923">
        <f>'D-Bestand Strommenge'!G12</f>
        <v>0</v>
      </c>
      <c r="G80" s="923">
        <f>'D-Bestand Strommenge'!H12</f>
        <v>0</v>
      </c>
      <c r="H80" s="923">
        <f>'D-Bestand Strommenge'!I12</f>
        <v>0</v>
      </c>
      <c r="I80" s="923">
        <f>'D-Bestand Strommenge'!J12</f>
        <v>0</v>
      </c>
      <c r="J80" s="923">
        <f>'D-Bestand Strommenge'!K12</f>
        <v>36.384</v>
      </c>
      <c r="K80" s="923">
        <f>'D-Bestand Strommenge'!L12</f>
        <v>36.384</v>
      </c>
      <c r="L80" s="923">
        <f>'D-Bestand Strommenge'!M12</f>
        <v>36.384</v>
      </c>
      <c r="M80" s="1096">
        <f>'D-Bestand Strommenge'!N12</f>
        <v>36.384</v>
      </c>
      <c r="N80" s="924">
        <f>'D-Bestand Strommenge'!O12</f>
        <v>36.384</v>
      </c>
      <c r="O80" s="925">
        <f>'D-Bestand Strommenge'!P12</f>
        <v>36.384</v>
      </c>
      <c r="P80" s="923">
        <f>'D-Bestand Strommenge'!Q12</f>
        <v>36.384</v>
      </c>
      <c r="Q80" s="923">
        <f>'D-Bestand Strommenge'!R12</f>
        <v>36.264986405760055</v>
      </c>
      <c r="R80" s="923">
        <f>'D-Bestand Strommenge'!S12</f>
        <v>36.160693263360059</v>
      </c>
      <c r="S80" s="923">
        <f>'D-Bestand Strommenge'!T12</f>
        <v>36.054880575360059</v>
      </c>
      <c r="T80" s="923">
        <f>'D-Bestand Strommenge'!U12</f>
        <v>35.918131887360062</v>
      </c>
      <c r="U80" s="923">
        <f>'D-Bestand Strommenge'!V12</f>
        <v>35.28834375936006</v>
      </c>
      <c r="V80" s="923">
        <f>'D-Bestand Strommenge'!W12</f>
        <v>34.400725781760059</v>
      </c>
      <c r="W80" s="923">
        <f>'D-Bestand Strommenge'!X12</f>
        <v>33.589914629760059</v>
      </c>
      <c r="X80" s="923">
        <f>'D-Bestand Strommenge'!Y12</f>
        <v>32.386313548800054</v>
      </c>
      <c r="Y80" s="923">
        <f>'D-Bestand Strommenge'!Z12</f>
        <v>30.485952163200057</v>
      </c>
      <c r="Z80" s="923">
        <f>'D-Bestand Strommenge'!AA12</f>
        <v>26.225030716800042</v>
      </c>
      <c r="AA80" s="923">
        <f>'D-Bestand Strommenge'!AB12</f>
        <v>18.934909430400008</v>
      </c>
      <c r="AB80" s="923">
        <f>'D-Bestand Strommenge'!AC12</f>
        <v>11.254534972800007</v>
      </c>
      <c r="AC80" s="923">
        <f>'D-Bestand Strommenge'!AD12</f>
        <v>4.6859328479999851</v>
      </c>
      <c r="AD80" s="923">
        <f>'D-Bestand Strommenge'!AE12</f>
        <v>1.6757369183999977</v>
      </c>
      <c r="AE80" s="924">
        <f>'D-Bestand Strommenge'!AF12</f>
        <v>0</v>
      </c>
      <c r="AF80" s="940"/>
      <c r="AG80" s="940" t="s">
        <v>464</v>
      </c>
      <c r="AH80" s="940"/>
      <c r="AI80" s="940"/>
      <c r="AJ80" s="345"/>
    </row>
    <row r="81" spans="1:36" ht="12.75" customHeight="1" outlineLevel="1">
      <c r="A81" s="561">
        <v>72</v>
      </c>
      <c r="B81" s="10"/>
      <c r="E81" s="10"/>
      <c r="AF81" s="940"/>
      <c r="AG81" s="940" t="s">
        <v>464</v>
      </c>
      <c r="AH81" s="940"/>
      <c r="AI81" s="940"/>
      <c r="AJ81" s="345"/>
    </row>
    <row r="82" spans="1:36" ht="12.75" customHeight="1" outlineLevel="1">
      <c r="A82" s="561">
        <v>73</v>
      </c>
      <c r="B82" s="10"/>
      <c r="E82" s="322" t="s">
        <v>412</v>
      </c>
      <c r="N82" s="349"/>
      <c r="O82" s="296"/>
      <c r="AF82" s="940"/>
      <c r="AG82" s="940" t="s">
        <v>464</v>
      </c>
      <c r="AH82" s="940"/>
      <c r="AI82" s="940"/>
      <c r="AJ82" s="345"/>
    </row>
    <row r="83" spans="1:36" ht="12.75" customHeight="1" outlineLevel="1">
      <c r="A83" s="561">
        <v>74</v>
      </c>
      <c r="B83" s="10"/>
      <c r="E83" s="321" t="s">
        <v>25</v>
      </c>
      <c r="F83" s="915">
        <f>'D-Bestand Zahlungen'!G6</f>
        <v>0</v>
      </c>
      <c r="G83" s="915">
        <f>'D-Bestand Zahlungen'!H6</f>
        <v>0</v>
      </c>
      <c r="H83" s="915">
        <f>'D-Bestand Zahlungen'!I6</f>
        <v>0</v>
      </c>
      <c r="I83" s="915">
        <f>'D-Bestand Zahlungen'!J6</f>
        <v>0</v>
      </c>
      <c r="J83" s="915">
        <f>'D-Bestand Zahlungen'!K6</f>
        <v>0.59286870539361292</v>
      </c>
      <c r="K83" s="915">
        <f>'D-Bestand Zahlungen'!L6</f>
        <v>0.59589834152286625</v>
      </c>
      <c r="L83" s="915">
        <f>'D-Bestand Zahlungen'!M6</f>
        <v>0.59589834152286625</v>
      </c>
      <c r="M83" s="915">
        <f>'D-Bestand Zahlungen'!N6</f>
        <v>0.59589834152286625</v>
      </c>
      <c r="N83" s="916">
        <f>'D-Bestand Zahlungen'!O6</f>
        <v>0.59589834152286625</v>
      </c>
      <c r="O83" s="917">
        <f>'D-Bestand Zahlungen'!P6</f>
        <v>0.59589834152286625</v>
      </c>
      <c r="P83" s="915">
        <f>'D-Bestand Zahlungen'!Q6</f>
        <v>0.59589834152286625</v>
      </c>
      <c r="Q83" s="915">
        <f>'D-Bestand Zahlungen'!R6</f>
        <v>0.59589834152286625</v>
      </c>
      <c r="R83" s="915">
        <f>'D-Bestand Zahlungen'!S6</f>
        <v>0.59589834152286625</v>
      </c>
      <c r="S83" s="915">
        <f>'D-Bestand Zahlungen'!T6</f>
        <v>0.59589834152286625</v>
      </c>
      <c r="T83" s="915">
        <f>'D-Bestand Zahlungen'!U6</f>
        <v>0.59589834152286625</v>
      </c>
      <c r="U83" s="915">
        <f>'D-Bestand Zahlungen'!V6</f>
        <v>0.59589834152286625</v>
      </c>
      <c r="V83" s="915">
        <f>'D-Bestand Zahlungen'!W6</f>
        <v>0.59589834152286625</v>
      </c>
      <c r="W83" s="915">
        <f>'D-Bestand Zahlungen'!X6</f>
        <v>0.59589834152286625</v>
      </c>
      <c r="X83" s="915">
        <f>'D-Bestand Zahlungen'!Y6</f>
        <v>0.59589834152286625</v>
      </c>
      <c r="Y83" s="915">
        <f>'D-Bestand Zahlungen'!Z6</f>
        <v>0.59589834152286625</v>
      </c>
      <c r="Z83" s="915">
        <f>'D-Bestand Zahlungen'!AA6</f>
        <v>0.54195695216777517</v>
      </c>
      <c r="AA83" s="915">
        <f>'D-Bestand Zahlungen'!AB6</f>
        <v>0.50533948832503828</v>
      </c>
      <c r="AB83" s="915">
        <f>'D-Bestand Zahlungen'!AC6</f>
        <v>0.47262537548595118</v>
      </c>
      <c r="AC83" s="915">
        <f>'D-Bestand Zahlungen'!AD6</f>
        <v>0.45094447604902621</v>
      </c>
      <c r="AD83" s="915">
        <f>'D-Bestand Zahlungen'!AE6</f>
        <v>0.40388984807890255</v>
      </c>
      <c r="AE83" s="916">
        <f>'D-Bestand Zahlungen'!AF6</f>
        <v>0.39783057582039583</v>
      </c>
      <c r="AF83" s="940"/>
      <c r="AG83" s="940" t="s">
        <v>464</v>
      </c>
      <c r="AH83" s="557"/>
      <c r="AI83" s="939"/>
      <c r="AJ83" s="345"/>
    </row>
    <row r="84" spans="1:36" ht="12.75" customHeight="1" outlineLevel="1">
      <c r="A84" s="561">
        <v>75</v>
      </c>
      <c r="B84" s="10"/>
      <c r="E84" s="16" t="s">
        <v>50</v>
      </c>
      <c r="F84" s="918">
        <f>'D-Bestand Zahlungen'!G7</f>
        <v>0</v>
      </c>
      <c r="G84" s="918">
        <f>'D-Bestand Zahlungen'!H7</f>
        <v>0</v>
      </c>
      <c r="H84" s="918">
        <f>'D-Bestand Zahlungen'!I7</f>
        <v>0</v>
      </c>
      <c r="I84" s="918">
        <f>'D-Bestand Zahlungen'!J7</f>
        <v>0</v>
      </c>
      <c r="J84" s="918">
        <f>'D-Bestand Zahlungen'!K7</f>
        <v>0.10088070045763399</v>
      </c>
      <c r="K84" s="918">
        <f>'D-Bestand Zahlungen'!L7</f>
        <v>0.10116121574165485</v>
      </c>
      <c r="L84" s="918">
        <f>'D-Bestand Zahlungen'!M7</f>
        <v>0.10116121574165485</v>
      </c>
      <c r="M84" s="918">
        <f>'D-Bestand Zahlungen'!N7</f>
        <v>0.10116121574165485</v>
      </c>
      <c r="N84" s="919">
        <f>'D-Bestand Zahlungen'!O7</f>
        <v>0.10116121574165485</v>
      </c>
      <c r="O84" s="920">
        <f>'D-Bestand Zahlungen'!P7</f>
        <v>0.10116121574165485</v>
      </c>
      <c r="P84" s="918">
        <f>'D-Bestand Zahlungen'!Q7</f>
        <v>0.10116121574165485</v>
      </c>
      <c r="Q84" s="918">
        <f>'D-Bestand Zahlungen'!R7</f>
        <v>7.9133545585612253E-2</v>
      </c>
      <c r="R84" s="918">
        <f>'D-Bestand Zahlungen'!S7</f>
        <v>7.1727150881228011E-2</v>
      </c>
      <c r="S84" s="918">
        <f>'D-Bestand Zahlungen'!T7</f>
        <v>5.2864086060311559E-2</v>
      </c>
      <c r="T84" s="918">
        <f>'D-Bestand Zahlungen'!U7</f>
        <v>3.1357929537542545E-2</v>
      </c>
      <c r="U84" s="918">
        <f>'D-Bestand Zahlungen'!V7</f>
        <v>1.1322285335139877E-2</v>
      </c>
      <c r="V84" s="918">
        <f>'D-Bestand Zahlungen'!W7</f>
        <v>9.0650761329917826E-3</v>
      </c>
      <c r="W84" s="918">
        <f>'D-Bestand Zahlungen'!X7</f>
        <v>7.244575089586645E-3</v>
      </c>
      <c r="X84" s="918">
        <f>'D-Bestand Zahlungen'!Y7</f>
        <v>6.9699990613540114E-3</v>
      </c>
      <c r="Y84" s="918">
        <f>'D-Bestand Zahlungen'!Z7</f>
        <v>6.741430146899088E-3</v>
      </c>
      <c r="Z84" s="918">
        <f>'D-Bestand Zahlungen'!AA7</f>
        <v>3.8404013457238352E-3</v>
      </c>
      <c r="AA84" s="918">
        <f>'D-Bestand Zahlungen'!AB7</f>
        <v>3.1931576106920341E-3</v>
      </c>
      <c r="AB84" s="918">
        <f>'D-Bestand Zahlungen'!AC7</f>
        <v>1.0846120363654757E-3</v>
      </c>
      <c r="AC84" s="918">
        <f>'D-Bestand Zahlungen'!AD7</f>
        <v>8.5736373947492236E-4</v>
      </c>
      <c r="AD84" s="918">
        <f>'D-Bestand Zahlungen'!AE7</f>
        <v>5.6103056804173075E-4</v>
      </c>
      <c r="AE84" s="919">
        <f>'D-Bestand Zahlungen'!AF7</f>
        <v>0</v>
      </c>
      <c r="AF84" s="940"/>
      <c r="AG84" s="940" t="s">
        <v>464</v>
      </c>
      <c r="AH84" s="940"/>
      <c r="AI84" s="940"/>
      <c r="AJ84" s="345"/>
    </row>
    <row r="85" spans="1:36" ht="12.75" customHeight="1" outlineLevel="1">
      <c r="A85" s="561">
        <v>76</v>
      </c>
      <c r="B85" s="10"/>
      <c r="E85" s="16" t="s">
        <v>13</v>
      </c>
      <c r="F85" s="918">
        <f>'D-Bestand Zahlungen'!G8</f>
        <v>0</v>
      </c>
      <c r="G85" s="918">
        <f>'D-Bestand Zahlungen'!H8</f>
        <v>0</v>
      </c>
      <c r="H85" s="918">
        <f>'D-Bestand Zahlungen'!I8</f>
        <v>0</v>
      </c>
      <c r="I85" s="918">
        <f>'D-Bestand Zahlungen'!J8</f>
        <v>0</v>
      </c>
      <c r="J85" s="918">
        <f>'D-Bestand Zahlungen'!K8</f>
        <v>7.2799949454380881</v>
      </c>
      <c r="K85" s="918">
        <f>'D-Bestand Zahlungen'!L8</f>
        <v>7.2822097617115737</v>
      </c>
      <c r="L85" s="918">
        <f>'D-Bestand Zahlungen'!M8</f>
        <v>7.2822097617115737</v>
      </c>
      <c r="M85" s="918">
        <f>'D-Bestand Zahlungen'!N8</f>
        <v>7.2822097617115737</v>
      </c>
      <c r="N85" s="919">
        <f>'D-Bestand Zahlungen'!O8</f>
        <v>7.2822097617115737</v>
      </c>
      <c r="O85" s="920">
        <f>'D-Bestand Zahlungen'!P8</f>
        <v>7.2822097617115737</v>
      </c>
      <c r="P85" s="918">
        <f>'D-Bestand Zahlungen'!Q8</f>
        <v>7.2822097617115737</v>
      </c>
      <c r="Q85" s="918">
        <f>'D-Bestand Zahlungen'!R8</f>
        <v>7.1835599193497597</v>
      </c>
      <c r="R85" s="918">
        <f>'D-Bestand Zahlungen'!S8</f>
        <v>7.0063821479103723</v>
      </c>
      <c r="S85" s="918">
        <f>'D-Bestand Zahlungen'!T8</f>
        <v>6.8884682715222976</v>
      </c>
      <c r="T85" s="918">
        <f>'D-Bestand Zahlungen'!U8</f>
        <v>6.7127656435478675</v>
      </c>
      <c r="U85" s="918">
        <f>'D-Bestand Zahlungen'!V8</f>
        <v>6.2423181166542427</v>
      </c>
      <c r="V85" s="918">
        <f>'D-Bestand Zahlungen'!W8</f>
        <v>5.4761455165830508</v>
      </c>
      <c r="W85" s="918">
        <f>'D-Bestand Zahlungen'!X8</f>
        <v>4.5511637155272862</v>
      </c>
      <c r="X85" s="918">
        <f>'D-Bestand Zahlungen'!Y8</f>
        <v>3.8293232180234993</v>
      </c>
      <c r="Y85" s="918">
        <f>'D-Bestand Zahlungen'!Z8</f>
        <v>3.4436416618349535</v>
      </c>
      <c r="Z85" s="918">
        <f>'D-Bestand Zahlungen'!AA8</f>
        <v>2.9305329049374462</v>
      </c>
      <c r="AA85" s="918">
        <f>'D-Bestand Zahlungen'!AB8</f>
        <v>2.1644259699180277</v>
      </c>
      <c r="AB85" s="918">
        <f>'D-Bestand Zahlungen'!AC8</f>
        <v>0.89513810954450024</v>
      </c>
      <c r="AC85" s="918">
        <f>'D-Bestand Zahlungen'!AD8</f>
        <v>0.51884364039180542</v>
      </c>
      <c r="AD85" s="918">
        <f>'D-Bestand Zahlungen'!AE8</f>
        <v>0.23001388790139352</v>
      </c>
      <c r="AE85" s="919">
        <f>'D-Bestand Zahlungen'!AF8</f>
        <v>0</v>
      </c>
      <c r="AF85" s="940"/>
      <c r="AG85" s="940" t="s">
        <v>464</v>
      </c>
      <c r="AH85" s="940"/>
      <c r="AI85" s="940"/>
      <c r="AJ85" s="345"/>
    </row>
    <row r="86" spans="1:36" ht="12.75" customHeight="1" outlineLevel="1">
      <c r="A86" s="561">
        <v>77</v>
      </c>
      <c r="B86" s="10"/>
      <c r="E86" s="16" t="s">
        <v>12</v>
      </c>
      <c r="F86" s="918">
        <f>'D-Bestand Zahlungen'!G9</f>
        <v>0</v>
      </c>
      <c r="G86" s="918">
        <f>'D-Bestand Zahlungen'!H9</f>
        <v>0</v>
      </c>
      <c r="H86" s="918">
        <f>'D-Bestand Zahlungen'!I9</f>
        <v>0</v>
      </c>
      <c r="I86" s="918">
        <f>'D-Bestand Zahlungen'!J9</f>
        <v>0</v>
      </c>
      <c r="J86" s="918">
        <f>'D-Bestand Zahlungen'!K9</f>
        <v>3.5347562923361824E-2</v>
      </c>
      <c r="K86" s="918">
        <f>'D-Bestand Zahlungen'!L9</f>
        <v>3.7412390998028656E-2</v>
      </c>
      <c r="L86" s="918">
        <f>'D-Bestand Zahlungen'!M9</f>
        <v>3.7412390998028656E-2</v>
      </c>
      <c r="M86" s="918">
        <f>'D-Bestand Zahlungen'!N9</f>
        <v>3.7412390998028656E-2</v>
      </c>
      <c r="N86" s="919">
        <f>'D-Bestand Zahlungen'!O9</f>
        <v>3.7412390998028656E-2</v>
      </c>
      <c r="O86" s="920">
        <f>'D-Bestand Zahlungen'!P9</f>
        <v>3.7412390998028656E-2</v>
      </c>
      <c r="P86" s="918">
        <f>'D-Bestand Zahlungen'!Q9</f>
        <v>3.7412390998028656E-2</v>
      </c>
      <c r="Q86" s="918">
        <f>'D-Bestand Zahlungen'!R9</f>
        <v>3.7412390998028656E-2</v>
      </c>
      <c r="R86" s="918">
        <f>'D-Bestand Zahlungen'!S9</f>
        <v>3.7412390998028656E-2</v>
      </c>
      <c r="S86" s="918">
        <f>'D-Bestand Zahlungen'!T9</f>
        <v>3.7412390998028656E-2</v>
      </c>
      <c r="T86" s="918">
        <f>'D-Bestand Zahlungen'!U9</f>
        <v>3.7412390998028656E-2</v>
      </c>
      <c r="U86" s="918">
        <f>'D-Bestand Zahlungen'!V9</f>
        <v>3.7412390998028656E-2</v>
      </c>
      <c r="V86" s="918">
        <f>'D-Bestand Zahlungen'!W9</f>
        <v>3.7412390998028656E-2</v>
      </c>
      <c r="W86" s="918">
        <f>'D-Bestand Zahlungen'!X9</f>
        <v>3.7412390998028656E-2</v>
      </c>
      <c r="X86" s="918">
        <f>'D-Bestand Zahlungen'!Y9</f>
        <v>3.7412390998028656E-2</v>
      </c>
      <c r="Y86" s="918">
        <f>'D-Bestand Zahlungen'!Z9</f>
        <v>3.7412390998028656E-2</v>
      </c>
      <c r="Z86" s="918">
        <f>'D-Bestand Zahlungen'!AA9</f>
        <v>3.5255721675931898E-2</v>
      </c>
      <c r="AA86" s="918">
        <f>'D-Bestand Zahlungen'!AB9</f>
        <v>3.5255721675931898E-2</v>
      </c>
      <c r="AB86" s="918">
        <f>'D-Bestand Zahlungen'!AC9</f>
        <v>3.5255721675931898E-2</v>
      </c>
      <c r="AC86" s="918">
        <f>'D-Bestand Zahlungen'!AD9</f>
        <v>2.0118844946834122E-2</v>
      </c>
      <c r="AD86" s="918">
        <f>'D-Bestand Zahlungen'!AE9</f>
        <v>4.1296561493336659E-3</v>
      </c>
      <c r="AE86" s="919">
        <f>'D-Bestand Zahlungen'!AF9</f>
        <v>0</v>
      </c>
      <c r="AF86" s="940"/>
      <c r="AG86" s="940" t="s">
        <v>464</v>
      </c>
      <c r="AH86" s="940"/>
      <c r="AI86" s="940"/>
      <c r="AJ86" s="345"/>
    </row>
    <row r="87" spans="1:36" ht="12.75" customHeight="1" outlineLevel="1">
      <c r="A87" s="561">
        <v>78</v>
      </c>
      <c r="B87" s="10"/>
      <c r="E87" s="16" t="s">
        <v>24</v>
      </c>
      <c r="F87" s="918">
        <f>'D-Bestand Zahlungen'!G10</f>
        <v>0</v>
      </c>
      <c r="G87" s="918">
        <f>'D-Bestand Zahlungen'!H10</f>
        <v>0</v>
      </c>
      <c r="H87" s="918">
        <f>'D-Bestand Zahlungen'!I10</f>
        <v>0</v>
      </c>
      <c r="I87" s="918">
        <f>'D-Bestand Zahlungen'!J10</f>
        <v>0</v>
      </c>
      <c r="J87" s="918">
        <f>'D-Bestand Zahlungen'!K10</f>
        <v>5.913608732102106</v>
      </c>
      <c r="K87" s="918">
        <f>'D-Bestand Zahlungen'!L10</f>
        <v>5.9080181485994006</v>
      </c>
      <c r="L87" s="918">
        <f>'D-Bestand Zahlungen'!M10</f>
        <v>5.8559783800617975</v>
      </c>
      <c r="M87" s="918">
        <f>'D-Bestand Zahlungen'!N10</f>
        <v>5.7958207532086137</v>
      </c>
      <c r="N87" s="919">
        <f>'D-Bestand Zahlungen'!O10</f>
        <v>5.7206040650143537</v>
      </c>
      <c r="O87" s="920">
        <f>'D-Bestand Zahlungen'!P10</f>
        <v>5.5391983038891324</v>
      </c>
      <c r="P87" s="918">
        <f>'D-Bestand Zahlungen'!Q10</f>
        <v>5.3450702699699582</v>
      </c>
      <c r="Q87" s="918">
        <f>'D-Bestand Zahlungen'!R10</f>
        <v>5.0040482709215501</v>
      </c>
      <c r="R87" s="918">
        <f>'D-Bestand Zahlungen'!S10</f>
        <v>4.5933769461465612</v>
      </c>
      <c r="S87" s="918">
        <f>'D-Bestand Zahlungen'!T10</f>
        <v>4.1397134228611003</v>
      </c>
      <c r="T87" s="918">
        <f>'D-Bestand Zahlungen'!U10</f>
        <v>3.7472829262103087</v>
      </c>
      <c r="U87" s="918">
        <f>'D-Bestand Zahlungen'!V10</f>
        <v>3.4352475905939217</v>
      </c>
      <c r="V87" s="918">
        <f>'D-Bestand Zahlungen'!W10</f>
        <v>3.1723216082086347</v>
      </c>
      <c r="W87" s="918">
        <f>'D-Bestand Zahlungen'!X10</f>
        <v>2.9186027412083968</v>
      </c>
      <c r="X87" s="918">
        <f>'D-Bestand Zahlungen'!Y10</f>
        <v>2.5442182293103834</v>
      </c>
      <c r="Y87" s="918">
        <f>'D-Bestand Zahlungen'!Z10</f>
        <v>2.3488502345062381</v>
      </c>
      <c r="Z87" s="918">
        <f>'D-Bestand Zahlungen'!AA10</f>
        <v>1.9616616738554147</v>
      </c>
      <c r="AA87" s="918">
        <f>'D-Bestand Zahlungen'!AB10</f>
        <v>1.6397653312195617</v>
      </c>
      <c r="AB87" s="918">
        <f>'D-Bestand Zahlungen'!AC10</f>
        <v>1.212221907437363</v>
      </c>
      <c r="AC87" s="918">
        <f>'D-Bestand Zahlungen'!AD10</f>
        <v>0.62948449664969264</v>
      </c>
      <c r="AD87" s="918">
        <f>'D-Bestand Zahlungen'!AE10</f>
        <v>0.38775441579484493</v>
      </c>
      <c r="AE87" s="919">
        <f>'D-Bestand Zahlungen'!AF10</f>
        <v>0</v>
      </c>
      <c r="AF87" s="940"/>
      <c r="AG87" s="940" t="s">
        <v>464</v>
      </c>
      <c r="AH87" s="940"/>
      <c r="AI87" s="940"/>
      <c r="AJ87" s="345"/>
    </row>
    <row r="88" spans="1:36" ht="12.75" customHeight="1" outlineLevel="1">
      <c r="A88" s="561">
        <v>79</v>
      </c>
      <c r="B88" s="10"/>
      <c r="E88" s="16" t="s">
        <v>26</v>
      </c>
      <c r="F88" s="918">
        <f>'D-Bestand Zahlungen'!G11</f>
        <v>0</v>
      </c>
      <c r="G88" s="918">
        <f>'D-Bestand Zahlungen'!H11</f>
        <v>0</v>
      </c>
      <c r="H88" s="918">
        <f>'D-Bestand Zahlungen'!I11</f>
        <v>0</v>
      </c>
      <c r="I88" s="918">
        <f>'D-Bestand Zahlungen'!J11</f>
        <v>0</v>
      </c>
      <c r="J88" s="918">
        <f>'D-Bestand Zahlungen'!K11</f>
        <v>0.60716545563098923</v>
      </c>
      <c r="K88" s="918">
        <f>'D-Bestand Zahlungen'!L11</f>
        <v>0.60356357547678685</v>
      </c>
      <c r="L88" s="918">
        <f>'D-Bestand Zahlungen'!M11</f>
        <v>0.60356357547678685</v>
      </c>
      <c r="M88" s="918">
        <f>'D-Bestand Zahlungen'!N11</f>
        <v>0.60356357547678685</v>
      </c>
      <c r="N88" s="919">
        <f>'D-Bestand Zahlungen'!O11</f>
        <v>0.60356357547678685</v>
      </c>
      <c r="O88" s="920">
        <f>'D-Bestand Zahlungen'!P11</f>
        <v>0.60356357547678685</v>
      </c>
      <c r="P88" s="918">
        <f>'D-Bestand Zahlungen'!Q11</f>
        <v>0.60356357547678685</v>
      </c>
      <c r="Q88" s="918">
        <f>'D-Bestand Zahlungen'!R11</f>
        <v>0.59254805064153393</v>
      </c>
      <c r="R88" s="918">
        <f>'D-Bestand Zahlungen'!S11</f>
        <v>0.56103308229646875</v>
      </c>
      <c r="S88" s="918">
        <f>'D-Bestand Zahlungen'!T11</f>
        <v>0.49277975552190662</v>
      </c>
      <c r="T88" s="918">
        <f>'D-Bestand Zahlungen'!U11</f>
        <v>0.46000856913702937</v>
      </c>
      <c r="U88" s="918">
        <f>'D-Bestand Zahlungen'!V11</f>
        <v>0.35126853272283842</v>
      </c>
      <c r="V88" s="918">
        <f>'D-Bestand Zahlungen'!W11</f>
        <v>0.15540393694483204</v>
      </c>
      <c r="W88" s="918">
        <f>'D-Bestand Zahlungen'!X11</f>
        <v>0.10890415353008552</v>
      </c>
      <c r="X88" s="918">
        <f>'D-Bestand Zahlungen'!Y11</f>
        <v>0.10880177353992368</v>
      </c>
      <c r="Y88" s="918">
        <f>'D-Bestand Zahlungen'!Z11</f>
        <v>0.10865322218164962</v>
      </c>
      <c r="Z88" s="918">
        <f>'D-Bestand Zahlungen'!AA11</f>
        <v>0.1045481204783134</v>
      </c>
      <c r="AA88" s="918">
        <f>'D-Bestand Zahlungen'!AB11</f>
        <v>9.8851901663614142E-2</v>
      </c>
      <c r="AB88" s="918">
        <f>'D-Bestand Zahlungen'!AC11</f>
        <v>8.5362751275515861E-2</v>
      </c>
      <c r="AC88" s="918">
        <f>'D-Bestand Zahlungen'!AD11</f>
        <v>7.5324521014464643E-2</v>
      </c>
      <c r="AD88" s="918">
        <f>'D-Bestand Zahlungen'!AE11</f>
        <v>4.6121585919529411E-2</v>
      </c>
      <c r="AE88" s="919">
        <f>'D-Bestand Zahlungen'!AF11</f>
        <v>0</v>
      </c>
      <c r="AF88" s="940"/>
      <c r="AG88" s="940" t="s">
        <v>464</v>
      </c>
      <c r="AH88" s="940"/>
      <c r="AI88" s="940"/>
      <c r="AJ88" s="345"/>
    </row>
    <row r="89" spans="1:36" ht="12.75" customHeight="1" outlineLevel="1">
      <c r="A89" s="561">
        <v>80</v>
      </c>
      <c r="B89" s="10"/>
      <c r="E89" s="303" t="s">
        <v>74</v>
      </c>
      <c r="F89" s="923">
        <f>'D-Bestand Zahlungen'!G12</f>
        <v>0</v>
      </c>
      <c r="G89" s="923">
        <f>'D-Bestand Zahlungen'!H12</f>
        <v>0</v>
      </c>
      <c r="H89" s="923">
        <f>'D-Bestand Zahlungen'!I12</f>
        <v>0</v>
      </c>
      <c r="I89" s="923">
        <f>'D-Bestand Zahlungen'!J12</f>
        <v>0</v>
      </c>
      <c r="J89" s="923">
        <f>'D-Bestand Zahlungen'!K12</f>
        <v>11.066647591016324</v>
      </c>
      <c r="K89" s="923">
        <f>'D-Bestand Zahlungen'!L12</f>
        <v>10.908026153270542</v>
      </c>
      <c r="L89" s="923">
        <f>'D-Bestand Zahlungen'!M12</f>
        <v>10.908026153270542</v>
      </c>
      <c r="M89" s="923">
        <f>'D-Bestand Zahlungen'!N12</f>
        <v>10.908026153270542</v>
      </c>
      <c r="N89" s="924">
        <f>'D-Bestand Zahlungen'!O12</f>
        <v>10.908026153270542</v>
      </c>
      <c r="O89" s="925">
        <f>'D-Bestand Zahlungen'!P12</f>
        <v>10.908026153270542</v>
      </c>
      <c r="P89" s="923">
        <f>'D-Bestand Zahlungen'!Q12</f>
        <v>10.908026153270542</v>
      </c>
      <c r="Q89" s="923">
        <f>'D-Bestand Zahlungen'!R12</f>
        <v>10.86119713155138</v>
      </c>
      <c r="R89" s="923">
        <f>'D-Bestand Zahlungen'!S12</f>
        <v>10.811821691314007</v>
      </c>
      <c r="S89" s="923">
        <f>'D-Bestand Zahlungen'!T12</f>
        <v>10.762723491319454</v>
      </c>
      <c r="T89" s="923">
        <f>'D-Bestand Zahlungen'!U12</f>
        <v>10.700911781188493</v>
      </c>
      <c r="U89" s="923">
        <f>'D-Bestand Zahlungen'!V12</f>
        <v>10.350049468665192</v>
      </c>
      <c r="V89" s="923">
        <f>'D-Bestand Zahlungen'!W12</f>
        <v>9.8807645450106261</v>
      </c>
      <c r="W89" s="923">
        <f>'D-Bestand Zahlungen'!X12</f>
        <v>9.4713339193349313</v>
      </c>
      <c r="X89" s="923">
        <f>'D-Bestand Zahlungen'!Y12</f>
        <v>8.8991898717387148</v>
      </c>
      <c r="Y89" s="923">
        <f>'D-Bestand Zahlungen'!Z12</f>
        <v>8.0374772613756083</v>
      </c>
      <c r="Z89" s="923">
        <f>'D-Bestand Zahlungen'!AA12</f>
        <v>6.2929346397361767</v>
      </c>
      <c r="AA89" s="923">
        <f>'D-Bestand Zahlungen'!AB12</f>
        <v>3.7425659024949911</v>
      </c>
      <c r="AB89" s="923">
        <f>'D-Bestand Zahlungen'!AC12</f>
        <v>1.7293195011654334</v>
      </c>
      <c r="AC89" s="923">
        <f>'D-Bestand Zahlungen'!AD12</f>
        <v>0.49607269647010133</v>
      </c>
      <c r="AD89" s="923">
        <f>'D-Bestand Zahlungen'!AE12</f>
        <v>0.15176649063590028</v>
      </c>
      <c r="AE89" s="924">
        <f>'D-Bestand Zahlungen'!AF12</f>
        <v>0</v>
      </c>
      <c r="AF89" s="940"/>
      <c r="AG89" s="940" t="s">
        <v>464</v>
      </c>
      <c r="AH89" s="940"/>
      <c r="AI89" s="940"/>
      <c r="AJ89" s="345"/>
    </row>
    <row r="90" spans="1:36" ht="12.75" customHeight="1" outlineLevel="1">
      <c r="A90" s="561">
        <v>81</v>
      </c>
      <c r="B90" s="10"/>
      <c r="N90" s="349"/>
      <c r="O90" s="296"/>
      <c r="AF90" s="940"/>
      <c r="AG90" s="940" t="s">
        <v>464</v>
      </c>
      <c r="AH90" s="940"/>
      <c r="AI90" s="940"/>
      <c r="AJ90" s="345"/>
    </row>
    <row r="91" spans="1:36" ht="12.75" customHeight="1" outlineLevel="1">
      <c r="A91" s="561">
        <v>82</v>
      </c>
      <c r="B91" s="10"/>
      <c r="E91" s="322" t="s">
        <v>552</v>
      </c>
      <c r="N91" s="349"/>
      <c r="O91" s="296"/>
      <c r="AF91" s="940"/>
      <c r="AG91" s="940"/>
      <c r="AH91" s="940"/>
      <c r="AI91" s="940"/>
      <c r="AJ91" s="345"/>
    </row>
    <row r="92" spans="1:36" ht="12.75" customHeight="1" outlineLevel="2">
      <c r="A92" s="561">
        <v>83</v>
      </c>
      <c r="B92" s="321" t="str">
        <f>'D-Standardauslastung'!C$6</f>
        <v>Referenz</v>
      </c>
      <c r="C92" s="22" t="str">
        <f>'D-Standardauslastung'!D$6</f>
        <v>fh</v>
      </c>
      <c r="D92" s="30" t="str">
        <f>'D-Standardauslastung'!E$6</f>
        <v>MFP Trend</v>
      </c>
      <c r="E92" s="321" t="s">
        <v>25</v>
      </c>
      <c r="F92" s="929">
        <f>'D-Standardauslastung'!G$6</f>
        <v>0</v>
      </c>
      <c r="G92" s="929">
        <f>'D-Standardauslastung'!H$6</f>
        <v>0</v>
      </c>
      <c r="H92" s="929">
        <f>'D-Standardauslastung'!I$6</f>
        <v>0</v>
      </c>
      <c r="I92" s="929">
        <f>'D-Standardauslastung'!J$6</f>
        <v>0</v>
      </c>
      <c r="J92" s="929">
        <f>'D-Standardauslastung'!K$6</f>
        <v>0</v>
      </c>
      <c r="K92" s="929">
        <f>'D-Standardauslastung'!L$6</f>
        <v>3956</v>
      </c>
      <c r="L92" s="929">
        <f>'D-Standardauslastung'!M$6</f>
        <v>3956</v>
      </c>
      <c r="M92" s="929">
        <f>'D-Standardauslastung'!N$6</f>
        <v>3956</v>
      </c>
      <c r="N92" s="930">
        <f>'D-Standardauslastung'!O$6</f>
        <v>3956</v>
      </c>
      <c r="O92" s="931">
        <f>'D-Standardauslastung'!P$6</f>
        <v>3956</v>
      </c>
      <c r="P92" s="929">
        <f>'D-Standardauslastung'!Q$6</f>
        <v>3956</v>
      </c>
      <c r="Q92" s="929">
        <f>'D-Standardauslastung'!R$6</f>
        <v>3950</v>
      </c>
      <c r="R92" s="929">
        <f>'D-Standardauslastung'!S$6</f>
        <v>3764</v>
      </c>
      <c r="S92" s="929">
        <f>'D-Standardauslastung'!T$6</f>
        <v>3767</v>
      </c>
      <c r="T92" s="929">
        <f>'D-Standardauslastung'!U$6</f>
        <v>3769</v>
      </c>
      <c r="U92" s="929">
        <f>'D-Standardauslastung'!V$6</f>
        <v>3772</v>
      </c>
      <c r="V92" s="929">
        <f>'D-Standardauslastung'!W$6</f>
        <v>3774</v>
      </c>
      <c r="W92" s="929">
        <f>'D-Standardauslastung'!X$6</f>
        <v>3774</v>
      </c>
      <c r="X92" s="929">
        <f>'D-Standardauslastung'!Y$6</f>
        <v>3774</v>
      </c>
      <c r="Y92" s="929">
        <f>'D-Standardauslastung'!Z$6</f>
        <v>3774</v>
      </c>
      <c r="Z92" s="929">
        <f>'D-Standardauslastung'!AA$6</f>
        <v>3774</v>
      </c>
      <c r="AA92" s="929">
        <f>'D-Standardauslastung'!AB$6</f>
        <v>3774</v>
      </c>
      <c r="AB92" s="929">
        <f>'D-Standardauslastung'!AC$6</f>
        <v>3774</v>
      </c>
      <c r="AC92" s="929">
        <f>'D-Standardauslastung'!AD$6</f>
        <v>3774</v>
      </c>
      <c r="AD92" s="929">
        <f>'D-Standardauslastung'!AE$6</f>
        <v>3774</v>
      </c>
      <c r="AE92" s="930">
        <f>'D-Standardauslastung'!AF$6</f>
        <v>3774</v>
      </c>
      <c r="AF92" s="940"/>
      <c r="AG92" s="940"/>
      <c r="AH92" s="1048"/>
      <c r="AI92" s="940"/>
      <c r="AJ92" s="345"/>
    </row>
    <row r="93" spans="1:36" ht="12.75" customHeight="1" outlineLevel="2">
      <c r="A93" s="561">
        <v>84</v>
      </c>
      <c r="B93" s="16" t="str">
        <f>'D-Standardauslastung'!C$7</f>
        <v>Referenz</v>
      </c>
      <c r="C93" s="12" t="str">
        <f>'D-Standardauslastung'!D$7</f>
        <v>fh</v>
      </c>
      <c r="D93" s="31" t="str">
        <f>'D-Standardauslastung'!E$7</f>
        <v>MFP Trend</v>
      </c>
      <c r="E93" s="16" t="s">
        <v>50</v>
      </c>
      <c r="F93" s="932">
        <f>'D-Standardauslastung'!G$7</f>
        <v>0</v>
      </c>
      <c r="G93" s="932">
        <f>'D-Standardauslastung'!H$7</f>
        <v>0</v>
      </c>
      <c r="H93" s="932">
        <f>'D-Standardauslastung'!I$7</f>
        <v>0</v>
      </c>
      <c r="I93" s="932">
        <f>'D-Standardauslastung'!J$7</f>
        <v>0</v>
      </c>
      <c r="J93" s="932">
        <f>'D-Standardauslastung'!K$7</f>
        <v>0</v>
      </c>
      <c r="K93" s="932">
        <f>'D-Standardauslastung'!L$7</f>
        <v>2901</v>
      </c>
      <c r="L93" s="932">
        <f>'D-Standardauslastung'!M$7</f>
        <v>2901</v>
      </c>
      <c r="M93" s="932">
        <f>'D-Standardauslastung'!N$7</f>
        <v>3944</v>
      </c>
      <c r="N93" s="933">
        <f>'D-Standardauslastung'!O$7</f>
        <v>3767</v>
      </c>
      <c r="O93" s="934">
        <f>'D-Standardauslastung'!P$7</f>
        <v>3685</v>
      </c>
      <c r="P93" s="932">
        <f>'D-Standardauslastung'!Q$7</f>
        <v>3372.3653395784545</v>
      </c>
      <c r="Q93" s="932">
        <f>'D-Standardauslastung'!R$7</f>
        <v>4128.712871287129</v>
      </c>
      <c r="R93" s="932">
        <f>'D-Standardauslastung'!S$7</f>
        <v>3840</v>
      </c>
      <c r="S93" s="932">
        <f>'D-Standardauslastung'!T$7</f>
        <v>3692.0821114369501</v>
      </c>
      <c r="T93" s="932">
        <f>'D-Standardauslastung'!U$7</f>
        <v>3679.0123456790125</v>
      </c>
      <c r="U93" s="932">
        <f>'D-Standardauslastung'!V$7</f>
        <v>4430.7692307692314</v>
      </c>
      <c r="V93" s="932">
        <f>'D-Standardauslastung'!W$7</f>
        <v>4502.4154589371974</v>
      </c>
      <c r="W93" s="932">
        <f>'D-Standardauslastung'!X$7</f>
        <v>4502.4154589371974</v>
      </c>
      <c r="X93" s="932">
        <f>'D-Standardauslastung'!Y$7</f>
        <v>4502.4154589371974</v>
      </c>
      <c r="Y93" s="932">
        <f>'D-Standardauslastung'!Z$7</f>
        <v>4502.4154589371974</v>
      </c>
      <c r="Z93" s="932">
        <f>'D-Standardauslastung'!AA$7</f>
        <v>4502.4154589371974</v>
      </c>
      <c r="AA93" s="932">
        <f>'D-Standardauslastung'!AB$7</f>
        <v>4502.4154589371974</v>
      </c>
      <c r="AB93" s="932">
        <f>'D-Standardauslastung'!AC$7</f>
        <v>4502.4154589371974</v>
      </c>
      <c r="AC93" s="932">
        <f>'D-Standardauslastung'!AD$7</f>
        <v>4502.4154589371974</v>
      </c>
      <c r="AD93" s="932">
        <f>'D-Standardauslastung'!AE$7</f>
        <v>4502.4154589371974</v>
      </c>
      <c r="AE93" s="933">
        <f>'D-Standardauslastung'!AF$7</f>
        <v>4502.4154589371974</v>
      </c>
      <c r="AF93" s="940"/>
      <c r="AG93" s="940"/>
      <c r="AH93" s="1048"/>
      <c r="AI93" s="940"/>
      <c r="AJ93" s="345"/>
    </row>
    <row r="94" spans="1:36" ht="12.75" customHeight="1" outlineLevel="2">
      <c r="A94" s="561">
        <v>85</v>
      </c>
      <c r="B94" s="16" t="str">
        <f>'D-Standardauslastung'!C$8</f>
        <v>Referenz</v>
      </c>
      <c r="C94" s="12" t="str">
        <f>'D-Standardauslastung'!D$8</f>
        <v>fh</v>
      </c>
      <c r="D94" s="31" t="str">
        <f>'D-Standardauslastung'!E$8</f>
        <v>MFP Trend</v>
      </c>
      <c r="E94" s="16" t="s">
        <v>13</v>
      </c>
      <c r="F94" s="932">
        <f>'D-Standardauslastung'!G$8</f>
        <v>0</v>
      </c>
      <c r="G94" s="932">
        <f>'D-Standardauslastung'!H$8</f>
        <v>0</v>
      </c>
      <c r="H94" s="932">
        <f>'D-Standardauslastung'!I$8</f>
        <v>0</v>
      </c>
      <c r="I94" s="932">
        <f>'D-Standardauslastung'!J$8</f>
        <v>0</v>
      </c>
      <c r="J94" s="932">
        <f>'D-Standardauslastung'!K$8</f>
        <v>0</v>
      </c>
      <c r="K94" s="932">
        <f>'D-Standardauslastung'!L$8</f>
        <v>5605</v>
      </c>
      <c r="L94" s="932">
        <f>'D-Standardauslastung'!M$8</f>
        <v>4000</v>
      </c>
      <c r="M94" s="932">
        <f>'D-Standardauslastung'!N$8</f>
        <v>4000</v>
      </c>
      <c r="N94" s="933">
        <f>'D-Standardauslastung'!O$8</f>
        <v>4000</v>
      </c>
      <c r="O94" s="934">
        <f>'D-Standardauslastung'!P$8</f>
        <v>4000</v>
      </c>
      <c r="P94" s="932">
        <f>'D-Standardauslastung'!Q$8</f>
        <v>4000</v>
      </c>
      <c r="Q94" s="932">
        <f>'D-Standardauslastung'!R$8</f>
        <v>4000</v>
      </c>
      <c r="R94" s="932">
        <f>'D-Standardauslastung'!S$8</f>
        <v>4457</v>
      </c>
      <c r="S94" s="932">
        <f>'D-Standardauslastung'!T$8</f>
        <v>4224</v>
      </c>
      <c r="T94" s="932">
        <f>'D-Standardauslastung'!U$8</f>
        <v>4009</v>
      </c>
      <c r="U94" s="932">
        <f>'D-Standardauslastung'!V$8</f>
        <v>3804</v>
      </c>
      <c r="V94" s="932">
        <f>'D-Standardauslastung'!W$8</f>
        <v>3606</v>
      </c>
      <c r="W94" s="932">
        <f>'D-Standardauslastung'!X$8</f>
        <v>4000</v>
      </c>
      <c r="X94" s="932">
        <f>'D-Standardauslastung'!Y$8</f>
        <v>4000</v>
      </c>
      <c r="Y94" s="932">
        <f>'D-Standardauslastung'!Z$8</f>
        <v>4000</v>
      </c>
      <c r="Z94" s="932">
        <f>'D-Standardauslastung'!AA$8</f>
        <v>4000</v>
      </c>
      <c r="AA94" s="932">
        <f>'D-Standardauslastung'!AB$8</f>
        <v>4000</v>
      </c>
      <c r="AB94" s="932">
        <f>'D-Standardauslastung'!AC$8</f>
        <v>4000</v>
      </c>
      <c r="AC94" s="932">
        <f>'D-Standardauslastung'!AD$8</f>
        <v>4000</v>
      </c>
      <c r="AD94" s="932">
        <f>'D-Standardauslastung'!AE$8</f>
        <v>4000</v>
      </c>
      <c r="AE94" s="933">
        <f>'D-Standardauslastung'!AF$8</f>
        <v>4000</v>
      </c>
      <c r="AF94" s="940"/>
      <c r="AG94" s="940"/>
      <c r="AH94" s="1048"/>
      <c r="AI94" s="940"/>
      <c r="AJ94" s="345"/>
    </row>
    <row r="95" spans="1:36" ht="12.75" customHeight="1" outlineLevel="2">
      <c r="A95" s="561">
        <v>86</v>
      </c>
      <c r="B95" s="16" t="str">
        <f>'D-Standardauslastung'!C$9</f>
        <v>Referenz</v>
      </c>
      <c r="C95" s="12" t="str">
        <f>'D-Standardauslastung'!D$9</f>
        <v>fh</v>
      </c>
      <c r="D95" s="31" t="str">
        <f>'D-Standardauslastung'!E$9</f>
        <v>MFP Trend</v>
      </c>
      <c r="E95" s="16" t="s">
        <v>12</v>
      </c>
      <c r="F95" s="932">
        <f>'D-Standardauslastung'!G$9</f>
        <v>0</v>
      </c>
      <c r="G95" s="932">
        <f>'D-Standardauslastung'!H$9</f>
        <v>0</v>
      </c>
      <c r="H95" s="932">
        <f>'D-Standardauslastung'!I$9</f>
        <v>0</v>
      </c>
      <c r="I95" s="932">
        <f>'D-Standardauslastung'!J$9</f>
        <v>0</v>
      </c>
      <c r="J95" s="932">
        <f>'D-Standardauslastung'!K$9</f>
        <v>0</v>
      </c>
      <c r="K95" s="932">
        <f>'D-Standardauslastung'!L$9</f>
        <v>4341</v>
      </c>
      <c r="L95" s="932">
        <f>'D-Standardauslastung'!M$9</f>
        <v>4341</v>
      </c>
      <c r="M95" s="932">
        <f>'D-Standardauslastung'!N$9</f>
        <v>6304</v>
      </c>
      <c r="N95" s="933">
        <f>'D-Standardauslastung'!O$9</f>
        <v>6304</v>
      </c>
      <c r="O95" s="934">
        <f>'D-Standardauslastung'!P$9</f>
        <v>6406</v>
      </c>
      <c r="P95" s="932">
        <f>'D-Standardauslastung'!Q$9</f>
        <v>5457</v>
      </c>
      <c r="Q95" s="932">
        <f>'D-Standardauslastung'!R$9</f>
        <v>5797</v>
      </c>
      <c r="R95" s="932">
        <f>'D-Standardauslastung'!S$9</f>
        <v>4532</v>
      </c>
      <c r="S95" s="932">
        <f>'D-Standardauslastung'!T$9</f>
        <v>4532</v>
      </c>
      <c r="T95" s="932">
        <f>'D-Standardauslastung'!U$9</f>
        <v>4532</v>
      </c>
      <c r="U95" s="932">
        <f>'D-Standardauslastung'!V$9</f>
        <v>4532</v>
      </c>
      <c r="V95" s="932">
        <f>'D-Standardauslastung'!W$9</f>
        <v>4532</v>
      </c>
      <c r="W95" s="932">
        <f>'D-Standardauslastung'!X$9</f>
        <v>4532</v>
      </c>
      <c r="X95" s="932">
        <f>'D-Standardauslastung'!Y$9</f>
        <v>4532</v>
      </c>
      <c r="Y95" s="932">
        <f>'D-Standardauslastung'!Z$9</f>
        <v>4532</v>
      </c>
      <c r="Z95" s="932">
        <f>'D-Standardauslastung'!AA$9</f>
        <v>4532</v>
      </c>
      <c r="AA95" s="932">
        <f>'D-Standardauslastung'!AB$9</f>
        <v>4532</v>
      </c>
      <c r="AB95" s="932">
        <f>'D-Standardauslastung'!AC$9</f>
        <v>4532</v>
      </c>
      <c r="AC95" s="932">
        <f>'D-Standardauslastung'!AD$9</f>
        <v>4532</v>
      </c>
      <c r="AD95" s="932">
        <f>'D-Standardauslastung'!AE$9</f>
        <v>4532</v>
      </c>
      <c r="AE95" s="933">
        <f>'D-Standardauslastung'!AF$9</f>
        <v>4532</v>
      </c>
      <c r="AF95" s="940"/>
      <c r="AG95" s="940"/>
      <c r="AH95" s="1048"/>
      <c r="AI95" s="940"/>
      <c r="AJ95" s="345"/>
    </row>
    <row r="96" spans="1:36" ht="12.75" customHeight="1" outlineLevel="2">
      <c r="A96" s="561">
        <v>87</v>
      </c>
      <c r="B96" s="16" t="str">
        <f>'D-Standardauslastung'!C$10</f>
        <v>Referenz</v>
      </c>
      <c r="C96" s="12" t="str">
        <f>'D-Standardauslastung'!D$10</f>
        <v>fh</v>
      </c>
      <c r="D96" s="31" t="str">
        <f>'D-Standardauslastung'!E$10</f>
        <v>Anstieg auf 2600h in 2035</v>
      </c>
      <c r="E96" s="16" t="s">
        <v>24</v>
      </c>
      <c r="F96" s="932">
        <f>'D-Standardauslastung'!G$10</f>
        <v>0</v>
      </c>
      <c r="G96" s="932">
        <f>'D-Standardauslastung'!H$10</f>
        <v>0</v>
      </c>
      <c r="H96" s="932">
        <f>'D-Standardauslastung'!I$10</f>
        <v>0</v>
      </c>
      <c r="I96" s="932">
        <f>'D-Standardauslastung'!J$10</f>
        <v>0</v>
      </c>
      <c r="J96" s="932">
        <f>'D-Standardauslastung'!K$10</f>
        <v>0</v>
      </c>
      <c r="K96" s="932">
        <f>'D-Standardauslastung'!L$10</f>
        <v>2258.3528764765942</v>
      </c>
      <c r="L96" s="932">
        <f>'D-Standardauslastung'!M$10</f>
        <v>2316.6989503493969</v>
      </c>
      <c r="M96" s="932">
        <f>'D-Standardauslastung'!N$10</f>
        <v>2375.0450242222141</v>
      </c>
      <c r="N96" s="933">
        <f>'D-Standardauslastung'!O$10</f>
        <v>2433.3910980950168</v>
      </c>
      <c r="O96" s="934">
        <f>'D-Standardauslastung'!P$10</f>
        <v>2491.737171967834</v>
      </c>
      <c r="P96" s="932">
        <f>'D-Standardauslastung'!Q$10</f>
        <v>2491.737171967834</v>
      </c>
      <c r="Q96" s="932">
        <f>'D-Standardauslastung'!R$10</f>
        <v>2491.737171967834</v>
      </c>
      <c r="R96" s="932">
        <f>'D-Standardauslastung'!S$10</f>
        <v>2187</v>
      </c>
      <c r="S96" s="932">
        <f>'D-Standardauslastung'!T$10</f>
        <v>2232</v>
      </c>
      <c r="T96" s="932">
        <f>'D-Standardauslastung'!U$10</f>
        <v>2274</v>
      </c>
      <c r="U96" s="932">
        <f>'D-Standardauslastung'!V$10</f>
        <v>2307</v>
      </c>
      <c r="V96" s="932">
        <f>'D-Standardauslastung'!W$10</f>
        <v>2343</v>
      </c>
      <c r="W96" s="932">
        <f>'D-Standardauslastung'!X$10</f>
        <v>2394.4</v>
      </c>
      <c r="X96" s="932">
        <f>'D-Standardauslastung'!Y$10</f>
        <v>2428.666666666667</v>
      </c>
      <c r="Y96" s="932">
        <f>'D-Standardauslastung'!Z$10</f>
        <v>2453.1428571428573</v>
      </c>
      <c r="Z96" s="932">
        <f>'D-Standardauslastung'!AA$10</f>
        <v>2471.5</v>
      </c>
      <c r="AA96" s="932">
        <f>'D-Standardauslastung'!AB$10</f>
        <v>2485.7777777777778</v>
      </c>
      <c r="AB96" s="932">
        <f>'D-Standardauslastung'!AC$10</f>
        <v>2497.1999999999998</v>
      </c>
      <c r="AC96" s="932">
        <f>'D-Standardauslastung'!AD$10</f>
        <v>2506.5454545454545</v>
      </c>
      <c r="AD96" s="932">
        <f>'D-Standardauslastung'!AE$10</f>
        <v>2514.3333333333335</v>
      </c>
      <c r="AE96" s="933">
        <f>'D-Standardauslastung'!AF$10</f>
        <v>2600</v>
      </c>
      <c r="AF96" s="940"/>
      <c r="AG96" s="940"/>
      <c r="AH96" s="1048"/>
      <c r="AI96" s="940"/>
      <c r="AJ96" s="345"/>
    </row>
    <row r="97" spans="1:36" ht="12.75" customHeight="1" outlineLevel="2">
      <c r="A97" s="561">
        <v>88</v>
      </c>
      <c r="B97" s="16" t="str">
        <f>'D-Standardauslastung'!C$11</f>
        <v>Referenz</v>
      </c>
      <c r="C97" s="12" t="str">
        <f>'D-Standardauslastung'!D$11</f>
        <v>as/pl/fh</v>
      </c>
      <c r="D97" s="31" t="str">
        <f>'D-Standardauslastung'!E$11</f>
        <v>Anstieg auf 4700 h in 2035</v>
      </c>
      <c r="E97" s="16" t="s">
        <v>26</v>
      </c>
      <c r="F97" s="932">
        <f>'D-Standardauslastung'!G$11</f>
        <v>0</v>
      </c>
      <c r="G97" s="932">
        <f>'D-Standardauslastung'!H$11</f>
        <v>0</v>
      </c>
      <c r="H97" s="932">
        <f>'D-Standardauslastung'!I$11</f>
        <v>0</v>
      </c>
      <c r="I97" s="932">
        <f>'D-Standardauslastung'!J$11</f>
        <v>0</v>
      </c>
      <c r="J97" s="932">
        <f>'D-Standardauslastung'!K$11</f>
        <v>0</v>
      </c>
      <c r="K97" s="932">
        <f>'D-Standardauslastung'!L$11</f>
        <v>3462</v>
      </c>
      <c r="L97" s="932">
        <f>'D-Standardauslastung'!M$11</f>
        <v>3562</v>
      </c>
      <c r="M97" s="932">
        <f>'D-Standardauslastung'!N$11</f>
        <v>3662</v>
      </c>
      <c r="N97" s="933">
        <f>'D-Standardauslastung'!O$11</f>
        <v>3762</v>
      </c>
      <c r="O97" s="934">
        <f>'D-Standardauslastung'!P$11</f>
        <v>3862</v>
      </c>
      <c r="P97" s="932">
        <f>'D-Standardauslastung'!Q$11</f>
        <v>3962</v>
      </c>
      <c r="Q97" s="932">
        <f>'D-Standardauslastung'!R$11</f>
        <v>4259</v>
      </c>
      <c r="R97" s="932">
        <f>'D-Standardauslastung'!S$11</f>
        <v>4252</v>
      </c>
      <c r="S97" s="932">
        <f>'D-Standardauslastung'!T$11</f>
        <v>4258</v>
      </c>
      <c r="T97" s="932">
        <f>'D-Standardauslastung'!U$11</f>
        <v>4276</v>
      </c>
      <c r="U97" s="932">
        <f>'D-Standardauslastung'!V$11</f>
        <v>4292</v>
      </c>
      <c r="V97" s="932">
        <f>'D-Standardauslastung'!W$11</f>
        <v>4394</v>
      </c>
      <c r="W97" s="932">
        <f>'D-Standardauslastung'!X$11</f>
        <v>4455.2</v>
      </c>
      <c r="X97" s="932">
        <f>'D-Standardauslastung'!Y$11</f>
        <v>4496</v>
      </c>
      <c r="Y97" s="932">
        <f>'D-Standardauslastung'!Z$11</f>
        <v>4525.1428571428569</v>
      </c>
      <c r="Z97" s="932">
        <f>'D-Standardauslastung'!AA$11</f>
        <v>4547</v>
      </c>
      <c r="AA97" s="932">
        <f>'D-Standardauslastung'!AB$11</f>
        <v>4564</v>
      </c>
      <c r="AB97" s="932">
        <f>'D-Standardauslastung'!AC$11</f>
        <v>4577.6000000000004</v>
      </c>
      <c r="AC97" s="932">
        <f>'D-Standardauslastung'!AD$11</f>
        <v>4588.727272727273</v>
      </c>
      <c r="AD97" s="932">
        <f>'D-Standardauslastung'!AE$11</f>
        <v>4598</v>
      </c>
      <c r="AE97" s="933">
        <f>'D-Standardauslastung'!AF$11</f>
        <v>4700</v>
      </c>
      <c r="AF97" s="940"/>
      <c r="AG97" s="940"/>
      <c r="AH97" s="1048"/>
      <c r="AI97" s="1051"/>
      <c r="AJ97" s="345"/>
    </row>
    <row r="98" spans="1:36" ht="12.75" customHeight="1" outlineLevel="2">
      <c r="A98" s="561">
        <v>89</v>
      </c>
      <c r="B98" s="303" t="str">
        <f>'D-Standardauslastung'!C$12</f>
        <v>Referenz</v>
      </c>
      <c r="C98" s="24" t="str">
        <f>'D-Standardauslastung'!D$12</f>
        <v>fh</v>
      </c>
      <c r="D98" s="32" t="str">
        <f>'D-Standardauslastung'!E$12</f>
        <v>Anstieg auf 950h in 2035</v>
      </c>
      <c r="E98" s="303" t="s">
        <v>74</v>
      </c>
      <c r="F98" s="935">
        <f>'D-Standardauslastung'!G$12</f>
        <v>0</v>
      </c>
      <c r="G98" s="935">
        <f>'D-Standardauslastung'!H$12</f>
        <v>0</v>
      </c>
      <c r="H98" s="935">
        <f>'D-Standardauslastung'!I$12</f>
        <v>0</v>
      </c>
      <c r="I98" s="935">
        <f>'D-Standardauslastung'!J$12</f>
        <v>0</v>
      </c>
      <c r="J98" s="935">
        <f>'D-Standardauslastung'!K$12</f>
        <v>0</v>
      </c>
      <c r="K98" s="935">
        <f>'D-Standardauslastung'!L$12</f>
        <v>960</v>
      </c>
      <c r="L98" s="935">
        <f>'D-Standardauslastung'!M$12</f>
        <v>960</v>
      </c>
      <c r="M98" s="935">
        <f>'D-Standardauslastung'!N$12</f>
        <v>960</v>
      </c>
      <c r="N98" s="936">
        <f>'D-Standardauslastung'!O$12</f>
        <v>965</v>
      </c>
      <c r="O98" s="937">
        <f>'D-Standardauslastung'!P$12</f>
        <v>965</v>
      </c>
      <c r="P98" s="935">
        <f>'D-Standardauslastung'!Q$12</f>
        <v>965</v>
      </c>
      <c r="Q98" s="935">
        <f>'D-Standardauslastung'!R$12</f>
        <v>965</v>
      </c>
      <c r="R98" s="935">
        <f>'D-Standardauslastung'!S$12</f>
        <v>886.06344148903997</v>
      </c>
      <c r="S98" s="935">
        <f>'D-Standardauslastung'!T$12</f>
        <v>885.98771711691347</v>
      </c>
      <c r="T98" s="935">
        <f>'D-Standardauslastung'!U$12</f>
        <v>900.97551335716719</v>
      </c>
      <c r="U98" s="935">
        <f>'D-Standardauslastung'!V$12</f>
        <v>914.5359764530657</v>
      </c>
      <c r="V98" s="935">
        <f>'D-Standardauslastung'!W$12</f>
        <v>913.49014666246626</v>
      </c>
      <c r="W98" s="935">
        <f>'D-Standardauslastung'!X$12</f>
        <v>918.82450356939012</v>
      </c>
      <c r="X98" s="935">
        <f>'D-Standardauslastung'!Y$12</f>
        <v>924.15886047631398</v>
      </c>
      <c r="Y98" s="935">
        <f>'D-Standardauslastung'!Z$12</f>
        <v>929.49321738323783</v>
      </c>
      <c r="Z98" s="935">
        <f>'D-Standardauslastung'!AA$12</f>
        <v>934.82757429016169</v>
      </c>
      <c r="AA98" s="935">
        <f>'D-Standardauslastung'!AB$12</f>
        <v>940.16193119708555</v>
      </c>
      <c r="AB98" s="935">
        <f>'D-Standardauslastung'!AC$12</f>
        <v>945.49628810400941</v>
      </c>
      <c r="AC98" s="935">
        <f>'D-Standardauslastung'!AD$12</f>
        <v>950.83064501093327</v>
      </c>
      <c r="AD98" s="935">
        <f>'D-Standardauslastung'!AE$12</f>
        <v>956.16500191785713</v>
      </c>
      <c r="AE98" s="936">
        <f>'D-Standardauslastung'!AF$12</f>
        <v>950</v>
      </c>
      <c r="AF98" s="940"/>
      <c r="AG98" s="940"/>
      <c r="AH98" s="940"/>
      <c r="AI98" s="940"/>
      <c r="AJ98" s="345"/>
    </row>
    <row r="99" spans="1:36" ht="12.75" customHeight="1" outlineLevel="1">
      <c r="A99" s="561">
        <v>90</v>
      </c>
      <c r="B99" s="10"/>
      <c r="N99" s="349"/>
      <c r="O99" s="296"/>
      <c r="AF99" s="940"/>
      <c r="AG99" s="940"/>
      <c r="AH99" s="1048"/>
      <c r="AI99" s="1048"/>
      <c r="AJ99" s="345"/>
    </row>
    <row r="100" spans="1:36" ht="12.75" customHeight="1" outlineLevel="1">
      <c r="A100" s="561">
        <v>91</v>
      </c>
      <c r="B100" s="10"/>
      <c r="E100" s="322" t="s">
        <v>292</v>
      </c>
      <c r="N100" s="349"/>
      <c r="O100" s="296"/>
      <c r="AF100" s="940"/>
      <c r="AG100" s="940"/>
      <c r="AH100" s="1048"/>
      <c r="AI100" s="1048"/>
      <c r="AJ100" s="345"/>
    </row>
    <row r="101" spans="1:36" ht="12.75" customHeight="1" outlineLevel="2">
      <c r="A101" s="561">
        <v>92</v>
      </c>
      <c r="B101" s="321" t="str">
        <f>'D-Strommenge ges.'!C$6</f>
        <v>Historisch</v>
      </c>
      <c r="C101" s="22" t="str">
        <f>'D-Strommenge ges.'!D$6</f>
        <v>fh</v>
      </c>
      <c r="D101" s="30" t="str">
        <f>'D-Strommenge ges.'!E$6</f>
        <v>ÜNB Jahresprognose</v>
      </c>
      <c r="E101" s="321" t="s">
        <v>25</v>
      </c>
      <c r="F101" s="915">
        <f>'D-Strommenge ges.'!G$6</f>
        <v>5.444</v>
      </c>
      <c r="G101" s="915">
        <f>'D-Strommenge ges.'!H$6</f>
        <v>6.0667459999999993</v>
      </c>
      <c r="H101" s="915">
        <f>'D-Strommenge ges.'!I$6</f>
        <v>5.8298559999999995</v>
      </c>
      <c r="I101" s="915">
        <f>'D-Strommenge ges.'!J$6</f>
        <v>6.2952879999999993</v>
      </c>
      <c r="J101" s="915">
        <f>'D-Strommenge ges.'!K$6</f>
        <v>6.154331</v>
      </c>
      <c r="K101" s="915">
        <f>'D-Strommenge ges.'!L$6</f>
        <v>6.0918529999999995</v>
      </c>
      <c r="L101" s="915">
        <f>'D-Strommenge ges.'!M$6</f>
        <v>6.2462140000000002</v>
      </c>
      <c r="M101" s="915">
        <f>'D-Strommenge ges.'!N$6</f>
        <v>6.2808169999999999</v>
      </c>
      <c r="N101" s="916">
        <f>'D-Strommenge ges.'!O$6</f>
        <v>5.9237959999999994</v>
      </c>
      <c r="O101" s="917">
        <f>'D-Strommenge ges.'!P$6</f>
        <v>6.5145869999999997</v>
      </c>
      <c r="P101" s="915">
        <f>'D-Strommenge ges.'!Q$6</f>
        <v>6.250337</v>
      </c>
      <c r="Q101" s="915">
        <f>'D-Strommenge ges.'!R$6</f>
        <v>6.378431</v>
      </c>
      <c r="R101" s="915">
        <f>'D-Strommenge ges.'!S$6</f>
        <v>6.1744319999999995</v>
      </c>
      <c r="S101" s="915">
        <f>'D-Strommenge ges.'!T$6</f>
        <v>0</v>
      </c>
      <c r="T101" s="915">
        <f>'D-Strommenge ges.'!U$6</f>
        <v>0</v>
      </c>
      <c r="U101" s="915">
        <f>'D-Strommenge ges.'!V$6</f>
        <v>0</v>
      </c>
      <c r="V101" s="915">
        <f>'D-Strommenge ges.'!W$6</f>
        <v>0</v>
      </c>
      <c r="W101" s="915">
        <f>'D-Strommenge ges.'!X$6</f>
        <v>0</v>
      </c>
      <c r="X101" s="915">
        <f>'D-Strommenge ges.'!Y$6</f>
        <v>0</v>
      </c>
      <c r="Y101" s="915">
        <f>'D-Strommenge ges.'!Z$6</f>
        <v>0</v>
      </c>
      <c r="Z101" s="915">
        <f>'D-Strommenge ges.'!AA$6</f>
        <v>0</v>
      </c>
      <c r="AA101" s="915">
        <f>'D-Strommenge ges.'!AB$6</f>
        <v>0</v>
      </c>
      <c r="AB101" s="915">
        <f>'D-Strommenge ges.'!AC$6</f>
        <v>0</v>
      </c>
      <c r="AC101" s="915">
        <f>'D-Strommenge ges.'!AD$6</f>
        <v>0</v>
      </c>
      <c r="AD101" s="915">
        <f>'D-Strommenge ges.'!AE$6</f>
        <v>0</v>
      </c>
      <c r="AE101" s="916">
        <f>'D-Strommenge ges.'!AF$6</f>
        <v>0</v>
      </c>
      <c r="AF101" s="940"/>
      <c r="AG101" s="940"/>
      <c r="AH101" s="1048"/>
      <c r="AI101" s="1048"/>
      <c r="AJ101" s="345"/>
    </row>
    <row r="102" spans="1:36" ht="12.75" customHeight="1" outlineLevel="2">
      <c r="A102" s="561">
        <v>93</v>
      </c>
      <c r="B102" s="16" t="str">
        <f>'D-Strommenge ges.'!C$7</f>
        <v>Historisch</v>
      </c>
      <c r="C102" s="12" t="str">
        <f>'D-Strommenge ges.'!D$7</f>
        <v>fh</v>
      </c>
      <c r="D102" s="31" t="str">
        <f>'D-Strommenge ges.'!E$7</f>
        <v>ÜNB Jahresprognose</v>
      </c>
      <c r="E102" s="16" t="s">
        <v>50</v>
      </c>
      <c r="F102" s="918">
        <f>'D-Strommenge ges.'!G$7</f>
        <v>1.835</v>
      </c>
      <c r="G102" s="918">
        <f>'D-Strommenge ges.'!H$7</f>
        <v>1.993012</v>
      </c>
      <c r="H102" s="918">
        <f>'D-Strommenge ges.'!I$7</f>
        <v>1.667049</v>
      </c>
      <c r="I102" s="918">
        <f>'D-Strommenge ges.'!J$7</f>
        <v>1.9069669999999999</v>
      </c>
      <c r="J102" s="918">
        <f>'D-Strommenge ges.'!K$7</f>
        <v>1.824149</v>
      </c>
      <c r="K102" s="918">
        <f>'D-Strommenge ges.'!L$7</f>
        <v>1.6785699999999999</v>
      </c>
      <c r="L102" s="918">
        <f>'D-Strommenge ges.'!M$7</f>
        <v>1.607626</v>
      </c>
      <c r="M102" s="918">
        <f>'D-Strommenge ges.'!N$7</f>
        <v>1.3880729999999999</v>
      </c>
      <c r="N102" s="919">
        <f>'D-Strommenge ges.'!O$7</f>
        <v>1.6777449999999998</v>
      </c>
      <c r="O102" s="920">
        <f>'D-Strommenge ges.'!P$7</f>
        <v>1.7078559999999998</v>
      </c>
      <c r="P102" s="918">
        <f>'D-Strommenge ges.'!Q$7</f>
        <v>1.4397339999999998</v>
      </c>
      <c r="Q102" s="918">
        <f>'D-Strommenge ges.'!R$7</f>
        <v>1.2507809999999999</v>
      </c>
      <c r="R102" s="918">
        <f>'D-Strommenge ges.'!S$7</f>
        <v>1.40089</v>
      </c>
      <c r="S102" s="918">
        <f>'D-Strommenge ges.'!T$7</f>
        <v>0</v>
      </c>
      <c r="T102" s="918">
        <f>'D-Strommenge ges.'!U$7</f>
        <v>0</v>
      </c>
      <c r="U102" s="918">
        <f>'D-Strommenge ges.'!V$7</f>
        <v>0</v>
      </c>
      <c r="V102" s="918">
        <f>'D-Strommenge ges.'!W$7</f>
        <v>0</v>
      </c>
      <c r="W102" s="918">
        <f>'D-Strommenge ges.'!X$7</f>
        <v>0</v>
      </c>
      <c r="X102" s="918">
        <f>'D-Strommenge ges.'!Y$7</f>
        <v>0</v>
      </c>
      <c r="Y102" s="918">
        <f>'D-Strommenge ges.'!Z$7</f>
        <v>0</v>
      </c>
      <c r="Z102" s="918">
        <f>'D-Strommenge ges.'!AA$7</f>
        <v>0</v>
      </c>
      <c r="AA102" s="918">
        <f>'D-Strommenge ges.'!AB$7</f>
        <v>0</v>
      </c>
      <c r="AB102" s="918">
        <f>'D-Strommenge ges.'!AC$7</f>
        <v>0</v>
      </c>
      <c r="AC102" s="918">
        <f>'D-Strommenge ges.'!AD$7</f>
        <v>0</v>
      </c>
      <c r="AD102" s="918">
        <f>'D-Strommenge ges.'!AE$7</f>
        <v>0</v>
      </c>
      <c r="AE102" s="919">
        <f>'D-Strommenge ges.'!AF$7</f>
        <v>0</v>
      </c>
      <c r="AF102" s="940"/>
      <c r="AG102" s="940"/>
      <c r="AH102" s="1048"/>
      <c r="AI102" s="1048"/>
      <c r="AJ102" s="345"/>
    </row>
    <row r="103" spans="1:36" ht="12.75" customHeight="1" outlineLevel="2">
      <c r="A103" s="561">
        <v>94</v>
      </c>
      <c r="B103" s="16" t="str">
        <f>'D-Strommenge ges.'!C$8</f>
        <v>Historisch</v>
      </c>
      <c r="C103" s="12" t="str">
        <f>'D-Strommenge ges.'!D$8</f>
        <v>fh</v>
      </c>
      <c r="D103" s="31" t="str">
        <f>'D-Strommenge ges.'!E$8</f>
        <v>ÜNB Jahresprognose</v>
      </c>
      <c r="E103" s="16" t="s">
        <v>13</v>
      </c>
      <c r="F103" s="918">
        <f>'D-Strommenge ges.'!G$8</f>
        <v>26.262</v>
      </c>
      <c r="G103" s="918">
        <f>'D-Strommenge ges.'!H$8</f>
        <v>27.776935999999999</v>
      </c>
      <c r="H103" s="918">
        <f>'D-Strommenge ges.'!I$8</f>
        <v>30.355590999999997</v>
      </c>
      <c r="I103" s="918">
        <f>'D-Strommenge ges.'!J$8</f>
        <v>33.165135999999997</v>
      </c>
      <c r="J103" s="918">
        <f>'D-Strommenge ges.'!K$8</f>
        <v>34.944730999999997</v>
      </c>
      <c r="K103" s="918">
        <f>'D-Strommenge ges.'!L$8</f>
        <v>38.357603999999995</v>
      </c>
      <c r="L103" s="918">
        <f>'D-Strommenge ges.'!M$8</f>
        <v>40.238844999999998</v>
      </c>
      <c r="M103" s="918">
        <f>'D-Strommenge ges.'!N$8</f>
        <v>40.770392999999999</v>
      </c>
      <c r="N103" s="919">
        <f>'D-Strommenge ges.'!O$8</f>
        <v>41.554488999999997</v>
      </c>
      <c r="O103" s="920">
        <f>'D-Strommenge ges.'!P$8</f>
        <v>41.351619999999997</v>
      </c>
      <c r="P103" s="918">
        <f>'D-Strommenge ges.'!Q$8</f>
        <v>41.746690000000001</v>
      </c>
      <c r="Q103" s="918">
        <f>'D-Strommenge ges.'!R$8</f>
        <v>40.206693999999999</v>
      </c>
      <c r="R103" s="918">
        <f>'D-Strommenge ges.'!S$8</f>
        <v>37.78369</v>
      </c>
      <c r="S103" s="918">
        <f>'D-Strommenge ges.'!T$8</f>
        <v>0</v>
      </c>
      <c r="T103" s="918">
        <f>'D-Strommenge ges.'!U$8</f>
        <v>0</v>
      </c>
      <c r="U103" s="918">
        <f>'D-Strommenge ges.'!V$8</f>
        <v>0</v>
      </c>
      <c r="V103" s="918">
        <f>'D-Strommenge ges.'!W$8</f>
        <v>0</v>
      </c>
      <c r="W103" s="918">
        <f>'D-Strommenge ges.'!X$8</f>
        <v>0</v>
      </c>
      <c r="X103" s="918">
        <f>'D-Strommenge ges.'!Y$8</f>
        <v>0</v>
      </c>
      <c r="Y103" s="918">
        <f>'D-Strommenge ges.'!Z$8</f>
        <v>0</v>
      </c>
      <c r="Z103" s="918">
        <f>'D-Strommenge ges.'!AA$8</f>
        <v>0</v>
      </c>
      <c r="AA103" s="918">
        <f>'D-Strommenge ges.'!AB$8</f>
        <v>0</v>
      </c>
      <c r="AB103" s="918">
        <f>'D-Strommenge ges.'!AC$8</f>
        <v>0</v>
      </c>
      <c r="AC103" s="918">
        <f>'D-Strommenge ges.'!AD$8</f>
        <v>0</v>
      </c>
      <c r="AD103" s="918">
        <f>'D-Strommenge ges.'!AE$8</f>
        <v>0</v>
      </c>
      <c r="AE103" s="919">
        <f>'D-Strommenge ges.'!AF$8</f>
        <v>0</v>
      </c>
      <c r="AF103" s="940"/>
      <c r="AG103" s="940"/>
      <c r="AH103" s="1048"/>
      <c r="AI103" s="1048"/>
      <c r="AJ103" s="345"/>
    </row>
    <row r="104" spans="1:36" ht="12.75" customHeight="1" outlineLevel="2">
      <c r="A104" s="561">
        <v>95</v>
      </c>
      <c r="B104" s="16" t="str">
        <f>'D-Strommenge ges.'!C$9</f>
        <v>Historisch</v>
      </c>
      <c r="C104" s="12" t="str">
        <f>'D-Strommenge ges.'!D$9</f>
        <v>fh</v>
      </c>
      <c r="D104" s="31" t="str">
        <f>'D-Strommenge ges.'!E$9</f>
        <v>ÜNB Jahresprognose</v>
      </c>
      <c r="E104" s="16" t="s">
        <v>12</v>
      </c>
      <c r="F104" s="918">
        <f>'D-Strommenge ges.'!G$9</f>
        <v>3.5999999999999997E-2</v>
      </c>
      <c r="G104" s="918">
        <f>'D-Strommenge ges.'!H$9</f>
        <v>6.1612E-2</v>
      </c>
      <c r="H104" s="918">
        <f>'D-Strommenge ges.'!I$9</f>
        <v>0.10724</v>
      </c>
      <c r="I104" s="918">
        <f>'D-Strommenge ges.'!J$9</f>
        <v>7.6874999999999999E-2</v>
      </c>
      <c r="J104" s="918">
        <f>'D-Strommenge ges.'!K$9</f>
        <v>0.130407</v>
      </c>
      <c r="K104" s="918">
        <f>'D-Strommenge ges.'!L$9</f>
        <v>0.15870499999999998</v>
      </c>
      <c r="L104" s="918">
        <f>'D-Strommenge ges.'!M$9</f>
        <v>0.18035599999999999</v>
      </c>
      <c r="M104" s="918">
        <f>'D-Strommenge ges.'!N$9</f>
        <v>0.189524</v>
      </c>
      <c r="N104" s="919">
        <f>'D-Strommenge ges.'!O$9</f>
        <v>0.25728000000000001</v>
      </c>
      <c r="O104" s="920">
        <f>'D-Strommenge ges.'!P$9</f>
        <v>0.28638599999999997</v>
      </c>
      <c r="P104" s="918">
        <f>'D-Strommenge ges.'!Q$9</f>
        <v>0.214729</v>
      </c>
      <c r="Q104" s="918">
        <f>'D-Strommenge ges.'!R$9</f>
        <v>0.26771400000000001</v>
      </c>
      <c r="R104" s="918">
        <f>'D-Strommenge ges.'!S$9</f>
        <v>0.34750999999999999</v>
      </c>
      <c r="S104" s="918">
        <f>'D-Strommenge ges.'!T$9</f>
        <v>0</v>
      </c>
      <c r="T104" s="918">
        <f>'D-Strommenge ges.'!U$9</f>
        <v>0</v>
      </c>
      <c r="U104" s="918">
        <f>'D-Strommenge ges.'!V$9</f>
        <v>0</v>
      </c>
      <c r="V104" s="918">
        <f>'D-Strommenge ges.'!W$9</f>
        <v>0</v>
      </c>
      <c r="W104" s="918">
        <f>'D-Strommenge ges.'!X$9</f>
        <v>0</v>
      </c>
      <c r="X104" s="918">
        <f>'D-Strommenge ges.'!Y$9</f>
        <v>0</v>
      </c>
      <c r="Y104" s="918">
        <f>'D-Strommenge ges.'!Z$9</f>
        <v>0</v>
      </c>
      <c r="Z104" s="918">
        <f>'D-Strommenge ges.'!AA$9</f>
        <v>0</v>
      </c>
      <c r="AA104" s="918">
        <f>'D-Strommenge ges.'!AB$9</f>
        <v>0</v>
      </c>
      <c r="AB104" s="918">
        <f>'D-Strommenge ges.'!AC$9</f>
        <v>0</v>
      </c>
      <c r="AC104" s="918">
        <f>'D-Strommenge ges.'!AD$9</f>
        <v>0</v>
      </c>
      <c r="AD104" s="918">
        <f>'D-Strommenge ges.'!AE$9</f>
        <v>0</v>
      </c>
      <c r="AE104" s="919">
        <f>'D-Strommenge ges.'!AF$9</f>
        <v>0</v>
      </c>
      <c r="AF104" s="940"/>
      <c r="AG104" s="940"/>
      <c r="AH104" s="1048"/>
      <c r="AI104" s="1048"/>
      <c r="AJ104" s="345"/>
    </row>
    <row r="105" spans="1:36" ht="12.75" customHeight="1" outlineLevel="2">
      <c r="A105" s="561">
        <v>96</v>
      </c>
      <c r="B105" s="16" t="str">
        <f>'D-Strommenge ges.'!C$10</f>
        <v>Historisch</v>
      </c>
      <c r="C105" s="12" t="str">
        <f>'D-Strommenge ges.'!D$10</f>
        <v>fh</v>
      </c>
      <c r="D105" s="31" t="str">
        <f>'D-Strommenge ges.'!E$10</f>
        <v>ÜNB Jahresprognose</v>
      </c>
      <c r="E105" s="16" t="s">
        <v>24</v>
      </c>
      <c r="F105" s="918">
        <f>'D-Strommenge ges.'!G$10</f>
        <v>47.704000000000001</v>
      </c>
      <c r="G105" s="918">
        <f>'D-Strommenge ges.'!H$10</f>
        <v>53.882748999999997</v>
      </c>
      <c r="H105" s="918">
        <f>'D-Strommenge ges.'!I$10</f>
        <v>50.125189999999996</v>
      </c>
      <c r="I105" s="918">
        <f>'D-Strommenge ges.'!J$10</f>
        <v>55.830889999999997</v>
      </c>
      <c r="J105" s="918">
        <f>'D-Strommenge ges.'!K$10</f>
        <v>62.190390000000001</v>
      </c>
      <c r="K105" s="918">
        <f>'D-Strommenge ges.'!L$10</f>
        <v>66.872687999999997</v>
      </c>
      <c r="L105" s="918">
        <f>'D-Strommenge ges.'!M$10</f>
        <v>75.948886000000002</v>
      </c>
      <c r="M105" s="918">
        <f>'D-Strommenge ges.'!N$10</f>
        <v>82.001902999999999</v>
      </c>
      <c r="N105" s="919">
        <f>'D-Strommenge ges.'!O$10</f>
        <v>92.724075999999997</v>
      </c>
      <c r="O105" s="920">
        <f>'D-Strommenge ges.'!P$10</f>
        <v>98.799182999999999</v>
      </c>
      <c r="P105" s="918">
        <f>'D-Strommenge ges.'!Q$10</f>
        <v>102.08820399999999</v>
      </c>
      <c r="Q105" s="918">
        <f>'D-Strommenge ges.'!R$10</f>
        <v>101.185739</v>
      </c>
      <c r="R105" s="918">
        <f>'D-Strommenge ges.'!S$10</f>
        <v>104.914812</v>
      </c>
      <c r="S105" s="918">
        <f>'D-Strommenge ges.'!T$10</f>
        <v>0</v>
      </c>
      <c r="T105" s="918">
        <f>'D-Strommenge ges.'!U$10</f>
        <v>0</v>
      </c>
      <c r="U105" s="918">
        <f>'D-Strommenge ges.'!V$10</f>
        <v>0</v>
      </c>
      <c r="V105" s="918">
        <f>'D-Strommenge ges.'!W$10</f>
        <v>0</v>
      </c>
      <c r="W105" s="918">
        <f>'D-Strommenge ges.'!X$10</f>
        <v>0</v>
      </c>
      <c r="X105" s="918">
        <f>'D-Strommenge ges.'!Y$10</f>
        <v>0</v>
      </c>
      <c r="Y105" s="918">
        <f>'D-Strommenge ges.'!Z$10</f>
        <v>0</v>
      </c>
      <c r="Z105" s="918">
        <f>'D-Strommenge ges.'!AA$10</f>
        <v>0</v>
      </c>
      <c r="AA105" s="918">
        <f>'D-Strommenge ges.'!AB$10</f>
        <v>0</v>
      </c>
      <c r="AB105" s="918">
        <f>'D-Strommenge ges.'!AC$10</f>
        <v>0</v>
      </c>
      <c r="AC105" s="918">
        <f>'D-Strommenge ges.'!AD$10</f>
        <v>0</v>
      </c>
      <c r="AD105" s="918">
        <f>'D-Strommenge ges.'!AE$10</f>
        <v>0</v>
      </c>
      <c r="AE105" s="919">
        <f>'D-Strommenge ges.'!AF$10</f>
        <v>0</v>
      </c>
      <c r="AF105" s="940"/>
      <c r="AG105" s="940"/>
      <c r="AH105" s="1048"/>
      <c r="AI105" s="1048"/>
      <c r="AJ105" s="345"/>
    </row>
    <row r="106" spans="1:36" ht="12.75" customHeight="1" outlineLevel="2">
      <c r="A106" s="561">
        <v>97</v>
      </c>
      <c r="B106" s="16" t="str">
        <f>'D-Strommenge ges.'!C$11</f>
        <v>Historisch</v>
      </c>
      <c r="C106" s="12" t="str">
        <f>'D-Strommenge ges.'!D$11</f>
        <v>fh</v>
      </c>
      <c r="D106" s="31" t="str">
        <f>'D-Strommenge ges.'!E$11</f>
        <v>ÜNB Jahresprognose</v>
      </c>
      <c r="E106" s="16" t="s">
        <v>26</v>
      </c>
      <c r="F106" s="918">
        <f>'D-Strommenge ges.'!G$11</f>
        <v>0.65400000000000003</v>
      </c>
      <c r="G106" s="918">
        <f>'D-Strommenge ges.'!H$11</f>
        <v>1.1467909999999999</v>
      </c>
      <c r="H106" s="918">
        <f>'D-Strommenge ges.'!I$11</f>
        <v>1.361415</v>
      </c>
      <c r="I106" s="918">
        <f>'D-Strommenge ges.'!J$11</f>
        <v>2.4940419999999999</v>
      </c>
      <c r="J106" s="918">
        <f>'D-Strommenge ges.'!K$11</f>
        <v>7.397958</v>
      </c>
      <c r="K106" s="918">
        <f>'D-Strommenge ges.'!L$11</f>
        <v>11.231204</v>
      </c>
      <c r="L106" s="918">
        <f>'D-Strommenge ges.'!M$11</f>
        <v>15.379543999999999</v>
      </c>
      <c r="M106" s="918">
        <f>'D-Strommenge ges.'!N$11</f>
        <v>20.033355</v>
      </c>
      <c r="N106" s="919">
        <f>'D-Strommenge ges.'!O$11</f>
        <v>22.564405999999998</v>
      </c>
      <c r="O106" s="920">
        <f>'D-Strommenge ges.'!P$11</f>
        <v>26.466161</v>
      </c>
      <c r="P106" s="918">
        <f>'D-Strommenge ges.'!Q$11</f>
        <v>29.940075999999998</v>
      </c>
      <c r="Q106" s="918">
        <f>'D-Strommenge ges.'!R$11</f>
        <v>29.638939999999998</v>
      </c>
      <c r="R106" s="918">
        <f>'D-Strommenge ges.'!S$11</f>
        <v>30.205085999999998</v>
      </c>
      <c r="S106" s="918">
        <f>'D-Strommenge ges.'!T$11</f>
        <v>0</v>
      </c>
      <c r="T106" s="918">
        <f>'D-Strommenge ges.'!U$11</f>
        <v>0</v>
      </c>
      <c r="U106" s="918">
        <f>'D-Strommenge ges.'!V$11</f>
        <v>0</v>
      </c>
      <c r="V106" s="918">
        <f>'D-Strommenge ges.'!W$11</f>
        <v>0</v>
      </c>
      <c r="W106" s="918">
        <f>'D-Strommenge ges.'!X$11</f>
        <v>0</v>
      </c>
      <c r="X106" s="918">
        <f>'D-Strommenge ges.'!Y$11</f>
        <v>0</v>
      </c>
      <c r="Y106" s="918">
        <f>'D-Strommenge ges.'!Z$11</f>
        <v>0</v>
      </c>
      <c r="Z106" s="918">
        <f>'D-Strommenge ges.'!AA$11</f>
        <v>0</v>
      </c>
      <c r="AA106" s="918">
        <f>'D-Strommenge ges.'!AB$11</f>
        <v>0</v>
      </c>
      <c r="AB106" s="918">
        <f>'D-Strommenge ges.'!AC$11</f>
        <v>0</v>
      </c>
      <c r="AC106" s="918">
        <f>'D-Strommenge ges.'!AD$11</f>
        <v>0</v>
      </c>
      <c r="AD106" s="918">
        <f>'D-Strommenge ges.'!AE$11</f>
        <v>0</v>
      </c>
      <c r="AE106" s="919">
        <f>'D-Strommenge ges.'!AF$11</f>
        <v>0</v>
      </c>
      <c r="AF106" s="940"/>
      <c r="AG106" s="940"/>
      <c r="AH106" s="1048"/>
      <c r="AI106" s="1048"/>
      <c r="AJ106" s="345"/>
    </row>
    <row r="107" spans="1:36" ht="12.75" customHeight="1" outlineLevel="2">
      <c r="A107" s="561">
        <v>98</v>
      </c>
      <c r="B107" s="303" t="str">
        <f>'D-Strommenge ges.'!C$12</f>
        <v>Historisch</v>
      </c>
      <c r="C107" s="24" t="str">
        <f>'D-Strommenge ges.'!D$12</f>
        <v>fh</v>
      </c>
      <c r="D107" s="32" t="str">
        <f>'D-Strommenge ges.'!E$12</f>
        <v>ÜNB Jahresprognose</v>
      </c>
      <c r="E107" s="303" t="s">
        <v>74</v>
      </c>
      <c r="F107" s="923">
        <f>'D-Strommenge ges.'!G$12</f>
        <v>8.2959999999999994</v>
      </c>
      <c r="G107" s="923">
        <f>'D-Strommenge ges.'!H$12</f>
        <v>19.399286999999998</v>
      </c>
      <c r="H107" s="923">
        <f>'D-Strommenge ges.'!I$12</f>
        <v>24.072319</v>
      </c>
      <c r="I107" s="923">
        <f>'D-Strommenge ges.'!J$12</f>
        <v>34.673694999999995</v>
      </c>
      <c r="J107" s="923">
        <f>'D-Strommenge ges.'!K$12</f>
        <v>36.594586999999997</v>
      </c>
      <c r="K107" s="923">
        <f>'D-Strommenge ges.'!L$12</f>
        <v>36.096958000000001</v>
      </c>
      <c r="L107" s="923">
        <f>'D-Strommenge ges.'!M$12</f>
        <v>36.82555</v>
      </c>
      <c r="M107" s="923">
        <f>'D-Strommenge ges.'!N$12</f>
        <v>36.562143999999996</v>
      </c>
      <c r="N107" s="924">
        <f>'D-Strommenge ges.'!O$12</f>
        <v>39.173614999999998</v>
      </c>
      <c r="O107" s="925">
        <f>'D-Strommenge ges.'!P$12</f>
        <v>41.877699</v>
      </c>
      <c r="P107" s="923">
        <f>'D-Strommenge ges.'!Q$12</f>
        <v>43.939245999999997</v>
      </c>
      <c r="Q107" s="923">
        <f>'D-Strommenge ges.'!R$12</f>
        <v>49.344335000000001</v>
      </c>
      <c r="R107" s="923">
        <f>'D-Strommenge ges.'!S$12</f>
        <v>58.103859999999997</v>
      </c>
      <c r="S107" s="923">
        <f>'D-Strommenge ges.'!T$12</f>
        <v>0</v>
      </c>
      <c r="T107" s="923">
        <f>'D-Strommenge ges.'!U$12</f>
        <v>0</v>
      </c>
      <c r="U107" s="923">
        <f>'D-Strommenge ges.'!V$12</f>
        <v>0</v>
      </c>
      <c r="V107" s="923">
        <f>'D-Strommenge ges.'!W$12</f>
        <v>0</v>
      </c>
      <c r="W107" s="923">
        <f>'D-Strommenge ges.'!X$12</f>
        <v>0</v>
      </c>
      <c r="X107" s="923">
        <f>'D-Strommenge ges.'!Y$12</f>
        <v>0</v>
      </c>
      <c r="Y107" s="923">
        <f>'D-Strommenge ges.'!Z$12</f>
        <v>0</v>
      </c>
      <c r="Z107" s="923">
        <f>'D-Strommenge ges.'!AA$12</f>
        <v>0</v>
      </c>
      <c r="AA107" s="923">
        <f>'D-Strommenge ges.'!AB$12</f>
        <v>0</v>
      </c>
      <c r="AB107" s="923">
        <f>'D-Strommenge ges.'!AC$12</f>
        <v>0</v>
      </c>
      <c r="AC107" s="923">
        <f>'D-Strommenge ges.'!AD$12</f>
        <v>0</v>
      </c>
      <c r="AD107" s="923">
        <f>'D-Strommenge ges.'!AE$12</f>
        <v>0</v>
      </c>
      <c r="AE107" s="924">
        <f>'D-Strommenge ges.'!AF$12</f>
        <v>0</v>
      </c>
      <c r="AF107" s="940"/>
      <c r="AG107" s="940"/>
      <c r="AH107" s="1048"/>
      <c r="AI107" s="1048"/>
      <c r="AJ107" s="345"/>
    </row>
    <row r="108" spans="1:36" s="301" customFormat="1" ht="12.75" customHeight="1" outlineLevel="1">
      <c r="A108" s="561">
        <v>99</v>
      </c>
      <c r="C108" s="10"/>
      <c r="D108" s="33"/>
      <c r="E108" s="27" t="s">
        <v>55</v>
      </c>
      <c r="F108" s="346">
        <f t="shared" ref="F108:AE108" si="0">SUM(F101:F107)</f>
        <v>90.230999999999995</v>
      </c>
      <c r="G108" s="346">
        <f t="shared" si="0"/>
        <v>110.32713299999998</v>
      </c>
      <c r="H108" s="346">
        <f t="shared" si="0"/>
        <v>113.51865999999998</v>
      </c>
      <c r="I108" s="346">
        <f t="shared" si="0"/>
        <v>134.44289299999997</v>
      </c>
      <c r="J108" s="346">
        <f t="shared" si="0"/>
        <v>149.23655299999999</v>
      </c>
      <c r="K108" s="346">
        <f t="shared" si="0"/>
        <v>160.48758199999997</v>
      </c>
      <c r="L108" s="346">
        <f t="shared" si="0"/>
        <v>176.427021</v>
      </c>
      <c r="M108" s="346">
        <f t="shared" si="0"/>
        <v>187.22620899999998</v>
      </c>
      <c r="N108" s="351">
        <f t="shared" si="0"/>
        <v>203.875407</v>
      </c>
      <c r="O108" s="346">
        <f t="shared" si="0"/>
        <v>217.00349199999999</v>
      </c>
      <c r="P108" s="346">
        <f t="shared" si="0"/>
        <v>225.61901599999999</v>
      </c>
      <c r="Q108" s="346">
        <f t="shared" si="0"/>
        <v>228.27263399999998</v>
      </c>
      <c r="R108" s="346">
        <f t="shared" si="0"/>
        <v>238.93027999999998</v>
      </c>
      <c r="S108" s="346">
        <f t="shared" si="0"/>
        <v>0</v>
      </c>
      <c r="T108" s="346">
        <f t="shared" si="0"/>
        <v>0</v>
      </c>
      <c r="U108" s="346">
        <f t="shared" si="0"/>
        <v>0</v>
      </c>
      <c r="V108" s="346">
        <f t="shared" si="0"/>
        <v>0</v>
      </c>
      <c r="W108" s="351">
        <f t="shared" si="0"/>
        <v>0</v>
      </c>
      <c r="X108" s="346">
        <f t="shared" si="0"/>
        <v>0</v>
      </c>
      <c r="Y108" s="346">
        <f t="shared" si="0"/>
        <v>0</v>
      </c>
      <c r="Z108" s="346">
        <f t="shared" si="0"/>
        <v>0</v>
      </c>
      <c r="AA108" s="346">
        <f t="shared" si="0"/>
        <v>0</v>
      </c>
      <c r="AB108" s="346">
        <f t="shared" si="0"/>
        <v>0</v>
      </c>
      <c r="AC108" s="346">
        <f t="shared" si="0"/>
        <v>0</v>
      </c>
      <c r="AD108" s="346">
        <f t="shared" si="0"/>
        <v>0</v>
      </c>
      <c r="AE108" s="346">
        <f t="shared" si="0"/>
        <v>0</v>
      </c>
      <c r="AF108" s="940"/>
      <c r="AG108" s="940"/>
      <c r="AH108" s="1048"/>
      <c r="AI108" s="1048"/>
      <c r="AJ108" s="345"/>
    </row>
    <row r="109" spans="1:36" ht="12.75" customHeight="1" outlineLevel="1">
      <c r="A109" s="561">
        <v>100</v>
      </c>
      <c r="B109" s="10"/>
      <c r="C109" s="26"/>
      <c r="D109" s="34"/>
      <c r="E109" s="10"/>
      <c r="N109" s="349"/>
      <c r="O109" s="296"/>
      <c r="AF109" s="940"/>
      <c r="AG109" s="940"/>
      <c r="AH109" s="1048"/>
      <c r="AI109" s="1048"/>
      <c r="AJ109" s="345"/>
    </row>
    <row r="110" spans="1:36" s="301" customFormat="1" ht="12.75" customHeight="1" outlineLevel="1">
      <c r="A110" s="561">
        <v>101</v>
      </c>
      <c r="C110" s="10"/>
      <c r="D110" s="33"/>
      <c r="E110" s="322" t="s">
        <v>794</v>
      </c>
      <c r="F110" s="331"/>
      <c r="G110" s="331"/>
      <c r="H110" s="331"/>
      <c r="I110" s="331"/>
      <c r="J110" s="331"/>
      <c r="K110" s="331"/>
      <c r="L110" s="331"/>
      <c r="M110" s="331"/>
      <c r="N110" s="349"/>
      <c r="O110" s="296"/>
      <c r="P110" s="331"/>
      <c r="Q110" s="331"/>
      <c r="R110" s="331"/>
      <c r="S110" s="331"/>
      <c r="T110" s="331"/>
      <c r="U110" s="331"/>
      <c r="V110" s="331"/>
      <c r="W110" s="331"/>
      <c r="X110" s="331"/>
      <c r="Y110" s="331"/>
      <c r="Z110" s="331"/>
      <c r="AA110" s="331"/>
      <c r="AB110" s="331"/>
      <c r="AC110" s="331"/>
      <c r="AD110" s="331"/>
      <c r="AE110" s="331"/>
      <c r="AF110" s="940"/>
      <c r="AG110" s="940"/>
      <c r="AH110" s="1048"/>
      <c r="AI110" s="1048"/>
      <c r="AJ110" s="340" t="s">
        <v>798</v>
      </c>
    </row>
    <row r="111" spans="1:36" s="301" customFormat="1" ht="12.75" customHeight="1" outlineLevel="2">
      <c r="A111" s="561">
        <v>102</v>
      </c>
      <c r="B111" s="321" t="str">
        <f>'D-Strommenge FV+DM'!C6</f>
        <v>Historisch</v>
      </c>
      <c r="C111" s="22" t="str">
        <f>'D-Strommenge FV+DM'!D6</f>
        <v>fh</v>
      </c>
      <c r="D111" s="30" t="str">
        <f>'D-Strommenge FV+DM'!E6</f>
        <v>ÜNB Jahresprognose</v>
      </c>
      <c r="E111" s="321" t="s">
        <v>25</v>
      </c>
      <c r="F111" s="915">
        <f>'D-Strommenge FV+DM'!G6</f>
        <v>5.444</v>
      </c>
      <c r="G111" s="915">
        <f>'D-Strommenge FV+DM'!H6</f>
        <v>2.0696829999999999</v>
      </c>
      <c r="H111" s="915">
        <f>'D-Strommenge FV+DM'!I6</f>
        <v>2.6419329999999999</v>
      </c>
      <c r="I111" s="915">
        <f>'D-Strommenge FV+DM'!J6</f>
        <v>1.4335309999999999</v>
      </c>
      <c r="J111" s="915">
        <f>'D-Strommenge FV+DM'!K6</f>
        <v>2.6266479999999999</v>
      </c>
      <c r="K111" s="915">
        <f>'D-Strommenge FV+DM'!L6</f>
        <v>2.5155029999999998</v>
      </c>
      <c r="L111" s="915">
        <f>'D-Strommenge FV+DM'!M6</f>
        <v>2.4509639999999999</v>
      </c>
      <c r="M111" s="915">
        <f>'D-Strommenge FV+DM'!N6</f>
        <v>3.2915449999999997</v>
      </c>
      <c r="N111" s="916">
        <f>'D-Strommenge FV+DM'!O6</f>
        <v>2.4494499999999997</v>
      </c>
      <c r="O111" s="917">
        <f>'D-Strommenge FV+DM'!P6</f>
        <v>2.4839579999999999</v>
      </c>
      <c r="P111" s="915">
        <f>'D-Strommenge FV+DM'!Q6</f>
        <v>2.2986149999999999</v>
      </c>
      <c r="Q111" s="915">
        <f>'D-Strommenge FV+DM'!R6</f>
        <v>2.250448</v>
      </c>
      <c r="R111" s="915">
        <f>'D-Strommenge FV+DM'!S6</f>
        <v>2.0937030000000001</v>
      </c>
      <c r="S111" s="915">
        <f>'D-Strommenge FV+DM'!T6</f>
        <v>0</v>
      </c>
      <c r="T111" s="915">
        <f>'D-Strommenge FV+DM'!U6</f>
        <v>0</v>
      </c>
      <c r="U111" s="915">
        <f>'D-Strommenge FV+DM'!V6</f>
        <v>0</v>
      </c>
      <c r="V111" s="915">
        <f>'D-Strommenge FV+DM'!W6</f>
        <v>0</v>
      </c>
      <c r="W111" s="915">
        <f>'D-Strommenge FV+DM'!X6</f>
        <v>0</v>
      </c>
      <c r="X111" s="915">
        <f>'D-Strommenge FV+DM'!Y6</f>
        <v>0</v>
      </c>
      <c r="Y111" s="915">
        <f>'D-Strommenge FV+DM'!Z6</f>
        <v>0</v>
      </c>
      <c r="Z111" s="915">
        <f>'D-Strommenge FV+DM'!AA6</f>
        <v>0</v>
      </c>
      <c r="AA111" s="915">
        <f>'D-Strommenge FV+DM'!AB6</f>
        <v>0</v>
      </c>
      <c r="AB111" s="915">
        <f>'D-Strommenge FV+DM'!AC6</f>
        <v>0</v>
      </c>
      <c r="AC111" s="915">
        <f>'D-Strommenge FV+DM'!AD6</f>
        <v>0</v>
      </c>
      <c r="AD111" s="915">
        <f>'D-Strommenge FV+DM'!AE6</f>
        <v>0</v>
      </c>
      <c r="AE111" s="916">
        <f>'D-Strommenge FV+DM'!AF6</f>
        <v>0</v>
      </c>
      <c r="AF111" s="940"/>
      <c r="AG111" s="940"/>
      <c r="AH111" s="1048"/>
      <c r="AI111" s="1048"/>
      <c r="AJ111" s="340" t="s">
        <v>798</v>
      </c>
    </row>
    <row r="112" spans="1:36" s="301" customFormat="1" ht="12.75" customHeight="1" outlineLevel="2">
      <c r="A112" s="561">
        <v>103</v>
      </c>
      <c r="B112" s="16" t="str">
        <f>'D-Strommenge FV+DM'!C7</f>
        <v>Historisch</v>
      </c>
      <c r="C112" s="12" t="str">
        <f>'D-Strommenge FV+DM'!D7</f>
        <v>fh</v>
      </c>
      <c r="D112" s="31" t="str">
        <f>'D-Strommenge FV+DM'!E7</f>
        <v>ÜNB Jahresprognose</v>
      </c>
      <c r="E112" s="16" t="s">
        <v>50</v>
      </c>
      <c r="F112" s="918">
        <f>'D-Strommenge FV+DM'!G7</f>
        <v>1.835</v>
      </c>
      <c r="G112" s="918">
        <f>'D-Strommenge FV+DM'!H7</f>
        <v>0.19930099999999998</v>
      </c>
      <c r="H112" s="918">
        <f>'D-Strommenge FV+DM'!I7</f>
        <v>0.434035</v>
      </c>
      <c r="I112" s="918">
        <f>'D-Strommenge FV+DM'!J7</f>
        <v>0.26808399999999999</v>
      </c>
      <c r="J112" s="918">
        <f>'D-Strommenge FV+DM'!K7</f>
        <v>0.274088</v>
      </c>
      <c r="K112" s="918">
        <f>'D-Strommenge FV+DM'!L7</f>
        <v>0.72458999999999996</v>
      </c>
      <c r="L112" s="918">
        <f>'D-Strommenge FV+DM'!M7</f>
        <v>0.67505300000000001</v>
      </c>
      <c r="M112" s="918">
        <f>'D-Strommenge FV+DM'!N7</f>
        <v>0.48945699999999998</v>
      </c>
      <c r="N112" s="919">
        <f>'D-Strommenge FV+DM'!O7</f>
        <v>0.40027299999999999</v>
      </c>
      <c r="O112" s="920">
        <f>'D-Strommenge FV+DM'!P7</f>
        <v>0.30525099999999999</v>
      </c>
      <c r="P112" s="918">
        <f>'D-Strommenge FV+DM'!Q7</f>
        <v>0.23846799999999999</v>
      </c>
      <c r="Q112" s="918">
        <f>'D-Strommenge FV+DM'!R7</f>
        <v>0.12540099999999998</v>
      </c>
      <c r="R112" s="918">
        <f>'D-Strommenge FV+DM'!S7</f>
        <v>0.116991</v>
      </c>
      <c r="S112" s="918">
        <f>'D-Strommenge FV+DM'!T7</f>
        <v>0</v>
      </c>
      <c r="T112" s="918">
        <f>'D-Strommenge FV+DM'!U7</f>
        <v>0</v>
      </c>
      <c r="U112" s="918">
        <f>'D-Strommenge FV+DM'!V7</f>
        <v>0</v>
      </c>
      <c r="V112" s="918">
        <f>'D-Strommenge FV+DM'!W7</f>
        <v>0</v>
      </c>
      <c r="W112" s="918">
        <f>'D-Strommenge FV+DM'!X7</f>
        <v>0</v>
      </c>
      <c r="X112" s="918">
        <f>'D-Strommenge FV+DM'!Y7</f>
        <v>0</v>
      </c>
      <c r="Y112" s="918">
        <f>'D-Strommenge FV+DM'!Z7</f>
        <v>0</v>
      </c>
      <c r="Z112" s="918">
        <f>'D-Strommenge FV+DM'!AA7</f>
        <v>0</v>
      </c>
      <c r="AA112" s="918">
        <f>'D-Strommenge FV+DM'!AB7</f>
        <v>0</v>
      </c>
      <c r="AB112" s="918">
        <f>'D-Strommenge FV+DM'!AC7</f>
        <v>0</v>
      </c>
      <c r="AC112" s="918">
        <f>'D-Strommenge FV+DM'!AD7</f>
        <v>0</v>
      </c>
      <c r="AD112" s="918">
        <f>'D-Strommenge FV+DM'!AE7</f>
        <v>0</v>
      </c>
      <c r="AE112" s="919">
        <f>'D-Strommenge FV+DM'!AF7</f>
        <v>0</v>
      </c>
      <c r="AF112" s="940"/>
      <c r="AG112" s="940"/>
      <c r="AH112" s="1048"/>
      <c r="AI112" s="1048"/>
      <c r="AJ112" s="340" t="s">
        <v>798</v>
      </c>
    </row>
    <row r="113" spans="1:36" s="301" customFormat="1" ht="12.75" customHeight="1" outlineLevel="2">
      <c r="A113" s="561">
        <v>104</v>
      </c>
      <c r="B113" s="16" t="str">
        <f>'D-Strommenge FV+DM'!C8</f>
        <v>Historisch</v>
      </c>
      <c r="C113" s="12" t="str">
        <f>'D-Strommenge FV+DM'!D8</f>
        <v>fh</v>
      </c>
      <c r="D113" s="31" t="str">
        <f>'D-Strommenge FV+DM'!E8</f>
        <v>ÜNB Jahresprognose</v>
      </c>
      <c r="E113" s="16" t="s">
        <v>13</v>
      </c>
      <c r="F113" s="918">
        <f>'D-Strommenge FV+DM'!G8</f>
        <v>26.262</v>
      </c>
      <c r="G113" s="918">
        <f>'D-Strommenge FV+DM'!H8</f>
        <v>24.314577</v>
      </c>
      <c r="H113" s="918">
        <f>'D-Strommenge FV+DM'!I8</f>
        <v>23.696601999999999</v>
      </c>
      <c r="I113" s="918">
        <f>'D-Strommenge FV+DM'!J8</f>
        <v>11.950588999999999</v>
      </c>
      <c r="J113" s="918">
        <f>'D-Strommenge FV+DM'!K8</f>
        <v>12.996518</v>
      </c>
      <c r="K113" s="918">
        <f>'D-Strommenge FV+DM'!L8</f>
        <v>9.971876</v>
      </c>
      <c r="L113" s="918">
        <f>'D-Strommenge FV+DM'!M8</f>
        <v>11.098848</v>
      </c>
      <c r="M113" s="918">
        <f>'D-Strommenge FV+DM'!N8</f>
        <v>9.7514399999999988</v>
      </c>
      <c r="N113" s="919">
        <f>'D-Strommenge FV+DM'!O8</f>
        <v>10.333107999999999</v>
      </c>
      <c r="O113" s="920">
        <f>'D-Strommenge FV+DM'!P8</f>
        <v>9.4306009999999993</v>
      </c>
      <c r="P113" s="918">
        <f>'D-Strommenge FV+DM'!Q8</f>
        <v>7.5909040000000001</v>
      </c>
      <c r="Q113" s="918">
        <f>'D-Strommenge FV+DM'!R8</f>
        <v>6.6323159999999994</v>
      </c>
      <c r="R113" s="918">
        <f>'D-Strommenge FV+DM'!S8</f>
        <v>5.1455299999999999</v>
      </c>
      <c r="S113" s="918">
        <f>'D-Strommenge FV+DM'!T8</f>
        <v>0</v>
      </c>
      <c r="T113" s="918">
        <f>'D-Strommenge FV+DM'!U8</f>
        <v>0</v>
      </c>
      <c r="U113" s="918">
        <f>'D-Strommenge FV+DM'!V8</f>
        <v>0</v>
      </c>
      <c r="V113" s="918">
        <f>'D-Strommenge FV+DM'!W8</f>
        <v>0</v>
      </c>
      <c r="W113" s="918">
        <f>'D-Strommenge FV+DM'!X8</f>
        <v>0</v>
      </c>
      <c r="X113" s="918">
        <f>'D-Strommenge FV+DM'!Y8</f>
        <v>0</v>
      </c>
      <c r="Y113" s="918">
        <f>'D-Strommenge FV+DM'!Z8</f>
        <v>0</v>
      </c>
      <c r="Z113" s="918">
        <f>'D-Strommenge FV+DM'!AA8</f>
        <v>0</v>
      </c>
      <c r="AA113" s="918">
        <f>'D-Strommenge FV+DM'!AB8</f>
        <v>0</v>
      </c>
      <c r="AB113" s="918">
        <f>'D-Strommenge FV+DM'!AC8</f>
        <v>0</v>
      </c>
      <c r="AC113" s="918">
        <f>'D-Strommenge FV+DM'!AD8</f>
        <v>0</v>
      </c>
      <c r="AD113" s="918">
        <f>'D-Strommenge FV+DM'!AE8</f>
        <v>0</v>
      </c>
      <c r="AE113" s="919">
        <f>'D-Strommenge FV+DM'!AF8</f>
        <v>0</v>
      </c>
      <c r="AF113" s="940"/>
      <c r="AG113" s="940"/>
      <c r="AH113" s="1048"/>
      <c r="AI113" s="1048"/>
      <c r="AJ113" s="340" t="s">
        <v>798</v>
      </c>
    </row>
    <row r="114" spans="1:36" s="301" customFormat="1" ht="12.75" customHeight="1" outlineLevel="2">
      <c r="A114" s="561">
        <v>105</v>
      </c>
      <c r="B114" s="16" t="str">
        <f>'D-Strommenge FV+DM'!C9</f>
        <v>Historisch</v>
      </c>
      <c r="C114" s="12" t="str">
        <f>'D-Strommenge FV+DM'!D9</f>
        <v>fh</v>
      </c>
      <c r="D114" s="31" t="str">
        <f>'D-Strommenge FV+DM'!E9</f>
        <v>ÜNB Jahresprognose</v>
      </c>
      <c r="E114" s="16" t="s">
        <v>12</v>
      </c>
      <c r="F114" s="918">
        <f>'D-Strommenge FV+DM'!G9</f>
        <v>3.5999999999999997E-2</v>
      </c>
      <c r="G114" s="918">
        <f>'D-Strommenge FV+DM'!H9</f>
        <v>6.1612E-2</v>
      </c>
      <c r="H114" s="918">
        <f>'D-Strommenge FV+DM'!I9</f>
        <v>9.0604999999999991E-2</v>
      </c>
      <c r="I114" s="918">
        <f>'D-Strommenge FV+DM'!J9</f>
        <v>7.6874999999999999E-2</v>
      </c>
      <c r="J114" s="918">
        <f>'D-Strommenge FV+DM'!K9</f>
        <v>0.113607</v>
      </c>
      <c r="K114" s="918">
        <f>'D-Strommenge FV+DM'!L9</f>
        <v>7.9647999999999997E-2</v>
      </c>
      <c r="L114" s="918">
        <f>'D-Strommenge FV+DM'!M9</f>
        <v>8.2011000000000001E-2</v>
      </c>
      <c r="M114" s="918">
        <f>'D-Strommenge FV+DM'!N9</f>
        <v>8.3442999999999989E-2</v>
      </c>
      <c r="N114" s="919">
        <f>'D-Strommenge FV+DM'!O9</f>
        <v>3.2674000000000002E-2</v>
      </c>
      <c r="O114" s="920">
        <f>'D-Strommenge FV+DM'!P9</f>
        <v>5.3082999999999998E-2</v>
      </c>
      <c r="P114" s="918">
        <f>'D-Strommenge FV+DM'!Q9</f>
        <v>7.8399999999999997E-3</v>
      </c>
      <c r="Q114" s="918">
        <f>'D-Strommenge FV+DM'!R9</f>
        <v>1.1445E-2</v>
      </c>
      <c r="R114" s="918">
        <f>'D-Strommenge FV+DM'!S9</f>
        <v>1.609E-2</v>
      </c>
      <c r="S114" s="918">
        <f>'D-Strommenge FV+DM'!T9</f>
        <v>0</v>
      </c>
      <c r="T114" s="918">
        <f>'D-Strommenge FV+DM'!U9</f>
        <v>0</v>
      </c>
      <c r="U114" s="918">
        <f>'D-Strommenge FV+DM'!V9</f>
        <v>0</v>
      </c>
      <c r="V114" s="918">
        <f>'D-Strommenge FV+DM'!W9</f>
        <v>0</v>
      </c>
      <c r="W114" s="918">
        <f>'D-Strommenge FV+DM'!X9</f>
        <v>0</v>
      </c>
      <c r="X114" s="918">
        <f>'D-Strommenge FV+DM'!Y9</f>
        <v>0</v>
      </c>
      <c r="Y114" s="918">
        <f>'D-Strommenge FV+DM'!Z9</f>
        <v>0</v>
      </c>
      <c r="Z114" s="918">
        <f>'D-Strommenge FV+DM'!AA9</f>
        <v>0</v>
      </c>
      <c r="AA114" s="918">
        <f>'D-Strommenge FV+DM'!AB9</f>
        <v>0</v>
      </c>
      <c r="AB114" s="918">
        <f>'D-Strommenge FV+DM'!AC9</f>
        <v>0</v>
      </c>
      <c r="AC114" s="918">
        <f>'D-Strommenge FV+DM'!AD9</f>
        <v>0</v>
      </c>
      <c r="AD114" s="918">
        <f>'D-Strommenge FV+DM'!AE9</f>
        <v>0</v>
      </c>
      <c r="AE114" s="919">
        <f>'D-Strommenge FV+DM'!AF9</f>
        <v>0</v>
      </c>
      <c r="AF114" s="940"/>
      <c r="AG114" s="940"/>
      <c r="AH114" s="1048"/>
      <c r="AI114" s="1048"/>
      <c r="AJ114" s="340" t="s">
        <v>798</v>
      </c>
    </row>
    <row r="115" spans="1:36" s="301" customFormat="1" ht="12.75" customHeight="1" outlineLevel="2">
      <c r="A115" s="561">
        <v>106</v>
      </c>
      <c r="B115" s="16" t="str">
        <f>'D-Strommenge FV+DM'!C10</f>
        <v>Historisch</v>
      </c>
      <c r="C115" s="12" t="str">
        <f>'D-Strommenge FV+DM'!D10</f>
        <v>fh</v>
      </c>
      <c r="D115" s="31" t="str">
        <f>'D-Strommenge FV+DM'!E10</f>
        <v>ÜNB Jahresprognose</v>
      </c>
      <c r="E115" s="16" t="s">
        <v>24</v>
      </c>
      <c r="F115" s="918">
        <f>'D-Strommenge FV+DM'!G10</f>
        <v>47.704000000000001</v>
      </c>
      <c r="G115" s="918">
        <f>'D-Strommenge FV+DM'!H10</f>
        <v>50.803851999999999</v>
      </c>
      <c r="H115" s="918">
        <f>'D-Strommenge FV+DM'!I10</f>
        <v>41.210659</v>
      </c>
      <c r="I115" s="918">
        <f>'D-Strommenge FV+DM'!J10</f>
        <v>8.037706</v>
      </c>
      <c r="J115" s="918">
        <f>'D-Strommenge FV+DM'!K10</f>
        <v>8.9237459999999995</v>
      </c>
      <c r="K115" s="918">
        <f>'D-Strommenge FV+DM'!L10</f>
        <v>9.3738069999999993</v>
      </c>
      <c r="L115" s="918">
        <f>'D-Strommenge FV+DM'!M10</f>
        <v>8.1825499999999991</v>
      </c>
      <c r="M115" s="918">
        <f>'D-Strommenge FV+DM'!N10</f>
        <v>6.2020169999999997</v>
      </c>
      <c r="N115" s="919">
        <f>'D-Strommenge FV+DM'!O10</f>
        <v>4.9509549999999996</v>
      </c>
      <c r="O115" s="920">
        <f>'D-Strommenge FV+DM'!P10</f>
        <v>3.3705379999999998</v>
      </c>
      <c r="P115" s="918">
        <f>'D-Strommenge FV+DM'!Q10</f>
        <v>3.5940459999999996</v>
      </c>
      <c r="Q115" s="918">
        <f>'D-Strommenge FV+DM'!R10</f>
        <v>2.3290289999999998</v>
      </c>
      <c r="R115" s="918">
        <f>'D-Strommenge FV+DM'!S10</f>
        <v>2.3377460000000001</v>
      </c>
      <c r="S115" s="918">
        <f>'D-Strommenge FV+DM'!T10</f>
        <v>0</v>
      </c>
      <c r="T115" s="918">
        <f>'D-Strommenge FV+DM'!U10</f>
        <v>0</v>
      </c>
      <c r="U115" s="918">
        <f>'D-Strommenge FV+DM'!V10</f>
        <v>0</v>
      </c>
      <c r="V115" s="918">
        <f>'D-Strommenge FV+DM'!W10</f>
        <v>0</v>
      </c>
      <c r="W115" s="918">
        <f>'D-Strommenge FV+DM'!X10</f>
        <v>0</v>
      </c>
      <c r="X115" s="918">
        <f>'D-Strommenge FV+DM'!Y10</f>
        <v>0</v>
      </c>
      <c r="Y115" s="918">
        <f>'D-Strommenge FV+DM'!Z10</f>
        <v>0</v>
      </c>
      <c r="Z115" s="918">
        <f>'D-Strommenge FV+DM'!AA10</f>
        <v>0</v>
      </c>
      <c r="AA115" s="918">
        <f>'D-Strommenge FV+DM'!AB10</f>
        <v>0</v>
      </c>
      <c r="AB115" s="918">
        <f>'D-Strommenge FV+DM'!AC10</f>
        <v>0</v>
      </c>
      <c r="AC115" s="918">
        <f>'D-Strommenge FV+DM'!AD10</f>
        <v>0</v>
      </c>
      <c r="AD115" s="918">
        <f>'D-Strommenge FV+DM'!AE10</f>
        <v>0</v>
      </c>
      <c r="AE115" s="919">
        <f>'D-Strommenge FV+DM'!AF10</f>
        <v>0</v>
      </c>
      <c r="AF115" s="940"/>
      <c r="AG115" s="940"/>
      <c r="AH115" s="1048"/>
      <c r="AI115" s="1048"/>
      <c r="AJ115" s="340" t="s">
        <v>798</v>
      </c>
    </row>
    <row r="116" spans="1:36" s="301" customFormat="1" ht="12.75" customHeight="1" outlineLevel="2">
      <c r="A116" s="561">
        <v>107</v>
      </c>
      <c r="B116" s="16" t="str">
        <f>'D-Strommenge FV+DM'!C11</f>
        <v>Historisch</v>
      </c>
      <c r="C116" s="12" t="str">
        <f>'D-Strommenge FV+DM'!D11</f>
        <v>fh</v>
      </c>
      <c r="D116" s="31" t="str">
        <f>'D-Strommenge FV+DM'!E11</f>
        <v>ÜNB Jahresprognose</v>
      </c>
      <c r="E116" s="16" t="s">
        <v>26</v>
      </c>
      <c r="F116" s="918">
        <f>'D-Strommenge FV+DM'!G11</f>
        <v>0.65400000000000003</v>
      </c>
      <c r="G116" s="918">
        <f>'D-Strommenge FV+DM'!H11</f>
        <v>1.1467909999999999</v>
      </c>
      <c r="H116" s="918">
        <f>'D-Strommenge FV+DM'!I11</f>
        <v>0.91880899999999999</v>
      </c>
      <c r="I116" s="918">
        <f>'D-Strommenge FV+DM'!J11</f>
        <v>0</v>
      </c>
      <c r="J116" s="918">
        <f>'D-Strommenge FV+DM'!K11</f>
        <v>0</v>
      </c>
      <c r="K116" s="918">
        <f>'D-Strommenge FV+DM'!L11</f>
        <v>0</v>
      </c>
      <c r="L116" s="918">
        <f>'D-Strommenge FV+DM'!M11</f>
        <v>0</v>
      </c>
      <c r="M116" s="918">
        <f>'D-Strommenge FV+DM'!N11</f>
        <v>0</v>
      </c>
      <c r="N116" s="919">
        <f>'D-Strommenge FV+DM'!O11</f>
        <v>0</v>
      </c>
      <c r="O116" s="920">
        <f>'D-Strommenge FV+DM'!P11</f>
        <v>0</v>
      </c>
      <c r="P116" s="918">
        <f>'D-Strommenge FV+DM'!Q11</f>
        <v>0</v>
      </c>
      <c r="Q116" s="918">
        <f>'D-Strommenge FV+DM'!R11</f>
        <v>0</v>
      </c>
      <c r="R116" s="918">
        <f>'D-Strommenge FV+DM'!S11</f>
        <v>0</v>
      </c>
      <c r="S116" s="918">
        <f>'D-Strommenge FV+DM'!T11</f>
        <v>0</v>
      </c>
      <c r="T116" s="918">
        <f>'D-Strommenge FV+DM'!U11</f>
        <v>0</v>
      </c>
      <c r="U116" s="918">
        <f>'D-Strommenge FV+DM'!V11</f>
        <v>0</v>
      </c>
      <c r="V116" s="918">
        <f>'D-Strommenge FV+DM'!W11</f>
        <v>0</v>
      </c>
      <c r="W116" s="918">
        <f>'D-Strommenge FV+DM'!X11</f>
        <v>0</v>
      </c>
      <c r="X116" s="918">
        <f>'D-Strommenge FV+DM'!Y11</f>
        <v>0</v>
      </c>
      <c r="Y116" s="918">
        <f>'D-Strommenge FV+DM'!Z11</f>
        <v>0</v>
      </c>
      <c r="Z116" s="918">
        <f>'D-Strommenge FV+DM'!AA11</f>
        <v>0</v>
      </c>
      <c r="AA116" s="918">
        <f>'D-Strommenge FV+DM'!AB11</f>
        <v>0</v>
      </c>
      <c r="AB116" s="918">
        <f>'D-Strommenge FV+DM'!AC11</f>
        <v>0</v>
      </c>
      <c r="AC116" s="918">
        <f>'D-Strommenge FV+DM'!AD11</f>
        <v>0</v>
      </c>
      <c r="AD116" s="918">
        <f>'D-Strommenge FV+DM'!AE11</f>
        <v>0</v>
      </c>
      <c r="AE116" s="919">
        <f>'D-Strommenge FV+DM'!AF11</f>
        <v>0</v>
      </c>
      <c r="AF116" s="940"/>
      <c r="AG116" s="940"/>
      <c r="AH116" s="1048"/>
      <c r="AI116" s="1048"/>
      <c r="AJ116" s="340" t="s">
        <v>798</v>
      </c>
    </row>
    <row r="117" spans="1:36" s="301" customFormat="1" ht="12.75" customHeight="1" outlineLevel="2">
      <c r="A117" s="561">
        <v>108</v>
      </c>
      <c r="B117" s="303" t="str">
        <f>'D-Strommenge FV+DM'!C12</f>
        <v>Historisch</v>
      </c>
      <c r="C117" s="24" t="str">
        <f>'D-Strommenge FV+DM'!D12</f>
        <v>fh</v>
      </c>
      <c r="D117" s="32" t="str">
        <f>'D-Strommenge FV+DM'!E12</f>
        <v>ÜNB Jahresprognose</v>
      </c>
      <c r="E117" s="303" t="s">
        <v>74</v>
      </c>
      <c r="F117" s="923">
        <f>'D-Strommenge FV+DM'!G12</f>
        <v>8.2959999999999994</v>
      </c>
      <c r="G117" s="923">
        <f>'D-Strommenge FV+DM'!H12</f>
        <v>19.399286999999998</v>
      </c>
      <c r="H117" s="923">
        <f>'D-Strommenge FV+DM'!I12</f>
        <v>22.864761999999999</v>
      </c>
      <c r="I117" s="923">
        <f>'D-Strommenge FV+DM'!J12</f>
        <v>29.414850999999999</v>
      </c>
      <c r="J117" s="923">
        <f>'D-Strommenge FV+DM'!K12</f>
        <v>28.987663999999999</v>
      </c>
      <c r="K117" s="923">
        <f>'D-Strommenge FV+DM'!L12</f>
        <v>27.794584999999998</v>
      </c>
      <c r="L117" s="923">
        <f>'D-Strommenge FV+DM'!M12</f>
        <v>27.602309999999999</v>
      </c>
      <c r="M117" s="923">
        <f>'D-Strommenge FV+DM'!N12</f>
        <v>26.451788999999998</v>
      </c>
      <c r="N117" s="924">
        <f>'D-Strommenge FV+DM'!O12</f>
        <v>27.684709999999999</v>
      </c>
      <c r="O117" s="925">
        <f>'D-Strommenge FV+DM'!P12</f>
        <v>26.884110999999997</v>
      </c>
      <c r="P117" s="923">
        <f>'D-Strommenge FV+DM'!Q12</f>
        <v>27.468408</v>
      </c>
      <c r="Q117" s="923">
        <f>'D-Strommenge FV+DM'!R12</f>
        <v>28.536632999999998</v>
      </c>
      <c r="R117" s="923">
        <f>'D-Strommenge FV+DM'!S12</f>
        <v>30.851247999999998</v>
      </c>
      <c r="S117" s="923">
        <f>'D-Strommenge FV+DM'!T12</f>
        <v>0</v>
      </c>
      <c r="T117" s="923">
        <f>'D-Strommenge FV+DM'!U12</f>
        <v>0</v>
      </c>
      <c r="U117" s="923">
        <f>'D-Strommenge FV+DM'!V12</f>
        <v>0</v>
      </c>
      <c r="V117" s="923">
        <f>'D-Strommenge FV+DM'!W12</f>
        <v>0</v>
      </c>
      <c r="W117" s="923">
        <f>'D-Strommenge FV+DM'!X12</f>
        <v>0</v>
      </c>
      <c r="X117" s="923">
        <f>'D-Strommenge FV+DM'!Y12</f>
        <v>0</v>
      </c>
      <c r="Y117" s="923">
        <f>'D-Strommenge FV+DM'!Z12</f>
        <v>0</v>
      </c>
      <c r="Z117" s="923">
        <f>'D-Strommenge FV+DM'!AA12</f>
        <v>0</v>
      </c>
      <c r="AA117" s="923">
        <f>'D-Strommenge FV+DM'!AB12</f>
        <v>0</v>
      </c>
      <c r="AB117" s="923">
        <f>'D-Strommenge FV+DM'!AC12</f>
        <v>0</v>
      </c>
      <c r="AC117" s="923">
        <f>'D-Strommenge FV+DM'!AD12</f>
        <v>0</v>
      </c>
      <c r="AD117" s="923">
        <f>'D-Strommenge FV+DM'!AE12</f>
        <v>0</v>
      </c>
      <c r="AE117" s="924">
        <f>'D-Strommenge FV+DM'!AF12</f>
        <v>0</v>
      </c>
      <c r="AF117" s="940"/>
      <c r="AG117" s="940"/>
      <c r="AH117" s="1048"/>
      <c r="AI117" s="1048"/>
      <c r="AJ117" s="340" t="s">
        <v>798</v>
      </c>
    </row>
    <row r="118" spans="1:36" s="301" customFormat="1" ht="12.75" customHeight="1" outlineLevel="1">
      <c r="A118" s="561">
        <v>109</v>
      </c>
      <c r="C118" s="10"/>
      <c r="D118" s="33"/>
      <c r="E118" s="27" t="s">
        <v>55</v>
      </c>
      <c r="F118" s="346">
        <f t="shared" ref="F118:AE118" si="1">SUM(F111:F117)</f>
        <v>90.230999999999995</v>
      </c>
      <c r="G118" s="346">
        <f t="shared" si="1"/>
        <v>97.995103</v>
      </c>
      <c r="H118" s="346">
        <f t="shared" si="1"/>
        <v>91.857405</v>
      </c>
      <c r="I118" s="346">
        <f t="shared" si="1"/>
        <v>51.181635999999997</v>
      </c>
      <c r="J118" s="346">
        <f t="shared" si="1"/>
        <v>53.922270999999995</v>
      </c>
      <c r="K118" s="346">
        <f t="shared" si="1"/>
        <v>50.460008999999999</v>
      </c>
      <c r="L118" s="346">
        <f t="shared" si="1"/>
        <v>50.091735999999997</v>
      </c>
      <c r="M118" s="346">
        <f t="shared" si="1"/>
        <v>46.269690999999995</v>
      </c>
      <c r="N118" s="351">
        <f t="shared" si="1"/>
        <v>45.851169999999996</v>
      </c>
      <c r="O118" s="346">
        <f t="shared" si="1"/>
        <v>42.527541999999997</v>
      </c>
      <c r="P118" s="346">
        <f t="shared" si="1"/>
        <v>41.198281000000001</v>
      </c>
      <c r="Q118" s="346">
        <f t="shared" si="1"/>
        <v>39.885272000000001</v>
      </c>
      <c r="R118" s="346">
        <f t="shared" si="1"/>
        <v>40.561307999999997</v>
      </c>
      <c r="S118" s="346">
        <f t="shared" si="1"/>
        <v>0</v>
      </c>
      <c r="T118" s="346">
        <f t="shared" si="1"/>
        <v>0</v>
      </c>
      <c r="U118" s="346">
        <f t="shared" si="1"/>
        <v>0</v>
      </c>
      <c r="V118" s="346">
        <f t="shared" si="1"/>
        <v>0</v>
      </c>
      <c r="W118" s="351">
        <f t="shared" si="1"/>
        <v>0</v>
      </c>
      <c r="X118" s="346">
        <f t="shared" si="1"/>
        <v>0</v>
      </c>
      <c r="Y118" s="346">
        <f t="shared" si="1"/>
        <v>0</v>
      </c>
      <c r="Z118" s="346">
        <f t="shared" si="1"/>
        <v>0</v>
      </c>
      <c r="AA118" s="346">
        <f t="shared" si="1"/>
        <v>0</v>
      </c>
      <c r="AB118" s="346">
        <f t="shared" si="1"/>
        <v>0</v>
      </c>
      <c r="AC118" s="346">
        <f t="shared" si="1"/>
        <v>0</v>
      </c>
      <c r="AD118" s="346">
        <f t="shared" si="1"/>
        <v>0</v>
      </c>
      <c r="AE118" s="346">
        <f t="shared" si="1"/>
        <v>0</v>
      </c>
      <c r="AF118" s="940"/>
      <c r="AG118" s="940"/>
      <c r="AH118" s="1048"/>
      <c r="AI118" s="1048"/>
      <c r="AJ118" s="340" t="s">
        <v>798</v>
      </c>
    </row>
    <row r="119" spans="1:36" s="301" customFormat="1" ht="12.75" customHeight="1" outlineLevel="1">
      <c r="A119" s="561">
        <v>110</v>
      </c>
      <c r="C119" s="10"/>
      <c r="D119" s="33"/>
      <c r="F119" s="331"/>
      <c r="G119" s="331"/>
      <c r="H119" s="331"/>
      <c r="I119" s="331"/>
      <c r="J119" s="331"/>
      <c r="K119" s="331"/>
      <c r="L119" s="331"/>
      <c r="M119" s="331"/>
      <c r="N119" s="349"/>
      <c r="O119" s="296"/>
      <c r="P119" s="331"/>
      <c r="Q119" s="331"/>
      <c r="R119" s="331"/>
      <c r="S119" s="331"/>
      <c r="T119" s="331"/>
      <c r="U119" s="331"/>
      <c r="V119" s="331"/>
      <c r="W119" s="331"/>
      <c r="X119" s="331"/>
      <c r="Y119" s="331"/>
      <c r="Z119" s="331"/>
      <c r="AA119" s="331"/>
      <c r="AB119" s="331"/>
      <c r="AC119" s="331"/>
      <c r="AD119" s="331"/>
      <c r="AE119" s="331"/>
      <c r="AF119" s="940"/>
      <c r="AG119" s="940"/>
      <c r="AH119" s="1048"/>
      <c r="AI119" s="1048"/>
      <c r="AJ119" s="345"/>
    </row>
    <row r="120" spans="1:36" s="301" customFormat="1" ht="12.75" customHeight="1" outlineLevel="1">
      <c r="A120" s="561" t="s">
        <v>810</v>
      </c>
      <c r="C120" s="10"/>
      <c r="D120" s="33"/>
      <c r="E120" s="322" t="s">
        <v>795</v>
      </c>
      <c r="F120" s="331"/>
      <c r="G120" s="331"/>
      <c r="H120" s="331"/>
      <c r="I120" s="331"/>
      <c r="J120" s="331"/>
      <c r="K120" s="331"/>
      <c r="L120" s="331"/>
      <c r="M120" s="331"/>
      <c r="N120" s="349"/>
      <c r="O120" s="296"/>
      <c r="P120" s="331"/>
      <c r="Q120" s="331"/>
      <c r="R120" s="331"/>
      <c r="S120" s="331"/>
      <c r="T120" s="331"/>
      <c r="U120" s="331"/>
      <c r="V120" s="331"/>
      <c r="W120" s="331"/>
      <c r="X120" s="331"/>
      <c r="Y120" s="331"/>
      <c r="Z120" s="331"/>
      <c r="AA120" s="331"/>
      <c r="AB120" s="331"/>
      <c r="AC120" s="331"/>
      <c r="AD120" s="331"/>
      <c r="AE120" s="331"/>
      <c r="AF120" s="940"/>
      <c r="AG120" s="940"/>
      <c r="AH120" s="1048"/>
      <c r="AI120" s="1048"/>
      <c r="AJ120" s="345"/>
    </row>
    <row r="121" spans="1:36" s="301" customFormat="1" ht="12.75" customHeight="1" outlineLevel="2">
      <c r="A121" s="561" t="s">
        <v>811</v>
      </c>
      <c r="B121" s="321">
        <f>'D-Strommenge FV+DM'!C26</f>
        <v>0</v>
      </c>
      <c r="C121" s="22">
        <f>'D-Strommenge FV+DM'!D26</f>
        <v>0</v>
      </c>
      <c r="D121" s="30">
        <f>'D-Strommenge FV+DM'!E26</f>
        <v>0</v>
      </c>
      <c r="E121" s="321" t="s">
        <v>25</v>
      </c>
      <c r="F121" s="915">
        <f>'D-Strommenge FV+DM'!G19</f>
        <v>0</v>
      </c>
      <c r="G121" s="915">
        <f>'D-Strommenge FV+DM'!H19</f>
        <v>0</v>
      </c>
      <c r="H121" s="915">
        <f>'D-Strommenge FV+DM'!I19</f>
        <v>2.1817889999999998</v>
      </c>
      <c r="I121" s="915">
        <f>'D-Strommenge FV+DM'!J19</f>
        <v>4.2967389999999996</v>
      </c>
      <c r="J121" s="915">
        <f>'D-Strommenge FV+DM'!K19</f>
        <v>2.8318239999999997</v>
      </c>
      <c r="K121" s="915">
        <f>'D-Strommenge FV+DM'!L19</f>
        <v>3.5763499999999997</v>
      </c>
      <c r="L121" s="915">
        <f>'D-Strommenge FV+DM'!M19</f>
        <v>3.7087819999999998</v>
      </c>
      <c r="M121" s="915">
        <f>'D-Strommenge FV+DM'!N19</f>
        <v>2.8920019999999997</v>
      </c>
      <c r="N121" s="916">
        <f>'D-Strommenge FV+DM'!O19</f>
        <v>3.0121289999999998</v>
      </c>
      <c r="O121" s="917">
        <f>'D-Strommenge FV+DM'!P19</f>
        <v>3.465357</v>
      </c>
      <c r="P121" s="915">
        <f>'D-Strommenge FV+DM'!Q19</f>
        <v>3.2058839999999997</v>
      </c>
      <c r="Q121" s="915">
        <f>'D-Strommenge FV+DM'!R19</f>
        <v>3.3938739999999998</v>
      </c>
      <c r="R121" s="915">
        <f>'D-Strommenge FV+DM'!S19</f>
        <v>3.557871</v>
      </c>
      <c r="S121" s="915">
        <f>'D-Strommenge FV+DM'!T19</f>
        <v>0</v>
      </c>
      <c r="T121" s="915">
        <f>'D-Strommenge FV+DM'!U19</f>
        <v>0</v>
      </c>
      <c r="U121" s="915">
        <f>'D-Strommenge FV+DM'!V19</f>
        <v>0</v>
      </c>
      <c r="V121" s="915">
        <f>'D-Strommenge FV+DM'!W19</f>
        <v>0</v>
      </c>
      <c r="W121" s="915">
        <f>'D-Strommenge FV+DM'!X19</f>
        <v>0</v>
      </c>
      <c r="X121" s="915">
        <f>'D-Strommenge FV+DM'!Y19</f>
        <v>0</v>
      </c>
      <c r="Y121" s="915">
        <f>'D-Strommenge FV+DM'!Z19</f>
        <v>0</v>
      </c>
      <c r="Z121" s="915">
        <f>'D-Strommenge FV+DM'!AA19</f>
        <v>0</v>
      </c>
      <c r="AA121" s="915">
        <f>'D-Strommenge FV+DM'!AB19</f>
        <v>0</v>
      </c>
      <c r="AB121" s="915">
        <f>'D-Strommenge FV+DM'!AC19</f>
        <v>0</v>
      </c>
      <c r="AC121" s="915">
        <f>'D-Strommenge FV+DM'!AD19</f>
        <v>0</v>
      </c>
      <c r="AD121" s="915">
        <f>'D-Strommenge FV+DM'!AE19</f>
        <v>0</v>
      </c>
      <c r="AE121" s="916">
        <f>'D-Strommenge FV+DM'!AF19</f>
        <v>0</v>
      </c>
      <c r="AF121" s="940"/>
      <c r="AG121" s="940"/>
      <c r="AH121" s="1048"/>
      <c r="AI121" s="1048"/>
      <c r="AJ121" s="340" t="s">
        <v>799</v>
      </c>
    </row>
    <row r="122" spans="1:36" s="301" customFormat="1" ht="12.75" customHeight="1" outlineLevel="2">
      <c r="A122" s="561" t="s">
        <v>812</v>
      </c>
      <c r="B122" s="16">
        <f>'D-Strommenge FV+DM'!C27</f>
        <v>0</v>
      </c>
      <c r="C122" s="12">
        <f>'D-Strommenge FV+DM'!D27</f>
        <v>0</v>
      </c>
      <c r="D122" s="31">
        <f>'D-Strommenge FV+DM'!E27</f>
        <v>0</v>
      </c>
      <c r="E122" s="16" t="s">
        <v>50</v>
      </c>
      <c r="F122" s="918">
        <f>'D-Strommenge FV+DM'!G20</f>
        <v>0</v>
      </c>
      <c r="G122" s="918">
        <f>'D-Strommenge FV+DM'!H20</f>
        <v>0</v>
      </c>
      <c r="H122" s="918">
        <f>'D-Strommenge FV+DM'!I20</f>
        <v>0.29039300000000001</v>
      </c>
      <c r="I122" s="918">
        <f>'D-Strommenge FV+DM'!J20</f>
        <v>1.1700359999999999</v>
      </c>
      <c r="J122" s="918">
        <f>'D-Strommenge FV+DM'!K20</f>
        <v>0.52149199999999996</v>
      </c>
      <c r="K122" s="918">
        <f>'D-Strommenge FV+DM'!L20</f>
        <v>0.95397999999999994</v>
      </c>
      <c r="L122" s="918">
        <f>'D-Strommenge FV+DM'!M20</f>
        <v>0.9315199999999999</v>
      </c>
      <c r="M122" s="918">
        <f>'D-Strommenge FV+DM'!N20</f>
        <v>0.88699699999999992</v>
      </c>
      <c r="N122" s="919">
        <f>'D-Strommenge FV+DM'!O20</f>
        <v>0.90645399999999998</v>
      </c>
      <c r="O122" s="920">
        <f>'D-Strommenge FV+DM'!P20</f>
        <v>0.92375699999999994</v>
      </c>
      <c r="P122" s="918">
        <f>'D-Strommenge FV+DM'!Q20</f>
        <v>0.75774799999999998</v>
      </c>
      <c r="Q122" s="918">
        <f>'D-Strommenge FV+DM'!R20</f>
        <v>0.72676399999999997</v>
      </c>
      <c r="R122" s="918">
        <f>'D-Strommenge FV+DM'!S20</f>
        <v>0.75646199999999997</v>
      </c>
      <c r="S122" s="918">
        <f>'D-Strommenge FV+DM'!T20</f>
        <v>0</v>
      </c>
      <c r="T122" s="918">
        <f>'D-Strommenge FV+DM'!U20</f>
        <v>0</v>
      </c>
      <c r="U122" s="918">
        <f>'D-Strommenge FV+DM'!V20</f>
        <v>0</v>
      </c>
      <c r="V122" s="918">
        <f>'D-Strommenge FV+DM'!W20</f>
        <v>0</v>
      </c>
      <c r="W122" s="918">
        <f>'D-Strommenge FV+DM'!X20</f>
        <v>0</v>
      </c>
      <c r="X122" s="918">
        <f>'D-Strommenge FV+DM'!Y20</f>
        <v>0</v>
      </c>
      <c r="Y122" s="918">
        <f>'D-Strommenge FV+DM'!Z20</f>
        <v>0</v>
      </c>
      <c r="Z122" s="918">
        <f>'D-Strommenge FV+DM'!AA20</f>
        <v>0</v>
      </c>
      <c r="AA122" s="918">
        <f>'D-Strommenge FV+DM'!AB20</f>
        <v>0</v>
      </c>
      <c r="AB122" s="918">
        <f>'D-Strommenge FV+DM'!AC20</f>
        <v>0</v>
      </c>
      <c r="AC122" s="918">
        <f>'D-Strommenge FV+DM'!AD20</f>
        <v>0</v>
      </c>
      <c r="AD122" s="918">
        <f>'D-Strommenge FV+DM'!AE20</f>
        <v>0</v>
      </c>
      <c r="AE122" s="919">
        <f>'D-Strommenge FV+DM'!AF20</f>
        <v>0</v>
      </c>
      <c r="AF122" s="940"/>
      <c r="AG122" s="940"/>
      <c r="AH122" s="1048"/>
      <c r="AI122" s="1048"/>
      <c r="AJ122" s="340" t="s">
        <v>799</v>
      </c>
    </row>
    <row r="123" spans="1:36" s="301" customFormat="1" ht="12.75" customHeight="1" outlineLevel="2">
      <c r="A123" s="561" t="s">
        <v>813</v>
      </c>
      <c r="B123" s="16">
        <f>'D-Strommenge FV+DM'!C28</f>
        <v>0</v>
      </c>
      <c r="C123" s="12">
        <f>'D-Strommenge FV+DM'!D28</f>
        <v>0</v>
      </c>
      <c r="D123" s="31">
        <f>'D-Strommenge FV+DM'!E28</f>
        <v>0</v>
      </c>
      <c r="E123" s="16" t="s">
        <v>13</v>
      </c>
      <c r="F123" s="918">
        <f>'D-Strommenge FV+DM'!G21</f>
        <v>0</v>
      </c>
      <c r="G123" s="918">
        <f>'D-Strommenge FV+DM'!H21</f>
        <v>0</v>
      </c>
      <c r="H123" s="918">
        <f>'D-Strommenge FV+DM'!I21</f>
        <v>5.9434979999999999</v>
      </c>
      <c r="I123" s="918">
        <f>'D-Strommenge FV+DM'!J21</f>
        <v>21.214547</v>
      </c>
      <c r="J123" s="918">
        <f>'D-Strommenge FV+DM'!K21</f>
        <v>21.925464999999999</v>
      </c>
      <c r="K123" s="918">
        <f>'D-Strommenge FV+DM'!L21</f>
        <v>28.385728</v>
      </c>
      <c r="L123" s="918">
        <f>'D-Strommenge FV+DM'!M21</f>
        <v>29.123989999999999</v>
      </c>
      <c r="M123" s="918">
        <f>'D-Strommenge FV+DM'!N21</f>
        <v>31.014032999999998</v>
      </c>
      <c r="N123" s="919">
        <f>'D-Strommenge FV+DM'!O21</f>
        <v>31.204751999999999</v>
      </c>
      <c r="O123" s="920">
        <f>'D-Strommenge FV+DM'!P21</f>
        <v>31.842124999999999</v>
      </c>
      <c r="P123" s="918">
        <f>'D-Strommenge FV+DM'!Q21</f>
        <v>34.123956</v>
      </c>
      <c r="Q123" s="918">
        <f>'D-Strommenge FV+DM'!R21</f>
        <v>33.524949999999997</v>
      </c>
      <c r="R123" s="918">
        <f>'D-Strommenge FV+DM'!S21</f>
        <v>31.759048999999997</v>
      </c>
      <c r="S123" s="918">
        <f>'D-Strommenge FV+DM'!T21</f>
        <v>0</v>
      </c>
      <c r="T123" s="918">
        <f>'D-Strommenge FV+DM'!U21</f>
        <v>0</v>
      </c>
      <c r="U123" s="918">
        <f>'D-Strommenge FV+DM'!V21</f>
        <v>0</v>
      </c>
      <c r="V123" s="918">
        <f>'D-Strommenge FV+DM'!W21</f>
        <v>0</v>
      </c>
      <c r="W123" s="918">
        <f>'D-Strommenge FV+DM'!X21</f>
        <v>0</v>
      </c>
      <c r="X123" s="918">
        <f>'D-Strommenge FV+DM'!Y21</f>
        <v>0</v>
      </c>
      <c r="Y123" s="918">
        <f>'D-Strommenge FV+DM'!Z21</f>
        <v>0</v>
      </c>
      <c r="Z123" s="918">
        <f>'D-Strommenge FV+DM'!AA21</f>
        <v>0</v>
      </c>
      <c r="AA123" s="918">
        <f>'D-Strommenge FV+DM'!AB21</f>
        <v>0</v>
      </c>
      <c r="AB123" s="918">
        <f>'D-Strommenge FV+DM'!AC21</f>
        <v>0</v>
      </c>
      <c r="AC123" s="918">
        <f>'D-Strommenge FV+DM'!AD21</f>
        <v>0</v>
      </c>
      <c r="AD123" s="918">
        <f>'D-Strommenge FV+DM'!AE21</f>
        <v>0</v>
      </c>
      <c r="AE123" s="919">
        <f>'D-Strommenge FV+DM'!AF21</f>
        <v>0</v>
      </c>
      <c r="AF123" s="940"/>
      <c r="AG123" s="940"/>
      <c r="AH123" s="1048"/>
      <c r="AI123" s="1048"/>
      <c r="AJ123" s="340" t="s">
        <v>799</v>
      </c>
    </row>
    <row r="124" spans="1:36" s="301" customFormat="1" ht="12.75" customHeight="1" outlineLevel="2">
      <c r="A124" s="561" t="s">
        <v>814</v>
      </c>
      <c r="B124" s="16">
        <f>'D-Strommenge FV+DM'!C29</f>
        <v>0</v>
      </c>
      <c r="C124" s="12">
        <f>'D-Strommenge FV+DM'!D29</f>
        <v>0</v>
      </c>
      <c r="D124" s="31">
        <f>'D-Strommenge FV+DM'!E29</f>
        <v>0</v>
      </c>
      <c r="E124" s="16" t="s">
        <v>12</v>
      </c>
      <c r="F124" s="918">
        <f>'D-Strommenge FV+DM'!G22</f>
        <v>0</v>
      </c>
      <c r="G124" s="918">
        <f>'D-Strommenge FV+DM'!H22</f>
        <v>0</v>
      </c>
      <c r="H124" s="918">
        <f>'D-Strommenge FV+DM'!I22</f>
        <v>1.6635E-2</v>
      </c>
      <c r="I124" s="918">
        <f>'D-Strommenge FV+DM'!J22</f>
        <v>0</v>
      </c>
      <c r="J124" s="918">
        <f>'D-Strommenge FV+DM'!K22</f>
        <v>1.6799999999999999E-2</v>
      </c>
      <c r="K124" s="918">
        <f>'D-Strommenge FV+DM'!L22</f>
        <v>7.9057000000000002E-2</v>
      </c>
      <c r="L124" s="918">
        <f>'D-Strommenge FV+DM'!M22</f>
        <v>9.8345000000000002E-2</v>
      </c>
      <c r="M124" s="918">
        <f>'D-Strommenge FV+DM'!N22</f>
        <v>0.10608099999999999</v>
      </c>
      <c r="N124" s="919">
        <f>'D-Strommenge FV+DM'!O22</f>
        <v>0.17315</v>
      </c>
      <c r="O124" s="920">
        <f>'D-Strommenge FV+DM'!P22</f>
        <v>0.17602599999999999</v>
      </c>
      <c r="P124" s="918">
        <f>'D-Strommenge FV+DM'!Q22</f>
        <v>0.16394300000000001</v>
      </c>
      <c r="Q124" s="918">
        <f>'D-Strommenge FV+DM'!R22</f>
        <v>0.20272599999999999</v>
      </c>
      <c r="R124" s="918">
        <f>'D-Strommenge FV+DM'!S22</f>
        <v>0.33141999999999999</v>
      </c>
      <c r="S124" s="918">
        <f>'D-Strommenge FV+DM'!T22</f>
        <v>0</v>
      </c>
      <c r="T124" s="918">
        <f>'D-Strommenge FV+DM'!U22</f>
        <v>0</v>
      </c>
      <c r="U124" s="918">
        <f>'D-Strommenge FV+DM'!V22</f>
        <v>0</v>
      </c>
      <c r="V124" s="918">
        <f>'D-Strommenge FV+DM'!W22</f>
        <v>0</v>
      </c>
      <c r="W124" s="918">
        <f>'D-Strommenge FV+DM'!X22</f>
        <v>0</v>
      </c>
      <c r="X124" s="918">
        <f>'D-Strommenge FV+DM'!Y22</f>
        <v>0</v>
      </c>
      <c r="Y124" s="918">
        <f>'D-Strommenge FV+DM'!Z22</f>
        <v>0</v>
      </c>
      <c r="Z124" s="918">
        <f>'D-Strommenge FV+DM'!AA22</f>
        <v>0</v>
      </c>
      <c r="AA124" s="918">
        <f>'D-Strommenge FV+DM'!AB22</f>
        <v>0</v>
      </c>
      <c r="AB124" s="918">
        <f>'D-Strommenge FV+DM'!AC22</f>
        <v>0</v>
      </c>
      <c r="AC124" s="918">
        <f>'D-Strommenge FV+DM'!AD22</f>
        <v>0</v>
      </c>
      <c r="AD124" s="918">
        <f>'D-Strommenge FV+DM'!AE22</f>
        <v>0</v>
      </c>
      <c r="AE124" s="919">
        <f>'D-Strommenge FV+DM'!AF22</f>
        <v>0</v>
      </c>
      <c r="AF124" s="940"/>
      <c r="AG124" s="940"/>
      <c r="AH124" s="1048"/>
      <c r="AI124" s="1048"/>
      <c r="AJ124" s="340" t="s">
        <v>799</v>
      </c>
    </row>
    <row r="125" spans="1:36" s="301" customFormat="1" ht="12.75" customHeight="1" outlineLevel="2">
      <c r="A125" s="561" t="s">
        <v>815</v>
      </c>
      <c r="B125" s="16">
        <f>'D-Strommenge FV+DM'!C30</f>
        <v>0</v>
      </c>
      <c r="C125" s="12">
        <f>'D-Strommenge FV+DM'!D30</f>
        <v>0</v>
      </c>
      <c r="D125" s="31">
        <f>'D-Strommenge FV+DM'!E30</f>
        <v>0</v>
      </c>
      <c r="E125" s="16" t="s">
        <v>24</v>
      </c>
      <c r="F125" s="918">
        <f>'D-Strommenge FV+DM'!G23</f>
        <v>0</v>
      </c>
      <c r="G125" s="918">
        <f>'D-Strommenge FV+DM'!H23</f>
        <v>0</v>
      </c>
      <c r="H125" s="918">
        <f>'D-Strommenge FV+DM'!I23</f>
        <v>7.3871079999999996</v>
      </c>
      <c r="I125" s="918">
        <f>'D-Strommenge FV+DM'!J23</f>
        <v>46.901826999999997</v>
      </c>
      <c r="J125" s="918">
        <f>'D-Strommenge FV+DM'!K23</f>
        <v>51.661167999999996</v>
      </c>
      <c r="K125" s="918">
        <f>'D-Strommenge FV+DM'!L23</f>
        <v>57.498880999999997</v>
      </c>
      <c r="L125" s="918">
        <f>'D-Strommenge FV+DM'!M23</f>
        <v>67.570857000000004</v>
      </c>
      <c r="M125" s="918">
        <f>'D-Strommenge FV+DM'!N23</f>
        <v>75.744242</v>
      </c>
      <c r="N125" s="919">
        <f>'D-Strommenge FV+DM'!O23</f>
        <v>87.745678999999996</v>
      </c>
      <c r="O125" s="920">
        <f>'D-Strommenge FV+DM'!P23</f>
        <v>95.400548999999998</v>
      </c>
      <c r="P125" s="918">
        <f>'D-Strommenge FV+DM'!Q23</f>
        <v>98.452184000000003</v>
      </c>
      <c r="Q125" s="918">
        <f>'D-Strommenge FV+DM'!R23</f>
        <v>97.184866999999997</v>
      </c>
      <c r="R125" s="918">
        <f>'D-Strommenge FV+DM'!S23</f>
        <v>94.650686999999991</v>
      </c>
      <c r="S125" s="918">
        <f>'D-Strommenge FV+DM'!T23</f>
        <v>0</v>
      </c>
      <c r="T125" s="918">
        <f>'D-Strommenge FV+DM'!U23</f>
        <v>0</v>
      </c>
      <c r="U125" s="918">
        <f>'D-Strommenge FV+DM'!V23</f>
        <v>0</v>
      </c>
      <c r="V125" s="918">
        <f>'D-Strommenge FV+DM'!W23</f>
        <v>0</v>
      </c>
      <c r="W125" s="918">
        <f>'D-Strommenge FV+DM'!X23</f>
        <v>0</v>
      </c>
      <c r="X125" s="918">
        <f>'D-Strommenge FV+DM'!Y23</f>
        <v>0</v>
      </c>
      <c r="Y125" s="918">
        <f>'D-Strommenge FV+DM'!Z23</f>
        <v>0</v>
      </c>
      <c r="Z125" s="918">
        <f>'D-Strommenge FV+DM'!AA23</f>
        <v>0</v>
      </c>
      <c r="AA125" s="918">
        <f>'D-Strommenge FV+DM'!AB23</f>
        <v>0</v>
      </c>
      <c r="AB125" s="918">
        <f>'D-Strommenge FV+DM'!AC23</f>
        <v>0</v>
      </c>
      <c r="AC125" s="918">
        <f>'D-Strommenge FV+DM'!AD23</f>
        <v>0</v>
      </c>
      <c r="AD125" s="918">
        <f>'D-Strommenge FV+DM'!AE23</f>
        <v>0</v>
      </c>
      <c r="AE125" s="919">
        <f>'D-Strommenge FV+DM'!AF23</f>
        <v>0</v>
      </c>
      <c r="AF125" s="940"/>
      <c r="AG125" s="940"/>
      <c r="AH125" s="1048"/>
      <c r="AI125" s="1048"/>
      <c r="AJ125" s="340" t="s">
        <v>799</v>
      </c>
    </row>
    <row r="126" spans="1:36" s="301" customFormat="1" ht="12.75" customHeight="1" outlineLevel="2">
      <c r="A126" s="561" t="s">
        <v>816</v>
      </c>
      <c r="B126" s="16">
        <f>'D-Strommenge FV+DM'!C31</f>
        <v>0</v>
      </c>
      <c r="C126" s="12">
        <f>'D-Strommenge FV+DM'!D31</f>
        <v>0</v>
      </c>
      <c r="D126" s="31">
        <f>'D-Strommenge FV+DM'!E31</f>
        <v>0</v>
      </c>
      <c r="E126" s="16" t="s">
        <v>26</v>
      </c>
      <c r="F126" s="918">
        <f>'D-Strommenge FV+DM'!G24</f>
        <v>0</v>
      </c>
      <c r="G126" s="918">
        <f>'D-Strommenge FV+DM'!H24</f>
        <v>0</v>
      </c>
      <c r="H126" s="918">
        <f>'D-Strommenge FV+DM'!I24</f>
        <v>0.442606</v>
      </c>
      <c r="I126" s="918">
        <f>'D-Strommenge FV+DM'!J24</f>
        <v>2.4940419999999999</v>
      </c>
      <c r="J126" s="918">
        <f>'D-Strommenge FV+DM'!K24</f>
        <v>7.397958</v>
      </c>
      <c r="K126" s="918">
        <f>'D-Strommenge FV+DM'!L24</f>
        <v>11.231204</v>
      </c>
      <c r="L126" s="918">
        <f>'D-Strommenge FV+DM'!M24</f>
        <v>15.379543999999999</v>
      </c>
      <c r="M126" s="918">
        <f>'D-Strommenge FV+DM'!N24</f>
        <v>20.033355</v>
      </c>
      <c r="N126" s="919">
        <f>'D-Strommenge FV+DM'!O24</f>
        <v>22.564405999999998</v>
      </c>
      <c r="O126" s="920">
        <f>'D-Strommenge FV+DM'!P24</f>
        <v>26.466161</v>
      </c>
      <c r="P126" s="918">
        <f>'D-Strommenge FV+DM'!Q24</f>
        <v>29.940075999999998</v>
      </c>
      <c r="Q126" s="918">
        <f>'D-Strommenge FV+DM'!R24</f>
        <v>29.638939999999998</v>
      </c>
      <c r="R126" s="918">
        <f>'D-Strommenge FV+DM'!S24</f>
        <v>30.205085999999998</v>
      </c>
      <c r="S126" s="918">
        <f>'D-Strommenge FV+DM'!T24</f>
        <v>0</v>
      </c>
      <c r="T126" s="918">
        <f>'D-Strommenge FV+DM'!U24</f>
        <v>0</v>
      </c>
      <c r="U126" s="918">
        <f>'D-Strommenge FV+DM'!V24</f>
        <v>0</v>
      </c>
      <c r="V126" s="918">
        <f>'D-Strommenge FV+DM'!W24</f>
        <v>0</v>
      </c>
      <c r="W126" s="918">
        <f>'D-Strommenge FV+DM'!X24</f>
        <v>0</v>
      </c>
      <c r="X126" s="918">
        <f>'D-Strommenge FV+DM'!Y24</f>
        <v>0</v>
      </c>
      <c r="Y126" s="918">
        <f>'D-Strommenge FV+DM'!Z24</f>
        <v>0</v>
      </c>
      <c r="Z126" s="918">
        <f>'D-Strommenge FV+DM'!AA24</f>
        <v>0</v>
      </c>
      <c r="AA126" s="918">
        <f>'D-Strommenge FV+DM'!AB24</f>
        <v>0</v>
      </c>
      <c r="AB126" s="918">
        <f>'D-Strommenge FV+DM'!AC24</f>
        <v>0</v>
      </c>
      <c r="AC126" s="918">
        <f>'D-Strommenge FV+DM'!AD24</f>
        <v>0</v>
      </c>
      <c r="AD126" s="918">
        <f>'D-Strommenge FV+DM'!AE24</f>
        <v>0</v>
      </c>
      <c r="AE126" s="919">
        <f>'D-Strommenge FV+DM'!AF24</f>
        <v>0</v>
      </c>
      <c r="AF126" s="940"/>
      <c r="AG126" s="940"/>
      <c r="AH126" s="1048"/>
      <c r="AI126" s="1048"/>
      <c r="AJ126" s="340" t="s">
        <v>799</v>
      </c>
    </row>
    <row r="127" spans="1:36" s="301" customFormat="1" ht="12.75" customHeight="1" outlineLevel="2">
      <c r="A127" s="561" t="s">
        <v>817</v>
      </c>
      <c r="B127" s="303">
        <f>'D-Strommenge FV+DM'!C32</f>
        <v>0</v>
      </c>
      <c r="C127" s="24">
        <f>'D-Strommenge FV+DM'!D32</f>
        <v>0</v>
      </c>
      <c r="D127" s="32">
        <f>'D-Strommenge FV+DM'!E32</f>
        <v>0</v>
      </c>
      <c r="E127" s="303" t="s">
        <v>74</v>
      </c>
      <c r="F127" s="923">
        <f>'D-Strommenge FV+DM'!G25</f>
        <v>0</v>
      </c>
      <c r="G127" s="923">
        <f>'D-Strommenge FV+DM'!H25</f>
        <v>0</v>
      </c>
      <c r="H127" s="923">
        <f>'D-Strommenge FV+DM'!I25</f>
        <v>0.63546899999999995</v>
      </c>
      <c r="I127" s="923">
        <f>'D-Strommenge FV+DM'!J25</f>
        <v>2.9213830000000001</v>
      </c>
      <c r="J127" s="923">
        <f>'D-Strommenge FV+DM'!K25</f>
        <v>4.8185699999999994</v>
      </c>
      <c r="K127" s="923">
        <f>'D-Strommenge FV+DM'!L25</f>
        <v>6.293679</v>
      </c>
      <c r="L127" s="923">
        <f>'D-Strommenge FV+DM'!M25</f>
        <v>6.9605349999999993</v>
      </c>
      <c r="M127" s="923">
        <f>'D-Strommenge FV+DM'!N25</f>
        <v>8.0043569999999988</v>
      </c>
      <c r="N127" s="924">
        <f>'D-Strommenge FV+DM'!O25</f>
        <v>9.0451540000000001</v>
      </c>
      <c r="O127" s="925">
        <f>'D-Strommenge FV+DM'!P25</f>
        <v>11.590814</v>
      </c>
      <c r="P127" s="923">
        <f>'D-Strommenge FV+DM'!Q25</f>
        <v>12.871558</v>
      </c>
      <c r="Q127" s="923">
        <f>'D-Strommenge FV+DM'!R25</f>
        <v>15.710374999999999</v>
      </c>
      <c r="R127" s="923">
        <f>'D-Strommenge FV+DM'!S25</f>
        <v>19.976932999999999</v>
      </c>
      <c r="S127" s="923">
        <f>'D-Strommenge FV+DM'!T25</f>
        <v>0</v>
      </c>
      <c r="T127" s="923">
        <f>'D-Strommenge FV+DM'!U25</f>
        <v>0</v>
      </c>
      <c r="U127" s="923">
        <f>'D-Strommenge FV+DM'!V25</f>
        <v>0</v>
      </c>
      <c r="V127" s="923">
        <f>'D-Strommenge FV+DM'!W25</f>
        <v>0</v>
      </c>
      <c r="W127" s="923">
        <f>'D-Strommenge FV+DM'!X25</f>
        <v>0</v>
      </c>
      <c r="X127" s="923">
        <f>'D-Strommenge FV+DM'!Y25</f>
        <v>0</v>
      </c>
      <c r="Y127" s="923">
        <f>'D-Strommenge FV+DM'!Z25</f>
        <v>0</v>
      </c>
      <c r="Z127" s="923">
        <f>'D-Strommenge FV+DM'!AA25</f>
        <v>0</v>
      </c>
      <c r="AA127" s="923">
        <f>'D-Strommenge FV+DM'!AB25</f>
        <v>0</v>
      </c>
      <c r="AB127" s="923">
        <f>'D-Strommenge FV+DM'!AC25</f>
        <v>0</v>
      </c>
      <c r="AC127" s="923">
        <f>'D-Strommenge FV+DM'!AD25</f>
        <v>0</v>
      </c>
      <c r="AD127" s="923">
        <f>'D-Strommenge FV+DM'!AE25</f>
        <v>0</v>
      </c>
      <c r="AE127" s="924">
        <f>'D-Strommenge FV+DM'!AF25</f>
        <v>0</v>
      </c>
      <c r="AF127" s="940"/>
      <c r="AG127" s="940"/>
      <c r="AH127" s="1048"/>
      <c r="AI127" s="1048"/>
      <c r="AJ127" s="340" t="s">
        <v>799</v>
      </c>
    </row>
    <row r="128" spans="1:36" s="301" customFormat="1" ht="12.75" customHeight="1" outlineLevel="1">
      <c r="A128" s="561" t="s">
        <v>818</v>
      </c>
      <c r="C128" s="10"/>
      <c r="D128" s="33"/>
      <c r="E128" s="27" t="s">
        <v>55</v>
      </c>
      <c r="F128" s="346">
        <f t="shared" ref="F128:AE128" si="2">SUM(F121:F127)</f>
        <v>0</v>
      </c>
      <c r="G128" s="346">
        <f t="shared" si="2"/>
        <v>0</v>
      </c>
      <c r="H128" s="346">
        <f t="shared" si="2"/>
        <v>16.897498000000002</v>
      </c>
      <c r="I128" s="346">
        <f t="shared" si="2"/>
        <v>78.998573999999991</v>
      </c>
      <c r="J128" s="346">
        <f t="shared" si="2"/>
        <v>89.173276999999999</v>
      </c>
      <c r="K128" s="346">
        <f t="shared" si="2"/>
        <v>108.018879</v>
      </c>
      <c r="L128" s="346">
        <f t="shared" si="2"/>
        <v>123.77357299999998</v>
      </c>
      <c r="M128" s="346">
        <f t="shared" si="2"/>
        <v>138.68106700000001</v>
      </c>
      <c r="N128" s="351">
        <f t="shared" si="2"/>
        <v>154.65172399999997</v>
      </c>
      <c r="O128" s="346">
        <f t="shared" si="2"/>
        <v>169.864789</v>
      </c>
      <c r="P128" s="346">
        <f t="shared" si="2"/>
        <v>179.51534899999999</v>
      </c>
      <c r="Q128" s="346">
        <f t="shared" si="2"/>
        <v>180.38249599999997</v>
      </c>
      <c r="R128" s="346">
        <f t="shared" si="2"/>
        <v>181.23750799999999</v>
      </c>
      <c r="S128" s="346">
        <f t="shared" si="2"/>
        <v>0</v>
      </c>
      <c r="T128" s="346">
        <f t="shared" si="2"/>
        <v>0</v>
      </c>
      <c r="U128" s="346">
        <f t="shared" si="2"/>
        <v>0</v>
      </c>
      <c r="V128" s="346">
        <f t="shared" si="2"/>
        <v>0</v>
      </c>
      <c r="W128" s="351">
        <f t="shared" si="2"/>
        <v>0</v>
      </c>
      <c r="X128" s="346">
        <f t="shared" si="2"/>
        <v>0</v>
      </c>
      <c r="Y128" s="346">
        <f t="shared" si="2"/>
        <v>0</v>
      </c>
      <c r="Z128" s="346">
        <f t="shared" si="2"/>
        <v>0</v>
      </c>
      <c r="AA128" s="346">
        <f t="shared" si="2"/>
        <v>0</v>
      </c>
      <c r="AB128" s="346">
        <f t="shared" si="2"/>
        <v>0</v>
      </c>
      <c r="AC128" s="346">
        <f t="shared" si="2"/>
        <v>0</v>
      </c>
      <c r="AD128" s="346">
        <f t="shared" si="2"/>
        <v>0</v>
      </c>
      <c r="AE128" s="346">
        <f t="shared" si="2"/>
        <v>0</v>
      </c>
      <c r="AF128" s="940"/>
      <c r="AG128" s="940"/>
      <c r="AH128" s="1048"/>
      <c r="AI128" s="1048"/>
      <c r="AJ128" s="340" t="s">
        <v>799</v>
      </c>
    </row>
    <row r="129" spans="1:36" s="301" customFormat="1" ht="12.75" customHeight="1" outlineLevel="1">
      <c r="A129" s="561" t="s">
        <v>819</v>
      </c>
      <c r="C129" s="10"/>
      <c r="D129" s="33"/>
      <c r="F129" s="331"/>
      <c r="G129" s="331"/>
      <c r="H129" s="331"/>
      <c r="I129" s="331"/>
      <c r="J129" s="331"/>
      <c r="K129" s="331"/>
      <c r="L129" s="331"/>
      <c r="M129" s="331"/>
      <c r="N129" s="349"/>
      <c r="O129" s="296"/>
      <c r="P129" s="331"/>
      <c r="Q129" s="331"/>
      <c r="R129" s="331"/>
      <c r="S129" s="331"/>
      <c r="T129" s="331"/>
      <c r="U129" s="331"/>
      <c r="V129" s="331"/>
      <c r="W129" s="331"/>
      <c r="X129" s="331"/>
      <c r="Y129" s="331"/>
      <c r="Z129" s="331"/>
      <c r="AA129" s="331"/>
      <c r="AB129" s="331"/>
      <c r="AC129" s="331"/>
      <c r="AD129" s="331"/>
      <c r="AE129" s="331"/>
      <c r="AF129" s="940"/>
      <c r="AG129" s="940"/>
      <c r="AH129" s="1048"/>
      <c r="AI129" s="1048"/>
      <c r="AJ129" s="345"/>
    </row>
    <row r="130" spans="1:36" ht="12.75" customHeight="1" outlineLevel="1">
      <c r="A130" s="561">
        <v>111</v>
      </c>
      <c r="B130" s="10"/>
      <c r="E130" s="322" t="s">
        <v>275</v>
      </c>
      <c r="N130" s="349"/>
      <c r="O130" s="296"/>
      <c r="AF130" s="940"/>
      <c r="AG130" s="940"/>
      <c r="AH130" s="1048"/>
      <c r="AI130" s="1048"/>
      <c r="AJ130" s="345"/>
    </row>
    <row r="131" spans="1:36" ht="12.75" customHeight="1" outlineLevel="2">
      <c r="A131" s="561">
        <v>112</v>
      </c>
      <c r="B131" s="321" t="str">
        <f>'D-Anteil Eigenverbrauch EE neu'!C$6</f>
        <v>Referenz</v>
      </c>
      <c r="C131" s="22" t="str">
        <f>'D-Anteil Eigenverbrauch EE neu'!D$6</f>
        <v>cl</v>
      </c>
      <c r="D131" s="30">
        <f>'D-Anteil Eigenverbrauch EE neu'!E$6</f>
        <v>0</v>
      </c>
      <c r="E131" s="321" t="s">
        <v>25</v>
      </c>
      <c r="F131" s="915">
        <f>'D-Anteil Eigenverbrauch EE neu'!G$6</f>
        <v>0</v>
      </c>
      <c r="G131" s="915">
        <f>'D-Anteil Eigenverbrauch EE neu'!H$6</f>
        <v>0</v>
      </c>
      <c r="H131" s="915">
        <f>'D-Anteil Eigenverbrauch EE neu'!I$6</f>
        <v>0</v>
      </c>
      <c r="I131" s="915">
        <f>'D-Anteil Eigenverbrauch EE neu'!J$6</f>
        <v>0</v>
      </c>
      <c r="J131" s="915">
        <f>'D-Anteil Eigenverbrauch EE neu'!K$6</f>
        <v>0</v>
      </c>
      <c r="K131" s="915">
        <f>'D-Anteil Eigenverbrauch EE neu'!L$6</f>
        <v>0</v>
      </c>
      <c r="L131" s="915">
        <f>'D-Anteil Eigenverbrauch EE neu'!M$6</f>
        <v>0</v>
      </c>
      <c r="M131" s="915">
        <f>'D-Anteil Eigenverbrauch EE neu'!N$6</f>
        <v>0</v>
      </c>
      <c r="N131" s="916">
        <f>'D-Anteil Eigenverbrauch EE neu'!O$6</f>
        <v>0</v>
      </c>
      <c r="O131" s="917">
        <f>'D-Anteil Eigenverbrauch EE neu'!P$6</f>
        <v>0</v>
      </c>
      <c r="P131" s="915">
        <f>'D-Anteil Eigenverbrauch EE neu'!Q$6</f>
        <v>0</v>
      </c>
      <c r="Q131" s="915">
        <f>'D-Anteil Eigenverbrauch EE neu'!R$6</f>
        <v>0</v>
      </c>
      <c r="R131" s="915">
        <f>'D-Anteil Eigenverbrauch EE neu'!S$6</f>
        <v>0</v>
      </c>
      <c r="S131" s="915">
        <f>'D-Anteil Eigenverbrauch EE neu'!T$6</f>
        <v>0</v>
      </c>
      <c r="T131" s="915">
        <f>'D-Anteil Eigenverbrauch EE neu'!U$6</f>
        <v>0</v>
      </c>
      <c r="U131" s="915">
        <f>'D-Anteil Eigenverbrauch EE neu'!V$6</f>
        <v>0</v>
      </c>
      <c r="V131" s="915">
        <f>'D-Anteil Eigenverbrauch EE neu'!W$6</f>
        <v>0</v>
      </c>
      <c r="W131" s="915">
        <f>'D-Anteil Eigenverbrauch EE neu'!X$6</f>
        <v>0</v>
      </c>
      <c r="X131" s="915">
        <f>'D-Anteil Eigenverbrauch EE neu'!Y$6</f>
        <v>0</v>
      </c>
      <c r="Y131" s="915">
        <f>'D-Anteil Eigenverbrauch EE neu'!Z$6</f>
        <v>0</v>
      </c>
      <c r="Z131" s="915">
        <f>'D-Anteil Eigenverbrauch EE neu'!AA$6</f>
        <v>0</v>
      </c>
      <c r="AA131" s="915">
        <f>'D-Anteil Eigenverbrauch EE neu'!AB$6</f>
        <v>0</v>
      </c>
      <c r="AB131" s="915">
        <f>'D-Anteil Eigenverbrauch EE neu'!AC$6</f>
        <v>0</v>
      </c>
      <c r="AC131" s="915">
        <f>'D-Anteil Eigenverbrauch EE neu'!AD$6</f>
        <v>0</v>
      </c>
      <c r="AD131" s="915">
        <f>'D-Anteil Eigenverbrauch EE neu'!AE$6</f>
        <v>0</v>
      </c>
      <c r="AE131" s="916">
        <f>'D-Anteil Eigenverbrauch EE neu'!AF$6</f>
        <v>0</v>
      </c>
      <c r="AF131" s="940"/>
      <c r="AG131" s="940"/>
      <c r="AH131" s="1048"/>
      <c r="AI131" s="1048"/>
      <c r="AJ131" s="345"/>
    </row>
    <row r="132" spans="1:36" ht="12.75" customHeight="1" outlineLevel="2">
      <c r="A132" s="561">
        <v>113</v>
      </c>
      <c r="B132" s="16" t="str">
        <f>'D-Anteil Eigenverbrauch EE neu'!C$7</f>
        <v>Referenz</v>
      </c>
      <c r="C132" s="12" t="str">
        <f>'D-Anteil Eigenverbrauch EE neu'!D$7</f>
        <v>cl</v>
      </c>
      <c r="D132" s="31">
        <f>'D-Anteil Eigenverbrauch EE neu'!E$7</f>
        <v>0</v>
      </c>
      <c r="E132" s="16" t="s">
        <v>50</v>
      </c>
      <c r="F132" s="918">
        <f>'D-Anteil Eigenverbrauch EE neu'!G$7</f>
        <v>0</v>
      </c>
      <c r="G132" s="918">
        <f>'D-Anteil Eigenverbrauch EE neu'!H$7</f>
        <v>0</v>
      </c>
      <c r="H132" s="918">
        <f>'D-Anteil Eigenverbrauch EE neu'!I$7</f>
        <v>0</v>
      </c>
      <c r="I132" s="918">
        <f>'D-Anteil Eigenverbrauch EE neu'!J$7</f>
        <v>0</v>
      </c>
      <c r="J132" s="918">
        <f>'D-Anteil Eigenverbrauch EE neu'!K$7</f>
        <v>0</v>
      </c>
      <c r="K132" s="918">
        <f>'D-Anteil Eigenverbrauch EE neu'!L$7</f>
        <v>0</v>
      </c>
      <c r="L132" s="918">
        <f>'D-Anteil Eigenverbrauch EE neu'!M$7</f>
        <v>0</v>
      </c>
      <c r="M132" s="918">
        <f>'D-Anteil Eigenverbrauch EE neu'!N$7</f>
        <v>0</v>
      </c>
      <c r="N132" s="919">
        <f>'D-Anteil Eigenverbrauch EE neu'!O$7</f>
        <v>0</v>
      </c>
      <c r="O132" s="920">
        <f>'D-Anteil Eigenverbrauch EE neu'!P$7</f>
        <v>0</v>
      </c>
      <c r="P132" s="918">
        <f>'D-Anteil Eigenverbrauch EE neu'!Q$7</f>
        <v>0</v>
      </c>
      <c r="Q132" s="918">
        <f>'D-Anteil Eigenverbrauch EE neu'!R$7</f>
        <v>0</v>
      </c>
      <c r="R132" s="918">
        <f>'D-Anteil Eigenverbrauch EE neu'!S$7</f>
        <v>0</v>
      </c>
      <c r="S132" s="918">
        <f>'D-Anteil Eigenverbrauch EE neu'!T$7</f>
        <v>0</v>
      </c>
      <c r="T132" s="918">
        <f>'D-Anteil Eigenverbrauch EE neu'!U$7</f>
        <v>0</v>
      </c>
      <c r="U132" s="918">
        <f>'D-Anteil Eigenverbrauch EE neu'!V$7</f>
        <v>0</v>
      </c>
      <c r="V132" s="918">
        <f>'D-Anteil Eigenverbrauch EE neu'!W$7</f>
        <v>0</v>
      </c>
      <c r="W132" s="918">
        <f>'D-Anteil Eigenverbrauch EE neu'!X$7</f>
        <v>0</v>
      </c>
      <c r="X132" s="918">
        <f>'D-Anteil Eigenverbrauch EE neu'!Y$7</f>
        <v>0</v>
      </c>
      <c r="Y132" s="918">
        <f>'D-Anteil Eigenverbrauch EE neu'!Z$7</f>
        <v>0</v>
      </c>
      <c r="Z132" s="918">
        <f>'D-Anteil Eigenverbrauch EE neu'!AA$7</f>
        <v>0</v>
      </c>
      <c r="AA132" s="918">
        <f>'D-Anteil Eigenverbrauch EE neu'!AB$7</f>
        <v>0</v>
      </c>
      <c r="AB132" s="918">
        <f>'D-Anteil Eigenverbrauch EE neu'!AC$7</f>
        <v>0</v>
      </c>
      <c r="AC132" s="918">
        <f>'D-Anteil Eigenverbrauch EE neu'!AD$7</f>
        <v>0</v>
      </c>
      <c r="AD132" s="918">
        <f>'D-Anteil Eigenverbrauch EE neu'!AE$7</f>
        <v>0</v>
      </c>
      <c r="AE132" s="919">
        <f>'D-Anteil Eigenverbrauch EE neu'!AF$7</f>
        <v>0</v>
      </c>
      <c r="AF132" s="940"/>
      <c r="AG132" s="940"/>
      <c r="AH132" s="1048"/>
      <c r="AI132" s="1048"/>
      <c r="AJ132" s="345"/>
    </row>
    <row r="133" spans="1:36" ht="12.75" customHeight="1" outlineLevel="2">
      <c r="A133" s="561">
        <v>114</v>
      </c>
      <c r="B133" s="16" t="str">
        <f>'D-Anteil Eigenverbrauch EE neu'!C$8</f>
        <v>Referenz</v>
      </c>
      <c r="C133" s="12" t="str">
        <f>'D-Anteil Eigenverbrauch EE neu'!D$8</f>
        <v>cl</v>
      </c>
      <c r="D133" s="31">
        <f>'D-Anteil Eigenverbrauch EE neu'!E$8</f>
        <v>0</v>
      </c>
      <c r="E133" s="16" t="s">
        <v>13</v>
      </c>
      <c r="F133" s="918">
        <f>'D-Anteil Eigenverbrauch EE neu'!G$8</f>
        <v>0</v>
      </c>
      <c r="G133" s="918">
        <f>'D-Anteil Eigenverbrauch EE neu'!H$8</f>
        <v>0</v>
      </c>
      <c r="H133" s="918">
        <f>'D-Anteil Eigenverbrauch EE neu'!I$8</f>
        <v>0</v>
      </c>
      <c r="I133" s="918">
        <f>'D-Anteil Eigenverbrauch EE neu'!J$8</f>
        <v>0</v>
      </c>
      <c r="J133" s="918">
        <f>'D-Anteil Eigenverbrauch EE neu'!K$8</f>
        <v>0</v>
      </c>
      <c r="K133" s="918">
        <f>'D-Anteil Eigenverbrauch EE neu'!L$8</f>
        <v>0</v>
      </c>
      <c r="L133" s="918">
        <f>'D-Anteil Eigenverbrauch EE neu'!M$8</f>
        <v>0</v>
      </c>
      <c r="M133" s="918">
        <f>'D-Anteil Eigenverbrauch EE neu'!N$8</f>
        <v>0</v>
      </c>
      <c r="N133" s="919">
        <f>'D-Anteil Eigenverbrauch EE neu'!O$8</f>
        <v>0</v>
      </c>
      <c r="O133" s="920">
        <f>'D-Anteil Eigenverbrauch EE neu'!P$8</f>
        <v>0</v>
      </c>
      <c r="P133" s="918">
        <f>'D-Anteil Eigenverbrauch EE neu'!Q$8</f>
        <v>0</v>
      </c>
      <c r="Q133" s="918">
        <f>'D-Anteil Eigenverbrauch EE neu'!R$8</f>
        <v>0</v>
      </c>
      <c r="R133" s="918">
        <f>'D-Anteil Eigenverbrauch EE neu'!S$8</f>
        <v>0</v>
      </c>
      <c r="S133" s="918">
        <f>'D-Anteil Eigenverbrauch EE neu'!T$8</f>
        <v>0</v>
      </c>
      <c r="T133" s="918">
        <f>'D-Anteil Eigenverbrauch EE neu'!U$8</f>
        <v>0</v>
      </c>
      <c r="U133" s="918">
        <f>'D-Anteil Eigenverbrauch EE neu'!V$8</f>
        <v>0</v>
      </c>
      <c r="V133" s="918">
        <f>'D-Anteil Eigenverbrauch EE neu'!W$8</f>
        <v>0</v>
      </c>
      <c r="W133" s="918">
        <f>'D-Anteil Eigenverbrauch EE neu'!X$8</f>
        <v>0</v>
      </c>
      <c r="X133" s="918">
        <f>'D-Anteil Eigenverbrauch EE neu'!Y$8</f>
        <v>0</v>
      </c>
      <c r="Y133" s="918">
        <f>'D-Anteil Eigenverbrauch EE neu'!Z$8</f>
        <v>0</v>
      </c>
      <c r="Z133" s="918">
        <f>'D-Anteil Eigenverbrauch EE neu'!AA$8</f>
        <v>0</v>
      </c>
      <c r="AA133" s="918">
        <f>'D-Anteil Eigenverbrauch EE neu'!AB$8</f>
        <v>0</v>
      </c>
      <c r="AB133" s="918">
        <f>'D-Anteil Eigenverbrauch EE neu'!AC$8</f>
        <v>0</v>
      </c>
      <c r="AC133" s="918">
        <f>'D-Anteil Eigenverbrauch EE neu'!AD$8</f>
        <v>0</v>
      </c>
      <c r="AD133" s="918">
        <f>'D-Anteil Eigenverbrauch EE neu'!AE$8</f>
        <v>0</v>
      </c>
      <c r="AE133" s="919">
        <f>'D-Anteil Eigenverbrauch EE neu'!AF$8</f>
        <v>0</v>
      </c>
      <c r="AF133" s="940"/>
      <c r="AG133" s="940"/>
      <c r="AH133" s="1048"/>
      <c r="AI133" s="1048"/>
      <c r="AJ133" s="345"/>
    </row>
    <row r="134" spans="1:36" ht="12.75" customHeight="1" outlineLevel="2">
      <c r="A134" s="561">
        <v>115</v>
      </c>
      <c r="B134" s="16" t="str">
        <f>'D-Anteil Eigenverbrauch EE neu'!C$9</f>
        <v>Referenz</v>
      </c>
      <c r="C134" s="12" t="str">
        <f>'D-Anteil Eigenverbrauch EE neu'!D$9</f>
        <v>cl</v>
      </c>
      <c r="D134" s="31">
        <f>'D-Anteil Eigenverbrauch EE neu'!E$9</f>
        <v>0</v>
      </c>
      <c r="E134" s="16" t="s">
        <v>12</v>
      </c>
      <c r="F134" s="918">
        <f>'D-Anteil Eigenverbrauch EE neu'!G$9</f>
        <v>0</v>
      </c>
      <c r="G134" s="918">
        <f>'D-Anteil Eigenverbrauch EE neu'!H$9</f>
        <v>0</v>
      </c>
      <c r="H134" s="918">
        <f>'D-Anteil Eigenverbrauch EE neu'!I$9</f>
        <v>0</v>
      </c>
      <c r="I134" s="918">
        <f>'D-Anteil Eigenverbrauch EE neu'!J$9</f>
        <v>0</v>
      </c>
      <c r="J134" s="918">
        <f>'D-Anteil Eigenverbrauch EE neu'!K$9</f>
        <v>0</v>
      </c>
      <c r="K134" s="918">
        <f>'D-Anteil Eigenverbrauch EE neu'!L$9</f>
        <v>0</v>
      </c>
      <c r="L134" s="918">
        <f>'D-Anteil Eigenverbrauch EE neu'!M$9</f>
        <v>0</v>
      </c>
      <c r="M134" s="918">
        <f>'D-Anteil Eigenverbrauch EE neu'!N$9</f>
        <v>0</v>
      </c>
      <c r="N134" s="919">
        <f>'D-Anteil Eigenverbrauch EE neu'!O$9</f>
        <v>0</v>
      </c>
      <c r="O134" s="920">
        <f>'D-Anteil Eigenverbrauch EE neu'!P$9</f>
        <v>0</v>
      </c>
      <c r="P134" s="918">
        <f>'D-Anteil Eigenverbrauch EE neu'!Q$9</f>
        <v>0</v>
      </c>
      <c r="Q134" s="918">
        <f>'D-Anteil Eigenverbrauch EE neu'!R$9</f>
        <v>0</v>
      </c>
      <c r="R134" s="918">
        <f>'D-Anteil Eigenverbrauch EE neu'!S$9</f>
        <v>0</v>
      </c>
      <c r="S134" s="918">
        <f>'D-Anteil Eigenverbrauch EE neu'!T$9</f>
        <v>0</v>
      </c>
      <c r="T134" s="918">
        <f>'D-Anteil Eigenverbrauch EE neu'!U$9</f>
        <v>0</v>
      </c>
      <c r="U134" s="918">
        <f>'D-Anteil Eigenverbrauch EE neu'!V$9</f>
        <v>0</v>
      </c>
      <c r="V134" s="918">
        <f>'D-Anteil Eigenverbrauch EE neu'!W$9</f>
        <v>0</v>
      </c>
      <c r="W134" s="918">
        <f>'D-Anteil Eigenverbrauch EE neu'!X$9</f>
        <v>0</v>
      </c>
      <c r="X134" s="918">
        <f>'D-Anteil Eigenverbrauch EE neu'!Y$9</f>
        <v>0</v>
      </c>
      <c r="Y134" s="918">
        <f>'D-Anteil Eigenverbrauch EE neu'!Z$9</f>
        <v>0</v>
      </c>
      <c r="Z134" s="918">
        <f>'D-Anteil Eigenverbrauch EE neu'!AA$9</f>
        <v>0</v>
      </c>
      <c r="AA134" s="918">
        <f>'D-Anteil Eigenverbrauch EE neu'!AB$9</f>
        <v>0</v>
      </c>
      <c r="AB134" s="918">
        <f>'D-Anteil Eigenverbrauch EE neu'!AC$9</f>
        <v>0</v>
      </c>
      <c r="AC134" s="918">
        <f>'D-Anteil Eigenverbrauch EE neu'!AD$9</f>
        <v>0</v>
      </c>
      <c r="AD134" s="918">
        <f>'D-Anteil Eigenverbrauch EE neu'!AE$9</f>
        <v>0</v>
      </c>
      <c r="AE134" s="919">
        <f>'D-Anteil Eigenverbrauch EE neu'!AF$9</f>
        <v>0</v>
      </c>
      <c r="AF134" s="940"/>
      <c r="AG134" s="940"/>
      <c r="AH134" s="1048"/>
      <c r="AI134" s="1048"/>
      <c r="AJ134" s="345"/>
    </row>
    <row r="135" spans="1:36" ht="12.75" customHeight="1" outlineLevel="2">
      <c r="A135" s="561">
        <v>116</v>
      </c>
      <c r="B135" s="16" t="str">
        <f>'D-Anteil Eigenverbrauch EE neu'!C$10</f>
        <v>Referenz</v>
      </c>
      <c r="C135" s="12" t="str">
        <f>'D-Anteil Eigenverbrauch EE neu'!D$10</f>
        <v>cl</v>
      </c>
      <c r="D135" s="31">
        <f>'D-Anteil Eigenverbrauch EE neu'!E$10</f>
        <v>0</v>
      </c>
      <c r="E135" s="16" t="s">
        <v>24</v>
      </c>
      <c r="F135" s="918">
        <f>'D-Anteil Eigenverbrauch EE neu'!G$10</f>
        <v>0</v>
      </c>
      <c r="G135" s="918">
        <f>'D-Anteil Eigenverbrauch EE neu'!H$10</f>
        <v>0</v>
      </c>
      <c r="H135" s="918">
        <f>'D-Anteil Eigenverbrauch EE neu'!I$10</f>
        <v>0</v>
      </c>
      <c r="I135" s="918">
        <f>'D-Anteil Eigenverbrauch EE neu'!J$10</f>
        <v>0</v>
      </c>
      <c r="J135" s="918">
        <f>'D-Anteil Eigenverbrauch EE neu'!K$10</f>
        <v>0</v>
      </c>
      <c r="K135" s="918">
        <f>'D-Anteil Eigenverbrauch EE neu'!L$10</f>
        <v>0</v>
      </c>
      <c r="L135" s="918">
        <f>'D-Anteil Eigenverbrauch EE neu'!M$10</f>
        <v>0</v>
      </c>
      <c r="M135" s="918">
        <f>'D-Anteil Eigenverbrauch EE neu'!N$10</f>
        <v>0</v>
      </c>
      <c r="N135" s="919">
        <f>'D-Anteil Eigenverbrauch EE neu'!O$10</f>
        <v>0</v>
      </c>
      <c r="O135" s="920">
        <f>'D-Anteil Eigenverbrauch EE neu'!P$10</f>
        <v>0</v>
      </c>
      <c r="P135" s="918">
        <f>'D-Anteil Eigenverbrauch EE neu'!Q$10</f>
        <v>0</v>
      </c>
      <c r="Q135" s="918">
        <f>'D-Anteil Eigenverbrauch EE neu'!R$10</f>
        <v>0</v>
      </c>
      <c r="R135" s="918">
        <f>'D-Anteil Eigenverbrauch EE neu'!S$10</f>
        <v>0</v>
      </c>
      <c r="S135" s="918">
        <f>'D-Anteil Eigenverbrauch EE neu'!T$10</f>
        <v>0</v>
      </c>
      <c r="T135" s="918">
        <f>'D-Anteil Eigenverbrauch EE neu'!U$10</f>
        <v>0</v>
      </c>
      <c r="U135" s="918">
        <f>'D-Anteil Eigenverbrauch EE neu'!V$10</f>
        <v>0</v>
      </c>
      <c r="V135" s="918">
        <f>'D-Anteil Eigenverbrauch EE neu'!W$10</f>
        <v>0</v>
      </c>
      <c r="W135" s="918">
        <f>'D-Anteil Eigenverbrauch EE neu'!X$10</f>
        <v>0</v>
      </c>
      <c r="X135" s="918">
        <f>'D-Anteil Eigenverbrauch EE neu'!Y$10</f>
        <v>0</v>
      </c>
      <c r="Y135" s="918">
        <f>'D-Anteil Eigenverbrauch EE neu'!Z$10</f>
        <v>0</v>
      </c>
      <c r="Z135" s="918">
        <f>'D-Anteil Eigenverbrauch EE neu'!AA$10</f>
        <v>0</v>
      </c>
      <c r="AA135" s="918">
        <f>'D-Anteil Eigenverbrauch EE neu'!AB$10</f>
        <v>0</v>
      </c>
      <c r="AB135" s="918">
        <f>'D-Anteil Eigenverbrauch EE neu'!AC$10</f>
        <v>0</v>
      </c>
      <c r="AC135" s="918">
        <f>'D-Anteil Eigenverbrauch EE neu'!AD$10</f>
        <v>0</v>
      </c>
      <c r="AD135" s="918">
        <f>'D-Anteil Eigenverbrauch EE neu'!AE$10</f>
        <v>0</v>
      </c>
      <c r="AE135" s="919">
        <f>'D-Anteil Eigenverbrauch EE neu'!AF$10</f>
        <v>0</v>
      </c>
      <c r="AF135" s="940"/>
      <c r="AG135" s="940"/>
      <c r="AH135" s="1048"/>
      <c r="AI135" s="1048"/>
      <c r="AJ135" s="345"/>
    </row>
    <row r="136" spans="1:36" ht="12.75" customHeight="1" outlineLevel="2">
      <c r="A136" s="561">
        <v>117</v>
      </c>
      <c r="B136" s="16" t="str">
        <f>'D-Anteil Eigenverbrauch EE neu'!C$11</f>
        <v>Referenz</v>
      </c>
      <c r="C136" s="12" t="str">
        <f>'D-Anteil Eigenverbrauch EE neu'!D$11</f>
        <v>cl</v>
      </c>
      <c r="D136" s="31">
        <f>'D-Anteil Eigenverbrauch EE neu'!E$11</f>
        <v>0</v>
      </c>
      <c r="E136" s="16" t="s">
        <v>26</v>
      </c>
      <c r="F136" s="918">
        <f>'D-Anteil Eigenverbrauch EE neu'!G$11</f>
        <v>0</v>
      </c>
      <c r="G136" s="918">
        <f>'D-Anteil Eigenverbrauch EE neu'!H$11</f>
        <v>0</v>
      </c>
      <c r="H136" s="918">
        <f>'D-Anteil Eigenverbrauch EE neu'!I$11</f>
        <v>0</v>
      </c>
      <c r="I136" s="918">
        <f>'D-Anteil Eigenverbrauch EE neu'!J$11</f>
        <v>0</v>
      </c>
      <c r="J136" s="918">
        <f>'D-Anteil Eigenverbrauch EE neu'!K$11</f>
        <v>0</v>
      </c>
      <c r="K136" s="918">
        <f>'D-Anteil Eigenverbrauch EE neu'!L$11</f>
        <v>0</v>
      </c>
      <c r="L136" s="918">
        <f>'D-Anteil Eigenverbrauch EE neu'!M$11</f>
        <v>0</v>
      </c>
      <c r="M136" s="918">
        <f>'D-Anteil Eigenverbrauch EE neu'!N$11</f>
        <v>0</v>
      </c>
      <c r="N136" s="919">
        <f>'D-Anteil Eigenverbrauch EE neu'!O$11</f>
        <v>0</v>
      </c>
      <c r="O136" s="920">
        <f>'D-Anteil Eigenverbrauch EE neu'!P$11</f>
        <v>0</v>
      </c>
      <c r="P136" s="918">
        <f>'D-Anteil Eigenverbrauch EE neu'!Q$11</f>
        <v>0</v>
      </c>
      <c r="Q136" s="918">
        <f>'D-Anteil Eigenverbrauch EE neu'!R$11</f>
        <v>0</v>
      </c>
      <c r="R136" s="918">
        <f>'D-Anteil Eigenverbrauch EE neu'!S$11</f>
        <v>0</v>
      </c>
      <c r="S136" s="918">
        <f>'D-Anteil Eigenverbrauch EE neu'!T$11</f>
        <v>0</v>
      </c>
      <c r="T136" s="918">
        <f>'D-Anteil Eigenverbrauch EE neu'!U$11</f>
        <v>0</v>
      </c>
      <c r="U136" s="918">
        <f>'D-Anteil Eigenverbrauch EE neu'!V$11</f>
        <v>0</v>
      </c>
      <c r="V136" s="918">
        <f>'D-Anteil Eigenverbrauch EE neu'!W$11</f>
        <v>0</v>
      </c>
      <c r="W136" s="918">
        <f>'D-Anteil Eigenverbrauch EE neu'!X$11</f>
        <v>0</v>
      </c>
      <c r="X136" s="918">
        <f>'D-Anteil Eigenverbrauch EE neu'!Y$11</f>
        <v>0</v>
      </c>
      <c r="Y136" s="918">
        <f>'D-Anteil Eigenverbrauch EE neu'!Z$11</f>
        <v>0</v>
      </c>
      <c r="Z136" s="918">
        <f>'D-Anteil Eigenverbrauch EE neu'!AA$11</f>
        <v>0</v>
      </c>
      <c r="AA136" s="918">
        <f>'D-Anteil Eigenverbrauch EE neu'!AB$11</f>
        <v>0</v>
      </c>
      <c r="AB136" s="918">
        <f>'D-Anteil Eigenverbrauch EE neu'!AC$11</f>
        <v>0</v>
      </c>
      <c r="AC136" s="918">
        <f>'D-Anteil Eigenverbrauch EE neu'!AD$11</f>
        <v>0</v>
      </c>
      <c r="AD136" s="918">
        <f>'D-Anteil Eigenverbrauch EE neu'!AE$11</f>
        <v>0</v>
      </c>
      <c r="AE136" s="919">
        <f>'D-Anteil Eigenverbrauch EE neu'!AF$11</f>
        <v>0</v>
      </c>
      <c r="AF136" s="940"/>
      <c r="AG136" s="940"/>
      <c r="AH136" s="1048"/>
      <c r="AI136" s="1048"/>
      <c r="AJ136" s="345"/>
    </row>
    <row r="137" spans="1:36" ht="12.75" customHeight="1" outlineLevel="2">
      <c r="A137" s="561">
        <v>118</v>
      </c>
      <c r="B137" s="303" t="str">
        <f>'D-Anteil Eigenverbrauch EE neu'!C$12</f>
        <v>Referenz</v>
      </c>
      <c r="C137" s="24" t="str">
        <f>'D-Anteil Eigenverbrauch EE neu'!D$12</f>
        <v>dr</v>
      </c>
      <c r="D137" s="32" t="str">
        <f>'D-Anteil Eigenverbrauch EE neu'!E$12</f>
        <v>9%</v>
      </c>
      <c r="E137" s="303" t="s">
        <v>74</v>
      </c>
      <c r="F137" s="923">
        <f>'D-Anteil Eigenverbrauch EE neu'!G$12</f>
        <v>0</v>
      </c>
      <c r="G137" s="923">
        <f>'D-Anteil Eigenverbrauch EE neu'!H$12</f>
        <v>0</v>
      </c>
      <c r="H137" s="923">
        <f>'D-Anteil Eigenverbrauch EE neu'!I$12</f>
        <v>0</v>
      </c>
      <c r="I137" s="923">
        <f>'D-Anteil Eigenverbrauch EE neu'!J$12</f>
        <v>0</v>
      </c>
      <c r="J137" s="923">
        <f>'D-Anteil Eigenverbrauch EE neu'!K$12</f>
        <v>0</v>
      </c>
      <c r="K137" s="923">
        <f>'D-Anteil Eigenverbrauch EE neu'!L$12</f>
        <v>0.20025000000000001</v>
      </c>
      <c r="L137" s="923">
        <f>'D-Anteil Eigenverbrauch EE neu'!M$12</f>
        <v>0.26</v>
      </c>
      <c r="M137" s="923">
        <f>'D-Anteil Eigenverbrauch EE neu'!N$12</f>
        <v>0.123</v>
      </c>
      <c r="N137" s="924">
        <f>'D-Anteil Eigenverbrauch EE neu'!O$12</f>
        <v>0.123</v>
      </c>
      <c r="O137" s="925">
        <f>'D-Anteil Eigenverbrauch EE neu'!P$12</f>
        <v>8.6282704209457411E-2</v>
      </c>
      <c r="P137" s="923">
        <f>'D-Anteil Eigenverbrauch EE neu'!Q$12</f>
        <v>5.896218016593225E-2</v>
      </c>
      <c r="Q137" s="923">
        <f>'D-Anteil Eigenverbrauch EE neu'!R$12</f>
        <v>6.7386075190170966E-2</v>
      </c>
      <c r="R137" s="923">
        <f>'D-Anteil Eigenverbrauch EE neu'!S$12</f>
        <v>0.09</v>
      </c>
      <c r="S137" s="923">
        <f>'D-Anteil Eigenverbrauch EE neu'!T$12</f>
        <v>0.09</v>
      </c>
      <c r="T137" s="923">
        <f>'D-Anteil Eigenverbrauch EE neu'!U$12</f>
        <v>0.09</v>
      </c>
      <c r="U137" s="923">
        <f>'D-Anteil Eigenverbrauch EE neu'!V$12</f>
        <v>0.09</v>
      </c>
      <c r="V137" s="923">
        <f>'D-Anteil Eigenverbrauch EE neu'!W$12</f>
        <v>0.09</v>
      </c>
      <c r="W137" s="923">
        <f>'D-Anteil Eigenverbrauch EE neu'!X$12</f>
        <v>0.09</v>
      </c>
      <c r="X137" s="923">
        <f>'D-Anteil Eigenverbrauch EE neu'!Y$12</f>
        <v>0.09</v>
      </c>
      <c r="Y137" s="923">
        <f>'D-Anteil Eigenverbrauch EE neu'!Z$12</f>
        <v>0.09</v>
      </c>
      <c r="Z137" s="923">
        <f>'D-Anteil Eigenverbrauch EE neu'!AA$12</f>
        <v>0.09</v>
      </c>
      <c r="AA137" s="923">
        <f>'D-Anteil Eigenverbrauch EE neu'!AB$12</f>
        <v>0.09</v>
      </c>
      <c r="AB137" s="923">
        <f>'D-Anteil Eigenverbrauch EE neu'!AC$12</f>
        <v>0.09</v>
      </c>
      <c r="AC137" s="923">
        <f>'D-Anteil Eigenverbrauch EE neu'!AD$12</f>
        <v>0.09</v>
      </c>
      <c r="AD137" s="923">
        <f>'D-Anteil Eigenverbrauch EE neu'!AE$12</f>
        <v>0.09</v>
      </c>
      <c r="AE137" s="924">
        <f>'D-Anteil Eigenverbrauch EE neu'!AF$12</f>
        <v>0.09</v>
      </c>
      <c r="AF137" s="940"/>
      <c r="AG137" s="940"/>
      <c r="AH137" s="1048"/>
      <c r="AI137" s="1048"/>
      <c r="AJ137" s="345"/>
    </row>
    <row r="138" spans="1:36" ht="12.75" customHeight="1" outlineLevel="1">
      <c r="A138" s="561">
        <v>119</v>
      </c>
      <c r="B138" s="10"/>
      <c r="N138" s="349"/>
      <c r="O138" s="296"/>
      <c r="AF138" s="940"/>
      <c r="AG138" s="940"/>
      <c r="AH138" s="1048"/>
      <c r="AI138" s="1048"/>
      <c r="AJ138" s="345"/>
    </row>
    <row r="139" spans="1:36" s="301" customFormat="1" ht="12.75" customHeight="1" outlineLevel="1">
      <c r="A139" s="561">
        <v>120</v>
      </c>
      <c r="B139" s="10"/>
      <c r="D139" s="33"/>
      <c r="E139" s="322" t="s">
        <v>740</v>
      </c>
      <c r="F139" s="331"/>
      <c r="G139" s="331"/>
      <c r="H139" s="331"/>
      <c r="I139" s="331"/>
      <c r="J139" s="331"/>
      <c r="K139" s="331"/>
      <c r="L139" s="331"/>
      <c r="M139" s="331"/>
      <c r="N139" s="349"/>
      <c r="O139" s="296"/>
      <c r="P139" s="331"/>
      <c r="Q139" s="331"/>
      <c r="R139" s="331"/>
      <c r="S139" s="331"/>
      <c r="T139" s="331"/>
      <c r="U139" s="331"/>
      <c r="V139" s="331"/>
      <c r="W139" s="331"/>
      <c r="X139" s="331"/>
      <c r="Y139" s="331"/>
      <c r="Z139" s="331"/>
      <c r="AA139" s="331"/>
      <c r="AB139" s="331"/>
      <c r="AC139" s="331"/>
      <c r="AD139" s="331"/>
      <c r="AE139" s="331"/>
      <c r="AF139" s="940"/>
      <c r="AG139" s="940"/>
      <c r="AH139" s="1048"/>
      <c r="AI139" s="1048"/>
      <c r="AJ139" s="345"/>
    </row>
    <row r="140" spans="1:36" s="301" customFormat="1" ht="12.75" customHeight="1" outlineLevel="2">
      <c r="A140" s="561">
        <v>121</v>
      </c>
      <c r="B140" s="321" t="str">
        <f>'D-Mittlerer Vergütungssatz'!C$6</f>
        <v>Historisch</v>
      </c>
      <c r="C140" s="22" t="str">
        <f>'D-Mittlerer Vergütungssatz'!D$6</f>
        <v>fh</v>
      </c>
      <c r="D140" s="30" t="str">
        <f>'D-Mittlerer Vergütungssatz'!E$6</f>
        <v>Abgeleitet aus ÜNB-Jahresprognosen</v>
      </c>
      <c r="E140" s="321" t="s">
        <v>25</v>
      </c>
      <c r="F140" s="915">
        <f>'D-Mittlerer Vergütungssatz'!G$6</f>
        <v>76.040000000000006</v>
      </c>
      <c r="G140" s="915">
        <f>'D-Mittlerer Vergütungssatz'!H$6</f>
        <v>78.580579248126398</v>
      </c>
      <c r="H140" s="915">
        <f>'D-Mittlerer Vergütungssatz'!I$6</f>
        <v>85.426349075311549</v>
      </c>
      <c r="I140" s="915">
        <f>'D-Mittlerer Vergütungssatz'!J$6</f>
        <v>84.973326885251481</v>
      </c>
      <c r="J140" s="915">
        <f>'D-Mittlerer Vergütungssatz'!K$6</f>
        <v>93.580358696572972</v>
      </c>
      <c r="K140" s="915">
        <f>'D-Mittlerer Vergütungssatz'!L$6</f>
        <v>90.888126814616172</v>
      </c>
      <c r="L140" s="915">
        <f>'D-Mittlerer Vergütungssatz'!M$6</f>
        <v>94.021995549816509</v>
      </c>
      <c r="M140" s="915">
        <f>'D-Mittlerer Vergütungssatz'!N$6</f>
        <v>95.471944662181755</v>
      </c>
      <c r="N140" s="916">
        <f>'D-Mittlerer Vergütungssatz'!O$6</f>
        <v>93.257752565695739</v>
      </c>
      <c r="O140" s="917">
        <f>'D-Mittlerer Vergütungssatz'!P$6</f>
        <v>94.128858532452895</v>
      </c>
      <c r="P140" s="915">
        <f>'D-Mittlerer Vergütungssatz'!Q$6</f>
        <v>94.824277922477592</v>
      </c>
      <c r="Q140" s="915">
        <f>'D-Mittlerer Vergütungssatz'!R$6</f>
        <v>96.066608000039679</v>
      </c>
      <c r="R140" s="915">
        <f>'D-Mittlerer Vergütungssatz'!S$6</f>
        <v>95.834356765035722</v>
      </c>
      <c r="S140" s="915">
        <f>'D-Mittlerer Vergütungssatz'!T$6</f>
        <v>0</v>
      </c>
      <c r="T140" s="915">
        <f>'D-Mittlerer Vergütungssatz'!U$6</f>
        <v>0</v>
      </c>
      <c r="U140" s="915">
        <f>'D-Mittlerer Vergütungssatz'!V$6</f>
        <v>0</v>
      </c>
      <c r="V140" s="915">
        <f>'D-Mittlerer Vergütungssatz'!W$6</f>
        <v>0</v>
      </c>
      <c r="W140" s="915">
        <f>'D-Mittlerer Vergütungssatz'!X$6</f>
        <v>0</v>
      </c>
      <c r="X140" s="915">
        <f>'D-Mittlerer Vergütungssatz'!Y$6</f>
        <v>0</v>
      </c>
      <c r="Y140" s="915">
        <f>'D-Mittlerer Vergütungssatz'!Z$6</f>
        <v>0</v>
      </c>
      <c r="Z140" s="915">
        <f>'D-Mittlerer Vergütungssatz'!AA$6</f>
        <v>0</v>
      </c>
      <c r="AA140" s="915">
        <f>'D-Mittlerer Vergütungssatz'!AB$6</f>
        <v>0</v>
      </c>
      <c r="AB140" s="915">
        <f>'D-Mittlerer Vergütungssatz'!AC$6</f>
        <v>0</v>
      </c>
      <c r="AC140" s="915">
        <f>'D-Mittlerer Vergütungssatz'!AD$6</f>
        <v>0</v>
      </c>
      <c r="AD140" s="915">
        <f>'D-Mittlerer Vergütungssatz'!AE$6</f>
        <v>0</v>
      </c>
      <c r="AE140" s="916">
        <f>'D-Mittlerer Vergütungssatz'!AF$6</f>
        <v>0</v>
      </c>
      <c r="AF140" s="940"/>
      <c r="AG140" s="940"/>
      <c r="AH140" s="1048"/>
      <c r="AI140" s="1048"/>
      <c r="AJ140" s="345"/>
    </row>
    <row r="141" spans="1:36" s="301" customFormat="1" ht="12.75" customHeight="1" outlineLevel="2">
      <c r="A141" s="561">
        <v>122</v>
      </c>
      <c r="B141" s="16" t="str">
        <f>'D-Mittlerer Vergütungssatz'!C$7</f>
        <v>Historisch</v>
      </c>
      <c r="C141" s="12" t="str">
        <f>'D-Mittlerer Vergütungssatz'!D$7</f>
        <v>fh</v>
      </c>
      <c r="D141" s="31" t="str">
        <f>'D-Mittlerer Vergütungssatz'!E$7</f>
        <v>Abgeleitet aus ÜNB-Jahresprognosen</v>
      </c>
      <c r="E141" s="16" t="s">
        <v>50</v>
      </c>
      <c r="F141" s="918">
        <f>'D-Mittlerer Vergütungssatz'!G$7</f>
        <v>70.59</v>
      </c>
      <c r="G141" s="918">
        <f>'D-Mittlerer Vergütungssatz'!H$7</f>
        <v>70.623810216707398</v>
      </c>
      <c r="H141" s="918">
        <f>'D-Mittlerer Vergütungssatz'!I$7</f>
        <v>72.333594863809779</v>
      </c>
      <c r="I141" s="918">
        <f>'D-Mittlerer Vergütungssatz'!J$7</f>
        <v>75.078609851750898</v>
      </c>
      <c r="J141" s="918">
        <f>'D-Mittlerer Vergütungssatz'!K$7</f>
        <v>80.301227083888492</v>
      </c>
      <c r="K141" s="918">
        <f>'D-Mittlerer Vergütungssatz'!L$7</f>
        <v>69.689921182911647</v>
      </c>
      <c r="L141" s="918">
        <f>'D-Mittlerer Vergütungssatz'!M$7</f>
        <v>70.331521816935805</v>
      </c>
      <c r="M141" s="918">
        <f>'D-Mittlerer Vergütungssatz'!N$7</f>
        <v>69.72914314608407</v>
      </c>
      <c r="N141" s="919">
        <f>'D-Mittlerer Vergütungssatz'!O$7</f>
        <v>69.58740425505863</v>
      </c>
      <c r="O141" s="920">
        <f>'D-Mittlerer Vergütungssatz'!P$7</f>
        <v>71.700386816033742</v>
      </c>
      <c r="P141" s="918">
        <f>'D-Mittlerer Vergütungssatz'!Q$7</f>
        <v>69.098674383868556</v>
      </c>
      <c r="Q141" s="918">
        <f>'D-Mittlerer Vergütungssatz'!R$7</f>
        <v>71.292092493824555</v>
      </c>
      <c r="R141" s="918">
        <f>'D-Mittlerer Vergütungssatz'!S$7</f>
        <v>71.350290170163703</v>
      </c>
      <c r="S141" s="918">
        <f>'D-Mittlerer Vergütungssatz'!T$7</f>
        <v>0</v>
      </c>
      <c r="T141" s="918">
        <f>'D-Mittlerer Vergütungssatz'!U$7</f>
        <v>0</v>
      </c>
      <c r="U141" s="918">
        <f>'D-Mittlerer Vergütungssatz'!V$7</f>
        <v>0</v>
      </c>
      <c r="V141" s="918">
        <f>'D-Mittlerer Vergütungssatz'!W$7</f>
        <v>0</v>
      </c>
      <c r="W141" s="918">
        <f>'D-Mittlerer Vergütungssatz'!X$7</f>
        <v>0</v>
      </c>
      <c r="X141" s="918">
        <f>'D-Mittlerer Vergütungssatz'!Y$7</f>
        <v>0</v>
      </c>
      <c r="Y141" s="918">
        <f>'D-Mittlerer Vergütungssatz'!Z$7</f>
        <v>0</v>
      </c>
      <c r="Z141" s="918">
        <f>'D-Mittlerer Vergütungssatz'!AA$7</f>
        <v>0</v>
      </c>
      <c r="AA141" s="918">
        <f>'D-Mittlerer Vergütungssatz'!AB$7</f>
        <v>0</v>
      </c>
      <c r="AB141" s="918">
        <f>'D-Mittlerer Vergütungssatz'!AC$7</f>
        <v>0</v>
      </c>
      <c r="AC141" s="918">
        <f>'D-Mittlerer Vergütungssatz'!AD$7</f>
        <v>0</v>
      </c>
      <c r="AD141" s="918">
        <f>'D-Mittlerer Vergütungssatz'!AE$7</f>
        <v>0</v>
      </c>
      <c r="AE141" s="919">
        <f>'D-Mittlerer Vergütungssatz'!AF$7</f>
        <v>0</v>
      </c>
      <c r="AF141" s="940"/>
      <c r="AG141" s="940"/>
      <c r="AH141" s="1048"/>
      <c r="AI141" s="1048"/>
      <c r="AJ141" s="345"/>
    </row>
    <row r="142" spans="1:36" s="301" customFormat="1" ht="12.75" customHeight="1" outlineLevel="2">
      <c r="A142" s="561">
        <v>123</v>
      </c>
      <c r="B142" s="16" t="str">
        <f>'D-Mittlerer Vergütungssatz'!C$8</f>
        <v>Historisch</v>
      </c>
      <c r="C142" s="12" t="str">
        <f>'D-Mittlerer Vergütungssatz'!D$8</f>
        <v>fh</v>
      </c>
      <c r="D142" s="31" t="str">
        <f>'D-Mittlerer Vergütungssatz'!E$8</f>
        <v>Abgeleitet aus ÜNB-Jahresprognosen</v>
      </c>
      <c r="E142" s="16" t="s">
        <v>13</v>
      </c>
      <c r="F142" s="918">
        <f>'D-Mittlerer Vergütungssatz'!G$8</f>
        <v>150.44</v>
      </c>
      <c r="G142" s="918">
        <f>'D-Mittlerer Vergütungssatz'!H$8</f>
        <v>174.78292585554749</v>
      </c>
      <c r="H142" s="918">
        <f>'D-Mittlerer Vergütungssatz'!I$8</f>
        <v>171.71219457964042</v>
      </c>
      <c r="I142" s="918">
        <f>'D-Mittlerer Vergütungssatz'!J$8</f>
        <v>182.43185910801026</v>
      </c>
      <c r="J142" s="918">
        <f>'D-Mittlerer Vergütungssatz'!K$8</f>
        <v>184.3941182048568</v>
      </c>
      <c r="K142" s="918">
        <f>'D-Mittlerer Vergütungssatz'!L$8</f>
        <v>185.81088443376183</v>
      </c>
      <c r="L142" s="918">
        <f>'D-Mittlerer Vergütungssatz'!M$8</f>
        <v>187.10187197631356</v>
      </c>
      <c r="M142" s="918">
        <f>'D-Mittlerer Vergütungssatz'!N$8</f>
        <v>188.59316836578836</v>
      </c>
      <c r="N142" s="919">
        <f>'D-Mittlerer Vergütungssatz'!O$8</f>
        <v>191.10109988815023</v>
      </c>
      <c r="O142" s="920">
        <f>'D-Mittlerer Vergütungssatz'!P$8</f>
        <v>196.13070462077062</v>
      </c>
      <c r="P142" s="918">
        <f>'D-Mittlerer Vergütungssatz'!Q$8</f>
        <v>192.3639566092275</v>
      </c>
      <c r="Q142" s="918">
        <f>'D-Mittlerer Vergütungssatz'!R$8</f>
        <v>197.60807852307477</v>
      </c>
      <c r="R142" s="918">
        <f>'D-Mittlerer Vergütungssatz'!S$8</f>
        <v>198.36353041718752</v>
      </c>
      <c r="S142" s="918">
        <f>'D-Mittlerer Vergütungssatz'!T$8</f>
        <v>0</v>
      </c>
      <c r="T142" s="918">
        <f>'D-Mittlerer Vergütungssatz'!U$8</f>
        <v>0</v>
      </c>
      <c r="U142" s="918">
        <f>'D-Mittlerer Vergütungssatz'!V$8</f>
        <v>0</v>
      </c>
      <c r="V142" s="918">
        <f>'D-Mittlerer Vergütungssatz'!W$8</f>
        <v>0</v>
      </c>
      <c r="W142" s="918">
        <f>'D-Mittlerer Vergütungssatz'!X$8</f>
        <v>0</v>
      </c>
      <c r="X142" s="918">
        <f>'D-Mittlerer Vergütungssatz'!Y$8</f>
        <v>0</v>
      </c>
      <c r="Y142" s="918">
        <f>'D-Mittlerer Vergütungssatz'!Z$8</f>
        <v>0</v>
      </c>
      <c r="Z142" s="918">
        <f>'D-Mittlerer Vergütungssatz'!AA$8</f>
        <v>0</v>
      </c>
      <c r="AA142" s="918">
        <f>'D-Mittlerer Vergütungssatz'!AB$8</f>
        <v>0</v>
      </c>
      <c r="AB142" s="918">
        <f>'D-Mittlerer Vergütungssatz'!AC$8</f>
        <v>0</v>
      </c>
      <c r="AC142" s="918">
        <f>'D-Mittlerer Vergütungssatz'!AD$8</f>
        <v>0</v>
      </c>
      <c r="AD142" s="918">
        <f>'D-Mittlerer Vergütungssatz'!AE$8</f>
        <v>0</v>
      </c>
      <c r="AE142" s="919">
        <f>'D-Mittlerer Vergütungssatz'!AF$8</f>
        <v>0</v>
      </c>
      <c r="AF142" s="940"/>
      <c r="AG142" s="940"/>
      <c r="AH142" s="1048"/>
      <c r="AI142" s="1048"/>
      <c r="AJ142" s="345"/>
    </row>
    <row r="143" spans="1:36" s="301" customFormat="1" ht="12.75" customHeight="1" outlineLevel="2">
      <c r="A143" s="561">
        <v>124</v>
      </c>
      <c r="B143" s="16" t="str">
        <f>'D-Mittlerer Vergütungssatz'!C$9</f>
        <v>Historisch</v>
      </c>
      <c r="C143" s="12" t="str">
        <f>'D-Mittlerer Vergütungssatz'!D$9</f>
        <v>fh</v>
      </c>
      <c r="D143" s="31" t="str">
        <f>'D-Mittlerer Vergütungssatz'!E$9</f>
        <v>Abgeleitet aus ÜNB-Jahresprognosen</v>
      </c>
      <c r="E143" s="16" t="s">
        <v>12</v>
      </c>
      <c r="F143" s="918">
        <f>'D-Mittlerer Vergütungssatz'!G$9</f>
        <v>150</v>
      </c>
      <c r="G143" s="918">
        <f>'D-Mittlerer Vergütungssatz'!H$9</f>
        <v>212.46439005388561</v>
      </c>
      <c r="H143" s="918">
        <f>'D-Mittlerer Vergütungssatz'!I$9</f>
        <v>221.27270328235733</v>
      </c>
      <c r="I143" s="918">
        <f>'D-Mittlerer Vergütungssatz'!J$9</f>
        <v>235.75585040650407</v>
      </c>
      <c r="J143" s="918">
        <f>'D-Mittlerer Vergütungssatz'!K$9</f>
        <v>243.3346397049238</v>
      </c>
      <c r="K143" s="918">
        <f>'D-Mittlerer Vergütungssatz'!L$9</f>
        <v>245.37903027629881</v>
      </c>
      <c r="L143" s="918">
        <f>'D-Mittlerer Vergütungssatz'!M$9</f>
        <v>243.88965712257979</v>
      </c>
      <c r="M143" s="918">
        <f>'D-Mittlerer Vergütungssatz'!N$9</f>
        <v>247.41502395474978</v>
      </c>
      <c r="N143" s="919">
        <f>'D-Mittlerer Vergütungssatz'!O$9</f>
        <v>241.0595654539801</v>
      </c>
      <c r="O143" s="920">
        <f>'D-Mittlerer Vergütungssatz'!P$9</f>
        <v>251.13132613734075</v>
      </c>
      <c r="P143" s="918">
        <f>'D-Mittlerer Vergütungssatz'!Q$9</f>
        <v>245.91407182317226</v>
      </c>
      <c r="Q143" s="918">
        <f>'D-Mittlerer Vergütungssatz'!R$9</f>
        <v>248.65452372169901</v>
      </c>
      <c r="R143" s="918">
        <f>'D-Mittlerer Vergütungssatz'!S$9</f>
        <v>248.63639031970303</v>
      </c>
      <c r="S143" s="918">
        <f>'D-Mittlerer Vergütungssatz'!T$9</f>
        <v>0</v>
      </c>
      <c r="T143" s="918">
        <f>'D-Mittlerer Vergütungssatz'!U$9</f>
        <v>0</v>
      </c>
      <c r="U143" s="918">
        <f>'D-Mittlerer Vergütungssatz'!V$9</f>
        <v>0</v>
      </c>
      <c r="V143" s="918">
        <f>'D-Mittlerer Vergütungssatz'!W$9</f>
        <v>0</v>
      </c>
      <c r="W143" s="918">
        <f>'D-Mittlerer Vergütungssatz'!X$9</f>
        <v>0</v>
      </c>
      <c r="X143" s="918">
        <f>'D-Mittlerer Vergütungssatz'!Y$9</f>
        <v>0</v>
      </c>
      <c r="Y143" s="918">
        <f>'D-Mittlerer Vergütungssatz'!Z$9</f>
        <v>0</v>
      </c>
      <c r="Z143" s="918">
        <f>'D-Mittlerer Vergütungssatz'!AA$9</f>
        <v>0</v>
      </c>
      <c r="AA143" s="918">
        <f>'D-Mittlerer Vergütungssatz'!AB$9</f>
        <v>0</v>
      </c>
      <c r="AB143" s="918">
        <f>'D-Mittlerer Vergütungssatz'!AC$9</f>
        <v>0</v>
      </c>
      <c r="AC143" s="918">
        <f>'D-Mittlerer Vergütungssatz'!AD$9</f>
        <v>0</v>
      </c>
      <c r="AD143" s="918">
        <f>'D-Mittlerer Vergütungssatz'!AE$9</f>
        <v>0</v>
      </c>
      <c r="AE143" s="919">
        <f>'D-Mittlerer Vergütungssatz'!AF$9</f>
        <v>0</v>
      </c>
      <c r="AF143" s="940"/>
      <c r="AG143" s="940"/>
      <c r="AH143" s="1048"/>
      <c r="AI143" s="1048"/>
      <c r="AJ143" s="345"/>
    </row>
    <row r="144" spans="1:36" s="301" customFormat="1" ht="12.75" customHeight="1" outlineLevel="2">
      <c r="A144" s="561">
        <v>125</v>
      </c>
      <c r="B144" s="16" t="str">
        <f>'D-Mittlerer Vergütungssatz'!C$10</f>
        <v>Historisch</v>
      </c>
      <c r="C144" s="12" t="str">
        <f>'D-Mittlerer Vergütungssatz'!D$10</f>
        <v>fh</v>
      </c>
      <c r="D144" s="31" t="str">
        <f>'D-Mittlerer Vergütungssatz'!E$10</f>
        <v>Abgeleitet aus ÜNB-Jahresprognosen</v>
      </c>
      <c r="E144" s="16" t="s">
        <v>24</v>
      </c>
      <c r="F144" s="918">
        <f>'D-Mittlerer Vergütungssatz'!G$10</f>
        <v>87.77</v>
      </c>
      <c r="G144" s="918">
        <f>'D-Mittlerer Vergütungssatz'!H$10</f>
        <v>88.470056975207314</v>
      </c>
      <c r="H144" s="918">
        <f>'D-Mittlerer Vergütungssatz'!I$10</f>
        <v>89.579894563937472</v>
      </c>
      <c r="I144" s="918">
        <f>'D-Mittlerer Vergütungssatz'!J$10</f>
        <v>97.55029244575941</v>
      </c>
      <c r="J144" s="918">
        <f>'D-Mittlerer Vergütungssatz'!K$10</f>
        <v>100.74631823317601</v>
      </c>
      <c r="K144" s="918">
        <f>'D-Mittlerer Vergütungssatz'!L$10</f>
        <v>92.874953538580655</v>
      </c>
      <c r="L144" s="918">
        <f>'D-Mittlerer Vergütungssatz'!M$10</f>
        <v>91.555496018812718</v>
      </c>
      <c r="M144" s="918">
        <f>'D-Mittlerer Vergütungssatz'!N$10</f>
        <v>88.105159748659176</v>
      </c>
      <c r="N144" s="919">
        <f>'D-Mittlerer Vergütungssatz'!O$10</f>
        <v>85.970286785170643</v>
      </c>
      <c r="O144" s="920">
        <f>'D-Mittlerer Vergütungssatz'!P$10</f>
        <v>88.681513062623281</v>
      </c>
      <c r="P144" s="918">
        <f>'D-Mittlerer Vergütungssatz'!Q$10</f>
        <v>84.943185603231001</v>
      </c>
      <c r="Q144" s="918">
        <f>'D-Mittlerer Vergütungssatz'!R$10</f>
        <v>87.658156173485565</v>
      </c>
      <c r="R144" s="918">
        <f>'D-Mittlerer Vergütungssatz'!S$10</f>
        <v>84.023582564737382</v>
      </c>
      <c r="S144" s="918">
        <f>'D-Mittlerer Vergütungssatz'!T$10</f>
        <v>0</v>
      </c>
      <c r="T144" s="918">
        <f>'D-Mittlerer Vergütungssatz'!U$10</f>
        <v>0</v>
      </c>
      <c r="U144" s="918">
        <f>'D-Mittlerer Vergütungssatz'!V$10</f>
        <v>0</v>
      </c>
      <c r="V144" s="918">
        <f>'D-Mittlerer Vergütungssatz'!W$10</f>
        <v>0</v>
      </c>
      <c r="W144" s="918">
        <f>'D-Mittlerer Vergütungssatz'!X$10</f>
        <v>0</v>
      </c>
      <c r="X144" s="918">
        <f>'D-Mittlerer Vergütungssatz'!Y$10</f>
        <v>0</v>
      </c>
      <c r="Y144" s="918">
        <f>'D-Mittlerer Vergütungssatz'!Z$10</f>
        <v>0</v>
      </c>
      <c r="Z144" s="918">
        <f>'D-Mittlerer Vergütungssatz'!AA$10</f>
        <v>0</v>
      </c>
      <c r="AA144" s="918">
        <f>'D-Mittlerer Vergütungssatz'!AB$10</f>
        <v>0</v>
      </c>
      <c r="AB144" s="918">
        <f>'D-Mittlerer Vergütungssatz'!AC$10</f>
        <v>0</v>
      </c>
      <c r="AC144" s="918">
        <f>'D-Mittlerer Vergütungssatz'!AD$10</f>
        <v>0</v>
      </c>
      <c r="AD144" s="918">
        <f>'D-Mittlerer Vergütungssatz'!AE$10</f>
        <v>0</v>
      </c>
      <c r="AE144" s="919">
        <f>'D-Mittlerer Vergütungssatz'!AF$10</f>
        <v>0</v>
      </c>
      <c r="AF144" s="940"/>
      <c r="AG144" s="940"/>
      <c r="AH144" s="1048"/>
      <c r="AI144" s="1048"/>
      <c r="AJ144" s="345"/>
    </row>
    <row r="145" spans="1:36" s="301" customFormat="1" ht="12.75" customHeight="1" outlineLevel="2">
      <c r="A145" s="561">
        <v>126</v>
      </c>
      <c r="B145" s="16" t="str">
        <f>'D-Mittlerer Vergütungssatz'!C$11</f>
        <v>Historisch</v>
      </c>
      <c r="C145" s="12" t="str">
        <f>'D-Mittlerer Vergütungssatz'!D$11</f>
        <v>fh</v>
      </c>
      <c r="D145" s="31" t="str">
        <f>'D-Mittlerer Vergütungssatz'!E$11</f>
        <v>Abgeleitet aus ÜNB-Jahresprognosen</v>
      </c>
      <c r="E145" s="16" t="s">
        <v>26</v>
      </c>
      <c r="F145" s="918">
        <f>'D-Mittlerer Vergütungssatz'!G$11</f>
        <v>150</v>
      </c>
      <c r="G145" s="918">
        <f>'D-Mittlerer Vergütungssatz'!H$11</f>
        <v>150.00002964794805</v>
      </c>
      <c r="H145" s="918">
        <f>'D-Mittlerer Vergütungssatz'!I$11</f>
        <v>159.55374326447114</v>
      </c>
      <c r="I145" s="918">
        <f>'D-Mittlerer Vergütungssatz'!J$11</f>
        <v>189.09737949685689</v>
      </c>
      <c r="J145" s="918">
        <f>'D-Mittlerer Vergütungssatz'!K$11</f>
        <v>191.11269267192381</v>
      </c>
      <c r="K145" s="918">
        <f>'D-Mittlerer Vergütungssatz'!L$11</f>
        <v>182.24269170072949</v>
      </c>
      <c r="L145" s="918">
        <f>'D-Mittlerer Vergütungssatz'!M$11</f>
        <v>183.62361985504901</v>
      </c>
      <c r="M145" s="918">
        <f>'D-Mittlerer Vergütungssatz'!N$11</f>
        <v>181.73716679008584</v>
      </c>
      <c r="N145" s="919">
        <f>'D-Mittlerer Vergütungssatz'!O$11</f>
        <v>185.91972037730574</v>
      </c>
      <c r="O145" s="920">
        <f>'D-Mittlerer Vergütungssatz'!P$11</f>
        <v>187.42134928446933</v>
      </c>
      <c r="P145" s="918">
        <f>'D-Mittlerer Vergütungssatz'!Q$11</f>
        <v>184.61609509608459</v>
      </c>
      <c r="Q145" s="918">
        <f>'D-Mittlerer Vergütungssatz'!R$11</f>
        <v>185.38314339176773</v>
      </c>
      <c r="R145" s="918">
        <f>'D-Mittlerer Vergütungssatz'!S$11</f>
        <v>181.81112386172316</v>
      </c>
      <c r="S145" s="918">
        <f>'D-Mittlerer Vergütungssatz'!T$11</f>
        <v>0</v>
      </c>
      <c r="T145" s="918">
        <f>'D-Mittlerer Vergütungssatz'!U$11</f>
        <v>0</v>
      </c>
      <c r="U145" s="918">
        <f>'D-Mittlerer Vergütungssatz'!V$11</f>
        <v>0</v>
      </c>
      <c r="V145" s="918">
        <f>'D-Mittlerer Vergütungssatz'!W$11</f>
        <v>0</v>
      </c>
      <c r="W145" s="918">
        <f>'D-Mittlerer Vergütungssatz'!X$11</f>
        <v>0</v>
      </c>
      <c r="X145" s="918">
        <f>'D-Mittlerer Vergütungssatz'!Y$11</f>
        <v>0</v>
      </c>
      <c r="Y145" s="918">
        <f>'D-Mittlerer Vergütungssatz'!Z$11</f>
        <v>0</v>
      </c>
      <c r="Z145" s="918">
        <f>'D-Mittlerer Vergütungssatz'!AA$11</f>
        <v>0</v>
      </c>
      <c r="AA145" s="918">
        <f>'D-Mittlerer Vergütungssatz'!AB$11</f>
        <v>0</v>
      </c>
      <c r="AB145" s="918">
        <f>'D-Mittlerer Vergütungssatz'!AC$11</f>
        <v>0</v>
      </c>
      <c r="AC145" s="918">
        <f>'D-Mittlerer Vergütungssatz'!AD$11</f>
        <v>0</v>
      </c>
      <c r="AD145" s="918">
        <f>'D-Mittlerer Vergütungssatz'!AE$11</f>
        <v>0</v>
      </c>
      <c r="AE145" s="919">
        <f>'D-Mittlerer Vergütungssatz'!AF$11</f>
        <v>0</v>
      </c>
      <c r="AF145" s="940"/>
      <c r="AG145" s="940"/>
      <c r="AH145" s="1048"/>
      <c r="AI145" s="1048"/>
      <c r="AJ145" s="345"/>
    </row>
    <row r="146" spans="1:36" s="301" customFormat="1" ht="12.75" customHeight="1" outlineLevel="2">
      <c r="A146" s="561">
        <v>127</v>
      </c>
      <c r="B146" s="303" t="str">
        <f>'D-Mittlerer Vergütungssatz'!C$12</f>
        <v>Historisch</v>
      </c>
      <c r="C146" s="24" t="str">
        <f>'D-Mittlerer Vergütungssatz'!D$12</f>
        <v>fh</v>
      </c>
      <c r="D146" s="32" t="str">
        <f>'D-Mittlerer Vergütungssatz'!E$12</f>
        <v>Abgeleitet aus ÜNB-Jahresprognosen</v>
      </c>
      <c r="E146" s="303" t="s">
        <v>74</v>
      </c>
      <c r="F146" s="923">
        <f>'D-Mittlerer Vergütungssatz'!G$12</f>
        <v>468.01</v>
      </c>
      <c r="G146" s="923">
        <f>'D-Mittlerer Vergütungssatz'!H$12</f>
        <v>413.44926826434391</v>
      </c>
      <c r="H146" s="923">
        <f>'D-Mittlerer Vergütungssatz'!I$12</f>
        <v>371.1522047462546</v>
      </c>
      <c r="I146" s="923">
        <f>'D-Mittlerer Vergütungssatz'!J$12</f>
        <v>315.53756947644092</v>
      </c>
      <c r="J146" s="923">
        <f>'D-Mittlerer Vergütungssatz'!K$12</f>
        <v>313.88797913696925</v>
      </c>
      <c r="K146" s="923">
        <f>'D-Mittlerer Vergütungssatz'!L$12</f>
        <v>316.55085116684148</v>
      </c>
      <c r="L146" s="923">
        <f>'D-Mittlerer Vergütungssatz'!M$12</f>
        <v>306.12648368500913</v>
      </c>
      <c r="M146" s="923">
        <f>'D-Mittlerer Vergütungssatz'!N$12</f>
        <v>292.27348099233154</v>
      </c>
      <c r="N146" s="924">
        <f>'D-Mittlerer Vergütungssatz'!O$12</f>
        <v>288.19142295217864</v>
      </c>
      <c r="O146" s="925">
        <f>'D-Mittlerer Vergütungssatz'!P$12</f>
        <v>273.54643342384685</v>
      </c>
      <c r="P146" s="923">
        <f>'D-Mittlerer Vergütungssatz'!Q$12</f>
        <v>264.37474625040585</v>
      </c>
      <c r="Q146" s="923">
        <f>'D-Mittlerer Vergütungssatz'!R$12</f>
        <v>249.07864310282855</v>
      </c>
      <c r="R146" s="923">
        <f>'D-Mittlerer Vergütungssatz'!S$12</f>
        <v>235.80434786757371</v>
      </c>
      <c r="S146" s="923">
        <f>'D-Mittlerer Vergütungssatz'!T$12</f>
        <v>0</v>
      </c>
      <c r="T146" s="923">
        <f>'D-Mittlerer Vergütungssatz'!U$12</f>
        <v>0</v>
      </c>
      <c r="U146" s="923">
        <f>'D-Mittlerer Vergütungssatz'!V$12</f>
        <v>0</v>
      </c>
      <c r="V146" s="923">
        <f>'D-Mittlerer Vergütungssatz'!W$12</f>
        <v>0</v>
      </c>
      <c r="W146" s="923">
        <f>'D-Mittlerer Vergütungssatz'!X$12</f>
        <v>0</v>
      </c>
      <c r="X146" s="923">
        <f>'D-Mittlerer Vergütungssatz'!Y$12</f>
        <v>0</v>
      </c>
      <c r="Y146" s="923">
        <f>'D-Mittlerer Vergütungssatz'!Z$12</f>
        <v>0</v>
      </c>
      <c r="Z146" s="923">
        <f>'D-Mittlerer Vergütungssatz'!AA$12</f>
        <v>0</v>
      </c>
      <c r="AA146" s="923">
        <f>'D-Mittlerer Vergütungssatz'!AB$12</f>
        <v>0</v>
      </c>
      <c r="AB146" s="923">
        <f>'D-Mittlerer Vergütungssatz'!AC$12</f>
        <v>0</v>
      </c>
      <c r="AC146" s="923">
        <f>'D-Mittlerer Vergütungssatz'!AD$12</f>
        <v>0</v>
      </c>
      <c r="AD146" s="923">
        <f>'D-Mittlerer Vergütungssatz'!AE$12</f>
        <v>0</v>
      </c>
      <c r="AE146" s="924">
        <f>'D-Mittlerer Vergütungssatz'!AF$12</f>
        <v>0</v>
      </c>
      <c r="AF146" s="940"/>
      <c r="AG146" s="940"/>
      <c r="AH146" s="939"/>
      <c r="AI146" s="939"/>
      <c r="AJ146" s="345"/>
    </row>
    <row r="147" spans="1:36" s="301" customFormat="1" ht="12.75" customHeight="1" outlineLevel="1">
      <c r="A147" s="561">
        <v>128</v>
      </c>
      <c r="C147" s="26"/>
      <c r="D147" s="34"/>
      <c r="F147" s="307"/>
      <c r="G147" s="307"/>
      <c r="H147" s="307"/>
      <c r="I147" s="307"/>
      <c r="J147" s="307"/>
      <c r="K147" s="307"/>
      <c r="L147" s="307"/>
      <c r="M147" s="307"/>
      <c r="N147" s="350"/>
      <c r="O147" s="298"/>
      <c r="P147" s="307"/>
      <c r="Q147" s="307"/>
      <c r="R147" s="307"/>
      <c r="S147" s="307"/>
      <c r="T147" s="307"/>
      <c r="U147" s="307"/>
      <c r="V147" s="307"/>
      <c r="W147" s="307"/>
      <c r="X147" s="307"/>
      <c r="Y147" s="307"/>
      <c r="Z147" s="307"/>
      <c r="AA147" s="307"/>
      <c r="AB147" s="307"/>
      <c r="AC147" s="307"/>
      <c r="AD147" s="307"/>
      <c r="AE147" s="307"/>
      <c r="AF147" s="940"/>
      <c r="AG147" s="940"/>
      <c r="AH147" s="939"/>
      <c r="AI147" s="939"/>
      <c r="AJ147" s="345"/>
    </row>
    <row r="148" spans="1:36" s="301" customFormat="1" ht="12.75" customHeight="1" outlineLevel="1">
      <c r="A148" s="561">
        <v>129</v>
      </c>
      <c r="C148" s="26"/>
      <c r="D148" s="34"/>
      <c r="E148" s="322" t="s">
        <v>413</v>
      </c>
      <c r="F148" s="331"/>
      <c r="G148" s="331"/>
      <c r="H148" s="331"/>
      <c r="I148" s="331"/>
      <c r="J148" s="331"/>
      <c r="K148" s="331"/>
      <c r="L148" s="331"/>
      <c r="M148" s="331"/>
      <c r="N148" s="349"/>
      <c r="O148" s="296"/>
      <c r="P148" s="331"/>
      <c r="Q148" s="331"/>
      <c r="R148" s="331"/>
      <c r="S148" s="331"/>
      <c r="T148" s="331"/>
      <c r="U148" s="331"/>
      <c r="V148" s="331"/>
      <c r="W148" s="331"/>
      <c r="X148" s="331"/>
      <c r="Y148" s="331"/>
      <c r="Z148" s="331"/>
      <c r="AA148" s="331"/>
      <c r="AB148" s="331"/>
      <c r="AC148" s="331"/>
      <c r="AD148" s="331"/>
      <c r="AE148" s="331"/>
      <c r="AF148" s="940"/>
      <c r="AG148" s="940"/>
      <c r="AH148" s="939"/>
      <c r="AI148" s="939"/>
      <c r="AJ148" s="345"/>
    </row>
    <row r="149" spans="1:36" s="301" customFormat="1" ht="12.75" customHeight="1" outlineLevel="2">
      <c r="A149" s="561">
        <v>130</v>
      </c>
      <c r="B149" s="321" t="str">
        <f>'D-Vergütungssatz Neuanlagen'!C$6</f>
        <v>Referenz</v>
      </c>
      <c r="C149" s="22" t="str">
        <f>'D-Vergütungssatz Neuanlagen'!D$6</f>
        <v>dr</v>
      </c>
      <c r="D149" s="30" t="str">
        <f>'D-Vergütungssatz Neuanlagen'!E$6</f>
        <v>EEG 2017</v>
      </c>
      <c r="E149" s="321" t="s">
        <v>25</v>
      </c>
      <c r="F149" s="915">
        <f>'D-Vergütungssatz Neuanlagen'!G$6</f>
        <v>0</v>
      </c>
      <c r="G149" s="915">
        <f>'D-Vergütungssatz Neuanlagen'!H$6</f>
        <v>0</v>
      </c>
      <c r="H149" s="915">
        <f>'D-Vergütungssatz Neuanlagen'!I$6</f>
        <v>0</v>
      </c>
      <c r="I149" s="915">
        <f>'D-Vergütungssatz Neuanlagen'!J$6</f>
        <v>0</v>
      </c>
      <c r="J149" s="915">
        <f>'D-Vergütungssatz Neuanlagen'!K$6</f>
        <v>0</v>
      </c>
      <c r="K149" s="915">
        <f>'D-Vergütungssatz Neuanlagen'!L$6</f>
        <v>115.67111231527093</v>
      </c>
      <c r="L149" s="915">
        <f>'D-Vergütungssatz Neuanlagen'!M$6</f>
        <v>118.57143532657497</v>
      </c>
      <c r="M149" s="915">
        <f>'D-Vergütungssatz Neuanlagen'!N$6</f>
        <v>119.06888980183719</v>
      </c>
      <c r="N149" s="915">
        <f>'D-Vergütungssatz Neuanlagen'!O$6</f>
        <v>116.72270478111133</v>
      </c>
      <c r="O149" s="915">
        <f>'D-Vergütungssatz Neuanlagen'!P$6</f>
        <v>114.42275000709931</v>
      </c>
      <c r="P149" s="915">
        <f>'D-Vergütungssatz Neuanlagen'!Q$6</f>
        <v>112.16811453897915</v>
      </c>
      <c r="Q149" s="915">
        <f>'D-Vergütungssatz Neuanlagen'!R$6</f>
        <v>109.95790538550175</v>
      </c>
      <c r="R149" s="915">
        <f>'D-Vergütungssatz Neuanlagen'!S$6</f>
        <v>107.79124715130467</v>
      </c>
      <c r="S149" s="915">
        <f>'D-Vergütungssatz Neuanlagen'!T$6</f>
        <v>105.66728169019525</v>
      </c>
      <c r="T149" s="915">
        <f>'D-Vergütungssatz Neuanlagen'!U$6</f>
        <v>103.58516776526531</v>
      </c>
      <c r="U149" s="915">
        <f>'D-Vergütungssatz Neuanlagen'!V$6</f>
        <v>101.54408071570344</v>
      </c>
      <c r="V149" s="915">
        <f>'D-Vergütungssatz Neuanlagen'!W$6</f>
        <v>99.54321213017235</v>
      </c>
      <c r="W149" s="915">
        <f>'D-Vergütungssatz Neuanlagen'!X$6</f>
        <v>97.581769526622168</v>
      </c>
      <c r="X149" s="915">
        <f>'D-Vergütungssatz Neuanlagen'!Y$6</f>
        <v>95.658976038412874</v>
      </c>
      <c r="Y149" s="915">
        <f>'D-Vergütungssatz Neuanlagen'!Z$6</f>
        <v>93.774070106621494</v>
      </c>
      <c r="Z149" s="915">
        <f>'D-Vergütungssatz Neuanlagen'!AA$6</f>
        <v>91.926305178412207</v>
      </c>
      <c r="AA149" s="915">
        <f>'D-Vergütungssatz Neuanlagen'!AB$6</f>
        <v>90.114949411349897</v>
      </c>
      <c r="AB149" s="915">
        <f>'D-Vergütungssatz Neuanlagen'!AC$6</f>
        <v>88.339285383540059</v>
      </c>
      <c r="AC149" s="915">
        <f>'D-Vergütungssatz Neuanlagen'!AD$6</f>
        <v>86.598609809480166</v>
      </c>
      <c r="AD149" s="915">
        <f>'D-Vergütungssatz Neuanlagen'!AE$6</f>
        <v>84.892233261510128</v>
      </c>
      <c r="AE149" s="915">
        <f>'D-Vergütungssatz Neuanlagen'!AF$6</f>
        <v>83.219479896751309</v>
      </c>
      <c r="AF149" s="940"/>
      <c r="AG149" s="940"/>
      <c r="AH149" s="939"/>
      <c r="AI149" s="939"/>
      <c r="AJ149" s="345"/>
    </row>
    <row r="150" spans="1:36" s="301" customFormat="1" ht="12.75" customHeight="1" outlineLevel="2">
      <c r="A150" s="561">
        <v>131</v>
      </c>
      <c r="B150" s="16" t="str">
        <f>'D-Vergütungssatz Neuanlagen'!C$7</f>
        <v>Referenz</v>
      </c>
      <c r="C150" s="12" t="str">
        <f>'D-Vergütungssatz Neuanlagen'!D$7</f>
        <v>dr</v>
      </c>
      <c r="D150" s="31" t="str">
        <f>'D-Vergütungssatz Neuanlagen'!E$7</f>
        <v>EEG 2017</v>
      </c>
      <c r="E150" s="16" t="s">
        <v>50</v>
      </c>
      <c r="F150" s="918">
        <f>'D-Vergütungssatz Neuanlagen'!G$7</f>
        <v>0</v>
      </c>
      <c r="G150" s="918">
        <f>'D-Vergütungssatz Neuanlagen'!H$7</f>
        <v>0</v>
      </c>
      <c r="H150" s="918">
        <f>'D-Vergütungssatz Neuanlagen'!I$7</f>
        <v>0</v>
      </c>
      <c r="I150" s="918">
        <f>'D-Vergütungssatz Neuanlagen'!J$7</f>
        <v>0</v>
      </c>
      <c r="J150" s="918">
        <f>'D-Vergütungssatz Neuanlagen'!K$7</f>
        <v>0</v>
      </c>
      <c r="K150" s="918">
        <f>'D-Vergütungssatz Neuanlagen'!L$7</f>
        <v>80.973162315270926</v>
      </c>
      <c r="L150" s="918">
        <f>'D-Vergütungssatz Neuanlagen'!M$7</f>
        <v>82.169267504056208</v>
      </c>
      <c r="M150" s="918">
        <f>'D-Vergütungssatz Neuanlagen'!N$7</f>
        <v>66.755592908240772</v>
      </c>
      <c r="N150" s="918">
        <f>'D-Vergütungssatz Neuanlagen'!O$7</f>
        <v>64.782521196667162</v>
      </c>
      <c r="O150" s="918">
        <f>'D-Vergütungssatz Neuanlagen'!P$7</f>
        <v>62.867766875583413</v>
      </c>
      <c r="P150" s="918">
        <f>'D-Vergütungssatz Neuanlagen'!Q$7</f>
        <v>61.009606278275527</v>
      </c>
      <c r="Q150" s="918">
        <f>'D-Vergütungssatz Neuanlagen'!R$7</f>
        <v>59.206366683843747</v>
      </c>
      <c r="R150" s="918">
        <f>'D-Vergütungssatz Neuanlagen'!S$7</f>
        <v>57.456424811414877</v>
      </c>
      <c r="S150" s="918">
        <f>'D-Vergütungssatz Neuanlagen'!T$7</f>
        <v>55.758205358860749</v>
      </c>
      <c r="T150" s="918">
        <f>'D-Vergütungssatz Neuanlagen'!U$7</f>
        <v>54.110179584707232</v>
      </c>
      <c r="U150" s="918">
        <f>'D-Vergütungssatz Neuanlagen'!V$7</f>
        <v>52.510863931957267</v>
      </c>
      <c r="V150" s="918">
        <f>'D-Vergütungssatz Neuanlagen'!W$7</f>
        <v>50.958818692589077</v>
      </c>
      <c r="W150" s="918">
        <f>'D-Vergütungssatz Neuanlagen'!X$7</f>
        <v>49.452646711527336</v>
      </c>
      <c r="X150" s="918">
        <f>'D-Vergütungssatz Neuanlagen'!Y$7</f>
        <v>47.990992128920624</v>
      </c>
      <c r="Y150" s="918">
        <f>'D-Vergütungssatz Neuanlagen'!Z$7</f>
        <v>46.572539159592914</v>
      </c>
      <c r="Z150" s="918">
        <f>'D-Vergütungssatz Neuanlagen'!AA$7</f>
        <v>45.196010908570464</v>
      </c>
      <c r="AA150" s="918">
        <f>'D-Vergütungssatz Neuanlagen'!AB$7</f>
        <v>43.860168221617648</v>
      </c>
      <c r="AB150" s="918">
        <f>'D-Vergütungssatz Neuanlagen'!AC$7</f>
        <v>42.563808569747181</v>
      </c>
      <c r="AC150" s="918">
        <f>'D-Vergütungssatz Neuanlagen'!AD$7</f>
        <v>41.305764966700472</v>
      </c>
      <c r="AD150" s="918">
        <f>'D-Vergütungssatz Neuanlagen'!AE$7</f>
        <v>40.084904918423611</v>
      </c>
      <c r="AE150" s="918">
        <f>'D-Vergütungssatz Neuanlagen'!AF$7</f>
        <v>38.900129403593361</v>
      </c>
      <c r="AF150" s="940"/>
      <c r="AG150" s="940"/>
      <c r="AH150" s="939"/>
      <c r="AI150" s="939"/>
      <c r="AJ150" s="345"/>
    </row>
    <row r="151" spans="1:36" s="301" customFormat="1" ht="12.75" customHeight="1" outlineLevel="2">
      <c r="A151" s="561">
        <v>132</v>
      </c>
      <c r="B151" s="16" t="str">
        <f>'D-Vergütungssatz Neuanlagen'!C$8</f>
        <v>Referenz</v>
      </c>
      <c r="C151" s="12" t="str">
        <f>'D-Vergütungssatz Neuanlagen'!D$8</f>
        <v>dr</v>
      </c>
      <c r="D151" s="31" t="str">
        <f>'D-Vergütungssatz Neuanlagen'!E$8</f>
        <v>EEG 2017</v>
      </c>
      <c r="E151" s="16" t="s">
        <v>13</v>
      </c>
      <c r="F151" s="918">
        <f>'D-Vergütungssatz Neuanlagen'!G$8</f>
        <v>0</v>
      </c>
      <c r="G151" s="918">
        <f>'D-Vergütungssatz Neuanlagen'!H$8</f>
        <v>0</v>
      </c>
      <c r="H151" s="918">
        <f>'D-Vergütungssatz Neuanlagen'!I$8</f>
        <v>0</v>
      </c>
      <c r="I151" s="918">
        <f>'D-Vergütungssatz Neuanlagen'!J$8</f>
        <v>0</v>
      </c>
      <c r="J151" s="918">
        <f>'D-Vergütungssatz Neuanlagen'!K$8</f>
        <v>0</v>
      </c>
      <c r="K151" s="918">
        <f>'D-Vergütungssatz Neuanlagen'!L$8</f>
        <v>174.76190476190482</v>
      </c>
      <c r="L151" s="918">
        <f>'D-Vergütungssatz Neuanlagen'!M$8</f>
        <v>178.24364250000005</v>
      </c>
      <c r="M151" s="918">
        <f>'D-Vergütungssatz Neuanlagen'!N$8</f>
        <v>153.77000000000001</v>
      </c>
      <c r="N151" s="918">
        <f>'D-Vergütungssatz Neuanlagen'!O$8</f>
        <v>149.9914941707718</v>
      </c>
      <c r="O151" s="918">
        <f>'D-Vergütungssatz Neuanlagen'!P$8</f>
        <v>146.29623580770996</v>
      </c>
      <c r="P151" s="918">
        <f>'D-Vergütungssatz Neuanlagen'!Q$8</f>
        <v>138.99746124695602</v>
      </c>
      <c r="Q151" s="918">
        <f>'D-Vergütungssatz Neuanlagen'!R$8</f>
        <v>142.45904886967196</v>
      </c>
      <c r="R151" s="918">
        <f>'D-Vergütungssatz Neuanlagen'!S$8</f>
        <v>137.90967883577406</v>
      </c>
      <c r="S151" s="918">
        <f>'D-Vergütungssatz Neuanlagen'!T$8</f>
        <v>132.74871581588312</v>
      </c>
      <c r="T151" s="918">
        <f>'D-Vergütungssatz Neuanlagen'!U$8</f>
        <v>128.6261172129752</v>
      </c>
      <c r="U151" s="918">
        <f>'D-Vergütungssatz Neuanlagen'!V$8</f>
        <v>129.53996861454175</v>
      </c>
      <c r="V151" s="918">
        <f>'D-Vergütungssatz Neuanlagen'!W$8</f>
        <v>126.33045913970172</v>
      </c>
      <c r="W151" s="918">
        <f>'D-Vergütungssatz Neuanlagen'!X$8</f>
        <v>123.19758113514828</v>
      </c>
      <c r="X151" s="918">
        <f>'D-Vergütungssatz Neuanlagen'!Y$8</f>
        <v>120.13952287204474</v>
      </c>
      <c r="Y151" s="918">
        <f>'D-Vergütungssatz Neuanlagen'!Z$8</f>
        <v>117.15451553321103</v>
      </c>
      <c r="Z151" s="918">
        <f>'D-Vergütungssatz Neuanlagen'!AA$8</f>
        <v>114.24083219030085</v>
      </c>
      <c r="AA151" s="918">
        <f>'D-Vergütungssatz Neuanlagen'!AB$8</f>
        <v>111.39678680553604</v>
      </c>
      <c r="AB151" s="918">
        <f>'D-Vergütungssatz Neuanlagen'!AC$8</f>
        <v>108.62073325740459</v>
      </c>
      <c r="AC151" s="918">
        <f>'D-Vergütungssatz Neuanlagen'!AD$8</f>
        <v>105.91106438974299</v>
      </c>
      <c r="AD151" s="918">
        <f>'D-Vergütungssatz Neuanlagen'!AE$8</f>
        <v>103.26621108363823</v>
      </c>
      <c r="AE151" s="918">
        <f>'D-Vergütungssatz Neuanlagen'!AF$8</f>
        <v>103.20178107568667</v>
      </c>
      <c r="AF151" s="940"/>
      <c r="AG151" s="940"/>
      <c r="AH151" s="939"/>
      <c r="AI151" s="939"/>
      <c r="AJ151" s="345"/>
    </row>
    <row r="152" spans="1:36" s="301" customFormat="1" ht="12.75" customHeight="1" outlineLevel="2">
      <c r="A152" s="561">
        <v>133</v>
      </c>
      <c r="B152" s="16" t="str">
        <f>'D-Vergütungssatz Neuanlagen'!C$9</f>
        <v>Referenz</v>
      </c>
      <c r="C152" s="12" t="str">
        <f>'D-Vergütungssatz Neuanlagen'!D$9</f>
        <v>dr</v>
      </c>
      <c r="D152" s="31" t="str">
        <f>'D-Vergütungssatz Neuanlagen'!E$9</f>
        <v>EEG 2017</v>
      </c>
      <c r="E152" s="16" t="s">
        <v>12</v>
      </c>
      <c r="F152" s="918">
        <f>'D-Vergütungssatz Neuanlagen'!G$9</f>
        <v>0</v>
      </c>
      <c r="G152" s="918">
        <f>'D-Vergütungssatz Neuanlagen'!H$9</f>
        <v>0</v>
      </c>
      <c r="H152" s="918">
        <f>'D-Vergütungssatz Neuanlagen'!I$9</f>
        <v>0</v>
      </c>
      <c r="I152" s="918">
        <f>'D-Vergütungssatz Neuanlagen'!J$9</f>
        <v>0</v>
      </c>
      <c r="J152" s="918">
        <f>'D-Vergütungssatz Neuanlagen'!K$9</f>
        <v>0</v>
      </c>
      <c r="K152" s="918">
        <f>'D-Vergütungssatz Neuanlagen'!L$9</f>
        <v>248.27586206896555</v>
      </c>
      <c r="L152" s="918">
        <f>'D-Vergütungssatz Neuanlagen'!M$9</f>
        <v>249.38549999999995</v>
      </c>
      <c r="M152" s="918">
        <f>'D-Vergütungssatz Neuanlagen'!N$9</f>
        <v>252</v>
      </c>
      <c r="N152" s="918">
        <f>'D-Vergütungssatz Neuanlagen'!O$9</f>
        <v>248.27586206896555</v>
      </c>
      <c r="O152" s="918">
        <f>'D-Vergütungssatz Neuanlagen'!P$9</f>
        <v>244.60676065907938</v>
      </c>
      <c r="P152" s="918">
        <f>'D-Vergütungssatz Neuanlagen'!Q$9</f>
        <v>240.99188242273834</v>
      </c>
      <c r="Q152" s="918">
        <f>'D-Vergütungssatz Neuanlagen'!R$9</f>
        <v>225.55890473064181</v>
      </c>
      <c r="R152" s="918">
        <f>'D-Vergütungssatz Neuanlagen'!S$9</f>
        <v>211.11424580700469</v>
      </c>
      <c r="S152" s="918">
        <f>'D-Vergütungssatz Neuanlagen'!T$9</f>
        <v>197.59461430212264</v>
      </c>
      <c r="T152" s="918">
        <f>'D-Vergütungssatz Neuanlagen'!U$9</f>
        <v>184.94077200691282</v>
      </c>
      <c r="U152" s="918">
        <f>'D-Vergütungssatz Neuanlagen'!V$9</f>
        <v>173.09727429218444</v>
      </c>
      <c r="V152" s="918">
        <f>'D-Vergütungssatz Neuanlagen'!W$9</f>
        <v>162.01222717002486</v>
      </c>
      <c r="W152" s="918">
        <f>'D-Vergütungssatz Neuanlagen'!X$9</f>
        <v>151.63705991283115</v>
      </c>
      <c r="X152" s="918">
        <f>'D-Vergütungssatz Neuanlagen'!Y$9</f>
        <v>141.92631223368434</v>
      </c>
      <c r="Y152" s="918">
        <f>'D-Vergütungssatz Neuanlagen'!Z$9</f>
        <v>132.83743509556663</v>
      </c>
      <c r="Z152" s="918">
        <f>'D-Vergütungssatz Neuanlagen'!AA$9</f>
        <v>124.33060427663872</v>
      </c>
      <c r="AA152" s="918">
        <f>'D-Vergütungssatz Neuanlagen'!AB$9</f>
        <v>116.3685458746865</v>
      </c>
      <c r="AB152" s="918">
        <f>'D-Vergütungssatz Neuanlagen'!AC$9</f>
        <v>108.91637298615977</v>
      </c>
      <c r="AC152" s="918">
        <f>'D-Vergütungssatz Neuanlagen'!AD$9</f>
        <v>101.94143284418897</v>
      </c>
      <c r="AD152" s="918">
        <f>'D-Vergütungssatz Neuanlagen'!AE$9</f>
        <v>95.41316374579263</v>
      </c>
      <c r="AE152" s="918">
        <f>'D-Vergütungssatz Neuanlagen'!AF$9</f>
        <v>89.302961141382269</v>
      </c>
      <c r="AF152" s="940"/>
      <c r="AG152" s="940"/>
      <c r="AH152" s="939"/>
      <c r="AI152" s="939"/>
      <c r="AJ152" s="345"/>
    </row>
    <row r="153" spans="1:36" s="301" customFormat="1" ht="12.75" customHeight="1" outlineLevel="2">
      <c r="A153" s="561">
        <v>134</v>
      </c>
      <c r="B153" s="16" t="str">
        <f>'D-Vergütungssatz Neuanlagen'!C$10</f>
        <v>Referenz</v>
      </c>
      <c r="C153" s="12" t="str">
        <f>'D-Vergütungssatz Neuanlagen'!D$10</f>
        <v>dr</v>
      </c>
      <c r="D153" s="31" t="str">
        <f>'D-Vergütungssatz Neuanlagen'!E$10</f>
        <v>sinkt auf 3,5 ct/kWh in 2035</v>
      </c>
      <c r="E153" s="16" t="s">
        <v>24</v>
      </c>
      <c r="F153" s="918">
        <f>'D-Vergütungssatz Neuanlagen'!G$10</f>
        <v>0</v>
      </c>
      <c r="G153" s="918">
        <f>'D-Vergütungssatz Neuanlagen'!H$10</f>
        <v>0</v>
      </c>
      <c r="H153" s="918">
        <f>'D-Vergütungssatz Neuanlagen'!I$10</f>
        <v>0</v>
      </c>
      <c r="I153" s="918">
        <f>'D-Vergütungssatz Neuanlagen'!J$10</f>
        <v>0</v>
      </c>
      <c r="J153" s="918">
        <f>'D-Vergütungssatz Neuanlagen'!K$10</f>
        <v>0</v>
      </c>
      <c r="K153" s="918">
        <f>'D-Vergütungssatz Neuanlagen'!L$10</f>
        <v>87.684729064039445</v>
      </c>
      <c r="L153" s="918">
        <f>'D-Vergütungssatz Neuanlagen'!M$10</f>
        <v>88.277074028919984</v>
      </c>
      <c r="M153" s="918">
        <f>'D-Vergütungssatz Neuanlagen'!N$10</f>
        <v>80.650000000000006</v>
      </c>
      <c r="N153" s="918">
        <f>'D-Vergütungssatz Neuanlagen'!O$10</f>
        <v>74.50738916256158</v>
      </c>
      <c r="O153" s="918">
        <f>'D-Vergütungssatz Neuanlagen'!P$10</f>
        <v>62.153413089373693</v>
      </c>
      <c r="P153" s="918">
        <f>'D-Vergütungssatz Neuanlagen'!Q$10</f>
        <v>60.181028416122707</v>
      </c>
      <c r="Q153" s="918">
        <f>'D-Vergütungssatz Neuanlagen'!R$10</f>
        <v>58.253366590167602</v>
      </c>
      <c r="R153" s="918">
        <f>'D-Vergütungssatz Neuanlagen'!S$10</f>
        <v>56.369536520582891</v>
      </c>
      <c r="S153" s="918">
        <f>'D-Vergütungssatz Neuanlagen'!T$10</f>
        <v>54.528663686685597</v>
      </c>
      <c r="T153" s="918">
        <f>'D-Vergütungssatz Neuanlagen'!U$10</f>
        <v>52.729889842887602</v>
      </c>
      <c r="U153" s="918">
        <f>'D-Vergütungssatz Neuanlagen'!V$10</f>
        <v>50.972372728652694</v>
      </c>
      <c r="V153" s="918">
        <f>'D-Vergütungssatz Neuanlagen'!W$10</f>
        <v>49.255285783471933</v>
      </c>
      <c r="W153" s="918">
        <f>'D-Vergütungssatz Neuanlagen'!X$10</f>
        <v>47.577817866772151</v>
      </c>
      <c r="X153" s="918">
        <f>'D-Vergütungssatz Neuanlagen'!Y$10</f>
        <v>45.939172982674187</v>
      </c>
      <c r="Y153" s="918">
        <f>'D-Vergütungssatz Neuanlagen'!Z$10</f>
        <v>44.338570009518754</v>
      </c>
      <c r="Z153" s="918">
        <f>'D-Vergütungssatz Neuanlagen'!AA$10</f>
        <v>42.775242434078841</v>
      </c>
      <c r="AA153" s="918">
        <f>'D-Vergütungssatz Neuanlagen'!AB$10</f>
        <v>41.24843809037958</v>
      </c>
      <c r="AB153" s="918">
        <f>'D-Vergütungssatz Neuanlagen'!AC$10</f>
        <v>39.75741890304711</v>
      </c>
      <c r="AC153" s="918">
        <f>'D-Vergütungssatz Neuanlagen'!AD$10</f>
        <v>38.301460635109848</v>
      </c>
      <c r="AD153" s="918">
        <f>'D-Vergütungssatz Neuanlagen'!AE$10</f>
        <v>36.879852640176559</v>
      </c>
      <c r="AE153" s="918">
        <f>'D-Vergütungssatz Neuanlagen'!AF$10</f>
        <v>35.491897618916795</v>
      </c>
      <c r="AF153" s="940"/>
      <c r="AG153" s="940"/>
      <c r="AH153" s="939"/>
      <c r="AI153" s="939"/>
      <c r="AJ153" s="345"/>
    </row>
    <row r="154" spans="1:36" s="301" customFormat="1" ht="12.75" customHeight="1" outlineLevel="2">
      <c r="A154" s="561">
        <v>135</v>
      </c>
      <c r="B154" s="16" t="str">
        <f>'D-Vergütungssatz Neuanlagen'!C$11</f>
        <v>Referenz</v>
      </c>
      <c r="C154" s="12" t="str">
        <f>'D-Vergütungssatz Neuanlagen'!D$11</f>
        <v>dr</v>
      </c>
      <c r="D154" s="31" t="str">
        <f>'D-Vergütungssatz Neuanlagen'!E$11</f>
        <v>sinkt auf 4,5 ct/kWh in 2035</v>
      </c>
      <c r="E154" s="16" t="s">
        <v>26</v>
      </c>
      <c r="F154" s="918">
        <f>'D-Vergütungssatz Neuanlagen'!G$11</f>
        <v>0</v>
      </c>
      <c r="G154" s="918">
        <f>'D-Vergütungssatz Neuanlagen'!H$11</f>
        <v>0</v>
      </c>
      <c r="H154" s="918">
        <f>'D-Vergütungssatz Neuanlagen'!I$11</f>
        <v>0</v>
      </c>
      <c r="I154" s="918">
        <f>'D-Vergütungssatz Neuanlagen'!J$11</f>
        <v>0</v>
      </c>
      <c r="J154" s="918">
        <f>'D-Vergütungssatz Neuanlagen'!K$11</f>
        <v>0</v>
      </c>
      <c r="K154" s="918">
        <f>'D-Vergütungssatz Neuanlagen'!L$11</f>
        <v>191.13300492610838</v>
      </c>
      <c r="L154" s="918">
        <f>'D-Vergütungssatz Neuanlagen'!M$11</f>
        <v>191.73349999999999</v>
      </c>
      <c r="M154" s="918">
        <f>'D-Vergütungssatz Neuanlagen'!N$11</f>
        <v>194</v>
      </c>
      <c r="N154" s="918">
        <f>'D-Vergütungssatz Neuanlagen'!O$11</f>
        <v>146.79802955665025</v>
      </c>
      <c r="O154" s="918">
        <f>'D-Vergütungssatz Neuanlagen'!P$11</f>
        <v>144.62860054842392</v>
      </c>
      <c r="P154" s="918">
        <f>'D-Vergütungssatz Neuanlagen'!Q$11</f>
        <v>137.70964709870762</v>
      </c>
      <c r="Q154" s="918">
        <f>'D-Vergütungssatz Neuanlagen'!R$11</f>
        <v>70</v>
      </c>
      <c r="R154" s="918">
        <f>'D-Vergütungssatz Neuanlagen'!S$11</f>
        <v>65</v>
      </c>
      <c r="S154" s="918">
        <f>'D-Vergütungssatz Neuanlagen'!T$11</f>
        <v>61.666666666666664</v>
      </c>
      <c r="T154" s="918">
        <f>'D-Vergütungssatz Neuanlagen'!U$11</f>
        <v>58.333333333333329</v>
      </c>
      <c r="U154" s="918">
        <f>'D-Vergütungssatz Neuanlagen'!V$11</f>
        <v>55</v>
      </c>
      <c r="V154" s="918">
        <f>'D-Vergütungssatz Neuanlagen'!W$11</f>
        <v>54</v>
      </c>
      <c r="W154" s="918">
        <f>'D-Vergütungssatz Neuanlagen'!X$11</f>
        <v>53</v>
      </c>
      <c r="X154" s="918">
        <f>'D-Vergütungssatz Neuanlagen'!Y$11</f>
        <v>52</v>
      </c>
      <c r="Y154" s="918">
        <f>'D-Vergütungssatz Neuanlagen'!Z$11</f>
        <v>51</v>
      </c>
      <c r="Z154" s="918">
        <f>'D-Vergütungssatz Neuanlagen'!AA$11</f>
        <v>50</v>
      </c>
      <c r="AA154" s="918">
        <f>'D-Vergütungssatz Neuanlagen'!AB$11</f>
        <v>49</v>
      </c>
      <c r="AB154" s="918">
        <f>'D-Vergütungssatz Neuanlagen'!AC$11</f>
        <v>48</v>
      </c>
      <c r="AC154" s="918">
        <f>'D-Vergütungssatz Neuanlagen'!AD$11</f>
        <v>47</v>
      </c>
      <c r="AD154" s="918">
        <f>'D-Vergütungssatz Neuanlagen'!AE$11</f>
        <v>46</v>
      </c>
      <c r="AE154" s="918">
        <f>'D-Vergütungssatz Neuanlagen'!AF$11</f>
        <v>45</v>
      </c>
      <c r="AF154" s="940"/>
      <c r="AG154" s="940"/>
      <c r="AH154" s="939"/>
      <c r="AI154" s="939"/>
      <c r="AJ154" s="345"/>
    </row>
    <row r="155" spans="1:36" s="301" customFormat="1" ht="12.75" customHeight="1" outlineLevel="2">
      <c r="A155" s="561">
        <v>136</v>
      </c>
      <c r="B155" s="303" t="str">
        <f>'D-Vergütungssatz Neuanlagen'!C$12</f>
        <v>Referenz</v>
      </c>
      <c r="C155" s="24" t="str">
        <f>'D-Vergütungssatz Neuanlagen'!D$12</f>
        <v>dr</v>
      </c>
      <c r="D155" s="32" t="str">
        <f>'D-Vergütungssatz Neuanlagen'!E$12</f>
        <v>EEG 2017; Anteil Ausschreibungen ab 2020 50%</v>
      </c>
      <c r="E155" s="303" t="s">
        <v>74</v>
      </c>
      <c r="F155" s="923">
        <f>'D-Vergütungssatz Neuanlagen'!G$12</f>
        <v>0</v>
      </c>
      <c r="G155" s="923">
        <f>'D-Vergütungssatz Neuanlagen'!H$12</f>
        <v>0</v>
      </c>
      <c r="H155" s="923">
        <f>'D-Vergütungssatz Neuanlagen'!I$12</f>
        <v>0</v>
      </c>
      <c r="I155" s="923">
        <f>'D-Vergütungssatz Neuanlagen'!J$12</f>
        <v>0</v>
      </c>
      <c r="J155" s="923">
        <f>'D-Vergütungssatz Neuanlagen'!K$12</f>
        <v>0</v>
      </c>
      <c r="K155" s="923">
        <f>'D-Vergütungssatz Neuanlagen'!L$12</f>
        <v>108.02793365944886</v>
      </c>
      <c r="L155" s="923">
        <f>'D-Vergütungssatz Neuanlagen'!M$12</f>
        <v>110.45769389560584</v>
      </c>
      <c r="M155" s="923">
        <f>'D-Vergütungssatz Neuanlagen'!N$12</f>
        <v>101.35881575680968</v>
      </c>
      <c r="N155" s="923">
        <f>'D-Vergütungssatz Neuanlagen'!O$12</f>
        <v>109.04631799757858</v>
      </c>
      <c r="O155" s="923">
        <f>'D-Vergütungssatz Neuanlagen'!P$12</f>
        <v>106.93752173913046</v>
      </c>
      <c r="P155" s="923">
        <f>'D-Vergütungssatz Neuanlagen'!Q$12</f>
        <v>89.118500000000012</v>
      </c>
      <c r="Q155" s="923">
        <f>'D-Vergütungssatz Neuanlagen'!R$12</f>
        <v>84.825000000000003</v>
      </c>
      <c r="R155" s="923">
        <f>'D-Vergütungssatz Neuanlagen'!S$12</f>
        <v>78.358541666666667</v>
      </c>
      <c r="S155" s="923">
        <f>'D-Vergütungssatz Neuanlagen'!T$12</f>
        <v>74.209166666666661</v>
      </c>
      <c r="T155" s="923">
        <f>'D-Vergütungssatz Neuanlagen'!U$12</f>
        <v>70.758208333333343</v>
      </c>
      <c r="U155" s="923">
        <f>'D-Vergütungssatz Neuanlagen'!V$12</f>
        <v>67.374750000000006</v>
      </c>
      <c r="V155" s="923">
        <f>'D-Vergütungssatz Neuanlagen'!W$12</f>
        <v>64.198750000000004</v>
      </c>
      <c r="W155" s="923">
        <f>'D-Vergütungssatz Neuanlagen'!X$12</f>
        <v>61.143458333333328</v>
      </c>
      <c r="X155" s="923">
        <f>'D-Vergütungssatz Neuanlagen'!Y$12</f>
        <v>58.260166666666649</v>
      </c>
      <c r="Y155" s="923">
        <f>'D-Vergütungssatz Neuanlagen'!Z$12</f>
        <v>55.461749999999988</v>
      </c>
      <c r="Z155" s="923">
        <f>'D-Vergütungssatz Neuanlagen'!AA$12</f>
        <v>52.840583333333328</v>
      </c>
      <c r="AA155" s="923">
        <f>'D-Vergütungssatz Neuanlagen'!AB$12</f>
        <v>50.376916666666652</v>
      </c>
      <c r="AB155" s="923">
        <f>'D-Vergütungssatz Neuanlagen'!AC$12</f>
        <v>47.916249999999991</v>
      </c>
      <c r="AC155" s="923">
        <f>'D-Vergütungssatz Neuanlagen'!AD$12</f>
        <v>45.505749999999985</v>
      </c>
      <c r="AD155" s="923">
        <f>'D-Vergütungssatz Neuanlagen'!AE$12</f>
        <v>43.285166666666655</v>
      </c>
      <c r="AE155" s="923">
        <f>'D-Vergütungssatz Neuanlagen'!AF$12</f>
        <v>41.136499999999998</v>
      </c>
      <c r="AF155" s="940"/>
      <c r="AG155" s="940"/>
      <c r="AH155" s="939"/>
      <c r="AI155" s="939"/>
      <c r="AJ155" s="345"/>
    </row>
    <row r="156" spans="1:36" s="301" customFormat="1" ht="12.75" customHeight="1" outlineLevel="1">
      <c r="A156" s="561">
        <v>137</v>
      </c>
      <c r="C156" s="26"/>
      <c r="D156" s="34"/>
      <c r="F156" s="331"/>
      <c r="G156" s="331"/>
      <c r="H156" s="331"/>
      <c r="I156" s="331"/>
      <c r="J156" s="331"/>
      <c r="K156" s="331"/>
      <c r="L156" s="331"/>
      <c r="M156" s="331"/>
      <c r="N156" s="349"/>
      <c r="O156" s="296"/>
      <c r="P156" s="331"/>
      <c r="Q156" s="331"/>
      <c r="R156" s="331"/>
      <c r="S156" s="331"/>
      <c r="T156" s="331"/>
      <c r="U156" s="331"/>
      <c r="V156" s="331"/>
      <c r="W156" s="331"/>
      <c r="X156" s="331"/>
      <c r="Y156" s="331"/>
      <c r="Z156" s="331"/>
      <c r="AA156" s="331"/>
      <c r="AB156" s="331"/>
      <c r="AC156" s="331"/>
      <c r="AD156" s="331"/>
      <c r="AE156" s="331"/>
      <c r="AF156" s="940"/>
      <c r="AG156" s="940"/>
      <c r="AH156" s="939"/>
      <c r="AI156" s="939"/>
      <c r="AJ156" s="345"/>
    </row>
    <row r="157" spans="1:36" s="301" customFormat="1" ht="12.75" customHeight="1" outlineLevel="1">
      <c r="A157" s="561">
        <v>138</v>
      </c>
      <c r="C157" s="26"/>
      <c r="D157" s="34"/>
      <c r="E157" s="322" t="s">
        <v>73</v>
      </c>
      <c r="F157" s="331"/>
      <c r="G157" s="331"/>
      <c r="H157" s="331"/>
      <c r="I157" s="331"/>
      <c r="J157" s="331"/>
      <c r="K157" s="331"/>
      <c r="L157" s="331"/>
      <c r="M157" s="331"/>
      <c r="N157" s="349"/>
      <c r="O157" s="296"/>
      <c r="P157" s="331"/>
      <c r="Q157" s="331"/>
      <c r="R157" s="331"/>
      <c r="S157" s="331"/>
      <c r="T157" s="331"/>
      <c r="U157" s="331"/>
      <c r="V157" s="331"/>
      <c r="W157" s="331"/>
      <c r="X157" s="331"/>
      <c r="Y157" s="331"/>
      <c r="Z157" s="331"/>
      <c r="AA157" s="331"/>
      <c r="AB157" s="331"/>
      <c r="AC157" s="331"/>
      <c r="AD157" s="331"/>
      <c r="AE157" s="331"/>
      <c r="AF157" s="940"/>
      <c r="AG157" s="940"/>
      <c r="AH157" s="939"/>
      <c r="AI157" s="939"/>
      <c r="AJ157" s="345"/>
    </row>
    <row r="158" spans="1:36" s="301" customFormat="1" ht="12.75" customHeight="1" outlineLevel="2">
      <c r="A158" s="561">
        <v>139</v>
      </c>
      <c r="B158" s="321" t="str">
        <f>'D-Vergütung Eigenverbrauch'!C$6</f>
        <v>Referenz</v>
      </c>
      <c r="C158" s="22" t="str">
        <f>'D-Vergütung Eigenverbrauch'!D$6</f>
        <v>cl</v>
      </c>
      <c r="D158" s="30">
        <f>'D-Vergütung Eigenverbrauch'!E$6</f>
        <v>0</v>
      </c>
      <c r="E158" s="321" t="s">
        <v>25</v>
      </c>
      <c r="F158" s="915">
        <f>'D-Vergütung Eigenverbrauch'!G6</f>
        <v>0</v>
      </c>
      <c r="G158" s="915">
        <f>'D-Vergütung Eigenverbrauch'!H6</f>
        <v>0</v>
      </c>
      <c r="H158" s="915">
        <f>'D-Vergütung Eigenverbrauch'!I6</f>
        <v>0</v>
      </c>
      <c r="I158" s="915">
        <f>'D-Vergütung Eigenverbrauch'!J6</f>
        <v>0</v>
      </c>
      <c r="J158" s="915">
        <f>'D-Vergütung Eigenverbrauch'!K6</f>
        <v>0</v>
      </c>
      <c r="K158" s="915">
        <f>'D-Vergütung Eigenverbrauch'!L6</f>
        <v>0</v>
      </c>
      <c r="L158" s="915">
        <f>'D-Vergütung Eigenverbrauch'!M6</f>
        <v>0</v>
      </c>
      <c r="M158" s="915">
        <f>'D-Vergütung Eigenverbrauch'!N6</f>
        <v>0</v>
      </c>
      <c r="N158" s="916">
        <f>'D-Vergütung Eigenverbrauch'!O6</f>
        <v>0</v>
      </c>
      <c r="O158" s="917">
        <f>'D-Vergütung Eigenverbrauch'!P6</f>
        <v>0</v>
      </c>
      <c r="P158" s="915">
        <f>'D-Vergütung Eigenverbrauch'!Q6</f>
        <v>0</v>
      </c>
      <c r="Q158" s="915">
        <f>'D-Vergütung Eigenverbrauch'!R6</f>
        <v>0</v>
      </c>
      <c r="R158" s="915">
        <f>'D-Vergütung Eigenverbrauch'!S6</f>
        <v>0</v>
      </c>
      <c r="S158" s="915">
        <f>'D-Vergütung Eigenverbrauch'!T6</f>
        <v>0</v>
      </c>
      <c r="T158" s="915">
        <f>'D-Vergütung Eigenverbrauch'!U6</f>
        <v>0</v>
      </c>
      <c r="U158" s="915">
        <f>'D-Vergütung Eigenverbrauch'!V6</f>
        <v>0</v>
      </c>
      <c r="V158" s="915">
        <f>'D-Vergütung Eigenverbrauch'!W6</f>
        <v>0</v>
      </c>
      <c r="W158" s="915">
        <f>'D-Vergütung Eigenverbrauch'!X6</f>
        <v>0</v>
      </c>
      <c r="X158" s="915">
        <f>'D-Vergütung Eigenverbrauch'!Y6</f>
        <v>0</v>
      </c>
      <c r="Y158" s="915">
        <f>'D-Vergütung Eigenverbrauch'!Z6</f>
        <v>0</v>
      </c>
      <c r="Z158" s="915">
        <f>'D-Vergütung Eigenverbrauch'!AA6</f>
        <v>0</v>
      </c>
      <c r="AA158" s="915">
        <f>'D-Vergütung Eigenverbrauch'!AB6</f>
        <v>0</v>
      </c>
      <c r="AB158" s="915">
        <f>'D-Vergütung Eigenverbrauch'!AC6</f>
        <v>0</v>
      </c>
      <c r="AC158" s="915">
        <f>'D-Vergütung Eigenverbrauch'!AD6</f>
        <v>0</v>
      </c>
      <c r="AD158" s="915">
        <f>'D-Vergütung Eigenverbrauch'!AE6</f>
        <v>0</v>
      </c>
      <c r="AE158" s="916">
        <f>'D-Vergütung Eigenverbrauch'!AF6</f>
        <v>0</v>
      </c>
      <c r="AF158" s="940"/>
      <c r="AG158" s="940"/>
      <c r="AH158" s="939"/>
      <c r="AI158" s="939"/>
      <c r="AJ158" s="345"/>
    </row>
    <row r="159" spans="1:36" s="301" customFormat="1" ht="12.75" customHeight="1" outlineLevel="2">
      <c r="A159" s="561">
        <v>140</v>
      </c>
      <c r="B159" s="16" t="str">
        <f>'D-Vergütung Eigenverbrauch'!C$7</f>
        <v>Referenz</v>
      </c>
      <c r="C159" s="12" t="str">
        <f>'D-Vergütung Eigenverbrauch'!D$7</f>
        <v>cl</v>
      </c>
      <c r="D159" s="31">
        <f>'D-Vergütung Eigenverbrauch'!E$7</f>
        <v>0</v>
      </c>
      <c r="E159" s="16" t="s">
        <v>50</v>
      </c>
      <c r="F159" s="918">
        <f>'D-Vergütung Eigenverbrauch'!G7</f>
        <v>0</v>
      </c>
      <c r="G159" s="918">
        <f>'D-Vergütung Eigenverbrauch'!H7</f>
        <v>0</v>
      </c>
      <c r="H159" s="918">
        <f>'D-Vergütung Eigenverbrauch'!I7</f>
        <v>0</v>
      </c>
      <c r="I159" s="918">
        <f>'D-Vergütung Eigenverbrauch'!J7</f>
        <v>0</v>
      </c>
      <c r="J159" s="918">
        <f>'D-Vergütung Eigenverbrauch'!K7</f>
        <v>0</v>
      </c>
      <c r="K159" s="918">
        <f>'D-Vergütung Eigenverbrauch'!L7</f>
        <v>0</v>
      </c>
      <c r="L159" s="918">
        <f>'D-Vergütung Eigenverbrauch'!M7</f>
        <v>0</v>
      </c>
      <c r="M159" s="918">
        <f>'D-Vergütung Eigenverbrauch'!N7</f>
        <v>0</v>
      </c>
      <c r="N159" s="919">
        <f>'D-Vergütung Eigenverbrauch'!O7</f>
        <v>0</v>
      </c>
      <c r="O159" s="920">
        <f>'D-Vergütung Eigenverbrauch'!P7</f>
        <v>0</v>
      </c>
      <c r="P159" s="918">
        <f>'D-Vergütung Eigenverbrauch'!Q7</f>
        <v>0</v>
      </c>
      <c r="Q159" s="918">
        <f>'D-Vergütung Eigenverbrauch'!R7</f>
        <v>0</v>
      </c>
      <c r="R159" s="918">
        <f>'D-Vergütung Eigenverbrauch'!S7</f>
        <v>0</v>
      </c>
      <c r="S159" s="918">
        <f>'D-Vergütung Eigenverbrauch'!T7</f>
        <v>0</v>
      </c>
      <c r="T159" s="918">
        <f>'D-Vergütung Eigenverbrauch'!U7</f>
        <v>0</v>
      </c>
      <c r="U159" s="918">
        <f>'D-Vergütung Eigenverbrauch'!V7</f>
        <v>0</v>
      </c>
      <c r="V159" s="918">
        <f>'D-Vergütung Eigenverbrauch'!W7</f>
        <v>0</v>
      </c>
      <c r="W159" s="918">
        <f>'D-Vergütung Eigenverbrauch'!X7</f>
        <v>0</v>
      </c>
      <c r="X159" s="918">
        <f>'D-Vergütung Eigenverbrauch'!Y7</f>
        <v>0</v>
      </c>
      <c r="Y159" s="918">
        <f>'D-Vergütung Eigenverbrauch'!Z7</f>
        <v>0</v>
      </c>
      <c r="Z159" s="918">
        <f>'D-Vergütung Eigenverbrauch'!AA7</f>
        <v>0</v>
      </c>
      <c r="AA159" s="918">
        <f>'D-Vergütung Eigenverbrauch'!AB7</f>
        <v>0</v>
      </c>
      <c r="AB159" s="918">
        <f>'D-Vergütung Eigenverbrauch'!AC7</f>
        <v>0</v>
      </c>
      <c r="AC159" s="918">
        <f>'D-Vergütung Eigenverbrauch'!AD7</f>
        <v>0</v>
      </c>
      <c r="AD159" s="918">
        <f>'D-Vergütung Eigenverbrauch'!AE7</f>
        <v>0</v>
      </c>
      <c r="AE159" s="919">
        <f>'D-Vergütung Eigenverbrauch'!AF7</f>
        <v>0</v>
      </c>
      <c r="AF159" s="940"/>
      <c r="AG159" s="940"/>
      <c r="AH159" s="939"/>
      <c r="AI159" s="939"/>
      <c r="AJ159" s="345"/>
    </row>
    <row r="160" spans="1:36" s="301" customFormat="1" ht="12.75" customHeight="1" outlineLevel="2">
      <c r="A160" s="561">
        <v>141</v>
      </c>
      <c r="B160" s="16" t="str">
        <f>'D-Vergütung Eigenverbrauch'!C$8</f>
        <v>Referenz</v>
      </c>
      <c r="C160" s="12" t="str">
        <f>'D-Vergütung Eigenverbrauch'!D$8</f>
        <v>cl</v>
      </c>
      <c r="D160" s="31">
        <f>'D-Vergütung Eigenverbrauch'!E$8</f>
        <v>0</v>
      </c>
      <c r="E160" s="16" t="s">
        <v>13</v>
      </c>
      <c r="F160" s="918">
        <f>'D-Vergütung Eigenverbrauch'!G8</f>
        <v>0</v>
      </c>
      <c r="G160" s="918">
        <f>'D-Vergütung Eigenverbrauch'!H8</f>
        <v>0</v>
      </c>
      <c r="H160" s="918">
        <f>'D-Vergütung Eigenverbrauch'!I8</f>
        <v>0</v>
      </c>
      <c r="I160" s="918">
        <f>'D-Vergütung Eigenverbrauch'!J8</f>
        <v>0</v>
      </c>
      <c r="J160" s="918">
        <f>'D-Vergütung Eigenverbrauch'!K8</f>
        <v>0</v>
      </c>
      <c r="K160" s="918">
        <f>'D-Vergütung Eigenverbrauch'!L8</f>
        <v>0</v>
      </c>
      <c r="L160" s="918">
        <f>'D-Vergütung Eigenverbrauch'!M8</f>
        <v>0</v>
      </c>
      <c r="M160" s="918">
        <f>'D-Vergütung Eigenverbrauch'!N8</f>
        <v>0</v>
      </c>
      <c r="N160" s="919">
        <f>'D-Vergütung Eigenverbrauch'!O8</f>
        <v>0</v>
      </c>
      <c r="O160" s="920">
        <f>'D-Vergütung Eigenverbrauch'!P8</f>
        <v>0</v>
      </c>
      <c r="P160" s="918">
        <f>'D-Vergütung Eigenverbrauch'!Q8</f>
        <v>0</v>
      </c>
      <c r="Q160" s="918">
        <f>'D-Vergütung Eigenverbrauch'!R8</f>
        <v>0</v>
      </c>
      <c r="R160" s="918">
        <f>'D-Vergütung Eigenverbrauch'!S8</f>
        <v>0</v>
      </c>
      <c r="S160" s="918">
        <f>'D-Vergütung Eigenverbrauch'!T8</f>
        <v>0</v>
      </c>
      <c r="T160" s="918">
        <f>'D-Vergütung Eigenverbrauch'!U8</f>
        <v>0</v>
      </c>
      <c r="U160" s="918">
        <f>'D-Vergütung Eigenverbrauch'!V8</f>
        <v>0</v>
      </c>
      <c r="V160" s="918">
        <f>'D-Vergütung Eigenverbrauch'!W8</f>
        <v>0</v>
      </c>
      <c r="W160" s="918">
        <f>'D-Vergütung Eigenverbrauch'!X8</f>
        <v>0</v>
      </c>
      <c r="X160" s="918">
        <f>'D-Vergütung Eigenverbrauch'!Y8</f>
        <v>0</v>
      </c>
      <c r="Y160" s="918">
        <f>'D-Vergütung Eigenverbrauch'!Z8</f>
        <v>0</v>
      </c>
      <c r="Z160" s="918">
        <f>'D-Vergütung Eigenverbrauch'!AA8</f>
        <v>0</v>
      </c>
      <c r="AA160" s="918">
        <f>'D-Vergütung Eigenverbrauch'!AB8</f>
        <v>0</v>
      </c>
      <c r="AB160" s="918">
        <f>'D-Vergütung Eigenverbrauch'!AC8</f>
        <v>0</v>
      </c>
      <c r="AC160" s="918">
        <f>'D-Vergütung Eigenverbrauch'!AD8</f>
        <v>0</v>
      </c>
      <c r="AD160" s="918">
        <f>'D-Vergütung Eigenverbrauch'!AE8</f>
        <v>0</v>
      </c>
      <c r="AE160" s="919">
        <f>'D-Vergütung Eigenverbrauch'!AF8</f>
        <v>0</v>
      </c>
      <c r="AF160" s="940"/>
      <c r="AG160" s="940"/>
      <c r="AH160" s="939"/>
      <c r="AI160" s="939"/>
      <c r="AJ160" s="345"/>
    </row>
    <row r="161" spans="1:36" s="301" customFormat="1" ht="12.75" customHeight="1" outlineLevel="2">
      <c r="A161" s="561">
        <v>142</v>
      </c>
      <c r="B161" s="16" t="str">
        <f>'D-Vergütung Eigenverbrauch'!C$9</f>
        <v>Referenz</v>
      </c>
      <c r="C161" s="12" t="str">
        <f>'D-Vergütung Eigenverbrauch'!D$9</f>
        <v>cl</v>
      </c>
      <c r="D161" s="31">
        <f>'D-Vergütung Eigenverbrauch'!E$9</f>
        <v>0</v>
      </c>
      <c r="E161" s="16" t="s">
        <v>12</v>
      </c>
      <c r="F161" s="918">
        <f>'D-Vergütung Eigenverbrauch'!G9</f>
        <v>0</v>
      </c>
      <c r="G161" s="918">
        <f>'D-Vergütung Eigenverbrauch'!H9</f>
        <v>0</v>
      </c>
      <c r="H161" s="918">
        <f>'D-Vergütung Eigenverbrauch'!I9</f>
        <v>0</v>
      </c>
      <c r="I161" s="918">
        <f>'D-Vergütung Eigenverbrauch'!J9</f>
        <v>0</v>
      </c>
      <c r="J161" s="918">
        <f>'D-Vergütung Eigenverbrauch'!K9</f>
        <v>0</v>
      </c>
      <c r="K161" s="918">
        <f>'D-Vergütung Eigenverbrauch'!L9</f>
        <v>0</v>
      </c>
      <c r="L161" s="918">
        <f>'D-Vergütung Eigenverbrauch'!M9</f>
        <v>0</v>
      </c>
      <c r="M161" s="918">
        <f>'D-Vergütung Eigenverbrauch'!N9</f>
        <v>0</v>
      </c>
      <c r="N161" s="919">
        <f>'D-Vergütung Eigenverbrauch'!O9</f>
        <v>0</v>
      </c>
      <c r="O161" s="920">
        <f>'D-Vergütung Eigenverbrauch'!P9</f>
        <v>0</v>
      </c>
      <c r="P161" s="918">
        <f>'D-Vergütung Eigenverbrauch'!Q9</f>
        <v>0</v>
      </c>
      <c r="Q161" s="918">
        <f>'D-Vergütung Eigenverbrauch'!R9</f>
        <v>0</v>
      </c>
      <c r="R161" s="918">
        <f>'D-Vergütung Eigenverbrauch'!S9</f>
        <v>0</v>
      </c>
      <c r="S161" s="918">
        <f>'D-Vergütung Eigenverbrauch'!T9</f>
        <v>0</v>
      </c>
      <c r="T161" s="918">
        <f>'D-Vergütung Eigenverbrauch'!U9</f>
        <v>0</v>
      </c>
      <c r="U161" s="918">
        <f>'D-Vergütung Eigenverbrauch'!V9</f>
        <v>0</v>
      </c>
      <c r="V161" s="918">
        <f>'D-Vergütung Eigenverbrauch'!W9</f>
        <v>0</v>
      </c>
      <c r="W161" s="918">
        <f>'D-Vergütung Eigenverbrauch'!X9</f>
        <v>0</v>
      </c>
      <c r="X161" s="918">
        <f>'D-Vergütung Eigenverbrauch'!Y9</f>
        <v>0</v>
      </c>
      <c r="Y161" s="918">
        <f>'D-Vergütung Eigenverbrauch'!Z9</f>
        <v>0</v>
      </c>
      <c r="Z161" s="918">
        <f>'D-Vergütung Eigenverbrauch'!AA9</f>
        <v>0</v>
      </c>
      <c r="AA161" s="918">
        <f>'D-Vergütung Eigenverbrauch'!AB9</f>
        <v>0</v>
      </c>
      <c r="AB161" s="918">
        <f>'D-Vergütung Eigenverbrauch'!AC9</f>
        <v>0</v>
      </c>
      <c r="AC161" s="918">
        <f>'D-Vergütung Eigenverbrauch'!AD9</f>
        <v>0</v>
      </c>
      <c r="AD161" s="918">
        <f>'D-Vergütung Eigenverbrauch'!AE9</f>
        <v>0</v>
      </c>
      <c r="AE161" s="919">
        <f>'D-Vergütung Eigenverbrauch'!AF9</f>
        <v>0</v>
      </c>
      <c r="AF161" s="940"/>
      <c r="AG161" s="940"/>
      <c r="AH161" s="939"/>
      <c r="AI161" s="939"/>
      <c r="AJ161" s="345"/>
    </row>
    <row r="162" spans="1:36" s="301" customFormat="1" ht="12.75" customHeight="1" outlineLevel="2">
      <c r="A162" s="561">
        <v>143</v>
      </c>
      <c r="B162" s="16" t="str">
        <f>'D-Vergütung Eigenverbrauch'!C$10</f>
        <v>Referenz</v>
      </c>
      <c r="C162" s="12" t="str">
        <f>'D-Vergütung Eigenverbrauch'!D$10</f>
        <v>cl</v>
      </c>
      <c r="D162" s="31">
        <f>'D-Vergütung Eigenverbrauch'!E$10</f>
        <v>0</v>
      </c>
      <c r="E162" s="16" t="s">
        <v>24</v>
      </c>
      <c r="F162" s="918">
        <f>'D-Vergütung Eigenverbrauch'!G10</f>
        <v>0</v>
      </c>
      <c r="G162" s="918">
        <f>'D-Vergütung Eigenverbrauch'!H10</f>
        <v>0</v>
      </c>
      <c r="H162" s="918">
        <f>'D-Vergütung Eigenverbrauch'!I10</f>
        <v>0</v>
      </c>
      <c r="I162" s="918">
        <f>'D-Vergütung Eigenverbrauch'!J10</f>
        <v>0</v>
      </c>
      <c r="J162" s="918">
        <f>'D-Vergütung Eigenverbrauch'!K10</f>
        <v>0</v>
      </c>
      <c r="K162" s="918">
        <f>'D-Vergütung Eigenverbrauch'!L10</f>
        <v>0</v>
      </c>
      <c r="L162" s="918">
        <f>'D-Vergütung Eigenverbrauch'!M10</f>
        <v>0</v>
      </c>
      <c r="M162" s="918">
        <f>'D-Vergütung Eigenverbrauch'!N10</f>
        <v>0</v>
      </c>
      <c r="N162" s="919">
        <f>'D-Vergütung Eigenverbrauch'!O10</f>
        <v>0</v>
      </c>
      <c r="O162" s="920">
        <f>'D-Vergütung Eigenverbrauch'!P10</f>
        <v>0</v>
      </c>
      <c r="P162" s="918">
        <f>'D-Vergütung Eigenverbrauch'!Q10</f>
        <v>0</v>
      </c>
      <c r="Q162" s="918">
        <f>'D-Vergütung Eigenverbrauch'!R10</f>
        <v>0</v>
      </c>
      <c r="R162" s="918">
        <f>'D-Vergütung Eigenverbrauch'!S10</f>
        <v>0</v>
      </c>
      <c r="S162" s="918">
        <f>'D-Vergütung Eigenverbrauch'!T10</f>
        <v>0</v>
      </c>
      <c r="T162" s="918">
        <f>'D-Vergütung Eigenverbrauch'!U10</f>
        <v>0</v>
      </c>
      <c r="U162" s="918">
        <f>'D-Vergütung Eigenverbrauch'!V10</f>
        <v>0</v>
      </c>
      <c r="V162" s="918">
        <f>'D-Vergütung Eigenverbrauch'!W10</f>
        <v>0</v>
      </c>
      <c r="W162" s="918">
        <f>'D-Vergütung Eigenverbrauch'!X10</f>
        <v>0</v>
      </c>
      <c r="X162" s="918">
        <f>'D-Vergütung Eigenverbrauch'!Y10</f>
        <v>0</v>
      </c>
      <c r="Y162" s="918">
        <f>'D-Vergütung Eigenverbrauch'!Z10</f>
        <v>0</v>
      </c>
      <c r="Z162" s="918">
        <f>'D-Vergütung Eigenverbrauch'!AA10</f>
        <v>0</v>
      </c>
      <c r="AA162" s="918">
        <f>'D-Vergütung Eigenverbrauch'!AB10</f>
        <v>0</v>
      </c>
      <c r="AB162" s="918">
        <f>'D-Vergütung Eigenverbrauch'!AC10</f>
        <v>0</v>
      </c>
      <c r="AC162" s="918">
        <f>'D-Vergütung Eigenverbrauch'!AD10</f>
        <v>0</v>
      </c>
      <c r="AD162" s="918">
        <f>'D-Vergütung Eigenverbrauch'!AE10</f>
        <v>0</v>
      </c>
      <c r="AE162" s="919">
        <f>'D-Vergütung Eigenverbrauch'!AF10</f>
        <v>0</v>
      </c>
      <c r="AF162" s="940"/>
      <c r="AG162" s="940"/>
      <c r="AH162" s="939"/>
      <c r="AI162" s="939"/>
      <c r="AJ162" s="345"/>
    </row>
    <row r="163" spans="1:36" s="301" customFormat="1" ht="12.75" customHeight="1" outlineLevel="2">
      <c r="A163" s="561">
        <v>144</v>
      </c>
      <c r="B163" s="16" t="str">
        <f>'D-Vergütung Eigenverbrauch'!C$11</f>
        <v>Referenz</v>
      </c>
      <c r="C163" s="12" t="str">
        <f>'D-Vergütung Eigenverbrauch'!D$11</f>
        <v>cl</v>
      </c>
      <c r="D163" s="31">
        <f>'D-Vergütung Eigenverbrauch'!E$11</f>
        <v>0</v>
      </c>
      <c r="E163" s="16" t="s">
        <v>26</v>
      </c>
      <c r="F163" s="918">
        <f>'D-Vergütung Eigenverbrauch'!G11</f>
        <v>0</v>
      </c>
      <c r="G163" s="918">
        <f>'D-Vergütung Eigenverbrauch'!H11</f>
        <v>0</v>
      </c>
      <c r="H163" s="918">
        <f>'D-Vergütung Eigenverbrauch'!I11</f>
        <v>0</v>
      </c>
      <c r="I163" s="918">
        <f>'D-Vergütung Eigenverbrauch'!J11</f>
        <v>0</v>
      </c>
      <c r="J163" s="918">
        <f>'D-Vergütung Eigenverbrauch'!K11</f>
        <v>0</v>
      </c>
      <c r="K163" s="918">
        <f>'D-Vergütung Eigenverbrauch'!L11</f>
        <v>0</v>
      </c>
      <c r="L163" s="918">
        <f>'D-Vergütung Eigenverbrauch'!M11</f>
        <v>0</v>
      </c>
      <c r="M163" s="918">
        <f>'D-Vergütung Eigenverbrauch'!N11</f>
        <v>0</v>
      </c>
      <c r="N163" s="919">
        <f>'D-Vergütung Eigenverbrauch'!O11</f>
        <v>0</v>
      </c>
      <c r="O163" s="920">
        <f>'D-Vergütung Eigenverbrauch'!P11</f>
        <v>0</v>
      </c>
      <c r="P163" s="918">
        <f>'D-Vergütung Eigenverbrauch'!Q11</f>
        <v>0</v>
      </c>
      <c r="Q163" s="918">
        <f>'D-Vergütung Eigenverbrauch'!R11</f>
        <v>0</v>
      </c>
      <c r="R163" s="918">
        <f>'D-Vergütung Eigenverbrauch'!S11</f>
        <v>0</v>
      </c>
      <c r="S163" s="918">
        <f>'D-Vergütung Eigenverbrauch'!T11</f>
        <v>0</v>
      </c>
      <c r="T163" s="918">
        <f>'D-Vergütung Eigenverbrauch'!U11</f>
        <v>0</v>
      </c>
      <c r="U163" s="918">
        <f>'D-Vergütung Eigenverbrauch'!V11</f>
        <v>0</v>
      </c>
      <c r="V163" s="918">
        <f>'D-Vergütung Eigenverbrauch'!W11</f>
        <v>0</v>
      </c>
      <c r="W163" s="918">
        <f>'D-Vergütung Eigenverbrauch'!X11</f>
        <v>0</v>
      </c>
      <c r="X163" s="918">
        <f>'D-Vergütung Eigenverbrauch'!Y11</f>
        <v>0</v>
      </c>
      <c r="Y163" s="918">
        <f>'D-Vergütung Eigenverbrauch'!Z11</f>
        <v>0</v>
      </c>
      <c r="Z163" s="918">
        <f>'D-Vergütung Eigenverbrauch'!AA11</f>
        <v>0</v>
      </c>
      <c r="AA163" s="918">
        <f>'D-Vergütung Eigenverbrauch'!AB11</f>
        <v>0</v>
      </c>
      <c r="AB163" s="918">
        <f>'D-Vergütung Eigenverbrauch'!AC11</f>
        <v>0</v>
      </c>
      <c r="AC163" s="918">
        <f>'D-Vergütung Eigenverbrauch'!AD11</f>
        <v>0</v>
      </c>
      <c r="AD163" s="918">
        <f>'D-Vergütung Eigenverbrauch'!AE11</f>
        <v>0</v>
      </c>
      <c r="AE163" s="919">
        <f>'D-Vergütung Eigenverbrauch'!AF11</f>
        <v>0</v>
      </c>
      <c r="AF163" s="940"/>
      <c r="AG163" s="940"/>
      <c r="AH163" s="939"/>
      <c r="AI163" s="939"/>
      <c r="AJ163" s="345"/>
    </row>
    <row r="164" spans="1:36" s="301" customFormat="1" ht="12.75" customHeight="1" outlineLevel="2">
      <c r="A164" s="561">
        <v>145</v>
      </c>
      <c r="B164" s="303" t="str">
        <f>'D-Vergütung Eigenverbrauch'!C$12</f>
        <v>Referenz</v>
      </c>
      <c r="C164" s="24" t="str">
        <f>'D-Vergütung Eigenverbrauch'!D$12</f>
        <v>fh</v>
      </c>
      <c r="D164" s="32" t="str">
        <f>'D-Vergütung Eigenverbrauch'!E$12</f>
        <v>Historische Werte aus ÜNB-Jahresprognosen. Quotient aus Eigenverbrauch und Vergütungszahlungen für Eigenverbrauch</v>
      </c>
      <c r="E164" s="303" t="s">
        <v>74</v>
      </c>
      <c r="F164" s="923">
        <f>'D-Vergütung Eigenverbrauch'!G12</f>
        <v>0</v>
      </c>
      <c r="G164" s="923">
        <f>'D-Vergütung Eigenverbrauch'!H12</f>
        <v>0</v>
      </c>
      <c r="H164" s="923">
        <f>'D-Vergütung Eigenverbrauch'!I12</f>
        <v>117.34452741536268</v>
      </c>
      <c r="I164" s="923">
        <f>'D-Vergütung Eigenverbrauch'!J12</f>
        <v>42.446530658693341</v>
      </c>
      <c r="J164" s="923">
        <f>'D-Vergütung Eigenverbrauch'!K12</f>
        <v>42.446530658693341</v>
      </c>
      <c r="K164" s="923">
        <f>'D-Vergütung Eigenverbrauch'!L12</f>
        <v>61.584873056821998</v>
      </c>
      <c r="L164" s="923">
        <f>'D-Vergütung Eigenverbrauch'!M12</f>
        <v>55.353612472804969</v>
      </c>
      <c r="M164" s="923">
        <f>'D-Vergütung Eigenverbrauch'!N12</f>
        <v>116.59227181465116</v>
      </c>
      <c r="N164" s="924">
        <f>'D-Vergütung Eigenverbrauch'!O12</f>
        <v>56.297696752497401</v>
      </c>
      <c r="O164" s="925">
        <f>'D-Vergütung Eigenverbrauch'!P12</f>
        <v>41.435472923873455</v>
      </c>
      <c r="P164" s="923">
        <f>'D-Vergütung Eigenverbrauch'!Q12</f>
        <v>37.246225444316316</v>
      </c>
      <c r="Q164" s="923">
        <f>'D-Vergütung Eigenverbrauch'!R12</f>
        <v>28.583544616898731</v>
      </c>
      <c r="R164" s="923">
        <f>'D-Vergütung Eigenverbrauch'!S12</f>
        <v>25.519445424469026</v>
      </c>
      <c r="S164" s="923">
        <f>'D-Vergütung Eigenverbrauch'!T12</f>
        <v>0</v>
      </c>
      <c r="T164" s="923">
        <f>'D-Vergütung Eigenverbrauch'!U12</f>
        <v>0</v>
      </c>
      <c r="U164" s="923">
        <f>'D-Vergütung Eigenverbrauch'!V12</f>
        <v>0</v>
      </c>
      <c r="V164" s="923">
        <f>'D-Vergütung Eigenverbrauch'!W12</f>
        <v>0</v>
      </c>
      <c r="W164" s="923">
        <f>'D-Vergütung Eigenverbrauch'!X12</f>
        <v>0</v>
      </c>
      <c r="X164" s="923">
        <f>'D-Vergütung Eigenverbrauch'!Y12</f>
        <v>0</v>
      </c>
      <c r="Y164" s="923">
        <f>'D-Vergütung Eigenverbrauch'!Z12</f>
        <v>0</v>
      </c>
      <c r="Z164" s="923">
        <f>'D-Vergütung Eigenverbrauch'!AA12</f>
        <v>0</v>
      </c>
      <c r="AA164" s="923">
        <f>'D-Vergütung Eigenverbrauch'!AB12</f>
        <v>0</v>
      </c>
      <c r="AB164" s="923">
        <f>'D-Vergütung Eigenverbrauch'!AC12</f>
        <v>0</v>
      </c>
      <c r="AC164" s="923">
        <f>'D-Vergütung Eigenverbrauch'!AD12</f>
        <v>0</v>
      </c>
      <c r="AD164" s="923">
        <f>'D-Vergütung Eigenverbrauch'!AE12</f>
        <v>0</v>
      </c>
      <c r="AE164" s="924">
        <f>'D-Vergütung Eigenverbrauch'!AF12</f>
        <v>0</v>
      </c>
      <c r="AF164" s="940"/>
      <c r="AG164" s="940"/>
      <c r="AH164" s="1048"/>
      <c r="AI164" s="939"/>
      <c r="AJ164" s="345"/>
    </row>
    <row r="165" spans="1:36" s="301" customFormat="1" ht="12.75" customHeight="1" outlineLevel="1">
      <c r="A165" s="561">
        <v>146</v>
      </c>
      <c r="C165" s="26"/>
      <c r="D165" s="34"/>
      <c r="F165" s="331"/>
      <c r="G165" s="331"/>
      <c r="H165" s="331"/>
      <c r="I165" s="331"/>
      <c r="J165" s="331"/>
      <c r="K165" s="331"/>
      <c r="L165" s="331"/>
      <c r="M165" s="331"/>
      <c r="N165" s="349"/>
      <c r="O165" s="296"/>
      <c r="P165" s="331"/>
      <c r="Q165" s="331"/>
      <c r="R165" s="331"/>
      <c r="S165" s="331"/>
      <c r="T165" s="331"/>
      <c r="U165" s="331"/>
      <c r="V165" s="331"/>
      <c r="W165" s="331"/>
      <c r="X165" s="331"/>
      <c r="Y165" s="331"/>
      <c r="Z165" s="331"/>
      <c r="AA165" s="331"/>
      <c r="AB165" s="331"/>
      <c r="AC165" s="331"/>
      <c r="AD165" s="331"/>
      <c r="AE165" s="331"/>
      <c r="AF165" s="940"/>
      <c r="AG165" s="940"/>
      <c r="AH165" s="939"/>
      <c r="AI165" s="939"/>
      <c r="AJ165" s="345"/>
    </row>
    <row r="166" spans="1:36" s="301" customFormat="1" ht="37.5" customHeight="1" outlineLevel="1">
      <c r="A166" s="561">
        <v>147</v>
      </c>
      <c r="C166" s="26"/>
      <c r="D166" s="34"/>
      <c r="E166" s="322" t="s">
        <v>423</v>
      </c>
      <c r="F166" s="331"/>
      <c r="G166" s="331"/>
      <c r="H166" s="331"/>
      <c r="I166" s="331"/>
      <c r="J166" s="331"/>
      <c r="K166" s="331"/>
      <c r="L166" s="331"/>
      <c r="M166" s="331"/>
      <c r="N166" s="349"/>
      <c r="O166" s="296"/>
      <c r="P166" s="331"/>
      <c r="Q166" s="331"/>
      <c r="R166" s="331"/>
      <c r="S166" s="331"/>
      <c r="T166" s="331"/>
      <c r="U166" s="331"/>
      <c r="V166" s="331"/>
      <c r="W166" s="331"/>
      <c r="X166" s="331"/>
      <c r="Y166" s="331"/>
      <c r="Z166" s="331"/>
      <c r="AA166" s="331"/>
      <c r="AB166" s="331"/>
      <c r="AC166" s="331"/>
      <c r="AD166" s="331"/>
      <c r="AE166" s="331"/>
      <c r="AF166" s="940" t="s">
        <v>457</v>
      </c>
      <c r="AG166" s="940"/>
      <c r="AH166" s="939"/>
      <c r="AI166" s="939"/>
      <c r="AJ166" s="345" t="s">
        <v>647</v>
      </c>
    </row>
    <row r="167" spans="1:36" s="301" customFormat="1" ht="12.75" customHeight="1" outlineLevel="1">
      <c r="A167" s="561">
        <v>148</v>
      </c>
      <c r="B167" s="321" t="e">
        <f>#REF!</f>
        <v>#REF!</v>
      </c>
      <c r="C167" s="22" t="e">
        <f>#REF!</f>
        <v>#REF!</v>
      </c>
      <c r="D167" s="30" t="e">
        <f>#REF!</f>
        <v>#REF!</v>
      </c>
      <c r="E167" s="321" t="s">
        <v>25</v>
      </c>
      <c r="F167" s="915"/>
      <c r="G167" s="915"/>
      <c r="H167" s="915"/>
      <c r="I167" s="915"/>
      <c r="J167" s="915"/>
      <c r="K167" s="915"/>
      <c r="L167" s="915"/>
      <c r="M167" s="915"/>
      <c r="N167" s="916"/>
      <c r="O167" s="917"/>
      <c r="P167" s="915"/>
      <c r="Q167" s="915"/>
      <c r="R167" s="915"/>
      <c r="S167" s="915"/>
      <c r="T167" s="915"/>
      <c r="U167" s="915"/>
      <c r="V167" s="915"/>
      <c r="W167" s="915"/>
      <c r="X167" s="915"/>
      <c r="Y167" s="915"/>
      <c r="Z167" s="915"/>
      <c r="AA167" s="915"/>
      <c r="AB167" s="915"/>
      <c r="AC167" s="915"/>
      <c r="AD167" s="915"/>
      <c r="AE167" s="916"/>
      <c r="AF167" s="940" t="s">
        <v>457</v>
      </c>
      <c r="AG167" s="940"/>
      <c r="AH167" s="940"/>
      <c r="AI167" s="940"/>
      <c r="AJ167" s="345"/>
    </row>
    <row r="168" spans="1:36" s="301" customFormat="1" ht="12.75" customHeight="1" outlineLevel="1">
      <c r="A168" s="561">
        <v>149</v>
      </c>
      <c r="B168" s="16" t="e">
        <f>#REF!</f>
        <v>#REF!</v>
      </c>
      <c r="C168" s="12" t="e">
        <f>#REF!</f>
        <v>#REF!</v>
      </c>
      <c r="D168" s="31" t="e">
        <f>#REF!</f>
        <v>#REF!</v>
      </c>
      <c r="E168" s="16" t="s">
        <v>50</v>
      </c>
      <c r="F168" s="918"/>
      <c r="G168" s="918"/>
      <c r="H168" s="918"/>
      <c r="I168" s="918"/>
      <c r="J168" s="918"/>
      <c r="K168" s="918"/>
      <c r="L168" s="918"/>
      <c r="M168" s="918"/>
      <c r="N168" s="919"/>
      <c r="O168" s="920"/>
      <c r="P168" s="918"/>
      <c r="Q168" s="918"/>
      <c r="R168" s="918"/>
      <c r="S168" s="918"/>
      <c r="T168" s="918"/>
      <c r="U168" s="918"/>
      <c r="V168" s="918"/>
      <c r="W168" s="918"/>
      <c r="X168" s="918"/>
      <c r="Y168" s="918"/>
      <c r="Z168" s="918"/>
      <c r="AA168" s="918"/>
      <c r="AB168" s="918"/>
      <c r="AC168" s="918"/>
      <c r="AD168" s="918"/>
      <c r="AE168" s="919"/>
      <c r="AF168" s="940" t="s">
        <v>457</v>
      </c>
      <c r="AG168" s="940"/>
      <c r="AH168" s="940"/>
      <c r="AI168" s="940"/>
      <c r="AJ168" s="345"/>
    </row>
    <row r="169" spans="1:36" s="301" customFormat="1" ht="12.75" customHeight="1" outlineLevel="1">
      <c r="A169" s="561">
        <v>150</v>
      </c>
      <c r="B169" s="16" t="e">
        <f>#REF!</f>
        <v>#REF!</v>
      </c>
      <c r="C169" s="12" t="e">
        <f>#REF!</f>
        <v>#REF!</v>
      </c>
      <c r="D169" s="31" t="e">
        <f>#REF!</f>
        <v>#REF!</v>
      </c>
      <c r="E169" s="16" t="s">
        <v>13</v>
      </c>
      <c r="F169" s="918"/>
      <c r="G169" s="918"/>
      <c r="H169" s="918"/>
      <c r="I169" s="918"/>
      <c r="J169" s="918"/>
      <c r="K169" s="918"/>
      <c r="L169" s="918"/>
      <c r="M169" s="918"/>
      <c r="N169" s="919"/>
      <c r="O169" s="920"/>
      <c r="P169" s="918"/>
      <c r="Q169" s="918"/>
      <c r="R169" s="918"/>
      <c r="S169" s="918"/>
      <c r="T169" s="918"/>
      <c r="U169" s="918"/>
      <c r="V169" s="918"/>
      <c r="W169" s="918"/>
      <c r="X169" s="918"/>
      <c r="Y169" s="918"/>
      <c r="Z169" s="918"/>
      <c r="AA169" s="918"/>
      <c r="AB169" s="918"/>
      <c r="AC169" s="918"/>
      <c r="AD169" s="918"/>
      <c r="AE169" s="919"/>
      <c r="AF169" s="940" t="s">
        <v>457</v>
      </c>
      <c r="AG169" s="940"/>
      <c r="AH169" s="940"/>
      <c r="AI169" s="940"/>
      <c r="AJ169" s="345"/>
    </row>
    <row r="170" spans="1:36" s="301" customFormat="1" ht="12.75" customHeight="1" outlineLevel="1">
      <c r="A170" s="561">
        <v>151</v>
      </c>
      <c r="B170" s="16" t="e">
        <f>#REF!</f>
        <v>#REF!</v>
      </c>
      <c r="C170" s="12" t="e">
        <f>#REF!</f>
        <v>#REF!</v>
      </c>
      <c r="D170" s="31" t="e">
        <f>#REF!</f>
        <v>#REF!</v>
      </c>
      <c r="E170" s="16" t="s">
        <v>12</v>
      </c>
      <c r="F170" s="918"/>
      <c r="G170" s="918"/>
      <c r="H170" s="918"/>
      <c r="I170" s="918"/>
      <c r="J170" s="918"/>
      <c r="K170" s="918"/>
      <c r="L170" s="918"/>
      <c r="M170" s="918"/>
      <c r="N170" s="919"/>
      <c r="O170" s="920"/>
      <c r="P170" s="918"/>
      <c r="Q170" s="918"/>
      <c r="R170" s="918"/>
      <c r="S170" s="918"/>
      <c r="T170" s="918"/>
      <c r="U170" s="918"/>
      <c r="V170" s="918"/>
      <c r="W170" s="918"/>
      <c r="X170" s="918"/>
      <c r="Y170" s="918"/>
      <c r="Z170" s="918"/>
      <c r="AA170" s="918"/>
      <c r="AB170" s="918"/>
      <c r="AC170" s="918"/>
      <c r="AD170" s="918"/>
      <c r="AE170" s="919"/>
      <c r="AF170" s="940" t="s">
        <v>457</v>
      </c>
      <c r="AG170" s="940"/>
      <c r="AH170" s="940"/>
      <c r="AI170" s="940"/>
      <c r="AJ170" s="345"/>
    </row>
    <row r="171" spans="1:36" s="301" customFormat="1" ht="12.75" customHeight="1" outlineLevel="1">
      <c r="A171" s="561">
        <v>152</v>
      </c>
      <c r="B171" s="16" t="e">
        <f>#REF!</f>
        <v>#REF!</v>
      </c>
      <c r="C171" s="12" t="e">
        <f>#REF!</f>
        <v>#REF!</v>
      </c>
      <c r="D171" s="31" t="e">
        <f>#REF!</f>
        <v>#REF!</v>
      </c>
      <c r="E171" s="16" t="s">
        <v>24</v>
      </c>
      <c r="F171" s="918"/>
      <c r="G171" s="918"/>
      <c r="H171" s="918"/>
      <c r="I171" s="918"/>
      <c r="J171" s="918"/>
      <c r="K171" s="918"/>
      <c r="L171" s="918"/>
      <c r="M171" s="918"/>
      <c r="N171" s="919"/>
      <c r="O171" s="920"/>
      <c r="P171" s="918"/>
      <c r="Q171" s="918"/>
      <c r="R171" s="918"/>
      <c r="S171" s="918"/>
      <c r="T171" s="918"/>
      <c r="U171" s="918"/>
      <c r="V171" s="918"/>
      <c r="W171" s="918"/>
      <c r="X171" s="918"/>
      <c r="Y171" s="918"/>
      <c r="Z171" s="918"/>
      <c r="AA171" s="918"/>
      <c r="AB171" s="918"/>
      <c r="AC171" s="918"/>
      <c r="AD171" s="918"/>
      <c r="AE171" s="919"/>
      <c r="AF171" s="940" t="s">
        <v>457</v>
      </c>
      <c r="AG171" s="940"/>
      <c r="AH171" s="940"/>
      <c r="AI171" s="940"/>
      <c r="AJ171" s="345"/>
    </row>
    <row r="172" spans="1:36" s="301" customFormat="1" ht="12.75" customHeight="1" outlineLevel="1">
      <c r="A172" s="561">
        <v>153</v>
      </c>
      <c r="B172" s="16" t="e">
        <f>#REF!</f>
        <v>#REF!</v>
      </c>
      <c r="C172" s="12" t="e">
        <f>#REF!</f>
        <v>#REF!</v>
      </c>
      <c r="D172" s="31" t="e">
        <f>#REF!</f>
        <v>#REF!</v>
      </c>
      <c r="E172" s="16" t="s">
        <v>26</v>
      </c>
      <c r="F172" s="918"/>
      <c r="G172" s="918"/>
      <c r="H172" s="918"/>
      <c r="I172" s="918"/>
      <c r="J172" s="918"/>
      <c r="K172" s="918">
        <f>MOD_Absenkung_Wind_offshore!K11</f>
        <v>0</v>
      </c>
      <c r="L172" s="918">
        <f>MOD_Absenkung_Wind_offshore!L11</f>
        <v>0</v>
      </c>
      <c r="M172" s="918">
        <f>MOD_Absenkung_Wind_offshore!M11</f>
        <v>0</v>
      </c>
      <c r="N172" s="919">
        <f>MOD_Absenkung_Wind_offshore!N11</f>
        <v>0</v>
      </c>
      <c r="O172" s="920">
        <f>MOD_Absenkung_Wind_offshore!O11</f>
        <v>0</v>
      </c>
      <c r="P172" s="918">
        <f>MOD_Absenkung_Wind_offshore!P11</f>
        <v>0</v>
      </c>
      <c r="Q172" s="918">
        <f>MOD_Absenkung_Wind_offshore!Q11</f>
        <v>1.1078400000000002E-2</v>
      </c>
      <c r="R172" s="918">
        <f>MOD_Absenkung_Wind_offshore!R11</f>
        <v>4.4313600000000002E-2</v>
      </c>
      <c r="S172" s="918">
        <f>MOD_Absenkung_Wind_offshore!S11</f>
        <v>0.11161488</v>
      </c>
      <c r="T172" s="918">
        <f>MOD_Absenkung_Wind_offshore!T11</f>
        <v>0.46044600000000008</v>
      </c>
      <c r="U172" s="918">
        <f>MOD_Absenkung_Wind_offshore!U11</f>
        <v>0.67981231999999991</v>
      </c>
      <c r="V172" s="918">
        <f>MOD_Absenkung_Wind_offshore!V11</f>
        <v>1.0749052700000001</v>
      </c>
      <c r="W172" s="918">
        <f>MOD_Absenkung_Wind_offshore!W11</f>
        <v>2.0292228799999998</v>
      </c>
      <c r="X172" s="918">
        <f>MOD_Absenkung_Wind_offshore!X11</f>
        <v>2.3851913499999995</v>
      </c>
      <c r="Y172" s="918">
        <f>MOD_Absenkung_Wind_offshore!Y11</f>
        <v>2.9132883699999996</v>
      </c>
      <c r="Z172" s="918">
        <f>MOD_Absenkung_Wind_offshore!Z11</f>
        <v>2.9132883699999996</v>
      </c>
      <c r="AA172" s="918">
        <f>MOD_Absenkung_Wind_offshore!AA11</f>
        <v>2.89537252</v>
      </c>
      <c r="AB172" s="918">
        <f>MOD_Absenkung_Wind_offshore!AB11</f>
        <v>2.8523744799999999</v>
      </c>
      <c r="AC172" s="918">
        <f>MOD_Absenkung_Wind_offshore!AC11</f>
        <v>2.8094456799999996</v>
      </c>
      <c r="AD172" s="918">
        <f>MOD_Absenkung_Wind_offshore!AD11</f>
        <v>3.0890996199999998</v>
      </c>
      <c r="AE172" s="919">
        <f>MOD_Absenkung_Wind_offshore!AE11</f>
        <v>3.3104778599999998</v>
      </c>
      <c r="AF172" s="940" t="s">
        <v>457</v>
      </c>
      <c r="AG172" s="940"/>
      <c r="AH172" s="1048"/>
      <c r="AI172" s="1048"/>
      <c r="AJ172" s="345"/>
    </row>
    <row r="173" spans="1:36" s="301" customFormat="1" ht="12.75" customHeight="1" outlineLevel="1">
      <c r="A173" s="561">
        <v>154</v>
      </c>
      <c r="B173" s="303" t="e">
        <f>#REF!</f>
        <v>#REF!</v>
      </c>
      <c r="C173" s="24" t="e">
        <f>#REF!</f>
        <v>#REF!</v>
      </c>
      <c r="D173" s="32" t="e">
        <f>#REF!</f>
        <v>#REF!</v>
      </c>
      <c r="E173" s="303" t="s">
        <v>74</v>
      </c>
      <c r="F173" s="923"/>
      <c r="G173" s="923"/>
      <c r="H173" s="923"/>
      <c r="I173" s="923"/>
      <c r="J173" s="923"/>
      <c r="K173" s="923"/>
      <c r="L173" s="923"/>
      <c r="M173" s="923"/>
      <c r="N173" s="924"/>
      <c r="O173" s="925"/>
      <c r="P173" s="923"/>
      <c r="Q173" s="923"/>
      <c r="R173" s="923"/>
      <c r="S173" s="923"/>
      <c r="T173" s="923"/>
      <c r="U173" s="923"/>
      <c r="V173" s="923"/>
      <c r="W173" s="923"/>
      <c r="X173" s="923"/>
      <c r="Y173" s="923"/>
      <c r="Z173" s="923"/>
      <c r="AA173" s="923"/>
      <c r="AB173" s="923"/>
      <c r="AC173" s="923"/>
      <c r="AD173" s="923"/>
      <c r="AE173" s="924"/>
      <c r="AF173" s="940" t="s">
        <v>457</v>
      </c>
      <c r="AG173" s="940"/>
      <c r="AH173" s="940"/>
      <c r="AI173" s="940"/>
      <c r="AJ173" s="345"/>
    </row>
    <row r="174" spans="1:36" s="301" customFormat="1" ht="12.75" customHeight="1" outlineLevel="1">
      <c r="A174" s="561">
        <v>155</v>
      </c>
      <c r="C174" s="10"/>
      <c r="D174" s="33"/>
      <c r="E174" s="516"/>
      <c r="F174" s="331"/>
      <c r="G174" s="331"/>
      <c r="H174" s="331"/>
      <c r="I174" s="331"/>
      <c r="J174" s="331"/>
      <c r="K174" s="331"/>
      <c r="L174" s="331"/>
      <c r="M174" s="331"/>
      <c r="N174" s="349"/>
      <c r="O174" s="296"/>
      <c r="P174" s="331"/>
      <c r="Q174" s="331"/>
      <c r="R174" s="331"/>
      <c r="S174" s="331"/>
      <c r="T174" s="331"/>
      <c r="U174" s="331"/>
      <c r="V174" s="331"/>
      <c r="W174" s="331"/>
      <c r="X174" s="331"/>
      <c r="Y174" s="331"/>
      <c r="Z174" s="331"/>
      <c r="AA174" s="331"/>
      <c r="AB174" s="331"/>
      <c r="AC174" s="331"/>
      <c r="AD174" s="331"/>
      <c r="AE174" s="331"/>
      <c r="AF174" s="940"/>
      <c r="AG174" s="940"/>
      <c r="AH174" s="940"/>
      <c r="AI174" s="940"/>
      <c r="AJ174" s="345"/>
    </row>
    <row r="175" spans="1:36" s="301" customFormat="1" ht="12.75" customHeight="1" outlineLevel="1">
      <c r="A175" s="561">
        <v>156</v>
      </c>
      <c r="C175" s="10"/>
      <c r="D175" s="33"/>
      <c r="E175" s="10"/>
      <c r="F175" s="331"/>
      <c r="G175" s="331"/>
      <c r="H175" s="331"/>
      <c r="I175" s="331"/>
      <c r="J175" s="331"/>
      <c r="K175" s="331"/>
      <c r="L175" s="331"/>
      <c r="M175" s="331"/>
      <c r="N175" s="349"/>
      <c r="O175" s="296"/>
      <c r="P175" s="331"/>
      <c r="Q175" s="331"/>
      <c r="R175" s="331"/>
      <c r="S175" s="331"/>
      <c r="T175" s="331"/>
      <c r="U175" s="331"/>
      <c r="V175" s="331"/>
      <c r="W175" s="331"/>
      <c r="X175" s="331"/>
      <c r="Y175" s="331"/>
      <c r="Z175" s="331"/>
      <c r="AA175" s="331"/>
      <c r="AB175" s="331"/>
      <c r="AC175" s="331"/>
      <c r="AD175" s="331"/>
      <c r="AE175" s="331"/>
      <c r="AF175" s="940"/>
      <c r="AG175" s="940"/>
      <c r="AH175" s="940"/>
      <c r="AI175" s="940"/>
      <c r="AJ175" s="345"/>
    </row>
    <row r="176" spans="1:36" s="301" customFormat="1" ht="12.75" customHeight="1">
      <c r="A176" s="561">
        <v>157</v>
      </c>
      <c r="C176" s="10"/>
      <c r="D176" s="33"/>
      <c r="F176" s="331"/>
      <c r="G176" s="331"/>
      <c r="H176" s="331"/>
      <c r="I176" s="331"/>
      <c r="J176" s="331"/>
      <c r="K176" s="331"/>
      <c r="L176" s="331"/>
      <c r="M176" s="331"/>
      <c r="N176" s="349"/>
      <c r="O176" s="296"/>
      <c r="P176" s="331"/>
      <c r="Q176" s="331"/>
      <c r="R176" s="331"/>
      <c r="S176" s="331"/>
      <c r="T176" s="331"/>
      <c r="U176" s="331"/>
      <c r="V176" s="331"/>
      <c r="W176" s="331"/>
      <c r="X176" s="331"/>
      <c r="Y176" s="331"/>
      <c r="Z176" s="331"/>
      <c r="AA176" s="331"/>
      <c r="AB176" s="331"/>
      <c r="AC176" s="331"/>
      <c r="AD176" s="331"/>
      <c r="AE176" s="331"/>
      <c r="AF176" s="940"/>
      <c r="AG176" s="940"/>
      <c r="AH176" s="940"/>
      <c r="AI176" s="940"/>
      <c r="AJ176" s="345"/>
    </row>
    <row r="177" spans="1:36" s="301" customFormat="1" ht="12.75" customHeight="1">
      <c r="A177" s="561">
        <v>158</v>
      </c>
      <c r="C177" s="10"/>
      <c r="D177" s="33"/>
      <c r="F177" s="331"/>
      <c r="G177" s="331"/>
      <c r="H177" s="331"/>
      <c r="I177" s="331"/>
      <c r="J177" s="331"/>
      <c r="K177" s="331"/>
      <c r="L177" s="331"/>
      <c r="M177" s="331"/>
      <c r="N177" s="349"/>
      <c r="O177" s="296"/>
      <c r="P177" s="331"/>
      <c r="Q177" s="331"/>
      <c r="R177" s="331"/>
      <c r="S177" s="331"/>
      <c r="T177" s="331"/>
      <c r="U177" s="331"/>
      <c r="V177" s="331"/>
      <c r="W177" s="331"/>
      <c r="X177" s="331"/>
      <c r="Y177" s="331"/>
      <c r="Z177" s="331"/>
      <c r="AA177" s="331"/>
      <c r="AB177" s="331"/>
      <c r="AC177" s="331"/>
      <c r="AD177" s="331"/>
      <c r="AE177" s="331"/>
      <c r="AF177" s="940"/>
      <c r="AG177" s="940"/>
      <c r="AH177" s="940"/>
      <c r="AI177" s="940"/>
      <c r="AJ177" s="345"/>
    </row>
    <row r="178" spans="1:36" s="301" customFormat="1" ht="12.75" customHeight="1">
      <c r="A178" s="561">
        <v>159</v>
      </c>
      <c r="C178" s="10"/>
      <c r="D178" s="33"/>
      <c r="F178" s="331"/>
      <c r="G178" s="331"/>
      <c r="H178" s="331"/>
      <c r="I178" s="331"/>
      <c r="J178" s="331"/>
      <c r="K178" s="331"/>
      <c r="L178" s="331"/>
      <c r="M178" s="331"/>
      <c r="N178" s="349"/>
      <c r="O178" s="296"/>
      <c r="P178" s="331"/>
      <c r="Q178" s="331"/>
      <c r="R178" s="331"/>
      <c r="S178" s="331"/>
      <c r="T178" s="331"/>
      <c r="U178" s="331"/>
      <c r="V178" s="331"/>
      <c r="W178" s="331"/>
      <c r="X178" s="331"/>
      <c r="Y178" s="331"/>
      <c r="Z178" s="331"/>
      <c r="AA178" s="331"/>
      <c r="AB178" s="331"/>
      <c r="AC178" s="331"/>
      <c r="AD178" s="331"/>
      <c r="AE178" s="331"/>
      <c r="AF178" s="940"/>
      <c r="AG178" s="940"/>
      <c r="AH178" s="940"/>
      <c r="AI178" s="940"/>
      <c r="AJ178" s="345"/>
    </row>
    <row r="179" spans="1:36" ht="12.75" customHeight="1">
      <c r="A179" s="561">
        <v>160</v>
      </c>
      <c r="D179" s="33"/>
      <c r="E179" s="105" t="s">
        <v>90</v>
      </c>
      <c r="L179" s="1102"/>
      <c r="M179" s="1102"/>
      <c r="N179" s="349"/>
      <c r="O179" s="296"/>
      <c r="AF179" s="940"/>
      <c r="AG179" s="940"/>
      <c r="AH179" s="940"/>
      <c r="AI179" s="940"/>
      <c r="AJ179" s="345"/>
    </row>
    <row r="180" spans="1:36" s="142" customFormat="1" ht="12.75" customHeight="1">
      <c r="A180" s="561">
        <v>161</v>
      </c>
      <c r="B180" s="301"/>
      <c r="C180" s="10"/>
      <c r="D180" s="33"/>
      <c r="M180" s="229"/>
      <c r="N180" s="208"/>
      <c r="O180" s="228"/>
      <c r="AF180" s="940"/>
      <c r="AG180" s="940"/>
      <c r="AH180" s="940"/>
      <c r="AI180" s="940"/>
      <c r="AJ180" s="345"/>
    </row>
    <row r="181" spans="1:36" s="142" customFormat="1" ht="12.75" customHeight="1">
      <c r="A181" s="561">
        <v>162</v>
      </c>
      <c r="B181" s="301"/>
      <c r="C181" s="10"/>
      <c r="D181" s="33"/>
      <c r="E181" s="294" t="s">
        <v>425</v>
      </c>
      <c r="F181" s="325">
        <f>IF(ControlPanel!$D$59&gt;F$5,F7,F7*F26)</f>
        <v>53.650480000000002</v>
      </c>
      <c r="G181" s="325">
        <f>IF(ControlPanel!$D$59&gt;G$5,G7,G7*G26)</f>
        <v>50.739089999999997</v>
      </c>
      <c r="H181" s="325">
        <f>IF(ControlPanel!$D$59&gt;H$5,H7,H7*H26)</f>
        <v>55.22</v>
      </c>
      <c r="I181" s="325">
        <f>IF(ControlPanel!$D$59&gt;I$5,I7,I7*I26)</f>
        <v>51.15</v>
      </c>
      <c r="J181" s="325">
        <f>IF(ControlPanel!$D$59&gt;J$5,J7,J7*J26)</f>
        <v>41.45</v>
      </c>
      <c r="K181" s="325">
        <f>IF(ControlPanel!$D$59&gt;K$5,K7,K7*K26)</f>
        <v>35.67</v>
      </c>
      <c r="L181" s="325">
        <f>IF(ControlPanel!$D$59&gt;L$5,L7,L7*L26)</f>
        <v>31.26</v>
      </c>
      <c r="M181" s="325">
        <f>IF(ControlPanel!$D$59&gt;M$5,M7,M7*M26)</f>
        <v>26.75</v>
      </c>
      <c r="N181" s="326">
        <f>IF(ControlPanel!$D$59&gt;N$5,N7,N7*N26)</f>
        <v>32.22</v>
      </c>
      <c r="O181" s="300">
        <f>IF(ControlPanel!$D$59&gt;O$5,O7,O7*O26)</f>
        <v>46.28</v>
      </c>
      <c r="P181" s="325">
        <f>IF(ControlPanel!$D$59&gt;P$5,P7,P7*P26)</f>
        <v>49.34</v>
      </c>
      <c r="Q181" s="1281">
        <f>IF(ControlPanel!$D$59&gt;Q$5,Q7,Q7*Q26)</f>
        <v>40.74</v>
      </c>
      <c r="R181" s="325">
        <f>IF(ControlPanel!$D$59&gt;R$5,R7,R7*R26)</f>
        <v>78.400000000000006</v>
      </c>
      <c r="S181" s="325">
        <f>IF(ControlPanel!$D$59&gt;S$5,S7,S7*S26)</f>
        <v>87.52</v>
      </c>
      <c r="T181" s="325">
        <f>IF(ControlPanel!$D$59&gt;T$5,T7,T7*T26)</f>
        <v>72.53</v>
      </c>
      <c r="U181" s="325">
        <f>IF(ControlPanel!$D$59&gt;U$5,U7,U7*U26)</f>
        <v>71.599999999999994</v>
      </c>
      <c r="V181" s="325">
        <f>IF(ControlPanel!$D$59&gt;V$5,V7,V7*V26)</f>
        <v>70.62</v>
      </c>
      <c r="W181" s="325">
        <f>IF(ControlPanel!$D$59&gt;W$5,W7,W7*W26)</f>
        <v>70.350000000000009</v>
      </c>
      <c r="X181" s="325">
        <f>IF(ControlPanel!$D$59&gt;X$5,X7,X7*X26)</f>
        <v>69.61</v>
      </c>
      <c r="Y181" s="325">
        <f>IF(ControlPanel!$D$59&gt;Y$5,Y7,Y7*Y26)</f>
        <v>68.930000000000007</v>
      </c>
      <c r="Z181" s="325">
        <f>IF(ControlPanel!$D$59&gt;Z$5,Z7,Z7*Z26)</f>
        <v>68.58</v>
      </c>
      <c r="AA181" s="325">
        <f>IF(ControlPanel!$D$59&gt;AA$5,AA7,AA7*AA26)</f>
        <v>68.17</v>
      </c>
      <c r="AB181" s="325">
        <f>IF(ControlPanel!$D$59&gt;AB$5,AB7,AB7*AB26)</f>
        <v>67.377499999999998</v>
      </c>
      <c r="AC181" s="325">
        <f>IF(ControlPanel!$D$59&gt;AC$5,AC7,AC7*AC26)</f>
        <v>66.585000000000008</v>
      </c>
      <c r="AD181" s="325">
        <f>IF(ControlPanel!$D$59&gt;AD$5,AD7,AD7*AD26)</f>
        <v>65.792500000000004</v>
      </c>
      <c r="AE181" s="326">
        <f>IF(ControlPanel!$D$59&gt;AE$5,AE7,AE7*AE26)</f>
        <v>65</v>
      </c>
      <c r="AF181" s="940" t="s">
        <v>432</v>
      </c>
      <c r="AG181" s="940" t="s">
        <v>432</v>
      </c>
      <c r="AH181" s="940"/>
      <c r="AI181" s="940"/>
      <c r="AJ181" s="345" t="s">
        <v>431</v>
      </c>
    </row>
    <row r="182" spans="1:36" s="142" customFormat="1" ht="12.75" customHeight="1">
      <c r="A182" s="561">
        <v>163</v>
      </c>
      <c r="B182" s="301"/>
      <c r="C182" s="10"/>
      <c r="D182" s="33"/>
      <c r="E182" s="294" t="s">
        <v>426</v>
      </c>
      <c r="F182" s="325">
        <f>IF(ControlPanel!$D$59&gt;F$5,F23,F23*F26)</f>
        <v>3.6986274118651017</v>
      </c>
      <c r="G182" s="325">
        <f>IF(ControlPanel!$D$59&gt;G$5,G23,G23*G26)</f>
        <v>3.67623039746714</v>
      </c>
      <c r="H182" s="325">
        <f>IF(ControlPanel!$D$59&gt;H$5,H23,H23*H26)</f>
        <v>3.8466309856018386</v>
      </c>
      <c r="I182" s="325">
        <f>IF(ControlPanel!$D$59&gt;I$5,I23,I23*I26)</f>
        <v>3.7273122127772123</v>
      </c>
      <c r="J182" s="325">
        <f>IF(ControlPanel!$D$59&gt;J$5,J23,J23*J26)</f>
        <v>4.6460245701332967</v>
      </c>
      <c r="K182" s="325">
        <f>IF(ControlPanel!$D$59&gt;K$5,K23,K23*K26)</f>
        <v>4.6631872317218352</v>
      </c>
      <c r="L182" s="325">
        <f>IF(ControlPanel!$D$59&gt;L$5,L23,L23*L26)</f>
        <v>4.8191604494594991</v>
      </c>
      <c r="M182" s="325">
        <f>IF(ControlPanel!$D$59&gt;M$5,M23,M23*M26)</f>
        <v>7.7231242789896131</v>
      </c>
      <c r="N182" s="326">
        <f>IF(ControlPanel!$D$59&gt;N$5,N23,N23*N26)</f>
        <v>6.3391841590858826</v>
      </c>
      <c r="O182" s="300">
        <f>IF(ControlPanel!$D$59&gt;O$5,O23,O23*O26)</f>
        <v>7.3821193026159877</v>
      </c>
      <c r="P182" s="325">
        <f>IF(ControlPanel!$D$59&gt;P$5,P23,P23*P26)</f>
        <v>7.0575324728422038</v>
      </c>
      <c r="Q182" s="325">
        <f>IF(ControlPanel!$D$59&gt;Q$5,Q23,Q23*Q26)</f>
        <v>7.1727090185728217</v>
      </c>
      <c r="R182" s="325">
        <f>IF(ControlPanel!$D$59&gt;R$5,R23,R23*R26)</f>
        <v>6.2705314571955393</v>
      </c>
      <c r="S182" s="325">
        <f>IF(ControlPanel!$D$59&gt;S$5,S23,S23*S26)</f>
        <v>6.3645894290534715</v>
      </c>
      <c r="T182" s="325">
        <f>IF(ControlPanel!$D$59&gt;T$5,T23,T23*T26)</f>
        <v>6.4600582704892728</v>
      </c>
      <c r="U182" s="325">
        <f>IF(ControlPanel!$D$59&gt;U$5,U23,U23*U26)</f>
        <v>6.5569591445466111</v>
      </c>
      <c r="V182" s="325">
        <f>IF(ControlPanel!$D$59&gt;V$5,V23,V23*V26)</f>
        <v>6.6553135317148095</v>
      </c>
      <c r="W182" s="325">
        <f>IF(ControlPanel!$D$59&gt;W$5,W23,W23*W26)</f>
        <v>6.7551432346905305</v>
      </c>
      <c r="X182" s="325">
        <f>IF(ControlPanel!$D$59&gt;X$5,X23,X23*X26)</f>
        <v>6.8564703832108869</v>
      </c>
      <c r="Y182" s="325">
        <f>IF(ControlPanel!$D$59&gt;Y$5,Y23,Y23*Y26)</f>
        <v>6.9593174389590491</v>
      </c>
      <c r="Z182" s="325">
        <f>IF(ControlPanel!$D$59&gt;Z$5,Z23,Z23*Z26)</f>
        <v>7.0637072005434343</v>
      </c>
      <c r="AA182" s="325">
        <f>IF(ControlPanel!$D$59&gt;AA$5,AA23,AA23*AA26)</f>
        <v>7.1696628085515854</v>
      </c>
      <c r="AB182" s="325">
        <f>IF(ControlPanel!$D$59&gt;AB$5,AB23,AB23*AB26)</f>
        <v>7.2772077506798585</v>
      </c>
      <c r="AC182" s="325">
        <f>IF(ControlPanel!$D$59&gt;AC$5,AC23,AC23*AC26)</f>
        <v>7.3863658669400554</v>
      </c>
      <c r="AD182" s="325">
        <f>IF(ControlPanel!$D$59&gt;AD$5,AD23,AD23*AD26)</f>
        <v>7.497161354944156</v>
      </c>
      <c r="AE182" s="326">
        <f>IF(ControlPanel!$D$59&gt;AE$5,AE23,AE23*AE26)</f>
        <v>7.6096187752683173</v>
      </c>
      <c r="AF182" s="940" t="s">
        <v>432</v>
      </c>
      <c r="AG182" s="940" t="s">
        <v>432</v>
      </c>
      <c r="AH182" s="940"/>
      <c r="AI182" s="940"/>
      <c r="AJ182" s="345" t="s">
        <v>431</v>
      </c>
    </row>
    <row r="183" spans="1:36" s="142" customFormat="1" ht="12.75" customHeight="1">
      <c r="A183" s="561">
        <v>164</v>
      </c>
      <c r="B183" s="301"/>
      <c r="C183" s="10"/>
      <c r="D183" s="33"/>
      <c r="E183" s="203" t="s">
        <v>427</v>
      </c>
      <c r="F183" s="59">
        <f>IF(ControlPanel!$D$59&gt;F$5,F24,F24*F26)</f>
        <v>0.38450000000000001</v>
      </c>
      <c r="G183" s="59">
        <f>IF(ControlPanel!$D$59&gt;G$5,G24,G24*G26)</f>
        <v>0.42218865985000004</v>
      </c>
      <c r="H183" s="59">
        <f>IF(ControlPanel!$D$59&gt;H$5,H24,H24*H26)</f>
        <v>0.23028867101000003</v>
      </c>
      <c r="I183" s="59">
        <f>IF(ControlPanel!$D$59&gt;I$5,I24,I24*I26)</f>
        <v>0.15466122681000002</v>
      </c>
      <c r="J183" s="59">
        <f>IF(ControlPanel!$D$59&gt;J$5,J24,J24*J26)</f>
        <v>0.29887697133000007</v>
      </c>
      <c r="K183" s="59">
        <f>IF(ControlPanel!$D$59&gt;K$5,K24,K24*K26)</f>
        <v>0.19595140036000003</v>
      </c>
      <c r="L183" s="59">
        <f>IF(ControlPanel!$D$59&gt;L$5,L24,L24*L26)</f>
        <v>0.13908307713999998</v>
      </c>
      <c r="M183" s="59">
        <f>IF(ControlPanel!$D$59&gt;M$5,M24,M24*M26)</f>
        <v>0.14340741743000002</v>
      </c>
      <c r="N183" s="587">
        <f>IF(ControlPanel!$D$59&gt;N$5,N24,N24*N26)</f>
        <v>6.8122188890000004E-2</v>
      </c>
      <c r="O183" s="588">
        <f>IF(ControlPanel!$D$59&gt;O$5,O24,O24*O26)</f>
        <v>7.0404653730000002E-2</v>
      </c>
      <c r="P183" s="59">
        <f>IF(ControlPanel!$D$59&gt;P$5,P24,P24*P26)</f>
        <v>6.4167895450000012E-2</v>
      </c>
      <c r="Q183" s="59">
        <f>IF(ControlPanel!$D$59&gt;Q$5,Q24,Q24*Q26)</f>
        <v>5.9920528000000001E-2</v>
      </c>
      <c r="R183" s="59">
        <f>IF(ControlPanel!$D$59&gt;R$5,R24,R24*R26)</f>
        <v>0.10050276386000001</v>
      </c>
      <c r="S183" s="59">
        <f>IF(ControlPanel!$D$59&gt;S$5,S24,S24*S26)</f>
        <v>0.10201030531790001</v>
      </c>
      <c r="T183" s="59">
        <f>IF(ControlPanel!$D$59&gt;T$5,T24,T24*T26)</f>
        <v>0.10354045989766848</v>
      </c>
      <c r="U183" s="59">
        <f>IF(ControlPanel!$D$59&gt;U$5,U24,U24*U26)</f>
        <v>0.10509356679613351</v>
      </c>
      <c r="V183" s="59">
        <f>IF(ControlPanel!$D$59&gt;V$5,V24,V24*V26)</f>
        <v>0.10666997029807548</v>
      </c>
      <c r="W183" s="59">
        <f>IF(ControlPanel!$D$59&gt;W$5,W24,W24*W26)</f>
        <v>0.1082700198525466</v>
      </c>
      <c r="X183" s="59">
        <f>IF(ControlPanel!$D$59&gt;X$5,X24,X24*X26)</f>
        <v>0.10989407015033478</v>
      </c>
      <c r="Y183" s="59">
        <f>IF(ControlPanel!$D$59&gt;Y$5,Y24,Y24*Y26)</f>
        <v>0.11154248120258979</v>
      </c>
      <c r="Z183" s="59">
        <f>IF(ControlPanel!$D$59&gt;Z$5,Z24,Z24*Z26)</f>
        <v>0.11321561842062862</v>
      </c>
      <c r="AA183" s="59">
        <f>IF(ControlPanel!$D$59&gt;AA$5,AA24,AA24*AA26)</f>
        <v>0.11491385269693803</v>
      </c>
      <c r="AB183" s="59">
        <f>IF(ControlPanel!$D$59&gt;AB$5,AB24,AB24*AB26)</f>
        <v>0.1166375604873921</v>
      </c>
      <c r="AC183" s="59">
        <f>IF(ControlPanel!$D$59&gt;AC$5,AC24,AC24*AC26)</f>
        <v>0.11838712389470296</v>
      </c>
      <c r="AD183" s="59">
        <f>IF(ControlPanel!$D$59&gt;AD$5,AD24,AD24*AD26)</f>
        <v>0.12016293075312351</v>
      </c>
      <c r="AE183" s="587">
        <f>IF(ControlPanel!$D$59&gt;AE$5,AE24,AE24*AE26)</f>
        <v>0.12196537471442034</v>
      </c>
      <c r="AF183" s="940" t="s">
        <v>432</v>
      </c>
      <c r="AG183" s="940" t="s">
        <v>432</v>
      </c>
      <c r="AH183" s="940"/>
      <c r="AI183" s="940"/>
      <c r="AJ183" s="345" t="s">
        <v>431</v>
      </c>
    </row>
    <row r="184" spans="1:36" s="142" customFormat="1" ht="12.75" customHeight="1">
      <c r="A184" s="561">
        <v>165</v>
      </c>
      <c r="B184" s="301"/>
      <c r="C184" s="10"/>
      <c r="D184" s="33"/>
      <c r="M184" s="229"/>
      <c r="N184" s="208"/>
      <c r="O184" s="228"/>
      <c r="AF184" s="940"/>
      <c r="AG184" s="940" t="s">
        <v>432</v>
      </c>
      <c r="AH184" s="940"/>
      <c r="AI184" s="940"/>
      <c r="AJ184" s="345"/>
    </row>
    <row r="185" spans="1:36" s="301" customFormat="1" ht="102" outlineLevel="1">
      <c r="A185" s="561">
        <v>166</v>
      </c>
      <c r="D185" s="33"/>
      <c r="E185" s="294" t="s">
        <v>52</v>
      </c>
      <c r="F185" s="325">
        <f t="shared" ref="F185:AE185" si="3">F11-F12-F13-F14-F15-F16-F254-F264</f>
        <v>400.59500000000003</v>
      </c>
      <c r="G185" s="325">
        <f t="shared" si="3"/>
        <v>383.14973227999997</v>
      </c>
      <c r="H185" s="325">
        <f t="shared" si="3"/>
        <v>386.50834199999997</v>
      </c>
      <c r="I185" s="325">
        <f t="shared" si="3"/>
        <v>383.25856100000004</v>
      </c>
      <c r="J185" s="325">
        <f t="shared" si="3"/>
        <v>370.260447</v>
      </c>
      <c r="K185" s="325">
        <f t="shared" si="3"/>
        <v>350.72573712000002</v>
      </c>
      <c r="L185" s="325">
        <f t="shared" si="3"/>
        <v>355.8609206000001</v>
      </c>
      <c r="M185" s="325">
        <f t="shared" si="3"/>
        <v>342.7521021199999</v>
      </c>
      <c r="N185" s="325">
        <f t="shared" si="3"/>
        <v>343.49791497249993</v>
      </c>
      <c r="O185" s="325">
        <f t="shared" si="3"/>
        <v>344.26749819460247</v>
      </c>
      <c r="P185" s="325">
        <f t="shared" si="3"/>
        <v>344.07288462324232</v>
      </c>
      <c r="Q185" s="325">
        <f t="shared" si="3"/>
        <v>331.62972795561251</v>
      </c>
      <c r="R185" s="325">
        <f t="shared" si="3"/>
        <v>333.98179361441754</v>
      </c>
      <c r="S185" s="325">
        <f t="shared" si="3"/>
        <v>334.82423049120968</v>
      </c>
      <c r="T185" s="325">
        <f t="shared" si="3"/>
        <v>330.33941553382203</v>
      </c>
      <c r="U185" s="325">
        <f t="shared" si="3"/>
        <v>326.47257729939474</v>
      </c>
      <c r="V185" s="325">
        <f t="shared" si="3"/>
        <v>323.81742528908472</v>
      </c>
      <c r="W185" s="325">
        <f t="shared" si="3"/>
        <v>345.3913933110569</v>
      </c>
      <c r="X185" s="325">
        <f t="shared" si="3"/>
        <v>367.19992462821301</v>
      </c>
      <c r="Y185" s="325">
        <f t="shared" si="3"/>
        <v>389.14440328027115</v>
      </c>
      <c r="Z185" s="325">
        <f t="shared" si="3"/>
        <v>411.24882806471254</v>
      </c>
      <c r="AA185" s="325">
        <f t="shared" si="3"/>
        <v>433.35770218593228</v>
      </c>
      <c r="AB185" s="325">
        <f t="shared" si="3"/>
        <v>455.47168616129227</v>
      </c>
      <c r="AC185" s="325">
        <f t="shared" si="3"/>
        <v>477.34754447228744</v>
      </c>
      <c r="AD185" s="325">
        <f t="shared" si="3"/>
        <v>499.14528744982846</v>
      </c>
      <c r="AE185" s="325">
        <f t="shared" si="3"/>
        <v>520.83795517456952</v>
      </c>
      <c r="AF185" s="325">
        <f>AF11-AF12-AF13-AF14-AF15-AF16</f>
        <v>0</v>
      </c>
      <c r="AG185" s="325">
        <f>AG11-AG12-AG13-AG14-AG15-AG16</f>
        <v>0</v>
      </c>
      <c r="AH185" s="325"/>
      <c r="AI185" s="325"/>
      <c r="AJ185" s="345" t="s">
        <v>786</v>
      </c>
    </row>
    <row r="186" spans="1:36" s="301" customFormat="1" ht="140.25" outlineLevel="1">
      <c r="A186" s="561">
        <v>167</v>
      </c>
      <c r="D186" s="33"/>
      <c r="E186" s="295" t="s">
        <v>276</v>
      </c>
      <c r="F186" s="325">
        <f t="shared" ref="F186:AE186" si="4">F185+F12*F17*(1-F18)+(F14+F264)*F20+(F13+F254)*F19+F15*F21+F16</f>
        <v>402.25284446249094</v>
      </c>
      <c r="G186" s="325">
        <f t="shared" si="4"/>
        <v>408.87208014203219</v>
      </c>
      <c r="H186" s="325">
        <f t="shared" si="4"/>
        <v>394.00662147013094</v>
      </c>
      <c r="I186" s="325">
        <f t="shared" si="4"/>
        <v>386.47679895771228</v>
      </c>
      <c r="J186" s="325">
        <f t="shared" si="4"/>
        <v>378.4571300677564</v>
      </c>
      <c r="K186" s="325">
        <f t="shared" si="4"/>
        <v>358.53018128399998</v>
      </c>
      <c r="L186" s="325">
        <f t="shared" si="4"/>
        <v>363.98592839000008</v>
      </c>
      <c r="M186" s="325">
        <f t="shared" si="4"/>
        <v>350.92794580606778</v>
      </c>
      <c r="N186" s="325">
        <f t="shared" si="4"/>
        <v>352.57687630193504</v>
      </c>
      <c r="O186" s="325">
        <f t="shared" si="4"/>
        <v>354.66726129538745</v>
      </c>
      <c r="P186" s="325">
        <f t="shared" si="4"/>
        <v>355.83902681963139</v>
      </c>
      <c r="Q186" s="325">
        <f t="shared" si="4"/>
        <v>344.3843929356766</v>
      </c>
      <c r="R186" s="325">
        <f t="shared" si="4"/>
        <v>350.43121045918406</v>
      </c>
      <c r="S186" s="325">
        <f t="shared" si="4"/>
        <v>351.65670871715338</v>
      </c>
      <c r="T186" s="325">
        <f t="shared" si="4"/>
        <v>347.89191503554167</v>
      </c>
      <c r="U186" s="325">
        <f t="shared" si="4"/>
        <v>344.58420735144824</v>
      </c>
      <c r="V186" s="325">
        <f t="shared" si="4"/>
        <v>342.53824657393028</v>
      </c>
      <c r="W186" s="325">
        <f t="shared" si="4"/>
        <v>364.34117677239362</v>
      </c>
      <c r="X186" s="325">
        <f t="shared" si="4"/>
        <v>386.2774378443678</v>
      </c>
      <c r="Y186" s="325">
        <f t="shared" si="4"/>
        <v>408.35038565683288</v>
      </c>
      <c r="Z186" s="325">
        <f t="shared" si="4"/>
        <v>430.58401900727017</v>
      </c>
      <c r="AA186" s="325">
        <f t="shared" si="4"/>
        <v>452.8228411000747</v>
      </c>
      <c r="AB186" s="325">
        <f t="shared" si="4"/>
        <v>475.06751245260841</v>
      </c>
      <c r="AC186" s="325">
        <f t="shared" si="4"/>
        <v>497.0747975463662</v>
      </c>
      <c r="AD186" s="325">
        <f t="shared" si="4"/>
        <v>519.00470671225878</v>
      </c>
      <c r="AE186" s="325">
        <f t="shared" si="4"/>
        <v>540.82948305669095</v>
      </c>
      <c r="AF186" s="940" t="s">
        <v>461</v>
      </c>
      <c r="AG186" s="940"/>
      <c r="AH186" s="940"/>
      <c r="AI186" s="940"/>
      <c r="AJ186" s="1040" t="s">
        <v>648</v>
      </c>
    </row>
    <row r="187" spans="1:36" s="301" customFormat="1" ht="12.75" customHeight="1" outlineLevel="1">
      <c r="A187" s="561">
        <v>168</v>
      </c>
      <c r="D187" s="33"/>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940"/>
      <c r="AG187" s="940"/>
      <c r="AH187" s="940"/>
      <c r="AI187" s="940"/>
      <c r="AJ187" s="345"/>
    </row>
    <row r="188" spans="1:36" s="301" customFormat="1" ht="12.75" customHeight="1" outlineLevel="1">
      <c r="A188" s="561">
        <v>169</v>
      </c>
      <c r="D188" s="33"/>
      <c r="E188" s="322" t="s">
        <v>545</v>
      </c>
      <c r="F188" s="331"/>
      <c r="G188" s="331"/>
      <c r="H188" s="331"/>
      <c r="I188" s="331"/>
      <c r="J188" s="331"/>
      <c r="K188" s="331"/>
      <c r="L188" s="331"/>
      <c r="M188" s="331"/>
      <c r="N188" s="349"/>
      <c r="O188" s="348"/>
      <c r="P188" s="331"/>
      <c r="Q188" s="331"/>
      <c r="R188" s="331"/>
      <c r="S188" s="331"/>
      <c r="T188" s="331"/>
      <c r="U188" s="331"/>
      <c r="V188" s="331"/>
      <c r="W188" s="331"/>
      <c r="X188" s="331"/>
      <c r="Y188" s="331"/>
      <c r="Z188" s="331"/>
      <c r="AA188" s="331"/>
      <c r="AB188" s="331"/>
      <c r="AC188" s="331"/>
      <c r="AD188" s="331"/>
      <c r="AE188" s="331"/>
      <c r="AF188" s="940"/>
      <c r="AG188" s="940" t="s">
        <v>544</v>
      </c>
      <c r="AH188" s="940"/>
      <c r="AI188" s="940"/>
      <c r="AJ188" s="345" t="s">
        <v>546</v>
      </c>
    </row>
    <row r="189" spans="1:36" s="301" customFormat="1" ht="12.75" customHeight="1" outlineLevel="1">
      <c r="A189" s="561">
        <v>170</v>
      </c>
      <c r="D189" s="33"/>
      <c r="E189" s="321" t="s">
        <v>25</v>
      </c>
      <c r="F189" s="1081">
        <f ca="1">IF(2015&gt;F$5,'D-Rückbau vor 2015'!G6,IF(F$5&lt;2035,E65-F65,OFFSET(F56,0,2015-F$5)))</f>
        <v>1.5110000000000401E-2</v>
      </c>
      <c r="G189" s="323">
        <f ca="1">IF(2015&gt;G$5,'D-Rückbau vor 2015'!H6,IF(G$5&lt;2035,F65-G65,OFFSET(G56,0,2015-G$5)))</f>
        <v>1.9075899999999812E-2</v>
      </c>
      <c r="H189" s="323">
        <f ca="1">IF(2015&gt;H$5,'D-Rückbau vor 2015'!I6,IF(H$5&lt;2035,G65-H65,OFFSET(H56,0,2015-H$5)))</f>
        <v>1.3823499999999989E-2</v>
      </c>
      <c r="I189" s="323">
        <f ca="1">IF(2015&gt;I$5,'D-Rückbau vor 2015'!J6,IF(I$5&lt;2035,H65-I65,OFFSET(I56,0,2015-I$5)))</f>
        <v>1.3043600000000044E-2</v>
      </c>
      <c r="J189" s="323">
        <f ca="1">IF(2015&gt;J$5,'D-Rückbau vor 2015'!K6,IF(J$5&lt;2035,I65-J65,OFFSET(J56,0,2015-J$5)))</f>
        <v>1.2535300000000138E-2</v>
      </c>
      <c r="K189" s="323">
        <f ca="1">IF(2015&gt;K$5,'D-Rückbau vor 2015'!L6,IF(K$5&lt;2035,J65-K65,OFFSET(K56,0,2015-K$5)))</f>
        <v>0</v>
      </c>
      <c r="L189" s="323">
        <f ca="1">IF(2015&gt;L$5,'D-Rückbau vor 2015'!M6,IF(L$5&lt;2035,K65-L65,OFFSET(L56,0,2015-L$5)))</f>
        <v>0</v>
      </c>
      <c r="M189" s="323">
        <f ca="1">IF(2015&gt;M$5,'D-Rückbau vor 2015'!N6,IF(M$5&lt;2035,L65-M65,OFFSET(M56,0,2015-M$5)))</f>
        <v>0</v>
      </c>
      <c r="N189" s="324">
        <f ca="1">IF(2015&gt;N$5,'D-Rückbau vor 2015'!O6,IF(N$5&lt;2035,M65-N65,OFFSET(N56,0,2015-N$5)))</f>
        <v>0</v>
      </c>
      <c r="O189" s="327">
        <f ca="1">IF(2015&gt;O$5,'D-Rückbau vor 2015'!P6,IF(O$5&lt;2035,N65-O65,OFFSET(O56,0,2015-O$5)))</f>
        <v>0</v>
      </c>
      <c r="P189" s="323">
        <f ca="1">IF(2015&gt;P$5,'D-Rückbau vor 2015'!Q6,IF(P$5&lt;2035,O65-P65,OFFSET(P56,0,2015-P$5)))</f>
        <v>0</v>
      </c>
      <c r="Q189" s="323">
        <f ca="1">IF(2015&gt;Q$5,'D-Rückbau vor 2015'!R6,IF(Q$5&lt;2035,P65-Q65,OFFSET(Q56,0,2015-Q$5)))</f>
        <v>0</v>
      </c>
      <c r="R189" s="323">
        <f ca="1">IF(2015&gt;R$5,'D-Rückbau vor 2015'!S6,IF(R$5&lt;2035,Q65-R65,OFFSET(R56,0,2015-R$5)))</f>
        <v>0</v>
      </c>
      <c r="S189" s="323">
        <f ca="1">IF(2015&gt;S$5,'D-Rückbau vor 2015'!T6,IF(S$5&lt;2035,R65-S65,OFFSET(S56,0,2015-S$5)))</f>
        <v>0</v>
      </c>
      <c r="T189" s="323">
        <f ca="1">IF(2015&gt;T$5,'D-Rückbau vor 2015'!U6,IF(T$5&lt;2035,S65-T65,OFFSET(T56,0,2015-T$5)))</f>
        <v>0</v>
      </c>
      <c r="U189" s="323">
        <f ca="1">IF(2015&gt;U$5,'D-Rückbau vor 2015'!V6,IF(U$5&lt;2035,T65-U65,OFFSET(U56,0,2015-U$5)))</f>
        <v>0</v>
      </c>
      <c r="V189" s="323">
        <f ca="1">IF(2015&gt;V$5,'D-Rückbau vor 2015'!W6,IF(V$5&lt;2035,U65-V65,OFFSET(V56,0,2015-V$5)))</f>
        <v>0</v>
      </c>
      <c r="W189" s="323">
        <f ca="1">IF(2015&gt;W$5,'D-Rückbau vor 2015'!X6,IF(W$5&lt;2035,V65-W65,OFFSET(W56,0,2015-W$5)))</f>
        <v>0</v>
      </c>
      <c r="X189" s="323">
        <f ca="1">IF(2015&gt;X$5,'D-Rückbau vor 2015'!Y6,IF(X$5&lt;2035,W65-X65,OFFSET(X56,0,2015-X$5)))</f>
        <v>0</v>
      </c>
      <c r="Y189" s="323">
        <f ca="1">IF(2015&gt;Y$5,'D-Rückbau vor 2015'!Z6,IF(Y$5&lt;2035,X65-Y65,OFFSET(Y56,0,2015-Y$5)))</f>
        <v>0</v>
      </c>
      <c r="Z189" s="323">
        <f ca="1">IF(2015&gt;Z$5,'D-Rückbau vor 2015'!AA6,IF(Z$5&lt;2035,Y65-Z65,OFFSET(Z56,0,2015-Z$5)))</f>
        <v>0.11087762999999984</v>
      </c>
      <c r="AA189" s="323">
        <f ca="1">IF(2015&gt;AA$5,'D-Rückbau vor 2015'!AB6,IF(AA$5&lt;2035,Z65-AA65,OFFSET(AA56,0,2015-AA$5)))</f>
        <v>9.1348190000000162E-2</v>
      </c>
      <c r="AB189" s="323">
        <f ca="1">IF(2015&gt;AB$5,'D-Rückbau vor 2015'!AC6,IF(AB$5&lt;2035,AA65-AB65,OFFSET(AB56,0,2015-AB$5)))</f>
        <v>7.3427749999999792E-2</v>
      </c>
      <c r="AC189" s="323">
        <f ca="1">IF(2015&gt;AC$5,'D-Rückbau vor 2015'!AD6,IF(AC$5&lt;2035,AB65-AC65,OFFSET(AC56,0,2015-AC$5)))</f>
        <v>4.6525350000000243E-2</v>
      </c>
      <c r="AD189" s="323">
        <f ca="1">IF(2015&gt;AD$5,'D-Rückbau vor 2015'!AE6,IF(AD$5&lt;2035,AC65-AD65,OFFSET(AD56,0,2015-AD$5)))</f>
        <v>0.10790733999999991</v>
      </c>
      <c r="AE189" s="324">
        <f ca="1">IF(2015&gt;AE$5,'D-Rückbau vor 2015'!AF6,IF(AE$5&lt;2035,AD65-AE65,OFFSET(AE56,0,2015-AE$5)))</f>
        <v>0.2908247849999997</v>
      </c>
      <c r="AF189" s="940" t="s">
        <v>673</v>
      </c>
      <c r="AG189" s="940" t="s">
        <v>544</v>
      </c>
      <c r="AH189" s="1048"/>
      <c r="AI189" s="1054"/>
      <c r="AJ189" s="345" t="s">
        <v>732</v>
      </c>
    </row>
    <row r="190" spans="1:36" s="301" customFormat="1" ht="12.75" customHeight="1" outlineLevel="1">
      <c r="A190" s="561">
        <v>171</v>
      </c>
      <c r="D190" s="33"/>
      <c r="E190" s="16" t="s">
        <v>50</v>
      </c>
      <c r="F190" s="1082">
        <f ca="1">IF(2015&gt;F$5,'D-Rückbau vor 2015'!G7,IF(F$5&lt;2035,E66-F66,OFFSET(F57,0,2015-F$5)))</f>
        <v>8.435999999999888E-3</v>
      </c>
      <c r="G190" s="332">
        <f ca="1">IF(2015&gt;G$5,'D-Rückbau vor 2015'!H7,IF(G$5&lt;2035,F66-G66,OFFSET(G57,0,2015-G$5)))</f>
        <v>2.639000000000058E-3</v>
      </c>
      <c r="H190" s="332">
        <f ca="1">IF(2015&gt;H$5,'D-Rückbau vor 2015'!I7,IF(H$5&lt;2035,G66-H66,OFFSET(H57,0,2015-H$5)))</f>
        <v>7.8029999999998934E-3</v>
      </c>
      <c r="I190" s="332">
        <f ca="1">IF(2015&gt;I$5,'D-Rückbau vor 2015'!J7,IF(I$5&lt;2035,H66-I66,OFFSET(I57,0,2015-I$5)))</f>
        <v>7.2572000000000747E-3</v>
      </c>
      <c r="J190" s="332">
        <f ca="1">IF(2015&gt;J$5,'D-Rückbau vor 2015'!K7,IF(J$5&lt;2035,I66-J66,OFFSET(J57,0,2015-J$5)))</f>
        <v>8.3369999999999278E-3</v>
      </c>
      <c r="K190" s="332">
        <f ca="1">IF(2015&gt;K$5,'D-Rückbau vor 2015'!L7,IF(K$5&lt;2035,J66-K66,OFFSET(K57,0,2015-K$5)))</f>
        <v>0</v>
      </c>
      <c r="L190" s="332">
        <f ca="1">IF(2015&gt;L$5,'D-Rückbau vor 2015'!M7,IF(L$5&lt;2035,K66-L66,OFFSET(L57,0,2015-L$5)))</f>
        <v>0</v>
      </c>
      <c r="M190" s="332">
        <f ca="1">IF(2015&gt;M$5,'D-Rückbau vor 2015'!N7,IF(M$5&lt;2035,L66-M66,OFFSET(M57,0,2015-M$5)))</f>
        <v>0</v>
      </c>
      <c r="N190" s="333">
        <f ca="1">IF(2015&gt;N$5,'D-Rückbau vor 2015'!O7,IF(N$5&lt;2035,M66-N66,OFFSET(N57,0,2015-N$5)))</f>
        <v>0</v>
      </c>
      <c r="O190" s="334">
        <f ca="1">IF(2015&gt;O$5,'D-Rückbau vor 2015'!P7,IF(O$5&lt;2035,N66-O66,OFFSET(O57,0,2015-O$5)))</f>
        <v>0</v>
      </c>
      <c r="P190" s="332">
        <f ca="1">IF(2015&gt;P$5,'D-Rückbau vor 2015'!Q7,IF(P$5&lt;2035,O66-P66,OFFSET(P57,0,2015-P$5)))</f>
        <v>0</v>
      </c>
      <c r="Q190" s="332">
        <f ca="1">IF(2015&gt;Q$5,'D-Rückbau vor 2015'!R7,IF(Q$5&lt;2035,P66-Q66,OFFSET(Q57,0,2015-Q$5)))</f>
        <v>0.17765019999999992</v>
      </c>
      <c r="R190" s="332">
        <f ca="1">IF(2015&gt;R$5,'D-Rückbau vor 2015'!S7,IF(R$5&lt;2035,Q66-R66,OFFSET(R57,0,2015-R$5)))</f>
        <v>5.3037000000000001E-2</v>
      </c>
      <c r="S190" s="332">
        <f ca="1">IF(2015&gt;S$5,'D-Rückbau vor 2015'!T7,IF(S$5&lt;2035,R66-S66,OFFSET(S57,0,2015-S$5)))</f>
        <v>6.2701000000000007E-2</v>
      </c>
      <c r="T190" s="332">
        <f ca="1">IF(2015&gt;T$5,'D-Rückbau vor 2015'!U7,IF(T$5&lt;2035,S66-T66,OFFSET(T57,0,2015-T$5)))</f>
        <v>7.7915000000000012E-2</v>
      </c>
      <c r="U190" s="332">
        <f ca="1">IF(2015&gt;U$5,'D-Rückbau vor 2015'!V7,IF(U$5&lt;2035,T66-U66,OFFSET(U57,0,2015-U$5)))</f>
        <v>6.6397299999999992E-2</v>
      </c>
      <c r="V190" s="332">
        <f ca="1">IF(2015&gt;V$5,'D-Rückbau vor 2015'!W7,IF(V$5&lt;2035,U66-V66,OFFSET(V57,0,2015-V$5)))</f>
        <v>1.3616999999999997E-2</v>
      </c>
      <c r="W190" s="332">
        <f ca="1">IF(2015&gt;W$5,'D-Rückbau vor 2015'!X7,IF(W$5&lt;2035,V66-W66,OFFSET(W57,0,2015-W$5)))</f>
        <v>8.5360000000000019E-3</v>
      </c>
      <c r="X190" s="332">
        <f ca="1">IF(2015&gt;X$5,'D-Rückbau vor 2015'!Y7,IF(X$5&lt;2035,W66-X66,OFFSET(X57,0,2015-X$5)))</f>
        <v>8.5150000000000017E-3</v>
      </c>
      <c r="Y190" s="332">
        <f ca="1">IF(2015&gt;Y$5,'D-Rückbau vor 2015'!Z7,IF(Y$5&lt;2035,X66-Y66,OFFSET(Y57,0,2015-Y$5)))</f>
        <v>5.7040000000000007E-3</v>
      </c>
      <c r="Z190" s="332">
        <f ca="1">IF(2015&gt;Z$5,'D-Rückbau vor 2015'!AA7,IF(Z$5&lt;2035,Y66-Z66,OFFSET(Z57,0,2015-Z$5)))</f>
        <v>9.5069899999999964E-3</v>
      </c>
      <c r="AA190" s="332">
        <f ca="1">IF(2015&gt;AA$5,'D-Rückbau vor 2015'!AB7,IF(AA$5&lt;2035,Z66-AA66,OFFSET(AA57,0,2015-AA$5)))</f>
        <v>2.922000000000001E-3</v>
      </c>
      <c r="AB190" s="332">
        <f ca="1">IF(2015&gt;AB$5,'D-Rückbau vor 2015'!AC7,IF(AB$5&lt;2035,AA66-AB66,OFFSET(AB57,0,2015-AB$5)))</f>
        <v>9.217000000000003E-3</v>
      </c>
      <c r="AC190" s="332">
        <f ca="1">IF(2015&gt;AC$5,'D-Rückbau vor 2015'!AD7,IF(AC$5&lt;2035,AB66-AC66,OFFSET(AC57,0,2015-AC$5)))</f>
        <v>1.7900000000000008E-3</v>
      </c>
      <c r="AD190" s="332">
        <f ca="1">IF(2015&gt;AD$5,'D-Rückbau vor 2015'!AE7,IF(AD$5&lt;2035,AC66-AD66,OFFSET(AD57,0,2015-AD$5)))</f>
        <v>1.1280000000000005E-3</v>
      </c>
      <c r="AE190" s="333">
        <f ca="1">IF(2015&gt;AE$5,'D-Rückbau vor 2015'!AF7,IF(AE$5&lt;2035,AD66-AE66,OFFSET(AE57,0,2015-AE$5)))</f>
        <v>4.5781999999999823E-2</v>
      </c>
      <c r="AF190" s="940" t="s">
        <v>673</v>
      </c>
      <c r="AG190" s="940" t="s">
        <v>544</v>
      </c>
      <c r="AH190" s="940"/>
      <c r="AI190" s="940"/>
      <c r="AJ190" s="345" t="s">
        <v>733</v>
      </c>
    </row>
    <row r="191" spans="1:36" s="301" customFormat="1" ht="12.75" customHeight="1" outlineLevel="1">
      <c r="A191" s="561">
        <v>172</v>
      </c>
      <c r="D191" s="33"/>
      <c r="E191" s="16" t="s">
        <v>13</v>
      </c>
      <c r="F191" s="1082">
        <f ca="1">IF(2015&gt;F$5,'D-Rückbau vor 2015'!G8,IF(F$5&lt;2035,E67-F67,OFFSET(F58,0,2015-F$5)))</f>
        <v>0</v>
      </c>
      <c r="G191" s="332">
        <f ca="1">IF(2015&gt;G$5,'D-Rückbau vor 2015'!H8,IF(G$5&lt;2035,F67-G67,OFFSET(G58,0,2015-G$5)))</f>
        <v>0</v>
      </c>
      <c r="H191" s="332">
        <f ca="1">IF(2015&gt;H$5,'D-Rückbau vor 2015'!I8,IF(H$5&lt;2035,G67-H67,OFFSET(H58,0,2015-H$5)))</f>
        <v>0</v>
      </c>
      <c r="I191" s="332">
        <f ca="1">IF(2015&gt;I$5,'D-Rückbau vor 2015'!J8,IF(I$5&lt;2035,H67-I67,OFFSET(I58,0,2015-I$5)))</f>
        <v>0</v>
      </c>
      <c r="J191" s="332">
        <f ca="1">IF(2015&gt;J$5,'D-Rückbau vor 2015'!K8,IF(J$5&lt;2035,I67-J67,OFFSET(J58,0,2015-J$5)))</f>
        <v>0</v>
      </c>
      <c r="K191" s="332">
        <f ca="1">IF(2015&gt;K$5,'D-Rückbau vor 2015'!L8,IF(K$5&lt;2035,J67-K67,OFFSET(K58,0,2015-K$5)))</f>
        <v>0</v>
      </c>
      <c r="L191" s="332">
        <f ca="1">IF(2015&gt;L$5,'D-Rückbau vor 2015'!M8,IF(L$5&lt;2035,K67-L67,OFFSET(L58,0,2015-L$5)))</f>
        <v>0</v>
      </c>
      <c r="M191" s="332">
        <f ca="1">IF(2015&gt;M$5,'D-Rückbau vor 2015'!N8,IF(M$5&lt;2035,L67-M67,OFFSET(M58,0,2015-M$5)))</f>
        <v>0</v>
      </c>
      <c r="N191" s="333">
        <f ca="1">IF(2015&gt;N$5,'D-Rückbau vor 2015'!O8,IF(N$5&lt;2035,M67-N67,OFFSET(N58,0,2015-N$5)))</f>
        <v>0</v>
      </c>
      <c r="O191" s="334">
        <f ca="1">IF(2015&gt;O$5,'D-Rückbau vor 2015'!P8,IF(O$5&lt;2035,N67-O67,OFFSET(O58,0,2015-O$5)))</f>
        <v>0</v>
      </c>
      <c r="P191" s="332">
        <f ca="1">IF(2015&gt;P$5,'D-Rückbau vor 2015'!Q8,IF(P$5&lt;2035,O67-P67,OFFSET(P58,0,2015-P$5)))</f>
        <v>0</v>
      </c>
      <c r="Q191" s="332">
        <f ca="1">IF(2015&gt;Q$5,'D-Rückbau vor 2015'!R8,IF(Q$5&lt;2035,P67-Q67,OFFSET(Q58,0,2015-Q$5)))</f>
        <v>0.17581077000000001</v>
      </c>
      <c r="R191" s="332">
        <f ca="1">IF(2015&gt;R$5,'D-Rückbau vor 2015'!S8,IF(R$5&lt;2035,Q67-R67,OFFSET(R58,0,2015-R$5)))</f>
        <v>0.18823380000000167</v>
      </c>
      <c r="S191" s="332">
        <f ca="1">IF(2015&gt;S$5,'D-Rückbau vor 2015'!T8,IF(S$5&lt;2035,R67-S67,OFFSET(S58,0,2015-S$5)))</f>
        <v>0.14024915999999887</v>
      </c>
      <c r="T191" s="332">
        <f ca="1">IF(2015&gt;T$5,'D-Rückbau vor 2015'!U8,IF(T$5&lt;2035,S67-T67,OFFSET(T58,0,2015-T$5)))</f>
        <v>0.2319583500000002</v>
      </c>
      <c r="U191" s="332">
        <f ca="1">IF(2015&gt;U$5,'D-Rückbau vor 2015'!V8,IF(U$5&lt;2035,T67-U67,OFFSET(U58,0,2015-U$5)))</f>
        <v>0.57250698999999994</v>
      </c>
      <c r="V191" s="332">
        <f ca="1">IF(2015&gt;V$5,'D-Rückbau vor 2015'!W8,IF(V$5&lt;2035,U67-V67,OFFSET(V58,0,2015-V$5)))</f>
        <v>0.69573850000000004</v>
      </c>
      <c r="W191" s="332">
        <f ca="1">IF(2015&gt;W$5,'D-Rückbau vor 2015'!X8,IF(W$5&lt;2035,V67-W67,OFFSET(W58,0,2015-W$5)))</f>
        <v>0.84800203000000085</v>
      </c>
      <c r="X191" s="332">
        <f ca="1">IF(2015&gt;X$5,'D-Rückbau vor 2015'!Y8,IF(X$5&lt;2035,W67-X67,OFFSET(X58,0,2015-X$5)))</f>
        <v>0.64049239999999941</v>
      </c>
      <c r="Y191" s="332">
        <f ca="1">IF(2015&gt;Y$5,'D-Rückbau vor 2015'!Z8,IF(Y$5&lt;2035,X67-Y67,OFFSET(Y58,0,2015-Y$5)))</f>
        <v>0.35727639999999994</v>
      </c>
      <c r="Z191" s="332">
        <f ca="1">IF(2015&gt;Z$5,'D-Rückbau vor 2015'!AA8,IF(Z$5&lt;2035,Y67-Z67,OFFSET(Z58,0,2015-Z$5)))</f>
        <v>0.45520799999999939</v>
      </c>
      <c r="AA191" s="332">
        <f ca="1">IF(2015&gt;AA$5,'D-Rückbau vor 2015'!AB8,IF(AA$5&lt;2035,Z67-AA67,OFFSET(AA58,0,2015-AA$5)))</f>
        <v>0.63709159999999976</v>
      </c>
      <c r="AB191" s="332">
        <f ca="1">IF(2015&gt;AB$5,'D-Rückbau vor 2015'!AC8,IF(AB$5&lt;2035,AA67-AB67,OFFSET(AB58,0,2015-AB$5)))</f>
        <v>1.0561740600000002</v>
      </c>
      <c r="AC191" s="332">
        <f ca="1">IF(2015&gt;AC$5,'D-Rückbau vor 2015'!AD8,IF(AC$5&lt;2035,AB67-AC67,OFFSET(AC58,0,2015-AC$5)))</f>
        <v>0.33386470000000007</v>
      </c>
      <c r="AD191" s="332">
        <f ca="1">IF(2015&gt;AD$5,'D-Rückbau vor 2015'!AE8,IF(AD$5&lt;2035,AC67-AD67,OFFSET(AD58,0,2015-AD$5)))</f>
        <v>0.25635391000000007</v>
      </c>
      <c r="AE191" s="333">
        <f ca="1">IF(2015&gt;AE$5,'D-Rückbau vor 2015'!AF8,IF(AE$5&lt;2035,AD67-AE67,OFFSET(AE58,0,2015-AE$5)))</f>
        <v>0.23461600000000002</v>
      </c>
      <c r="AF191" s="940" t="s">
        <v>673</v>
      </c>
      <c r="AG191" s="940" t="s">
        <v>544</v>
      </c>
      <c r="AH191" s="940"/>
      <c r="AI191" s="940"/>
      <c r="AJ191" s="345"/>
    </row>
    <row r="192" spans="1:36" s="301" customFormat="1" ht="12.75" customHeight="1" outlineLevel="1">
      <c r="A192" s="561">
        <v>173</v>
      </c>
      <c r="D192" s="33"/>
      <c r="E192" s="16" t="s">
        <v>12</v>
      </c>
      <c r="F192" s="1082">
        <f ca="1">IF(2015&gt;F$5,'D-Rückbau vor 2015'!G9,IF(F$5&lt;2035,E68-F68,OFFSET(F59,0,2015-F$5)))</f>
        <v>0</v>
      </c>
      <c r="G192" s="332">
        <f ca="1">IF(2015&gt;G$5,'D-Rückbau vor 2015'!H9,IF(G$5&lt;2035,F68-G68,OFFSET(G59,0,2015-G$5)))</f>
        <v>0</v>
      </c>
      <c r="H192" s="332">
        <f ca="1">IF(2015&gt;H$5,'D-Rückbau vor 2015'!I9,IF(H$5&lt;2035,G68-H68,OFFSET(H59,0,2015-H$5)))</f>
        <v>0</v>
      </c>
      <c r="I192" s="332">
        <f ca="1">IF(2015&gt;I$5,'D-Rückbau vor 2015'!J9,IF(I$5&lt;2035,H68-I68,OFFSET(I59,0,2015-I$5)))</f>
        <v>0</v>
      </c>
      <c r="J192" s="332">
        <f ca="1">IF(2015&gt;J$5,'D-Rückbau vor 2015'!K9,IF(J$5&lt;2035,I68-J68,OFFSET(J59,0,2015-J$5)))</f>
        <v>0</v>
      </c>
      <c r="K192" s="332">
        <f ca="1">IF(2015&gt;K$5,'D-Rückbau vor 2015'!L9,IF(K$5&lt;2035,J68-K68,OFFSET(K59,0,2015-K$5)))</f>
        <v>0</v>
      </c>
      <c r="L192" s="332">
        <f ca="1">IF(2015&gt;L$5,'D-Rückbau vor 2015'!M9,IF(L$5&lt;2035,K68-L68,OFFSET(L59,0,2015-L$5)))</f>
        <v>0</v>
      </c>
      <c r="M192" s="332">
        <f ca="1">IF(2015&gt;M$5,'D-Rückbau vor 2015'!N9,IF(M$5&lt;2035,L68-M68,OFFSET(M59,0,2015-M$5)))</f>
        <v>0</v>
      </c>
      <c r="N192" s="333">
        <f ca="1">IF(2015&gt;N$5,'D-Rückbau vor 2015'!O9,IF(N$5&lt;2035,M68-N68,OFFSET(N59,0,2015-N$5)))</f>
        <v>0</v>
      </c>
      <c r="O192" s="334">
        <f ca="1">IF(2015&gt;O$5,'D-Rückbau vor 2015'!P9,IF(O$5&lt;2035,N68-O68,OFFSET(O59,0,2015-O$5)))</f>
        <v>0</v>
      </c>
      <c r="P192" s="332">
        <f ca="1">IF(2015&gt;P$5,'D-Rückbau vor 2015'!Q9,IF(P$5&lt;2035,O68-P68,OFFSET(P59,0,2015-P$5)))</f>
        <v>0</v>
      </c>
      <c r="Q192" s="332">
        <f ca="1">IF(2015&gt;Q$5,'D-Rückbau vor 2015'!R9,IF(Q$5&lt;2035,P68-Q68,OFFSET(Q59,0,2015-Q$5)))</f>
        <v>0</v>
      </c>
      <c r="R192" s="332">
        <f ca="1">IF(2015&gt;R$5,'D-Rückbau vor 2015'!S9,IF(R$5&lt;2035,Q68-R68,OFFSET(R59,0,2015-R$5)))</f>
        <v>0</v>
      </c>
      <c r="S192" s="332">
        <f ca="1">IF(2015&gt;S$5,'D-Rückbau vor 2015'!T9,IF(S$5&lt;2035,R68-S68,OFFSET(S59,0,2015-S$5)))</f>
        <v>0</v>
      </c>
      <c r="T192" s="332">
        <f ca="1">IF(2015&gt;T$5,'D-Rückbau vor 2015'!U9,IF(T$5&lt;2035,S68-T68,OFFSET(T59,0,2015-T$5)))</f>
        <v>0</v>
      </c>
      <c r="U192" s="332">
        <f ca="1">IF(2015&gt;U$5,'D-Rückbau vor 2015'!V9,IF(U$5&lt;2035,T68-U68,OFFSET(U59,0,2015-U$5)))</f>
        <v>2.1999999999999797E-4</v>
      </c>
      <c r="V192" s="332">
        <f ca="1">IF(2015&gt;V$5,'D-Rückbau vor 2015'!W9,IF(V$5&lt;2035,U68-V68,OFFSET(V59,0,2015-V$5)))</f>
        <v>0</v>
      </c>
      <c r="W192" s="332">
        <f ca="1">IF(2015&gt;W$5,'D-Rückbau vor 2015'!X9,IF(W$5&lt;2035,V68-W68,OFFSET(W59,0,2015-W$5)))</f>
        <v>0</v>
      </c>
      <c r="X192" s="332">
        <f ca="1">IF(2015&gt;X$5,'D-Rückbau vor 2015'!Y9,IF(X$5&lt;2035,W68-X68,OFFSET(X59,0,2015-X$5)))</f>
        <v>3.0000000000000027E-3</v>
      </c>
      <c r="Y192" s="332">
        <f ca="1">IF(2015&gt;Y$5,'D-Rückbau vor 2015'!Z9,IF(Y$5&lt;2035,X68-Y68,OFFSET(Y59,0,2015-Y$5)))</f>
        <v>0</v>
      </c>
      <c r="Z192" s="332">
        <f ca="1">IF(2015&gt;Z$5,'D-Rückbau vor 2015'!AA9,IF(Z$5&lt;2035,Y68-Z68,OFFSET(Z59,0,2015-Z$5)))</f>
        <v>4.1499999999999974E-3</v>
      </c>
      <c r="AA192" s="332">
        <f ca="1">IF(2015&gt;AA$5,'D-Rückbau vor 2015'!AB9,IF(AA$5&lt;2035,Z68-AA68,OFFSET(AA59,0,2015-AA$5)))</f>
        <v>0</v>
      </c>
      <c r="AB192" s="332">
        <f ca="1">IF(2015&gt;AB$5,'D-Rückbau vor 2015'!AC9,IF(AB$5&lt;2035,AA68-AB68,OFFSET(AB59,0,2015-AB$5)))</f>
        <v>0</v>
      </c>
      <c r="AC192" s="332">
        <f ca="1">IF(2015&gt;AC$5,'D-Rückbau vor 2015'!AD9,IF(AC$5&lt;2035,AB68-AC68,OFFSET(AC59,0,2015-AC$5)))</f>
        <v>1.1800000000000003E-2</v>
      </c>
      <c r="AD192" s="332">
        <f ca="1">IF(2015&gt;AD$5,'D-Rückbau vor 2015'!AE9,IF(AD$5&lt;2035,AC68-AD68,OFFSET(AD59,0,2015-AD$5)))</f>
        <v>1.1315E-2</v>
      </c>
      <c r="AE192" s="333">
        <f ca="1">IF(2015&gt;AE$5,'D-Rückbau vor 2015'!AF9,IF(AE$5&lt;2035,AD68-AE68,OFFSET(AE59,0,2015-AE$5)))</f>
        <v>0</v>
      </c>
      <c r="AF192" s="940" t="s">
        <v>673</v>
      </c>
      <c r="AG192" s="940" t="s">
        <v>544</v>
      </c>
      <c r="AH192" s="940"/>
      <c r="AI192" s="940"/>
      <c r="AJ192" s="345"/>
    </row>
    <row r="193" spans="1:36" s="301" customFormat="1" ht="12.75" customHeight="1" outlineLevel="1">
      <c r="A193" s="561">
        <v>174</v>
      </c>
      <c r="D193" s="33"/>
      <c r="E193" s="16" t="s">
        <v>24</v>
      </c>
      <c r="F193" s="1082">
        <f ca="1">IF(2015&gt;F$5,'D-Rückbau vor 2015'!G10,IF(F$5&lt;2035,E69-F69,OFFSET(F60,0,2015-F$5)))</f>
        <v>0.27600000000000002</v>
      </c>
      <c r="G193" s="332">
        <f ca="1">IF(2015&gt;G$5,'D-Rückbau vor 2015'!H10,IF(G$5&lt;2035,F69-G69,OFFSET(G60,0,2015-G$5)))</f>
        <v>0.39100000000000001</v>
      </c>
      <c r="H193" s="332">
        <f ca="1">IF(2015&gt;H$5,'D-Rückbau vor 2015'!I10,IF(H$5&lt;2035,G69-H69,OFFSET(H60,0,2015-H$5)))</f>
        <v>0.222</v>
      </c>
      <c r="I193" s="332">
        <f ca="1">IF(2015&gt;I$5,'D-Rückbau vor 2015'!J10,IF(I$5&lt;2035,H69-I69,OFFSET(I60,0,2015-I$5)))</f>
        <v>0.73799999999999999</v>
      </c>
      <c r="J193" s="332">
        <f ca="1">IF(2015&gt;J$5,'D-Rückbau vor 2015'!K10,IF(J$5&lt;2035,I69-J69,OFFSET(J60,0,2015-J$5)))</f>
        <v>0</v>
      </c>
      <c r="K193" s="332">
        <f ca="1">IF(2015&gt;K$5,'D-Rückbau vor 2015'!L10,IF(K$5&lt;2035,J69-K69,OFFSET(K60,0,2015-K$5)))</f>
        <v>0.11143051999999898</v>
      </c>
      <c r="L193" s="332">
        <f ca="1">IF(2015&gt;L$5,'D-Rückbau vor 2015'!M10,IF(L$5&lt;2035,K69-L69,OFFSET(L60,0,2015-L$5)))</f>
        <v>0.34400000000000119</v>
      </c>
      <c r="M193" s="332">
        <f ca="1">IF(2015&gt;M$5,'D-Rückbau vor 2015'!N10,IF(M$5&lt;2035,L69-M69,OFFSET(M60,0,2015-M$5)))</f>
        <v>0.39999999999999858</v>
      </c>
      <c r="N193" s="333">
        <f ca="1">IF(2015&gt;N$5,'D-Rückbau vor 2015'!O10,IF(N$5&lt;2035,M69-N69,OFFSET(N60,0,2015-N$5)))</f>
        <v>0.5</v>
      </c>
      <c r="O193" s="334">
        <f ca="1">IF(2015&gt;O$5,'D-Rückbau vor 2015'!P10,IF(O$5&lt;2035,N69-O69,OFFSET(O60,0,2015-O$5)))</f>
        <v>0.60000000000000142</v>
      </c>
      <c r="P193" s="332">
        <f ca="1">IF(2015&gt;P$5,'D-Rückbau vor 2015'!Q10,IF(P$5&lt;2035,O69-P69,OFFSET(P60,0,2015-P$5)))</f>
        <v>0.69999999999999574</v>
      </c>
      <c r="Q193" s="332">
        <f ca="1">IF(2015&gt;Q$5,'D-Rückbau vor 2015'!R10,IF(Q$5&lt;2035,P69-Q69,OFFSET(Q60,0,2015-Q$5)))</f>
        <v>1.8057931100000033</v>
      </c>
      <c r="R193" s="332">
        <f ca="1">IF(2015&gt;R$5,'D-Rückbau vor 2015'!S10,IF(R$5&lt;2035,Q69-R69,OFFSET(R60,0,2015-R$5)))</f>
        <v>2.5936737999999977</v>
      </c>
      <c r="S193" s="332">
        <f ca="1">IF(2015&gt;S$5,'D-Rückbau vor 2015'!T10,IF(S$5&lt;2035,R69-S69,OFFSET(S60,0,2015-S$5)))</f>
        <v>3.0502030900000001</v>
      </c>
      <c r="T193" s="332">
        <f ca="1">IF(2015&gt;T$5,'D-Rückbau vor 2015'!U10,IF(T$5&lt;2035,S69-T69,OFFSET(T60,0,2015-T$5)))</f>
        <v>2.7178679999999993</v>
      </c>
      <c r="U193" s="332">
        <f ca="1">IF(2015&gt;U$5,'D-Rückbau vor 2015'!V10,IF(U$5&lt;2035,T69-U69,OFFSET(U60,0,2015-U$5)))</f>
        <v>2.0537710000000011</v>
      </c>
      <c r="V193" s="332">
        <f ca="1">IF(2015&gt;V$5,'D-Rückbau vor 2015'!W10,IF(V$5&lt;2035,U69-V69,OFFSET(V60,0,2015-V$5)))</f>
        <v>1.8140435000000004</v>
      </c>
      <c r="W193" s="332">
        <f ca="1">IF(2015&gt;W$5,'D-Rückbau vor 2015'!X10,IF(W$5&lt;2035,V69-W69,OFFSET(W60,0,2015-W$5)))</f>
        <v>2.2298379999999973</v>
      </c>
      <c r="X193" s="332">
        <f ca="1">IF(2015&gt;X$5,'D-Rückbau vor 2015'!Y10,IF(X$5&lt;2035,W69-X69,OFFSET(X60,0,2015-X$5)))</f>
        <v>1.6862462000000029</v>
      </c>
      <c r="Y193" s="332">
        <f ca="1">IF(2015&gt;Y$5,'D-Rückbau vor 2015'!Z10,IF(Y$5&lt;2035,X69-Y69,OFFSET(Y60,0,2015-Y$5)))</f>
        <v>0.77186400000000077</v>
      </c>
      <c r="Z193" s="332">
        <f ca="1">IF(2015&gt;Z$5,'D-Rückbau vor 2015'!AA10,IF(Z$5&lt;2035,Y69-Z69,OFFSET(Z60,0,2015-Z$5)))</f>
        <v>2.6993399199999999</v>
      </c>
      <c r="AA193" s="332">
        <f ca="1">IF(2015&gt;AA$5,'D-Rückbau vor 2015'!AB10,IF(AA$5&lt;2035,Z69-AA69,OFFSET(AA60,0,2015-AA$5)))</f>
        <v>1.4266596499999995</v>
      </c>
      <c r="AB193" s="332">
        <f ca="1">IF(2015&gt;AB$5,'D-Rückbau vor 2015'!AC10,IF(AB$5&lt;2035,AA69-AB69,OFFSET(AB60,0,2015-AB$5)))</f>
        <v>1.8764822600000013</v>
      </c>
      <c r="AC193" s="332">
        <f ca="1">IF(2015&gt;AC$5,'D-Rückbau vor 2015'!AD10,IF(AC$5&lt;2035,AB69-AC69,OFFSET(AC60,0,2015-AC$5)))</f>
        <v>2.4211245299999993</v>
      </c>
      <c r="AD193" s="332">
        <f ca="1">IF(2015&gt;AD$5,'D-Rückbau vor 2015'!AE10,IF(AD$5&lt;2035,AC69-AD69,OFFSET(AD60,0,2015-AD$5)))</f>
        <v>3.0324317899999995</v>
      </c>
      <c r="AE193" s="333">
        <f ca="1">IF(2015&gt;AE$5,'D-Rückbau vor 2015'!AF10,IF(AE$5&lt;2035,AD69-AE69,OFFSET(AE60,0,2015-AE$5)))</f>
        <v>3.7872080000000001</v>
      </c>
      <c r="AF193" s="940" t="s">
        <v>673</v>
      </c>
      <c r="AG193" s="940" t="s">
        <v>544</v>
      </c>
      <c r="AH193" s="940"/>
      <c r="AI193" s="940"/>
      <c r="AJ193" s="345"/>
    </row>
    <row r="194" spans="1:36" s="301" customFormat="1" ht="12.75" customHeight="1" outlineLevel="1">
      <c r="A194" s="561">
        <v>175</v>
      </c>
      <c r="D194" s="33"/>
      <c r="E194" s="16" t="s">
        <v>26</v>
      </c>
      <c r="F194" s="1082">
        <f ca="1">IF(2015&gt;F$5,'D-Rückbau vor 2015'!G11,IF(F$5&lt;2035,E70-F70,OFFSET(F61,0,2015-F$5)))</f>
        <v>0</v>
      </c>
      <c r="G194" s="332">
        <f ca="1">IF(2015&gt;G$5,'D-Rückbau vor 2015'!H11,IF(G$5&lt;2035,F70-G70,OFFSET(G61,0,2015-G$5)))</f>
        <v>0</v>
      </c>
      <c r="H194" s="332">
        <f ca="1">IF(2015&gt;H$5,'D-Rückbau vor 2015'!I11,IF(H$5&lt;2035,G70-H70,OFFSET(H61,0,2015-H$5)))</f>
        <v>0</v>
      </c>
      <c r="I194" s="332">
        <f ca="1">IF(2015&gt;I$5,'D-Rückbau vor 2015'!J11,IF(I$5&lt;2035,H70-I70,OFFSET(I61,0,2015-I$5)))</f>
        <v>0</v>
      </c>
      <c r="J194" s="336">
        <f ca="1">IF(2015&gt;J$5,'D-Rückbau vor 2015'!K11,IF(J$5&lt;2035,I70-J70,OFFSET(J61,0,2015-J$5)))</f>
        <v>0</v>
      </c>
      <c r="K194" s="332">
        <f ca="1">IF(2015&gt;K$5,'D-Rückbau vor 2015'!L11,IF(K$5&lt;2035,J70-K70,OFFSET(K61,0,2015-K$5)))</f>
        <v>0</v>
      </c>
      <c r="L194" s="332">
        <f ca="1">IF(2015&gt;L$5,'D-Rückbau vor 2015'!M11,IF(L$5&lt;2035,K70-L70,OFFSET(L61,0,2015-L$5)))</f>
        <v>0</v>
      </c>
      <c r="M194" s="332">
        <f ca="1">IF(2015&gt;M$5,'D-Rückbau vor 2015'!N11,IF(M$5&lt;2035,L70-M70,OFFSET(M61,0,2015-M$5)))</f>
        <v>0</v>
      </c>
      <c r="N194" s="333">
        <f ca="1">IF(2015&gt;N$5,'D-Rückbau vor 2015'!O11,IF(N$5&lt;2035,M70-N70,OFFSET(N61,0,2015-N$5)))</f>
        <v>0</v>
      </c>
      <c r="O194" s="334">
        <f ca="1">IF(2015&gt;O$5,'D-Rückbau vor 2015'!P11,IF(O$5&lt;2035,N70-O70,OFFSET(O61,0,2015-O$5)))</f>
        <v>0</v>
      </c>
      <c r="P194" s="332">
        <f ca="1">IF(2015&gt;P$5,'D-Rückbau vor 2015'!Q11,IF(P$5&lt;2035,O70-P70,OFFSET(P61,0,2015-P$5)))</f>
        <v>0</v>
      </c>
      <c r="Q194" s="332">
        <f ca="1">IF(2015&gt;Q$5,'D-Rückbau vor 2015'!R11,IF(Q$5&lt;2035,P70-Q70,OFFSET(Q61,0,2015-Q$5)))</f>
        <v>0</v>
      </c>
      <c r="R194" s="332">
        <f ca="1">IF(2015&gt;R$5,'D-Rückbau vor 2015'!S11,IF(R$5&lt;2035,Q70-R70,OFFSET(R61,0,2015-R$5)))</f>
        <v>0</v>
      </c>
      <c r="S194" s="332">
        <f ca="1">IF(2015&gt;S$5,'D-Rückbau vor 2015'!T11,IF(S$5&lt;2035,R70-S70,OFFSET(S61,0,2015-S$5)))</f>
        <v>0</v>
      </c>
      <c r="T194" s="332">
        <f ca="1">IF(2015&gt;T$5,'D-Rückbau vor 2015'!U11,IF(T$5&lt;2035,S70-T70,OFFSET(T61,0,2015-T$5)))</f>
        <v>0</v>
      </c>
      <c r="U194" s="332">
        <f ca="1">IF(2015&gt;U$5,'D-Rückbau vor 2015'!V11,IF(U$5&lt;2035,T70-U70,OFFSET(U61,0,2015-U$5)))</f>
        <v>0</v>
      </c>
      <c r="V194" s="332">
        <f ca="1">IF(2015&gt;V$5,'D-Rückbau vor 2015'!W11,IF(V$5&lt;2035,U70-V70,OFFSET(V61,0,2015-V$5)))</f>
        <v>0</v>
      </c>
      <c r="W194" s="332">
        <f ca="1">IF(2015&gt;W$5,'D-Rückbau vor 2015'!X11,IF(W$5&lt;2035,V70-W70,OFFSET(W61,0,2015-W$5)))</f>
        <v>0</v>
      </c>
      <c r="X194" s="332">
        <f ca="1">IF(2015&gt;X$5,'D-Rückbau vor 2015'!Y11,IF(X$5&lt;2035,W70-X70,OFFSET(X61,0,2015-X$5)))</f>
        <v>0</v>
      </c>
      <c r="Y194" s="332">
        <f ca="1">IF(2015&gt;Y$5,'D-Rückbau vor 2015'!Z11,IF(Y$5&lt;2035,X70-Y70,OFFSET(Y61,0,2015-Y$5)))</f>
        <v>0</v>
      </c>
      <c r="Z194" s="332">
        <f ca="1">IF(2015&gt;Z$5,'D-Rückbau vor 2015'!AA11,IF(Z$5&lt;2035,Y70-Z70,OFFSET(Z61,0,2015-Z$5)))</f>
        <v>3.180000000000005E-2</v>
      </c>
      <c r="AA194" s="332">
        <f ca="1">IF(2015&gt;AA$5,'D-Rückbau vor 2015'!AB11,IF(AA$5&lt;2035,Z70-AA70,OFFSET(AA61,0,2015-AA$5)))</f>
        <v>4.500000000000004E-2</v>
      </c>
      <c r="AB194" s="332">
        <f ca="1">IF(2015&gt;AB$5,'D-Rückbau vor 2015'!AC11,IF(AB$5&lt;2035,AA70-AB70,OFFSET(AB61,0,2015-AB$5)))</f>
        <v>0.10829999999999995</v>
      </c>
      <c r="AC194" s="332">
        <f ca="1">IF(2015&gt;AC$5,'D-Rückbau vor 2015'!AD11,IF(AC$5&lt;2035,AB70-AC70,OFFSET(AC61,0,2015-AC$5)))</f>
        <v>7.999999999999996E-2</v>
      </c>
      <c r="AD194" s="332">
        <f ca="1">IF(2015&gt;AD$5,'D-Rückbau vor 2015'!AE11,IF(AD$5&lt;2035,AC70-AD70,OFFSET(AD61,0,2015-AD$5)))</f>
        <v>0.24</v>
      </c>
      <c r="AE194" s="333">
        <f ca="1">IF(2015&gt;AE$5,'D-Rückbau vor 2015'!AF11,IF(AE$5&lt;2035,AD70-AE70,OFFSET(AE61,0,2015-AE$5)))</f>
        <v>2.2890000000000001</v>
      </c>
      <c r="AF194" s="940" t="s">
        <v>673</v>
      </c>
      <c r="AG194" s="940" t="s">
        <v>544</v>
      </c>
      <c r="AH194" s="940"/>
      <c r="AI194" s="940"/>
      <c r="AJ194" s="345"/>
    </row>
    <row r="195" spans="1:36" s="301" customFormat="1" ht="12.75" customHeight="1" outlineLevel="1">
      <c r="A195" s="561">
        <v>176</v>
      </c>
      <c r="D195" s="33"/>
      <c r="E195" s="303" t="s">
        <v>74</v>
      </c>
      <c r="F195" s="1083">
        <f ca="1">IF(2015&gt;F$5,'D-Rückbau vor 2015'!G12,IF(F$5&lt;2035,E71-F71,OFFSET(F62,0,2015-F$5)))</f>
        <v>0</v>
      </c>
      <c r="G195" s="309">
        <f ca="1">IF(2015&gt;G$5,'D-Rückbau vor 2015'!H12,IF(G$5&lt;2035,F71-G71,OFFSET(G62,0,2015-G$5)))</f>
        <v>0</v>
      </c>
      <c r="H195" s="309">
        <f ca="1">IF(2015&gt;H$5,'D-Rückbau vor 2015'!I12,IF(H$5&lt;2035,G71-H71,OFFSET(H62,0,2015-H$5)))</f>
        <v>0</v>
      </c>
      <c r="I195" s="309">
        <f ca="1">IF(2015&gt;I$5,'D-Rückbau vor 2015'!J12,IF(I$5&lt;2035,H71-I71,OFFSET(I62,0,2015-I$5)))</f>
        <v>0</v>
      </c>
      <c r="J195" s="309">
        <f ca="1">IF(2015&gt;J$5,'D-Rückbau vor 2015'!K12,IF(J$5&lt;2035,I71-J71,OFFSET(J62,0,2015-J$5)))</f>
        <v>0</v>
      </c>
      <c r="K195" s="309">
        <f ca="1">IF(2015&gt;K$5,'D-Rückbau vor 2015'!L12,IF(K$5&lt;2035,J71-K71,OFFSET(K62,0,2015-K$5)))</f>
        <v>0</v>
      </c>
      <c r="L195" s="309">
        <f ca="1">IF(2015&gt;L$5,'D-Rückbau vor 2015'!M12,IF(L$5&lt;2035,K71-L71,OFFSET(L62,0,2015-L$5)))</f>
        <v>0</v>
      </c>
      <c r="M195" s="309">
        <f ca="1">IF(2015&gt;M$5,'D-Rückbau vor 2015'!N12,IF(M$5&lt;2035,L71-M71,OFFSET(M62,0,2015-M$5)))</f>
        <v>0</v>
      </c>
      <c r="N195" s="56">
        <f ca="1">IF(2015&gt;N$5,'D-Rückbau vor 2015'!O12,IF(N$5&lt;2035,M71-N71,OFFSET(N62,0,2015-N$5)))</f>
        <v>0</v>
      </c>
      <c r="O195" s="310">
        <f ca="1">IF(2015&gt;O$5,'D-Rückbau vor 2015'!P12,IF(O$5&lt;2035,N71-O71,OFFSET(O62,0,2015-O$5)))</f>
        <v>0</v>
      </c>
      <c r="P195" s="309">
        <f ca="1">IF(2015&gt;P$5,'D-Rückbau vor 2015'!Q12,IF(P$5&lt;2035,O71-P71,OFFSET(P62,0,2015-P$5)))</f>
        <v>0</v>
      </c>
      <c r="Q195" s="309">
        <f ca="1">IF(2015&gt;Q$5,'D-Rückbau vor 2015'!R12,IF(Q$5&lt;2035,P71-Q71,OFFSET(Q62,0,2015-Q$5)))</f>
        <v>0.12397249399993626</v>
      </c>
      <c r="R195" s="309">
        <f ca="1">IF(2015&gt;R$5,'D-Rückbau vor 2015'!S12,IF(R$5&lt;2035,Q71-R71,OFFSET(R62,0,2015-R$5)))</f>
        <v>0.10863868999999937</v>
      </c>
      <c r="S195" s="309">
        <f ca="1">IF(2015&gt;S$5,'D-Rückbau vor 2015'!T12,IF(S$5&lt;2035,R71-S71,OFFSET(S62,0,2015-S$5)))</f>
        <v>0.11022154999999856</v>
      </c>
      <c r="T195" s="309">
        <f ca="1">IF(2015&gt;T$5,'D-Rückbau vor 2015'!U12,IF(T$5&lt;2035,S71-T71,OFFSET(T62,0,2015-T$5)))</f>
        <v>0.1424465500000025</v>
      </c>
      <c r="U195" s="309">
        <f ca="1">IF(2015&gt;U$5,'D-Rückbau vor 2015'!V12,IF(U$5&lt;2035,T71-U71,OFFSET(U62,0,2015-U$5)))</f>
        <v>0.65602930000000015</v>
      </c>
      <c r="V195" s="309">
        <f ca="1">IF(2015&gt;V$5,'D-Rückbau vor 2015'!W12,IF(V$5&lt;2035,U71-V71,OFFSET(V62,0,2015-V$5)))</f>
        <v>0.924602059999998</v>
      </c>
      <c r="W195" s="309">
        <f ca="1">IF(2015&gt;W$5,'D-Rückbau vor 2015'!X12,IF(W$5&lt;2035,V71-W71,OFFSET(W62,0,2015-W$5)))</f>
        <v>0.84459495000000118</v>
      </c>
      <c r="X195" s="309">
        <f ca="1">IF(2015&gt;X$5,'D-Rückbau vor 2015'!Y12,IF(X$5&lt;2035,W71-X71,OFFSET(X62,0,2015-X$5)))</f>
        <v>1.2537511260000045</v>
      </c>
      <c r="Y195" s="309">
        <f ca="1">IF(2015&gt;Y$5,'D-Rückbau vor 2015'!Z12,IF(Y$5&lt;2035,X71-Y71,OFFSET(Y62,0,2015-Y$5)))</f>
        <v>1.9795431099999981</v>
      </c>
      <c r="Z195" s="309">
        <f ca="1">IF(2015&gt;Z$5,'D-Rückbau vor 2015'!AA12,IF(Z$5&lt;2035,Y71-Z71,OFFSET(Z62,0,2015-Z$5)))</f>
        <v>4.4384598400000144</v>
      </c>
      <c r="AA195" s="309">
        <f ca="1">IF(2015&gt;AA$5,'D-Rückbau vor 2015'!AB12,IF(AA$5&lt;2035,Z71-AA71,OFFSET(AA62,0,2015-AA$5)))</f>
        <v>7.5938763400000333</v>
      </c>
      <c r="AB195" s="309">
        <f ca="1">IF(2015&gt;AB$5,'D-Rückbau vor 2015'!AC12,IF(AB$5&lt;2035,AA71-AB71,OFFSET(AB62,0,2015-AB$5)))</f>
        <v>8.0003900600000044</v>
      </c>
      <c r="AC195" s="309">
        <f ca="1">IF(2015&gt;AC$5,'D-Rückbau vor 2015'!AD12,IF(AC$5&lt;2035,AB71-AC71,OFFSET(AC62,0,2015-AC$5)))</f>
        <v>6.8422938800000237</v>
      </c>
      <c r="AD195" s="309">
        <f ca="1">IF(2015&gt;AD$5,'D-Rückbau vor 2015'!AE12,IF(AD$5&lt;2035,AC71-AD71,OFFSET(AD62,0,2015-AD$5)))</f>
        <v>3.1356207599999868</v>
      </c>
      <c r="AE195" s="56">
        <f ca="1">IF(2015&gt;AE$5,'D-Rückbau vor 2015'!AF12,IF(AE$5&lt;2035,AD71-AE71,OFFSET(AE62,0,2015-AE$5)))</f>
        <v>1.3240000000000001</v>
      </c>
      <c r="AF195" s="940" t="s">
        <v>673</v>
      </c>
      <c r="AG195" s="940" t="s">
        <v>544</v>
      </c>
      <c r="AH195" s="940"/>
      <c r="AI195" s="940"/>
      <c r="AJ195" s="345"/>
    </row>
    <row r="196" spans="1:36" s="301" customFormat="1" ht="12.75" customHeight="1" outlineLevel="1">
      <c r="A196" s="561">
        <v>177</v>
      </c>
      <c r="D196" s="33"/>
      <c r="E196" s="27" t="s">
        <v>55</v>
      </c>
      <c r="F196" s="325">
        <f t="shared" ref="F196:AE196" ca="1" si="5">SUM(F189:F195)</f>
        <v>0.29954600000000031</v>
      </c>
      <c r="G196" s="325">
        <f t="shared" ca="1" si="5"/>
        <v>0.41271489999999988</v>
      </c>
      <c r="H196" s="325">
        <f t="shared" ca="1" si="5"/>
        <v>0.24362649999999988</v>
      </c>
      <c r="I196" s="325">
        <f t="shared" ca="1" si="5"/>
        <v>0.75830080000000011</v>
      </c>
      <c r="J196" s="325">
        <f t="shared" ca="1" si="5"/>
        <v>2.0872300000000066E-2</v>
      </c>
      <c r="K196" s="325">
        <f t="shared" ca="1" si="5"/>
        <v>0.11143051999999898</v>
      </c>
      <c r="L196" s="325">
        <f t="shared" ca="1" si="5"/>
        <v>0.34400000000000119</v>
      </c>
      <c r="M196" s="325">
        <f t="shared" ca="1" si="5"/>
        <v>0.39999999999999858</v>
      </c>
      <c r="N196" s="326">
        <f t="shared" ca="1" si="5"/>
        <v>0.5</v>
      </c>
      <c r="O196" s="300">
        <f t="shared" ca="1" si="5"/>
        <v>0.60000000000000142</v>
      </c>
      <c r="P196" s="325">
        <f t="shared" ca="1" si="5"/>
        <v>0.69999999999999574</v>
      </c>
      <c r="Q196" s="325">
        <f t="shared" ca="1" si="5"/>
        <v>2.2832265739999396</v>
      </c>
      <c r="R196" s="325">
        <f t="shared" ca="1" si="5"/>
        <v>2.9435832899999985</v>
      </c>
      <c r="S196" s="325">
        <f t="shared" ca="1" si="5"/>
        <v>3.3633747999999977</v>
      </c>
      <c r="T196" s="325">
        <f t="shared" ca="1" si="5"/>
        <v>3.1701879000000019</v>
      </c>
      <c r="U196" s="325">
        <f t="shared" ca="1" si="5"/>
        <v>3.3489245900000011</v>
      </c>
      <c r="V196" s="325">
        <f t="shared" ca="1" si="5"/>
        <v>3.4480010599999984</v>
      </c>
      <c r="W196" s="325">
        <f t="shared" ca="1" si="5"/>
        <v>3.9309709799999992</v>
      </c>
      <c r="X196" s="325">
        <f t="shared" ca="1" si="5"/>
        <v>3.592004726000007</v>
      </c>
      <c r="Y196" s="325">
        <f t="shared" ca="1" si="5"/>
        <v>3.1143875099999985</v>
      </c>
      <c r="Z196" s="325">
        <f t="shared" ca="1" si="5"/>
        <v>7.7493423800000141</v>
      </c>
      <c r="AA196" s="325">
        <f t="shared" ca="1" si="5"/>
        <v>9.7968977800000321</v>
      </c>
      <c r="AB196" s="325">
        <f t="shared" ca="1" si="5"/>
        <v>11.123991130000006</v>
      </c>
      <c r="AC196" s="325">
        <f t="shared" ca="1" si="5"/>
        <v>9.7373984600000227</v>
      </c>
      <c r="AD196" s="325">
        <f t="shared" ca="1" si="5"/>
        <v>6.784756799999986</v>
      </c>
      <c r="AE196" s="326">
        <f t="shared" ca="1" si="5"/>
        <v>7.971430784999999</v>
      </c>
      <c r="AF196" s="940"/>
      <c r="AG196" s="940" t="s">
        <v>544</v>
      </c>
      <c r="AH196" s="940"/>
      <c r="AI196" s="940"/>
      <c r="AJ196" s="345"/>
    </row>
    <row r="197" spans="1:36" s="301" customFormat="1" ht="12.75" customHeight="1" outlineLevel="1">
      <c r="A197" s="561">
        <v>178</v>
      </c>
      <c r="D197" s="33"/>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940"/>
      <c r="AG197" s="940"/>
      <c r="AH197" s="940"/>
      <c r="AI197" s="940"/>
      <c r="AJ197" s="345"/>
    </row>
    <row r="198" spans="1:36" s="301" customFormat="1" ht="12.75" customHeight="1" outlineLevel="1">
      <c r="A198" s="561">
        <v>179</v>
      </c>
      <c r="D198" s="33"/>
      <c r="E198" s="322" t="s">
        <v>547</v>
      </c>
      <c r="F198" s="331"/>
      <c r="G198" s="331"/>
      <c r="H198" s="331"/>
      <c r="I198" s="331"/>
      <c r="J198" s="331"/>
      <c r="K198" s="331"/>
      <c r="L198" s="331"/>
      <c r="M198" s="331"/>
      <c r="N198" s="349"/>
      <c r="O198" s="348"/>
      <c r="P198" s="331"/>
      <c r="Q198" s="331"/>
      <c r="R198" s="331"/>
      <c r="S198" s="331"/>
      <c r="T198" s="331"/>
      <c r="U198" s="331"/>
      <c r="V198" s="331"/>
      <c r="W198" s="331"/>
      <c r="X198" s="331"/>
      <c r="Y198" s="331"/>
      <c r="Z198" s="331"/>
      <c r="AA198" s="331"/>
      <c r="AB198" s="331"/>
      <c r="AC198" s="331"/>
      <c r="AD198" s="331"/>
      <c r="AE198" s="331"/>
      <c r="AF198" s="940" t="s">
        <v>544</v>
      </c>
      <c r="AG198" s="940" t="s">
        <v>464</v>
      </c>
      <c r="AH198" s="940"/>
      <c r="AI198" s="940"/>
      <c r="AJ198" s="345" t="s">
        <v>548</v>
      </c>
    </row>
    <row r="199" spans="1:36" s="301" customFormat="1" ht="12.75" customHeight="1" outlineLevel="1">
      <c r="A199" s="561">
        <v>180</v>
      </c>
      <c r="D199" s="33"/>
      <c r="E199" s="321" t="s">
        <v>25</v>
      </c>
      <c r="F199" s="323">
        <f t="shared" ref="F199:AE199" ca="1" si="6">F56-F189</f>
        <v>9.8999999999999977E-2</v>
      </c>
      <c r="G199" s="323">
        <f t="shared" ca="1" si="6"/>
        <v>7.2999999999999954E-2</v>
      </c>
      <c r="H199" s="323">
        <f t="shared" ca="1" si="6"/>
        <v>3.6999999999999922E-2</v>
      </c>
      <c r="I199" s="323">
        <f t="shared" ca="1" si="6"/>
        <v>6.1000000000000165E-2</v>
      </c>
      <c r="J199" s="323">
        <f t="shared" ca="1" si="6"/>
        <v>-1.2535300000000138E-2</v>
      </c>
      <c r="K199" s="323">
        <f t="shared" ca="1" si="6"/>
        <v>0.2908247849999997</v>
      </c>
      <c r="L199" s="323">
        <f t="shared" ca="1" si="6"/>
        <v>2.1633774999999821E-2</v>
      </c>
      <c r="M199" s="323">
        <f t="shared" ca="1" si="6"/>
        <v>5.4000000000000003E-3</v>
      </c>
      <c r="N199" s="324">
        <f t="shared" ca="1" si="6"/>
        <v>1.4999999999999999E-2</v>
      </c>
      <c r="O199" s="327">
        <f t="shared" ca="1" si="6"/>
        <v>1.7000000000000001E-2</v>
      </c>
      <c r="P199" s="323">
        <f t="shared" ca="1" si="6"/>
        <v>1.2999999999999999E-2</v>
      </c>
      <c r="Q199" s="323">
        <f t="shared" ca="1" si="6"/>
        <v>1.4E-2</v>
      </c>
      <c r="R199" s="323">
        <f t="shared" ca="1" si="6"/>
        <v>1.0999999999999999E-2</v>
      </c>
      <c r="S199" s="323">
        <f t="shared" ca="1" si="6"/>
        <v>1.0999999999999999E-2</v>
      </c>
      <c r="T199" s="323">
        <f t="shared" ca="1" si="6"/>
        <v>1.0999999999999999E-2</v>
      </c>
      <c r="U199" s="323">
        <f t="shared" ca="1" si="6"/>
        <v>1.0999999999999999E-2</v>
      </c>
      <c r="V199" s="323">
        <f t="shared" ca="1" si="6"/>
        <v>1.0999999999999999E-2</v>
      </c>
      <c r="W199" s="323">
        <f t="shared" ca="1" si="6"/>
        <v>1.0999999999999999E-2</v>
      </c>
      <c r="X199" s="323">
        <f t="shared" ca="1" si="6"/>
        <v>1.0999999999999999E-2</v>
      </c>
      <c r="Y199" s="323">
        <f t="shared" ca="1" si="6"/>
        <v>1.0999999999999999E-2</v>
      </c>
      <c r="Z199" s="323">
        <f t="shared" ca="1" si="6"/>
        <v>-9.9877629999999842E-2</v>
      </c>
      <c r="AA199" s="323">
        <f t="shared" ca="1" si="6"/>
        <v>-8.0348190000000166E-2</v>
      </c>
      <c r="AB199" s="323">
        <f t="shared" ca="1" si="6"/>
        <v>-6.2427749999999796E-2</v>
      </c>
      <c r="AC199" s="323">
        <f t="shared" ca="1" si="6"/>
        <v>-3.5525350000000247E-2</v>
      </c>
      <c r="AD199" s="323">
        <f t="shared" ca="1" si="6"/>
        <v>-9.6907339999999911E-2</v>
      </c>
      <c r="AE199" s="324">
        <f t="shared" ca="1" si="6"/>
        <v>-0.27982478499999969</v>
      </c>
      <c r="AF199" s="940" t="s">
        <v>544</v>
      </c>
      <c r="AG199" s="940" t="s">
        <v>464</v>
      </c>
      <c r="AH199" s="940"/>
      <c r="AI199" s="940"/>
      <c r="AJ199" s="345"/>
    </row>
    <row r="200" spans="1:36" s="301" customFormat="1" ht="12.75" customHeight="1" outlineLevel="1">
      <c r="A200" s="561">
        <v>181</v>
      </c>
      <c r="D200" s="33"/>
      <c r="E200" s="16" t="s">
        <v>50</v>
      </c>
      <c r="F200" s="332">
        <f t="shared" ref="F200:AE200" ca="1" si="7">F57-F190</f>
        <v>6.9999999999999611E-3</v>
      </c>
      <c r="G200" s="332">
        <f t="shared" ca="1" si="7"/>
        <v>9.9999999999999065E-3</v>
      </c>
      <c r="H200" s="332">
        <f t="shared" ca="1" si="7"/>
        <v>1.2750217548429532E-16</v>
      </c>
      <c r="I200" s="332">
        <f t="shared" ca="1" si="7"/>
        <v>1.0000000000000009E-3</v>
      </c>
      <c r="J200" s="332">
        <f t="shared" ca="1" si="7"/>
        <v>-8.3369999999999278E-3</v>
      </c>
      <c r="K200" s="332">
        <f t="shared" ca="1" si="7"/>
        <v>4.5781999999999823E-2</v>
      </c>
      <c r="L200" s="332">
        <f t="shared" ca="1" si="7"/>
        <v>4.0839999999999765E-3</v>
      </c>
      <c r="M200" s="332">
        <f t="shared" ca="1" si="7"/>
        <v>1.6999999999999999E-3</v>
      </c>
      <c r="N200" s="333">
        <f t="shared" ca="1" si="7"/>
        <v>6.0000000000000001E-3</v>
      </c>
      <c r="O200" s="334">
        <f t="shared" ca="1" si="7"/>
        <v>2E-3</v>
      </c>
      <c r="P200" s="332">
        <f t="shared" ca="1" si="7"/>
        <v>2E-3</v>
      </c>
      <c r="Q200" s="332">
        <f t="shared" ca="1" si="7"/>
        <v>-0.17575019999999991</v>
      </c>
      <c r="R200" s="332">
        <f t="shared" ca="1" si="7"/>
        <v>-5.1137000000000002E-2</v>
      </c>
      <c r="S200" s="332">
        <f t="shared" ca="1" si="7"/>
        <v>-6.0801000000000008E-2</v>
      </c>
      <c r="T200" s="332">
        <f t="shared" ca="1" si="7"/>
        <v>-7.6015000000000013E-2</v>
      </c>
      <c r="U200" s="332">
        <f t="shared" ca="1" si="7"/>
        <v>-6.4497299999999994E-2</v>
      </c>
      <c r="V200" s="332">
        <f t="shared" ca="1" si="7"/>
        <v>-1.1716999999999997E-2</v>
      </c>
      <c r="W200" s="332">
        <f t="shared" ca="1" si="7"/>
        <v>1.4639999999999983E-3</v>
      </c>
      <c r="X200" s="332">
        <f t="shared" ca="1" si="7"/>
        <v>1.4849999999999985E-3</v>
      </c>
      <c r="Y200" s="332">
        <f t="shared" ca="1" si="7"/>
        <v>4.2959999999999995E-3</v>
      </c>
      <c r="Z200" s="332">
        <f t="shared" ca="1" si="7"/>
        <v>4.9301000000000379E-4</v>
      </c>
      <c r="AA200" s="332">
        <f t="shared" ca="1" si="7"/>
        <v>7.0779999999999992E-3</v>
      </c>
      <c r="AB200" s="332">
        <f t="shared" ca="1" si="7"/>
        <v>7.8299999999999724E-4</v>
      </c>
      <c r="AC200" s="332">
        <f t="shared" ca="1" si="7"/>
        <v>8.2099999999999985E-3</v>
      </c>
      <c r="AD200" s="332">
        <f t="shared" ca="1" si="7"/>
        <v>8.8719999999999997E-3</v>
      </c>
      <c r="AE200" s="333">
        <f t="shared" ca="1" si="7"/>
        <v>-3.5781999999999821E-2</v>
      </c>
      <c r="AF200" s="940" t="s">
        <v>544</v>
      </c>
      <c r="AG200" s="940" t="s">
        <v>464</v>
      </c>
      <c r="AH200" s="940"/>
      <c r="AI200" s="940"/>
      <c r="AJ200" s="345"/>
    </row>
    <row r="201" spans="1:36" s="301" customFormat="1" ht="12.75" customHeight="1" outlineLevel="1">
      <c r="A201" s="561">
        <v>182</v>
      </c>
      <c r="D201" s="33"/>
      <c r="E201" s="16" t="s">
        <v>13</v>
      </c>
      <c r="F201" s="332">
        <f t="shared" ref="F201:AE201" ca="1" si="8">F58-F191</f>
        <v>0.41799999999999998</v>
      </c>
      <c r="G201" s="332">
        <f t="shared" ca="1" si="8"/>
        <v>0.86586812999999996</v>
      </c>
      <c r="H201" s="332">
        <f t="shared" ca="1" si="8"/>
        <v>0.32809184000000102</v>
      </c>
      <c r="I201" s="332">
        <f t="shared" ca="1" si="8"/>
        <v>0.67685502999999902</v>
      </c>
      <c r="J201" s="332">
        <f t="shared" ca="1" si="8"/>
        <v>0.21741000000000099</v>
      </c>
      <c r="K201" s="332">
        <f t="shared" ca="1" si="8"/>
        <v>0.23461600000000002</v>
      </c>
      <c r="L201" s="332">
        <f t="shared" ca="1" si="8"/>
        <v>0.22497200000000001</v>
      </c>
      <c r="M201" s="332">
        <f t="shared" ca="1" si="8"/>
        <v>0.30678699999999998</v>
      </c>
      <c r="N201" s="333">
        <f t="shared" ca="1" si="8"/>
        <v>0.42751108100000101</v>
      </c>
      <c r="O201" s="334">
        <f t="shared" ca="1" si="8"/>
        <v>0.33253365899999998</v>
      </c>
      <c r="P201" s="332">
        <f t="shared" ca="1" si="8"/>
        <v>0.17599999999999999</v>
      </c>
      <c r="Q201" s="332">
        <f t="shared" ca="1" si="8"/>
        <v>-5.1810770000000006E-2</v>
      </c>
      <c r="R201" s="332">
        <f t="shared" ca="1" si="8"/>
        <v>0.17876619999999832</v>
      </c>
      <c r="S201" s="332">
        <f t="shared" ca="1" si="8"/>
        <v>0.22675084000000112</v>
      </c>
      <c r="T201" s="332">
        <f t="shared" ca="1" si="8"/>
        <v>0.13504164999999979</v>
      </c>
      <c r="U201" s="332">
        <f t="shared" ca="1" si="8"/>
        <v>-0.20550698999999994</v>
      </c>
      <c r="V201" s="332">
        <f t="shared" ca="1" si="8"/>
        <v>-0.32873850000000004</v>
      </c>
      <c r="W201" s="332">
        <f t="shared" ca="1" si="8"/>
        <v>-0.64800203000000089</v>
      </c>
      <c r="X201" s="332">
        <f t="shared" ca="1" si="8"/>
        <v>-0.4404923999999994</v>
      </c>
      <c r="Y201" s="332">
        <f t="shared" ca="1" si="8"/>
        <v>-0.15727639999999993</v>
      </c>
      <c r="Z201" s="332">
        <f t="shared" ca="1" si="8"/>
        <v>-0.25520799999999938</v>
      </c>
      <c r="AA201" s="332">
        <f t="shared" ca="1" si="8"/>
        <v>-0.43709159999999975</v>
      </c>
      <c r="AB201" s="332">
        <f t="shared" ca="1" si="8"/>
        <v>-0.85617406000000029</v>
      </c>
      <c r="AC201" s="332">
        <f t="shared" ca="1" si="8"/>
        <v>-0.13386470000000006</v>
      </c>
      <c r="AD201" s="332">
        <f t="shared" ca="1" si="8"/>
        <v>-5.6353910000000063E-2</v>
      </c>
      <c r="AE201" s="333">
        <f t="shared" ca="1" si="8"/>
        <v>-3.4616000000000008E-2</v>
      </c>
      <c r="AF201" s="940" t="s">
        <v>544</v>
      </c>
      <c r="AG201" s="940" t="s">
        <v>464</v>
      </c>
      <c r="AH201" s="940"/>
      <c r="AI201" s="940"/>
      <c r="AJ201" s="345"/>
    </row>
    <row r="202" spans="1:36" s="301" customFormat="1" ht="12.75" customHeight="1" outlineLevel="1">
      <c r="A202" s="561">
        <v>183</v>
      </c>
      <c r="D202" s="33"/>
      <c r="E202" s="16" t="s">
        <v>12</v>
      </c>
      <c r="F202" s="332">
        <f t="shared" ref="F202:AE202" ca="1" si="9">F59-F192</f>
        <v>0</v>
      </c>
      <c r="G202" s="332">
        <f t="shared" ca="1" si="9"/>
        <v>0</v>
      </c>
      <c r="H202" s="332">
        <f t="shared" ca="1" si="9"/>
        <v>1.1799999999999998E-2</v>
      </c>
      <c r="I202" s="332">
        <f t="shared" ca="1" si="9"/>
        <v>1.132E-2</v>
      </c>
      <c r="J202" s="332">
        <f t="shared" ca="1" si="9"/>
        <v>3.7300000000000041E-3</v>
      </c>
      <c r="K202" s="332">
        <f t="shared" ca="1" si="9"/>
        <v>0</v>
      </c>
      <c r="L202" s="332">
        <f t="shared" ca="1" si="9"/>
        <v>4.9999999999999984E-3</v>
      </c>
      <c r="M202" s="332">
        <f t="shared" ca="1" si="9"/>
        <v>2E-3</v>
      </c>
      <c r="N202" s="333">
        <f t="shared" ca="1" si="9"/>
        <v>5.0000000000000001E-3</v>
      </c>
      <c r="O202" s="334">
        <f t="shared" ca="1" si="9"/>
        <v>4.0000000000000001E-3</v>
      </c>
      <c r="P202" s="332">
        <f t="shared" ca="1" si="9"/>
        <v>5.0000000000000001E-3</v>
      </c>
      <c r="Q202" s="332">
        <f t="shared" ca="1" si="9"/>
        <v>8.9999999999999993E-3</v>
      </c>
      <c r="R202" s="332">
        <f t="shared" ca="1" si="9"/>
        <v>0.03</v>
      </c>
      <c r="S202" s="332">
        <f t="shared" ca="1" si="9"/>
        <v>3.4000000000000002E-2</v>
      </c>
      <c r="T202" s="332">
        <f t="shared" ca="1" si="9"/>
        <v>3.7999999999999999E-2</v>
      </c>
      <c r="U202" s="332">
        <f t="shared" ca="1" si="9"/>
        <v>4.0780000000000004E-2</v>
      </c>
      <c r="V202" s="332">
        <f t="shared" ca="1" si="9"/>
        <v>4.4999999999999998E-2</v>
      </c>
      <c r="W202" s="332">
        <f t="shared" ca="1" si="9"/>
        <v>0.01</v>
      </c>
      <c r="X202" s="332">
        <f t="shared" ca="1" si="9"/>
        <v>6.9999999999999975E-3</v>
      </c>
      <c r="Y202" s="332">
        <f t="shared" ca="1" si="9"/>
        <v>0.01</v>
      </c>
      <c r="Z202" s="332">
        <f t="shared" ca="1" si="9"/>
        <v>5.8500000000000028E-3</v>
      </c>
      <c r="AA202" s="332">
        <f t="shared" ca="1" si="9"/>
        <v>0.01</v>
      </c>
      <c r="AB202" s="332">
        <f t="shared" ca="1" si="9"/>
        <v>0.01</v>
      </c>
      <c r="AC202" s="332">
        <f t="shared" ca="1" si="9"/>
        <v>-1.800000000000003E-3</v>
      </c>
      <c r="AD202" s="332">
        <f t="shared" ca="1" si="9"/>
        <v>-1.3150000000000002E-3</v>
      </c>
      <c r="AE202" s="333">
        <f t="shared" ca="1" si="9"/>
        <v>0.01</v>
      </c>
      <c r="AF202" s="940" t="s">
        <v>544</v>
      </c>
      <c r="AG202" s="940" t="s">
        <v>464</v>
      </c>
      <c r="AH202" s="940"/>
      <c r="AI202" s="940"/>
      <c r="AJ202" s="345"/>
    </row>
    <row r="203" spans="1:36" s="301" customFormat="1" ht="12.75" customHeight="1" outlineLevel="1">
      <c r="A203" s="561">
        <v>184</v>
      </c>
      <c r="D203" s="33"/>
      <c r="E203" s="16" t="s">
        <v>24</v>
      </c>
      <c r="F203" s="332">
        <f t="shared" ref="F203:AE203" ca="1" si="10">F60-F193</f>
        <v>1.1357969999999999</v>
      </c>
      <c r="G203" s="332">
        <f t="shared" ca="1" si="10"/>
        <v>1.4802979999999999</v>
      </c>
      <c r="H203" s="332">
        <f t="shared" ca="1" si="10"/>
        <v>2.1865290000000002</v>
      </c>
      <c r="I203" s="332">
        <f t="shared" ca="1" si="10"/>
        <v>2.2585709999999999</v>
      </c>
      <c r="J203" s="332">
        <f t="shared" ca="1" si="10"/>
        <v>4.6522969999999999</v>
      </c>
      <c r="K203" s="332">
        <f t="shared" ca="1" si="10"/>
        <v>3.6757774800000012</v>
      </c>
      <c r="L203" s="332">
        <f t="shared" ca="1" si="10"/>
        <v>4.1014029999999995</v>
      </c>
      <c r="M203" s="332">
        <f t="shared" ca="1" si="10"/>
        <v>5.1017450000000011</v>
      </c>
      <c r="N203" s="333">
        <f t="shared" ca="1" si="10"/>
        <v>1.9031500000000001</v>
      </c>
      <c r="O203" s="334">
        <f t="shared" ca="1" si="10"/>
        <v>0.89999999999999858</v>
      </c>
      <c r="P203" s="332">
        <f t="shared" ca="1" si="10"/>
        <v>0.80000000000000426</v>
      </c>
      <c r="Q203" s="332">
        <f t="shared" ca="1" si="10"/>
        <v>-0.30579311000000331</v>
      </c>
      <c r="R203" s="332">
        <f t="shared" ca="1" si="10"/>
        <v>-0.5936737999999977</v>
      </c>
      <c r="S203" s="332">
        <f t="shared" ca="1" si="10"/>
        <v>-0.55020309000000012</v>
      </c>
      <c r="T203" s="332">
        <f t="shared" ca="1" si="10"/>
        <v>-0.21786799999999928</v>
      </c>
      <c r="U203" s="332">
        <f t="shared" ca="1" si="10"/>
        <v>0.44622899999999888</v>
      </c>
      <c r="V203" s="332">
        <f t="shared" ca="1" si="10"/>
        <v>0.68595649999999964</v>
      </c>
      <c r="W203" s="332">
        <f t="shared" ca="1" si="10"/>
        <v>0.27016200000000268</v>
      </c>
      <c r="X203" s="332">
        <f t="shared" ca="1" si="10"/>
        <v>0.81375379999999709</v>
      </c>
      <c r="Y203" s="332">
        <f t="shared" ca="1" si="10"/>
        <v>1.7281359999999992</v>
      </c>
      <c r="Z203" s="332">
        <f t="shared" ca="1" si="10"/>
        <v>-0.19933991999999989</v>
      </c>
      <c r="AA203" s="332">
        <f t="shared" ca="1" si="10"/>
        <v>1.0733403500000005</v>
      </c>
      <c r="AB203" s="332">
        <f t="shared" ca="1" si="10"/>
        <v>0.62351773999999871</v>
      </c>
      <c r="AC203" s="332">
        <f t="shared" ca="1" si="10"/>
        <v>7.8875470000000725E-2</v>
      </c>
      <c r="AD203" s="332">
        <f t="shared" ca="1" si="10"/>
        <v>-0.53243178999999952</v>
      </c>
      <c r="AE203" s="333">
        <f t="shared" ca="1" si="10"/>
        <v>-1.2872080000000001</v>
      </c>
      <c r="AF203" s="940" t="s">
        <v>544</v>
      </c>
      <c r="AG203" s="940" t="s">
        <v>464</v>
      </c>
      <c r="AH203" s="940"/>
      <c r="AI203" s="940"/>
      <c r="AJ203" s="345"/>
    </row>
    <row r="204" spans="1:36" s="301" customFormat="1" ht="12.75" customHeight="1" outlineLevel="1">
      <c r="A204" s="561">
        <v>185</v>
      </c>
      <c r="D204" s="33"/>
      <c r="E204" s="16" t="s">
        <v>26</v>
      </c>
      <c r="F204" s="332">
        <f t="shared" ref="F204:AE204" ca="1" si="11">F61-F194</f>
        <v>4.4999999999999998E-2</v>
      </c>
      <c r="G204" s="332">
        <f t="shared" ca="1" si="11"/>
        <v>0.108</v>
      </c>
      <c r="H204" s="332">
        <f t="shared" ca="1" si="11"/>
        <v>0.08</v>
      </c>
      <c r="I204" s="332">
        <f t="shared" ca="1" si="11"/>
        <v>0.24</v>
      </c>
      <c r="J204" s="332">
        <f t="shared" ca="1" si="11"/>
        <v>0.48599999999999999</v>
      </c>
      <c r="K204" s="332">
        <f t="shared" ca="1" si="11"/>
        <v>2.2890000000000001</v>
      </c>
      <c r="L204" s="332">
        <f t="shared" ca="1" si="11"/>
        <v>0.86899999999999999</v>
      </c>
      <c r="M204" s="332">
        <f t="shared" ca="1" si="11"/>
        <v>1.254</v>
      </c>
      <c r="N204" s="333">
        <f t="shared" ca="1" si="11"/>
        <v>0.98699999999999999</v>
      </c>
      <c r="O204" s="334">
        <f t="shared" ca="1" si="11"/>
        <v>1.135</v>
      </c>
      <c r="P204" s="332">
        <f t="shared" ca="1" si="11"/>
        <v>0.219</v>
      </c>
      <c r="Q204" s="332">
        <f t="shared" ca="1" si="11"/>
        <v>0</v>
      </c>
      <c r="R204" s="332">
        <f t="shared" ca="1" si="11"/>
        <v>0.34200000000000003</v>
      </c>
      <c r="S204" s="332">
        <f t="shared" ca="1" si="11"/>
        <v>0.749</v>
      </c>
      <c r="T204" s="332">
        <f t="shared" ca="1" si="11"/>
        <v>1.1259999999999999</v>
      </c>
      <c r="U204" s="332">
        <f t="shared" ca="1" si="11"/>
        <v>0.9</v>
      </c>
      <c r="V204" s="332">
        <f t="shared" ca="1" si="11"/>
        <v>0.95799999999999996</v>
      </c>
      <c r="W204" s="332">
        <f t="shared" ca="1" si="11"/>
        <v>0.95799999999999996</v>
      </c>
      <c r="X204" s="332">
        <f t="shared" ca="1" si="11"/>
        <v>0.95799999999999996</v>
      </c>
      <c r="Y204" s="332">
        <f t="shared" ca="1" si="11"/>
        <v>0.95799999999999996</v>
      </c>
      <c r="Z204" s="332">
        <f t="shared" ca="1" si="11"/>
        <v>0.92619999999999991</v>
      </c>
      <c r="AA204" s="332">
        <f t="shared" ca="1" si="11"/>
        <v>0.91299999999999992</v>
      </c>
      <c r="AB204" s="332">
        <f t="shared" ca="1" si="11"/>
        <v>0.84970000000000001</v>
      </c>
      <c r="AC204" s="332">
        <f t="shared" ca="1" si="11"/>
        <v>0.878</v>
      </c>
      <c r="AD204" s="332">
        <f t="shared" ca="1" si="11"/>
        <v>0.71799999999999997</v>
      </c>
      <c r="AE204" s="333">
        <f t="shared" ca="1" si="11"/>
        <v>-1.3310000000000002</v>
      </c>
      <c r="AF204" s="940" t="s">
        <v>544</v>
      </c>
      <c r="AG204" s="940" t="s">
        <v>464</v>
      </c>
      <c r="AH204" s="940"/>
      <c r="AI204" s="940"/>
      <c r="AJ204" s="345"/>
    </row>
    <row r="205" spans="1:36" s="301" customFormat="1" ht="12.75" customHeight="1" outlineLevel="1">
      <c r="A205" s="561">
        <v>186</v>
      </c>
      <c r="D205" s="33"/>
      <c r="E205" s="303" t="s">
        <v>74</v>
      </c>
      <c r="F205" s="309">
        <f t="shared" ref="F205:AE205" ca="1" si="12">F62-F195</f>
        <v>7.44</v>
      </c>
      <c r="G205" s="309">
        <f t="shared" ca="1" si="12"/>
        <v>7.91</v>
      </c>
      <c r="H205" s="309">
        <f t="shared" ca="1" si="12"/>
        <v>8.1609999999999996</v>
      </c>
      <c r="I205" s="309">
        <f t="shared" ca="1" si="12"/>
        <v>2.633</v>
      </c>
      <c r="J205" s="309">
        <f t="shared" ca="1" si="12"/>
        <v>1.19</v>
      </c>
      <c r="K205" s="309">
        <f t="shared" ca="1" si="12"/>
        <v>1.3240000000000001</v>
      </c>
      <c r="L205" s="309">
        <f t="shared" ca="1" si="12"/>
        <v>1.4550000000000001</v>
      </c>
      <c r="M205" s="309">
        <f t="shared" ca="1" si="12"/>
        <v>1.6140000000000001</v>
      </c>
      <c r="N205" s="56">
        <f t="shared" ca="1" si="12"/>
        <v>2.8650000000000002</v>
      </c>
      <c r="O205" s="310">
        <f t="shared" ca="1" si="12"/>
        <v>3.8889999999999998</v>
      </c>
      <c r="P205" s="309">
        <f t="shared" ca="1" si="12"/>
        <v>4.8010000000000002</v>
      </c>
      <c r="Q205" s="309">
        <f t="shared" ca="1" si="12"/>
        <v>5.2900275060000634</v>
      </c>
      <c r="R205" s="309">
        <f t="shared" ca="1" si="12"/>
        <v>6.2263613100000006</v>
      </c>
      <c r="S205" s="309">
        <f t="shared" ca="1" si="12"/>
        <v>8.2197784500000015</v>
      </c>
      <c r="T205" s="309">
        <f t="shared" ca="1" si="12"/>
        <v>7.9865534499999971</v>
      </c>
      <c r="U205" s="309">
        <f t="shared" ca="1" si="12"/>
        <v>7.1099706999999999</v>
      </c>
      <c r="V205" s="309">
        <f t="shared" ca="1" si="12"/>
        <v>6.9073979400000018</v>
      </c>
      <c r="W205" s="309">
        <f t="shared" ca="1" si="12"/>
        <v>2.1554050499999988</v>
      </c>
      <c r="X205" s="309">
        <f t="shared" ca="1" si="12"/>
        <v>1.7462488739999955</v>
      </c>
      <c r="Y205" s="309">
        <f t="shared" ca="1" si="12"/>
        <v>1.0204568900000019</v>
      </c>
      <c r="Z205" s="309">
        <f t="shared" ca="1" si="12"/>
        <v>-1.4384598400000144</v>
      </c>
      <c r="AA205" s="309">
        <f t="shared" ca="1" si="12"/>
        <v>-4.5938763400000333</v>
      </c>
      <c r="AB205" s="309">
        <f t="shared" ca="1" si="12"/>
        <v>-5.0003900600000044</v>
      </c>
      <c r="AC205" s="309">
        <f t="shared" ca="1" si="12"/>
        <v>-3.8422938800000237</v>
      </c>
      <c r="AD205" s="309">
        <f t="shared" ca="1" si="12"/>
        <v>-0.1356207599999868</v>
      </c>
      <c r="AE205" s="56">
        <f t="shared" ca="1" si="12"/>
        <v>1.6759999999999999</v>
      </c>
      <c r="AF205" s="940" t="s">
        <v>544</v>
      </c>
      <c r="AG205" s="940" t="s">
        <v>464</v>
      </c>
      <c r="AH205" s="940"/>
      <c r="AI205" s="940"/>
      <c r="AJ205" s="345"/>
    </row>
    <row r="206" spans="1:36" s="301" customFormat="1" ht="12.75" customHeight="1" outlineLevel="1">
      <c r="A206" s="561">
        <v>187</v>
      </c>
      <c r="D206" s="33"/>
      <c r="E206" s="27" t="s">
        <v>55</v>
      </c>
      <c r="F206" s="325">
        <f t="shared" ref="F206:AE206" ca="1" si="13">SUM(F199:F205)</f>
        <v>9.1447970000000005</v>
      </c>
      <c r="G206" s="325">
        <f t="shared" ca="1" si="13"/>
        <v>10.447166129999999</v>
      </c>
      <c r="H206" s="325">
        <f t="shared" ca="1" si="13"/>
        <v>10.804420840000001</v>
      </c>
      <c r="I206" s="325">
        <f t="shared" ca="1" si="13"/>
        <v>5.8817460299999995</v>
      </c>
      <c r="J206" s="325">
        <f t="shared" ca="1" si="13"/>
        <v>6.5285647000000004</v>
      </c>
      <c r="K206" s="325">
        <f t="shared" ca="1" si="13"/>
        <v>7.860000265</v>
      </c>
      <c r="L206" s="325">
        <f t="shared" ca="1" si="13"/>
        <v>6.6810927749999989</v>
      </c>
      <c r="M206" s="325">
        <f t="shared" ca="1" si="13"/>
        <v>8.2856320000000014</v>
      </c>
      <c r="N206" s="326">
        <f t="shared" ca="1" si="13"/>
        <v>6.2086610810000016</v>
      </c>
      <c r="O206" s="300">
        <f t="shared" ca="1" si="13"/>
        <v>6.2795336589999984</v>
      </c>
      <c r="P206" s="325">
        <f t="shared" ca="1" si="13"/>
        <v>6.0160000000000045</v>
      </c>
      <c r="Q206" s="325">
        <f t="shared" ca="1" si="13"/>
        <v>4.77967342600006</v>
      </c>
      <c r="R206" s="325">
        <f t="shared" ca="1" si="13"/>
        <v>6.1433167100000015</v>
      </c>
      <c r="S206" s="325">
        <f t="shared" ca="1" si="13"/>
        <v>8.6295252000000033</v>
      </c>
      <c r="T206" s="325">
        <f t="shared" ca="1" si="13"/>
        <v>9.0027120999999966</v>
      </c>
      <c r="U206" s="325">
        <f t="shared" ca="1" si="13"/>
        <v>8.2379754099999989</v>
      </c>
      <c r="V206" s="325">
        <f t="shared" ca="1" si="13"/>
        <v>8.2668989400000008</v>
      </c>
      <c r="W206" s="325">
        <f t="shared" ca="1" si="13"/>
        <v>2.7580290200000004</v>
      </c>
      <c r="X206" s="325">
        <f t="shared" ca="1" si="13"/>
        <v>3.0969952739999931</v>
      </c>
      <c r="Y206" s="325">
        <f t="shared" ca="1" si="13"/>
        <v>3.5746124900000011</v>
      </c>
      <c r="Z206" s="325">
        <f t="shared" ca="1" si="13"/>
        <v>-1.0603423800000136</v>
      </c>
      <c r="AA206" s="325">
        <f t="shared" ca="1" si="13"/>
        <v>-3.1078977800000329</v>
      </c>
      <c r="AB206" s="325">
        <f t="shared" ca="1" si="13"/>
        <v>-4.4349911300000056</v>
      </c>
      <c r="AC206" s="325">
        <f t="shared" ca="1" si="13"/>
        <v>-3.0483984600000231</v>
      </c>
      <c r="AD206" s="325">
        <f t="shared" ca="1" si="13"/>
        <v>-9.575679999998632E-2</v>
      </c>
      <c r="AE206" s="326">
        <f t="shared" ca="1" si="13"/>
        <v>-1.2824307850000001</v>
      </c>
      <c r="AF206" s="940" t="s">
        <v>544</v>
      </c>
      <c r="AG206" s="940" t="s">
        <v>464</v>
      </c>
      <c r="AH206" s="940"/>
      <c r="AI206" s="940"/>
      <c r="AJ206" s="345"/>
    </row>
    <row r="207" spans="1:36" s="301" customFormat="1" ht="12.75" customHeight="1" outlineLevel="1">
      <c r="A207" s="561">
        <v>188</v>
      </c>
      <c r="D207" s="33"/>
      <c r="F207" s="331"/>
      <c r="G207" s="331"/>
      <c r="H207" s="331"/>
      <c r="I207" s="331"/>
      <c r="J207" s="331"/>
      <c r="K207" s="331"/>
      <c r="L207" s="331"/>
      <c r="M207" s="331"/>
      <c r="N207" s="349"/>
      <c r="O207" s="296"/>
      <c r="P207" s="331"/>
      <c r="Q207" s="331"/>
      <c r="R207" s="331"/>
      <c r="S207" s="331"/>
      <c r="T207" s="331"/>
      <c r="U207" s="331"/>
      <c r="V207" s="331"/>
      <c r="W207" s="331"/>
      <c r="X207" s="331"/>
      <c r="Y207" s="331"/>
      <c r="Z207" s="331"/>
      <c r="AA207" s="331"/>
      <c r="AB207" s="331"/>
      <c r="AC207" s="331"/>
      <c r="AD207" s="331"/>
      <c r="AE207" s="331"/>
      <c r="AF207" s="940"/>
      <c r="AG207" s="940"/>
      <c r="AH207" s="940"/>
      <c r="AI207" s="940"/>
      <c r="AJ207" s="345"/>
    </row>
    <row r="208" spans="1:36" s="301" customFormat="1" ht="12.75" customHeight="1" outlineLevel="1">
      <c r="A208" s="561">
        <v>189</v>
      </c>
      <c r="D208" s="33"/>
      <c r="E208" s="322" t="s">
        <v>79</v>
      </c>
      <c r="F208" s="331"/>
      <c r="G208" s="331"/>
      <c r="H208" s="331"/>
      <c r="I208" s="331"/>
      <c r="J208" s="331"/>
      <c r="K208" s="331"/>
      <c r="L208" s="331"/>
      <c r="M208" s="331"/>
      <c r="N208" s="349"/>
      <c r="O208" s="348"/>
      <c r="P208" s="331"/>
      <c r="Q208" s="331"/>
      <c r="R208" s="331"/>
      <c r="S208" s="331"/>
      <c r="T208" s="331"/>
      <c r="U208" s="331"/>
      <c r="V208" s="331"/>
      <c r="W208" s="331"/>
      <c r="X208" s="331"/>
      <c r="Y208" s="331"/>
      <c r="Z208" s="331"/>
      <c r="AA208" s="331"/>
      <c r="AB208" s="331"/>
      <c r="AC208" s="331"/>
      <c r="AD208" s="331"/>
      <c r="AE208" s="331"/>
      <c r="AF208" s="940" t="s">
        <v>544</v>
      </c>
      <c r="AG208" s="940"/>
      <c r="AH208" s="940"/>
      <c r="AI208" s="940"/>
      <c r="AJ208" s="1040" t="s">
        <v>549</v>
      </c>
    </row>
    <row r="209" spans="1:36" s="301" customFormat="1" ht="12.75" customHeight="1" outlineLevel="2">
      <c r="A209" s="561">
        <v>190</v>
      </c>
      <c r="D209" s="33"/>
      <c r="E209" s="321" t="s">
        <v>25</v>
      </c>
      <c r="F209" s="197">
        <f>'D-Kapazitäten 2009'!G6+F56</f>
        <v>1.3371100000000005</v>
      </c>
      <c r="G209" s="323">
        <f t="shared" ref="G209:AE209" ca="1" si="14">F209+G199</f>
        <v>1.4101100000000004</v>
      </c>
      <c r="H209" s="323">
        <f t="shared" ca="1" si="14"/>
        <v>1.4471100000000003</v>
      </c>
      <c r="I209" s="323">
        <f t="shared" ca="1" si="14"/>
        <v>1.5081100000000005</v>
      </c>
      <c r="J209" s="76">
        <f t="shared" ca="1" si="14"/>
        <v>1.4955747000000004</v>
      </c>
      <c r="K209" s="323">
        <f t="shared" ca="1" si="14"/>
        <v>1.786399485</v>
      </c>
      <c r="L209" s="323">
        <f t="shared" ca="1" si="14"/>
        <v>1.8080332599999998</v>
      </c>
      <c r="M209" s="323">
        <f t="shared" ca="1" si="14"/>
        <v>1.8134332599999998</v>
      </c>
      <c r="N209" s="324">
        <f t="shared" ca="1" si="14"/>
        <v>1.8284332599999997</v>
      </c>
      <c r="O209" s="327">
        <f t="shared" ca="1" si="14"/>
        <v>1.8454332599999996</v>
      </c>
      <c r="P209" s="323">
        <f t="shared" ca="1" si="14"/>
        <v>1.8584332599999995</v>
      </c>
      <c r="Q209" s="323">
        <f t="shared" ca="1" si="14"/>
        <v>1.8724332599999995</v>
      </c>
      <c r="R209" s="323">
        <f t="shared" ca="1" si="14"/>
        <v>1.8834332599999994</v>
      </c>
      <c r="S209" s="323">
        <f t="shared" ca="1" si="14"/>
        <v>1.8944332599999993</v>
      </c>
      <c r="T209" s="323">
        <f t="shared" ca="1" si="14"/>
        <v>1.9054332599999992</v>
      </c>
      <c r="U209" s="323">
        <f t="shared" ca="1" si="14"/>
        <v>1.9164332599999991</v>
      </c>
      <c r="V209" s="323">
        <f t="shared" ca="1" si="14"/>
        <v>1.927433259999999</v>
      </c>
      <c r="W209" s="323">
        <f t="shared" ca="1" si="14"/>
        <v>1.9384332599999989</v>
      </c>
      <c r="X209" s="323">
        <f t="shared" ca="1" si="14"/>
        <v>1.9494332599999988</v>
      </c>
      <c r="Y209" s="323">
        <f t="shared" ca="1" si="14"/>
        <v>1.9604332599999987</v>
      </c>
      <c r="Z209" s="323">
        <f t="shared" ca="1" si="14"/>
        <v>1.8605556299999988</v>
      </c>
      <c r="AA209" s="323">
        <f t="shared" ca="1" si="14"/>
        <v>1.7802074399999985</v>
      </c>
      <c r="AB209" s="323">
        <f t="shared" ca="1" si="14"/>
        <v>1.7177796899999986</v>
      </c>
      <c r="AC209" s="323">
        <f t="shared" ca="1" si="14"/>
        <v>1.6822543399999983</v>
      </c>
      <c r="AD209" s="323">
        <f t="shared" ca="1" si="14"/>
        <v>1.5853469999999983</v>
      </c>
      <c r="AE209" s="324">
        <f t="shared" ca="1" si="14"/>
        <v>1.3055222149999985</v>
      </c>
      <c r="AF209" s="940" t="s">
        <v>544</v>
      </c>
      <c r="AG209" s="940"/>
      <c r="AH209" s="940"/>
      <c r="AI209" s="940"/>
      <c r="AJ209" s="345" t="s">
        <v>501</v>
      </c>
    </row>
    <row r="210" spans="1:36" s="301" customFormat="1" ht="12.75" customHeight="1" outlineLevel="2">
      <c r="A210" s="561">
        <v>191</v>
      </c>
      <c r="D210" s="33"/>
      <c r="E210" s="16" t="s">
        <v>50</v>
      </c>
      <c r="F210" s="57">
        <f>'D-Kapazitäten 2009'!G7+F57</f>
        <v>0.56543599999999994</v>
      </c>
      <c r="G210" s="332">
        <f t="shared" ref="G210:AE210" ca="1" si="15">F210+G200</f>
        <v>0.57543599999999984</v>
      </c>
      <c r="H210" s="332">
        <f t="shared" ca="1" si="15"/>
        <v>0.57543599999999995</v>
      </c>
      <c r="I210" s="332">
        <f t="shared" ca="1" si="15"/>
        <v>0.57643599999999995</v>
      </c>
      <c r="J210" s="332">
        <f t="shared" ca="1" si="15"/>
        <v>0.56809900000000002</v>
      </c>
      <c r="K210" s="332">
        <f t="shared" ca="1" si="15"/>
        <v>0.6138809999999999</v>
      </c>
      <c r="L210" s="332">
        <f t="shared" ca="1" si="15"/>
        <v>0.61796499999999988</v>
      </c>
      <c r="M210" s="332">
        <f t="shared" ca="1" si="15"/>
        <v>0.61966499999999991</v>
      </c>
      <c r="N210" s="333">
        <f t="shared" ca="1" si="15"/>
        <v>0.62566499999999992</v>
      </c>
      <c r="O210" s="334">
        <f t="shared" ca="1" si="15"/>
        <v>0.62766499999999992</v>
      </c>
      <c r="P210" s="332">
        <f t="shared" ca="1" si="15"/>
        <v>0.62966499999999992</v>
      </c>
      <c r="Q210" s="332">
        <f t="shared" ca="1" si="15"/>
        <v>0.45391480000000001</v>
      </c>
      <c r="R210" s="332">
        <f t="shared" ca="1" si="15"/>
        <v>0.40277780000000002</v>
      </c>
      <c r="S210" s="332">
        <f t="shared" ca="1" si="15"/>
        <v>0.34197680000000003</v>
      </c>
      <c r="T210" s="332">
        <f t="shared" ca="1" si="15"/>
        <v>0.26596180000000003</v>
      </c>
      <c r="U210" s="332">
        <f t="shared" ca="1" si="15"/>
        <v>0.20146450000000005</v>
      </c>
      <c r="V210" s="332">
        <f t="shared" ca="1" si="15"/>
        <v>0.18974750000000004</v>
      </c>
      <c r="W210" s="332">
        <f t="shared" ca="1" si="15"/>
        <v>0.19121150000000003</v>
      </c>
      <c r="X210" s="332">
        <f t="shared" ca="1" si="15"/>
        <v>0.19269650000000002</v>
      </c>
      <c r="Y210" s="332">
        <f t="shared" ca="1" si="15"/>
        <v>0.19699250000000001</v>
      </c>
      <c r="Z210" s="332">
        <f t="shared" ca="1" si="15"/>
        <v>0.19748551000000003</v>
      </c>
      <c r="AA210" s="332">
        <f t="shared" ca="1" si="15"/>
        <v>0.20456351000000003</v>
      </c>
      <c r="AB210" s="332">
        <f t="shared" ca="1" si="15"/>
        <v>0.20534651000000004</v>
      </c>
      <c r="AC210" s="332">
        <f t="shared" ca="1" si="15"/>
        <v>0.21355651000000003</v>
      </c>
      <c r="AD210" s="332">
        <f t="shared" ca="1" si="15"/>
        <v>0.22242851000000002</v>
      </c>
      <c r="AE210" s="333">
        <f t="shared" ca="1" si="15"/>
        <v>0.18664651000000021</v>
      </c>
      <c r="AF210" s="940" t="s">
        <v>544</v>
      </c>
      <c r="AG210" s="940"/>
      <c r="AH210" s="940"/>
      <c r="AI210" s="940"/>
      <c r="AJ210" s="345" t="s">
        <v>501</v>
      </c>
    </row>
    <row r="211" spans="1:36" s="301" customFormat="1" ht="12.75" customHeight="1" outlineLevel="2">
      <c r="A211" s="561">
        <v>192</v>
      </c>
      <c r="D211" s="33"/>
      <c r="E211" s="16" t="s">
        <v>13</v>
      </c>
      <c r="F211" s="57">
        <f>'D-Kapazitäten 2009'!G8+F58</f>
        <v>4.7110000000000003</v>
      </c>
      <c r="G211" s="332">
        <f t="shared" ref="G211:AE211" ca="1" si="16">F211+G201</f>
        <v>5.5768681300000003</v>
      </c>
      <c r="H211" s="332">
        <f t="shared" ca="1" si="16"/>
        <v>5.9049599700000011</v>
      </c>
      <c r="I211" s="332">
        <f t="shared" ca="1" si="16"/>
        <v>6.5818149999999997</v>
      </c>
      <c r="J211" s="332">
        <f t="shared" ca="1" si="16"/>
        <v>6.7992250000000007</v>
      </c>
      <c r="K211" s="332">
        <f t="shared" ca="1" si="16"/>
        <v>7.0338410000000007</v>
      </c>
      <c r="L211" s="332">
        <f t="shared" ca="1" si="16"/>
        <v>7.2588130000000008</v>
      </c>
      <c r="M211" s="332">
        <f t="shared" ca="1" si="16"/>
        <v>7.5656000000000008</v>
      </c>
      <c r="N211" s="333">
        <f t="shared" ca="1" si="16"/>
        <v>7.9931110810000021</v>
      </c>
      <c r="O211" s="334">
        <f t="shared" ca="1" si="16"/>
        <v>8.3256447400000013</v>
      </c>
      <c r="P211" s="332">
        <f t="shared" ca="1" si="16"/>
        <v>8.5016447400000015</v>
      </c>
      <c r="Q211" s="332">
        <f t="shared" ca="1" si="16"/>
        <v>8.449833970000002</v>
      </c>
      <c r="R211" s="332">
        <f t="shared" ca="1" si="16"/>
        <v>8.6286001700000003</v>
      </c>
      <c r="S211" s="332">
        <f t="shared" ca="1" si="16"/>
        <v>8.8553510100000015</v>
      </c>
      <c r="T211" s="332">
        <f t="shared" ca="1" si="16"/>
        <v>8.9903926600000013</v>
      </c>
      <c r="U211" s="332">
        <f t="shared" ca="1" si="16"/>
        <v>8.7848856700000013</v>
      </c>
      <c r="V211" s="332">
        <f t="shared" ca="1" si="16"/>
        <v>8.4561471700000013</v>
      </c>
      <c r="W211" s="332">
        <f t="shared" ca="1" si="16"/>
        <v>7.8081451400000006</v>
      </c>
      <c r="X211" s="332">
        <f t="shared" ca="1" si="16"/>
        <v>7.3676527400000014</v>
      </c>
      <c r="Y211" s="332">
        <f t="shared" ca="1" si="16"/>
        <v>7.2103763400000016</v>
      </c>
      <c r="Z211" s="332">
        <f t="shared" ca="1" si="16"/>
        <v>6.9551683400000019</v>
      </c>
      <c r="AA211" s="332">
        <f t="shared" ca="1" si="16"/>
        <v>6.5180767400000024</v>
      </c>
      <c r="AB211" s="332">
        <f t="shared" ca="1" si="16"/>
        <v>5.6619026800000025</v>
      </c>
      <c r="AC211" s="332">
        <f t="shared" ca="1" si="16"/>
        <v>5.5280379800000023</v>
      </c>
      <c r="AD211" s="332">
        <f t="shared" ca="1" si="16"/>
        <v>5.471684070000002</v>
      </c>
      <c r="AE211" s="333">
        <f t="shared" ca="1" si="16"/>
        <v>5.4370680700000023</v>
      </c>
      <c r="AF211" s="940" t="s">
        <v>544</v>
      </c>
      <c r="AG211" s="940"/>
      <c r="AH211" s="940"/>
      <c r="AI211" s="940"/>
      <c r="AJ211" s="345" t="s">
        <v>501</v>
      </c>
    </row>
    <row r="212" spans="1:36" s="301" customFormat="1" ht="12.75" customHeight="1" outlineLevel="2">
      <c r="A212" s="561">
        <v>193</v>
      </c>
      <c r="D212" s="33"/>
      <c r="E212" s="16" t="s">
        <v>12</v>
      </c>
      <c r="F212" s="57">
        <f>'D-Kapazitäten 2009'!G9+F59</f>
        <v>7.1500000000000001E-3</v>
      </c>
      <c r="G212" s="332">
        <f t="shared" ref="G212:AE212" ca="1" si="17">F212+G202</f>
        <v>7.1500000000000001E-3</v>
      </c>
      <c r="H212" s="332">
        <f t="shared" ca="1" si="17"/>
        <v>1.8949999999999998E-2</v>
      </c>
      <c r="I212" s="332">
        <f t="shared" ca="1" si="17"/>
        <v>3.0269999999999998E-2</v>
      </c>
      <c r="J212" s="332">
        <f t="shared" ca="1" si="17"/>
        <v>3.4000000000000002E-2</v>
      </c>
      <c r="K212" s="332">
        <f t="shared" ca="1" si="17"/>
        <v>3.4000000000000002E-2</v>
      </c>
      <c r="L212" s="332">
        <f t="shared" ca="1" si="17"/>
        <v>3.9E-2</v>
      </c>
      <c r="M212" s="332">
        <f t="shared" ca="1" si="17"/>
        <v>4.1000000000000002E-2</v>
      </c>
      <c r="N212" s="333">
        <f t="shared" ca="1" si="17"/>
        <v>4.5999999999999999E-2</v>
      </c>
      <c r="O212" s="334">
        <f t="shared" ca="1" si="17"/>
        <v>0.05</v>
      </c>
      <c r="P212" s="332">
        <f t="shared" ca="1" si="17"/>
        <v>5.5E-2</v>
      </c>
      <c r="Q212" s="332">
        <f t="shared" ca="1" si="17"/>
        <v>6.4000000000000001E-2</v>
      </c>
      <c r="R212" s="332">
        <f t="shared" ca="1" si="17"/>
        <v>9.4E-2</v>
      </c>
      <c r="S212" s="332">
        <f t="shared" ca="1" si="17"/>
        <v>0.128</v>
      </c>
      <c r="T212" s="332">
        <f t="shared" ca="1" si="17"/>
        <v>0.16600000000000001</v>
      </c>
      <c r="U212" s="332">
        <f t="shared" ca="1" si="17"/>
        <v>0.20678000000000002</v>
      </c>
      <c r="V212" s="332">
        <f t="shared" ca="1" si="17"/>
        <v>0.25178</v>
      </c>
      <c r="W212" s="332">
        <f t="shared" ca="1" si="17"/>
        <v>0.26178000000000001</v>
      </c>
      <c r="X212" s="332">
        <f t="shared" ca="1" si="17"/>
        <v>0.26878000000000002</v>
      </c>
      <c r="Y212" s="332">
        <f t="shared" ca="1" si="17"/>
        <v>0.27878000000000003</v>
      </c>
      <c r="Z212" s="332">
        <f t="shared" ca="1" si="17"/>
        <v>0.28463000000000005</v>
      </c>
      <c r="AA212" s="332">
        <f t="shared" ca="1" si="17"/>
        <v>0.29463000000000006</v>
      </c>
      <c r="AB212" s="332">
        <f t="shared" ca="1" si="17"/>
        <v>0.30463000000000007</v>
      </c>
      <c r="AC212" s="332">
        <f t="shared" ca="1" si="17"/>
        <v>0.30283000000000004</v>
      </c>
      <c r="AD212" s="332">
        <f t="shared" ca="1" si="17"/>
        <v>0.30151500000000003</v>
      </c>
      <c r="AE212" s="333">
        <f t="shared" ca="1" si="17"/>
        <v>0.31151500000000004</v>
      </c>
      <c r="AF212" s="940" t="s">
        <v>544</v>
      </c>
      <c r="AG212" s="940"/>
      <c r="AH212" s="940"/>
      <c r="AI212" s="940"/>
      <c r="AJ212" s="345" t="s">
        <v>501</v>
      </c>
    </row>
    <row r="213" spans="1:36" s="301" customFormat="1" ht="12.75" customHeight="1" outlineLevel="2">
      <c r="A213" s="561">
        <v>194</v>
      </c>
      <c r="D213" s="33"/>
      <c r="E213" s="16" t="s">
        <v>24</v>
      </c>
      <c r="F213" s="57">
        <f>'D-Kapazitäten 2009'!G10+F60</f>
        <v>27.043797000000001</v>
      </c>
      <c r="G213" s="332">
        <f t="shared" ref="G213:AE213" ca="1" si="18">F213+G203</f>
        <v>28.524095000000003</v>
      </c>
      <c r="H213" s="332">
        <f t="shared" ca="1" si="18"/>
        <v>30.710624000000003</v>
      </c>
      <c r="I213" s="332">
        <f t="shared" ca="1" si="18"/>
        <v>32.969194999999999</v>
      </c>
      <c r="J213" s="332">
        <f t="shared" ca="1" si="18"/>
        <v>37.621491999999996</v>
      </c>
      <c r="K213" s="332">
        <f t="shared" ca="1" si="18"/>
        <v>41.297269479999997</v>
      </c>
      <c r="L213" s="336">
        <f t="shared" ca="1" si="18"/>
        <v>45.398672479999995</v>
      </c>
      <c r="M213" s="332">
        <f t="shared" ca="1" si="18"/>
        <v>50.500417479999996</v>
      </c>
      <c r="N213" s="333">
        <f t="shared" ca="1" si="18"/>
        <v>52.403567479999992</v>
      </c>
      <c r="O213" s="334">
        <f t="shared" ca="1" si="18"/>
        <v>53.303567479999991</v>
      </c>
      <c r="P213" s="332">
        <f t="shared" ca="1" si="18"/>
        <v>54.103567479999995</v>
      </c>
      <c r="Q213" s="332">
        <f t="shared" ca="1" si="18"/>
        <v>53.797774369999992</v>
      </c>
      <c r="R213" s="332">
        <f t="shared" ca="1" si="18"/>
        <v>53.204100569999994</v>
      </c>
      <c r="S213" s="332">
        <f t="shared" ca="1" si="18"/>
        <v>52.653897479999998</v>
      </c>
      <c r="T213" s="332">
        <f t="shared" ca="1" si="18"/>
        <v>52.436029480000002</v>
      </c>
      <c r="U213" s="332">
        <f t="shared" ca="1" si="18"/>
        <v>52.882258480000004</v>
      </c>
      <c r="V213" s="332">
        <f t="shared" ca="1" si="18"/>
        <v>53.568214980000008</v>
      </c>
      <c r="W213" s="332">
        <f t="shared" ca="1" si="18"/>
        <v>53.838376980000007</v>
      </c>
      <c r="X213" s="332">
        <f t="shared" ca="1" si="18"/>
        <v>54.652130780000007</v>
      </c>
      <c r="Y213" s="332">
        <f t="shared" ca="1" si="18"/>
        <v>56.380266780000007</v>
      </c>
      <c r="Z213" s="332">
        <f t="shared" ca="1" si="18"/>
        <v>56.180926860000007</v>
      </c>
      <c r="AA213" s="332">
        <f t="shared" ca="1" si="18"/>
        <v>57.254267210000009</v>
      </c>
      <c r="AB213" s="332">
        <f t="shared" ca="1" si="18"/>
        <v>57.877784950000006</v>
      </c>
      <c r="AC213" s="332">
        <f t="shared" ca="1" si="18"/>
        <v>57.956660420000006</v>
      </c>
      <c r="AD213" s="332">
        <f t="shared" ca="1" si="18"/>
        <v>57.424228630000009</v>
      </c>
      <c r="AE213" s="333">
        <f t="shared" ca="1" si="18"/>
        <v>56.137020630000009</v>
      </c>
      <c r="AF213" s="940" t="s">
        <v>544</v>
      </c>
      <c r="AG213" s="940"/>
      <c r="AH213" s="940"/>
      <c r="AI213" s="940"/>
      <c r="AJ213" s="345" t="s">
        <v>501</v>
      </c>
    </row>
    <row r="214" spans="1:36" s="301" customFormat="1" ht="12.75" customHeight="1" outlineLevel="2">
      <c r="A214" s="561">
        <v>195</v>
      </c>
      <c r="D214" s="33"/>
      <c r="E214" s="16" t="s">
        <v>26</v>
      </c>
      <c r="F214" s="1241">
        <f>'D-Kapazitäten 2009'!G11+F61</f>
        <v>0.08</v>
      </c>
      <c r="G214" s="332">
        <f t="shared" ref="G214:AE214" ca="1" si="19">F214+G204</f>
        <v>0.188</v>
      </c>
      <c r="H214" s="332">
        <f t="shared" ca="1" si="19"/>
        <v>0.26800000000000002</v>
      </c>
      <c r="I214" s="332">
        <f t="shared" ca="1" si="19"/>
        <v>0.50800000000000001</v>
      </c>
      <c r="J214" s="336">
        <f t="shared" ca="1" si="19"/>
        <v>0.99399999999999999</v>
      </c>
      <c r="K214" s="332">
        <f t="shared" ca="1" si="19"/>
        <v>3.2830000000000004</v>
      </c>
      <c r="L214" s="336">
        <f t="shared" ca="1" si="19"/>
        <v>4.1520000000000001</v>
      </c>
      <c r="M214" s="332">
        <f t="shared" ca="1" si="19"/>
        <v>5.4060000000000006</v>
      </c>
      <c r="N214" s="333">
        <f t="shared" ca="1" si="19"/>
        <v>6.3930000000000007</v>
      </c>
      <c r="O214" s="334">
        <f t="shared" ca="1" si="19"/>
        <v>7.5280000000000005</v>
      </c>
      <c r="P214" s="332">
        <f t="shared" ca="1" si="19"/>
        <v>7.7470000000000008</v>
      </c>
      <c r="Q214" s="332">
        <f t="shared" ca="1" si="19"/>
        <v>7.7470000000000008</v>
      </c>
      <c r="R214" s="332">
        <f t="shared" ca="1" si="19"/>
        <v>8.0890000000000004</v>
      </c>
      <c r="S214" s="332">
        <f t="shared" ca="1" si="19"/>
        <v>8.838000000000001</v>
      </c>
      <c r="T214" s="332">
        <f t="shared" ca="1" si="19"/>
        <v>9.9640000000000004</v>
      </c>
      <c r="U214" s="332">
        <f t="shared" ca="1" si="19"/>
        <v>10.864000000000001</v>
      </c>
      <c r="V214" s="332">
        <f t="shared" ca="1" si="19"/>
        <v>11.822000000000001</v>
      </c>
      <c r="W214" s="332">
        <f t="shared" ca="1" si="19"/>
        <v>12.780000000000001</v>
      </c>
      <c r="X214" s="332">
        <f t="shared" ca="1" si="19"/>
        <v>13.738000000000001</v>
      </c>
      <c r="Y214" s="332">
        <f t="shared" ca="1" si="19"/>
        <v>14.696000000000002</v>
      </c>
      <c r="Z214" s="332">
        <f t="shared" ca="1" si="19"/>
        <v>15.622200000000001</v>
      </c>
      <c r="AA214" s="332">
        <f t="shared" ca="1" si="19"/>
        <v>16.5352</v>
      </c>
      <c r="AB214" s="332">
        <f t="shared" ca="1" si="19"/>
        <v>17.384899999999998</v>
      </c>
      <c r="AC214" s="332">
        <f t="shared" ca="1" si="19"/>
        <v>18.262899999999998</v>
      </c>
      <c r="AD214" s="332">
        <f t="shared" ca="1" si="19"/>
        <v>18.980899999999998</v>
      </c>
      <c r="AE214" s="333">
        <f t="shared" ca="1" si="19"/>
        <v>17.649899999999999</v>
      </c>
      <c r="AF214" s="940" t="s">
        <v>544</v>
      </c>
      <c r="AG214" s="940"/>
      <c r="AH214" s="940"/>
      <c r="AI214" s="940"/>
      <c r="AJ214" s="345" t="s">
        <v>501</v>
      </c>
    </row>
    <row r="215" spans="1:36" s="301" customFormat="1" ht="12.75" customHeight="1" outlineLevel="2">
      <c r="A215" s="561">
        <v>196</v>
      </c>
      <c r="C215" s="10"/>
      <c r="D215" s="33"/>
      <c r="E215" s="303" t="s">
        <v>74</v>
      </c>
      <c r="F215" s="58">
        <f>'D-Kapazitäten 2009'!G12+F62</f>
        <v>18.006</v>
      </c>
      <c r="G215" s="309">
        <f t="shared" ref="G215:AE215" ca="1" si="20">F215+G205</f>
        <v>25.916</v>
      </c>
      <c r="H215" s="309">
        <f t="shared" ca="1" si="20"/>
        <v>34.076999999999998</v>
      </c>
      <c r="I215" s="77">
        <f t="shared" ca="1" si="20"/>
        <v>36.71</v>
      </c>
      <c r="J215" s="309">
        <f t="shared" ca="1" si="20"/>
        <v>37.9</v>
      </c>
      <c r="K215" s="309">
        <f t="shared" ca="1" si="20"/>
        <v>39.223999999999997</v>
      </c>
      <c r="L215" s="309">
        <f t="shared" ca="1" si="20"/>
        <v>40.678999999999995</v>
      </c>
      <c r="M215" s="309">
        <f t="shared" ca="1" si="20"/>
        <v>42.292999999999992</v>
      </c>
      <c r="N215" s="56">
        <f t="shared" ca="1" si="20"/>
        <v>45.157999999999994</v>
      </c>
      <c r="O215" s="310">
        <f t="shared" ca="1" si="20"/>
        <v>49.046999999999997</v>
      </c>
      <c r="P215" s="309">
        <f t="shared" ca="1" si="20"/>
        <v>53.847999999999999</v>
      </c>
      <c r="Q215" s="309">
        <f t="shared" ca="1" si="20"/>
        <v>59.138027506000064</v>
      </c>
      <c r="R215" s="309">
        <f t="shared" ca="1" si="20"/>
        <v>65.364388816000059</v>
      </c>
      <c r="S215" s="309">
        <f t="shared" ca="1" si="20"/>
        <v>73.584167266000065</v>
      </c>
      <c r="T215" s="309">
        <f t="shared" ca="1" si="20"/>
        <v>81.570720716000068</v>
      </c>
      <c r="U215" s="309">
        <f t="shared" ca="1" si="20"/>
        <v>88.680691416000073</v>
      </c>
      <c r="V215" s="309">
        <f t="shared" ca="1" si="20"/>
        <v>95.588089356000069</v>
      </c>
      <c r="W215" s="309">
        <f t="shared" ca="1" si="20"/>
        <v>97.743494406000067</v>
      </c>
      <c r="X215" s="309">
        <f t="shared" ca="1" si="20"/>
        <v>99.489743280000056</v>
      </c>
      <c r="Y215" s="309">
        <f t="shared" ca="1" si="20"/>
        <v>100.51020017000006</v>
      </c>
      <c r="Z215" s="309">
        <f t="shared" ca="1" si="20"/>
        <v>99.07174033000004</v>
      </c>
      <c r="AA215" s="309">
        <f t="shared" ca="1" si="20"/>
        <v>94.477863990000003</v>
      </c>
      <c r="AB215" s="309">
        <f t="shared" ca="1" si="20"/>
        <v>89.477473930000002</v>
      </c>
      <c r="AC215" s="309">
        <f t="shared" ca="1" si="20"/>
        <v>85.635180049999974</v>
      </c>
      <c r="AD215" s="309">
        <f t="shared" ca="1" si="20"/>
        <v>85.499559289999993</v>
      </c>
      <c r="AE215" s="56">
        <f t="shared" ca="1" si="20"/>
        <v>87.175559289999995</v>
      </c>
      <c r="AF215" s="940" t="s">
        <v>544</v>
      </c>
      <c r="AG215" s="940"/>
      <c r="AH215" s="940"/>
      <c r="AI215" s="940"/>
      <c r="AJ215" s="345" t="s">
        <v>501</v>
      </c>
    </row>
    <row r="216" spans="1:36" s="301" customFormat="1" ht="12.75" customHeight="1" outlineLevel="1">
      <c r="A216" s="561">
        <v>197</v>
      </c>
      <c r="C216" s="10"/>
      <c r="D216" s="33"/>
      <c r="E216" s="27" t="s">
        <v>55</v>
      </c>
      <c r="F216" s="325">
        <f t="shared" ref="F216" si="21">SUM(F209:F215)</f>
        <v>51.750492999999999</v>
      </c>
      <c r="G216" s="325">
        <f t="shared" ref="G216:AE216" ca="1" si="22">SUM(G209:G215)</f>
        <v>62.197659130000005</v>
      </c>
      <c r="H216" s="325">
        <f t="shared" ca="1" si="22"/>
        <v>73.002079970000011</v>
      </c>
      <c r="I216" s="325">
        <f t="shared" ca="1" si="22"/>
        <v>78.883825999999999</v>
      </c>
      <c r="J216" s="325">
        <f t="shared" ca="1" si="22"/>
        <v>85.412390700000003</v>
      </c>
      <c r="K216" s="325">
        <f t="shared" ca="1" si="22"/>
        <v>93.272390965</v>
      </c>
      <c r="L216" s="325">
        <f t="shared" ca="1" si="22"/>
        <v>99.953483739999996</v>
      </c>
      <c r="M216" s="325">
        <f t="shared" ca="1" si="22"/>
        <v>108.23911573999999</v>
      </c>
      <c r="N216" s="326">
        <f t="shared" ca="1" si="22"/>
        <v>114.44777682099999</v>
      </c>
      <c r="O216" s="300">
        <f t="shared" ca="1" si="22"/>
        <v>120.72731048</v>
      </c>
      <c r="P216" s="325">
        <f t="shared" ca="1" si="22"/>
        <v>126.74331047999999</v>
      </c>
      <c r="Q216" s="325">
        <f t="shared" ca="1" si="22"/>
        <v>131.52298390600006</v>
      </c>
      <c r="R216" s="325">
        <f t="shared" ca="1" si="22"/>
        <v>137.66630061600006</v>
      </c>
      <c r="S216" s="325">
        <f t="shared" ca="1" si="22"/>
        <v>146.29582581600008</v>
      </c>
      <c r="T216" s="325">
        <f t="shared" ca="1" si="22"/>
        <v>155.29853791600007</v>
      </c>
      <c r="U216" s="325">
        <f t="shared" ca="1" si="22"/>
        <v>163.53651332600009</v>
      </c>
      <c r="V216" s="325">
        <f t="shared" ca="1" si="22"/>
        <v>171.80341226600007</v>
      </c>
      <c r="W216" s="325">
        <f t="shared" ca="1" si="22"/>
        <v>174.56144128600008</v>
      </c>
      <c r="X216" s="325">
        <f t="shared" ca="1" si="22"/>
        <v>177.65843656000007</v>
      </c>
      <c r="Y216" s="325">
        <f t="shared" ca="1" si="22"/>
        <v>181.23304905000006</v>
      </c>
      <c r="Z216" s="325">
        <f t="shared" ca="1" si="22"/>
        <v>180.17270667000005</v>
      </c>
      <c r="AA216" s="325">
        <f t="shared" ca="1" si="22"/>
        <v>177.06480889000002</v>
      </c>
      <c r="AB216" s="325">
        <f t="shared" ca="1" si="22"/>
        <v>172.62981776000001</v>
      </c>
      <c r="AC216" s="325">
        <f t="shared" ca="1" si="22"/>
        <v>169.58141929999999</v>
      </c>
      <c r="AD216" s="325">
        <f t="shared" ca="1" si="22"/>
        <v>169.48566249999999</v>
      </c>
      <c r="AE216" s="326">
        <f t="shared" ca="1" si="22"/>
        <v>168.20323171500002</v>
      </c>
      <c r="AF216" s="940" t="s">
        <v>544</v>
      </c>
      <c r="AG216" s="940"/>
      <c r="AH216" s="940"/>
      <c r="AI216" s="940"/>
      <c r="AJ216" s="345"/>
    </row>
    <row r="217" spans="1:36" s="301" customFormat="1" ht="12.75" customHeight="1" outlineLevel="1">
      <c r="A217" s="561">
        <v>198</v>
      </c>
      <c r="C217" s="10"/>
      <c r="D217" s="33"/>
      <c r="F217" s="331"/>
      <c r="G217" s="331"/>
      <c r="H217" s="331"/>
      <c r="I217" s="331"/>
      <c r="J217" s="331"/>
      <c r="K217" s="331"/>
      <c r="L217" s="331"/>
      <c r="M217" s="331"/>
      <c r="N217" s="349"/>
      <c r="O217" s="296"/>
      <c r="P217" s="331"/>
      <c r="Q217" s="331"/>
      <c r="R217" s="331"/>
      <c r="S217" s="331"/>
      <c r="T217" s="331"/>
      <c r="U217" s="331"/>
      <c r="V217" s="331"/>
      <c r="W217" s="331"/>
      <c r="X217" s="331"/>
      <c r="Y217" s="331"/>
      <c r="Z217" s="331"/>
      <c r="AA217" s="331"/>
      <c r="AB217" s="331"/>
      <c r="AC217" s="331"/>
      <c r="AD217" s="331"/>
      <c r="AE217" s="331"/>
      <c r="AF217" s="940"/>
      <c r="AG217" s="940"/>
      <c r="AH217" s="940"/>
      <c r="AI217" s="940"/>
      <c r="AJ217" s="345"/>
    </row>
    <row r="218" spans="1:36" s="301" customFormat="1" ht="76.5" outlineLevel="1">
      <c r="A218" s="561">
        <v>199</v>
      </c>
      <c r="C218" s="10"/>
      <c r="D218" s="33"/>
      <c r="E218" s="211" t="s">
        <v>553</v>
      </c>
      <c r="F218" s="331"/>
      <c r="G218" s="331"/>
      <c r="H218" s="331"/>
      <c r="I218" s="331"/>
      <c r="J218" s="331"/>
      <c r="K218" s="331"/>
      <c r="L218" s="331"/>
      <c r="M218" s="331"/>
      <c r="N218" s="349"/>
      <c r="O218" s="296"/>
      <c r="P218" s="331"/>
      <c r="Q218" s="331"/>
      <c r="R218" s="1058"/>
      <c r="S218" s="331"/>
      <c r="T218" s="331"/>
      <c r="U218" s="331"/>
      <c r="V218" s="331"/>
      <c r="W218" s="331"/>
      <c r="X218" s="331"/>
      <c r="Y218" s="331"/>
      <c r="Z218" s="331"/>
      <c r="AA218" s="331"/>
      <c r="AB218" s="331"/>
      <c r="AC218" s="331"/>
      <c r="AD218" s="331"/>
      <c r="AE218" s="331"/>
      <c r="AF218" s="940"/>
      <c r="AG218" s="940" t="s">
        <v>554</v>
      </c>
      <c r="AH218" s="940"/>
      <c r="AI218" s="940"/>
      <c r="AJ218" s="345" t="s">
        <v>555</v>
      </c>
    </row>
    <row r="219" spans="1:36" s="301" customFormat="1" ht="12.75" customHeight="1" outlineLevel="1">
      <c r="A219" s="561">
        <v>200</v>
      </c>
      <c r="C219" s="10"/>
      <c r="D219" s="33"/>
      <c r="E219" s="321" t="s">
        <v>25</v>
      </c>
      <c r="F219" s="323"/>
      <c r="G219" s="323"/>
      <c r="H219" s="323"/>
      <c r="I219" s="323"/>
      <c r="J219" s="323"/>
      <c r="K219" s="632">
        <f>IF(SUM($K56:K56)&gt;0,SUMPRODUCT($K56:K56,$K92:K92)/SUM($K56:K56),0)</f>
        <v>3956</v>
      </c>
      <c r="L219" s="632">
        <f>IF(SUM($K56:L56)&gt;0,SUMPRODUCT($K56:L56,$K92:L92)/SUM($K56:L56),0)</f>
        <v>3956</v>
      </c>
      <c r="M219" s="632">
        <f>IF(SUM($K56:M56)&gt;0,SUMPRODUCT($K56:M56,$K92:M92)/SUM($K56:M56),0)</f>
        <v>3955.9999999999995</v>
      </c>
      <c r="N219" s="633">
        <f>IF(SUM($K56:N56)&gt;0,SUMPRODUCT($K56:N56,$K92:N92)/SUM($K56:N56),0)</f>
        <v>3955.9999999999991</v>
      </c>
      <c r="O219" s="634">
        <f>IF(SUM($K56:O56)&gt;0,SUMPRODUCT($K56:O56,$K92:O92)/SUM($K56:O56),0)</f>
        <v>3955.9999999999991</v>
      </c>
      <c r="P219" s="632">
        <f>IF(SUM($K56:P56)&gt;0,SUMPRODUCT($K56:P56,$K92:P92)/SUM($K56:P56),0)</f>
        <v>3955.9999999999986</v>
      </c>
      <c r="Q219" s="632">
        <f>IF(SUM($K56:Q56)&gt;0,SUMPRODUCT($K56:Q56,$K92:Q92)/SUM($K56:Q56),0)</f>
        <v>3955.7771047047449</v>
      </c>
      <c r="R219" s="632">
        <f>IF(SUM($K56:R56)&gt;0,SUMPRODUCT($K56:R56,$K92:R92)/SUM($K56:R56),0)</f>
        <v>3950.3381422341158</v>
      </c>
      <c r="S219" s="632">
        <f>IF(SUM($K56:S56)&gt;0,SUMPRODUCT($K56:S56,$K92:S92)/SUM($K56:S56),0)</f>
        <v>3945.2819148722774</v>
      </c>
      <c r="T219" s="632">
        <f>IF(SUM($K56:T56)&gt;0,SUMPRODUCT($K56:T56,$K92:T92)/SUM($K56:T56),0)</f>
        <v>3940.5507679527282</v>
      </c>
      <c r="U219" s="632">
        <f>IF(SUM($K56:U56)&gt;0,SUMPRODUCT($K56:U56,$K92:U92)/SUM($K56:U56),0)</f>
        <v>3936.1453485940719</v>
      </c>
      <c r="V219" s="632">
        <f>IF(SUM($K56:V56)&gt;0,SUMPRODUCT($K56:V56,$K92:V92)/SUM($K56:V56),0)</f>
        <v>3932.0152953781881</v>
      </c>
      <c r="W219" s="632">
        <f>IF(SUM($K56:W56)&gt;0,SUMPRODUCT($K56:W56,$K92:W92)/SUM($K56:W56),0)</f>
        <v>3928.0904118913245</v>
      </c>
      <c r="X219" s="632">
        <f>IF(SUM($K56:X56)&gt;0,SUMPRODUCT($K56:X56,$K92:X92)/SUM($K56:X56),0)</f>
        <v>3924.3557802677528</v>
      </c>
      <c r="Y219" s="632">
        <f>IF(SUM($K56:Y56)&gt;0,SUMPRODUCT($K56:Y56,$K92:Y92)/SUM($K56:Y56),0)</f>
        <v>3920.7978946542335</v>
      </c>
      <c r="Z219" s="632">
        <f>IF(SUM($K56:Z56)&gt;0,SUMPRODUCT($K56:Z56,$K92:Z92)/SUM($K56:Z56),0)</f>
        <v>3917.404498008817</v>
      </c>
      <c r="AA219" s="632">
        <f>IF(SUM($K56:AA56)&gt;0,SUMPRODUCT($K56:AA56,$K92:AA92)/SUM($K56:AA56),0)</f>
        <v>3914.1644410236891</v>
      </c>
      <c r="AB219" s="632">
        <f>IF(SUM($K56:AB56)&gt;0,SUMPRODUCT($K56:AB56,$K92:AB92)/SUM($K56:AB56),0)</f>
        <v>3911.0675597502996</v>
      </c>
      <c r="AC219" s="632">
        <f>IF(SUM($K56:AC56)&gt;0,SUMPRODUCT($K56:AC56,$K92:AC92)/SUM($K56:AC56),0)</f>
        <v>3908.1045690967608</v>
      </c>
      <c r="AD219" s="632">
        <f>IF(SUM($K56:AD56)&gt;0,SUMPRODUCT($K56:AD56,$K92:AD92)/SUM($K56:AD56),0)</f>
        <v>3905.2669698465638</v>
      </c>
      <c r="AE219" s="633">
        <f>IF(SUM($K56:AE56)&gt;0,SUMPRODUCT($K56:AE56,$K92:AE92)/SUM($K56:AE56),0)</f>
        <v>3902.5469672373715</v>
      </c>
      <c r="AF219" s="940"/>
      <c r="AG219" s="940" t="s">
        <v>554</v>
      </c>
      <c r="AH219" s="940"/>
      <c r="AI219" s="940"/>
      <c r="AJ219" s="345"/>
    </row>
    <row r="220" spans="1:36" s="301" customFormat="1" ht="12.75" customHeight="1" outlineLevel="1">
      <c r="A220" s="561">
        <v>201</v>
      </c>
      <c r="C220" s="10"/>
      <c r="D220" s="33"/>
      <c r="E220" s="16" t="s">
        <v>50</v>
      </c>
      <c r="F220" s="332"/>
      <c r="G220" s="332"/>
      <c r="H220" s="332"/>
      <c r="I220" s="332"/>
      <c r="J220" s="332"/>
      <c r="K220" s="635">
        <f>IF(SUM($K57:K57)&gt;0,SUMPRODUCT($K57:K57,$K93:K93)/SUM($K57:K57),0)</f>
        <v>2901</v>
      </c>
      <c r="L220" s="635">
        <f>IF(SUM($K57:L57)&gt;0,SUMPRODUCT($K57:L57,$K93:L93)/SUM($K57:L57),0)</f>
        <v>2901</v>
      </c>
      <c r="M220" s="635">
        <f>IF(SUM($K57:M57)&gt;0,SUMPRODUCT($K57:M57,$K93:M93)/SUM($K57:M57),0)</f>
        <v>2935.3850599232055</v>
      </c>
      <c r="N220" s="636">
        <f>IF(SUM($K57:N57)&gt;0,SUMPRODUCT($K57:N57,$K93:N93)/SUM($K57:N57),0)</f>
        <v>3022.0627801132619</v>
      </c>
      <c r="O220" s="637">
        <f>IF(SUM($K57:O57)&gt;0,SUMPRODUCT($K57:O57,$K93:O93)/SUM($K57:O57),0)</f>
        <v>3044.3216935835885</v>
      </c>
      <c r="P220" s="635">
        <f>IF(SUM($K57:P57)&gt;0,SUMPRODUCT($K57:P57,$K93:P93)/SUM($K57:P57),0)</f>
        <v>3054.9783432277059</v>
      </c>
      <c r="Q220" s="635">
        <f>IF(SUM($K57:Q57)&gt;0,SUMPRODUCT($K57:Q57,$K93:Q93)/SUM($K57:Q57),0)</f>
        <v>3087.1230443797072</v>
      </c>
      <c r="R220" s="635">
        <f>IF(SUM($K57:R57)&gt;0,SUMPRODUCT($K57:R57,$K93:R93)/SUM($K57:R57),0)</f>
        <v>3109.0069934614708</v>
      </c>
      <c r="S220" s="635">
        <f>IF(SUM($K57:S57)&gt;0,SUMPRODUCT($K57:S57,$K93:S93)/SUM($K57:S57),0)</f>
        <v>3125.4765728054695</v>
      </c>
      <c r="T220" s="635">
        <f>IF(SUM($K57:T57)&gt;0,SUMPRODUCT($K57:T57,$K93:T93)/SUM($K57:T57),0)</f>
        <v>3140.6822803562854</v>
      </c>
      <c r="U220" s="635">
        <f>IF(SUM($K57:U57)&gt;0,SUMPRODUCT($K57:U57,$K93:U93)/SUM($K57:U57),0)</f>
        <v>3175.1736715389129</v>
      </c>
      <c r="V220" s="635">
        <f>IF(SUM($K57:V57)&gt;0,SUMPRODUCT($K57:V57,$K93:V93)/SUM($K57:V57),0)</f>
        <v>3209.7344175857947</v>
      </c>
      <c r="W220" s="635">
        <f>IF(SUM($K57:W57)&gt;0,SUMPRODUCT($K57:W57,$K93:W93)/SUM($K57:W57),0)</f>
        <v>3365.5429465436096</v>
      </c>
      <c r="X220" s="635">
        <f>IF(SUM($K57:X57)&gt;0,SUMPRODUCT($K57:X57,$K93:X93)/SUM($K57:X57),0)</f>
        <v>3487.8320105448133</v>
      </c>
      <c r="Y220" s="635">
        <f>IF(SUM($K57:Y57)&gt;0,SUMPRODUCT($K57:Y57,$K93:Y93)/SUM($K57:Y57),0)</f>
        <v>3586.3677843334799</v>
      </c>
      <c r="Z220" s="635">
        <f>IF(SUM($K57:Z57)&gt;0,SUMPRODUCT($K57:Z57,$K93:Z93)/SUM($K57:Z57),0)</f>
        <v>3667.4583491586236</v>
      </c>
      <c r="AA220" s="635">
        <f>IF(SUM($K57:AA57)&gt;0,SUMPRODUCT($K57:AA57,$K93:AA93)/SUM($K57:AA57),0)</f>
        <v>3735.3598105201854</v>
      </c>
      <c r="AB220" s="635">
        <f>IF(SUM($K57:AB57)&gt;0,SUMPRODUCT($K57:AB57,$K93:AB93)/SUM($K57:AB57),0)</f>
        <v>3793.0479148789691</v>
      </c>
      <c r="AC220" s="635">
        <f>IF(SUM($K57:AC57)&gt;0,SUMPRODUCT($K57:AC57,$K93:AC93)/SUM($K57:AC57),0)</f>
        <v>3842.6658341085922</v>
      </c>
      <c r="AD220" s="635">
        <f>IF(SUM($K57:AD57)&gt;0,SUMPRODUCT($K57:AD57,$K93:AD93)/SUM($K57:AD57),0)</f>
        <v>3885.7963091702791</v>
      </c>
      <c r="AE220" s="636">
        <f>IF(SUM($K57:AE57)&gt;0,SUMPRODUCT($K57:AE57,$K93:AE93)/SUM($K57:AE57),0)</f>
        <v>3923.63359730197</v>
      </c>
      <c r="AF220" s="940"/>
      <c r="AG220" s="940" t="s">
        <v>554</v>
      </c>
      <c r="AH220" s="940"/>
      <c r="AI220" s="940"/>
      <c r="AJ220" s="345"/>
    </row>
    <row r="221" spans="1:36" s="301" customFormat="1" ht="12.75" customHeight="1" outlineLevel="1">
      <c r="A221" s="561">
        <v>202</v>
      </c>
      <c r="C221" s="10"/>
      <c r="D221" s="33"/>
      <c r="E221" s="16" t="s">
        <v>13</v>
      </c>
      <c r="F221" s="332"/>
      <c r="G221" s="332"/>
      <c r="H221" s="332"/>
      <c r="I221" s="332"/>
      <c r="J221" s="332"/>
      <c r="K221" s="635">
        <f>IF(SUM($K58:K58)&gt;0,SUMPRODUCT($K58:K58,$K94:K94)/SUM($K58:K58),0)</f>
        <v>5605</v>
      </c>
      <c r="L221" s="635">
        <f>IF(SUM($K58:L58)&gt;0,SUMPRODUCT($K58:L58,$K94:L94)/SUM($K58:L58),0)</f>
        <v>4819.3396694430667</v>
      </c>
      <c r="M221" s="635">
        <f>IF(SUM($K58:M58)&gt;0,SUMPRODUCT($K58:M58,$K94:M94)/SUM($K58:M58),0)</f>
        <v>4491.3504224433209</v>
      </c>
      <c r="N221" s="636">
        <f>IF(SUM($K58:N58)&gt;0,SUMPRODUCT($K58:N58,$K94:N94)/SUM($K58:N58),0)</f>
        <v>4315.4058716260388</v>
      </c>
      <c r="O221" s="637">
        <f>IF(SUM($K58:O58)&gt;0,SUMPRODUCT($K58:O58,$K94:O94)/SUM($K58:O58),0)</f>
        <v>4246.6940580839182</v>
      </c>
      <c r="P221" s="635">
        <f>IF(SUM($K58:P58)&gt;0,SUMPRODUCT($K58:P58,$K94:P94)/SUM($K58:P58),0)</f>
        <v>4221.1902688581367</v>
      </c>
      <c r="Q221" s="635">
        <f>IF(SUM($K58:Q58)&gt;0,SUMPRODUCT($K58:Q58,$K94:Q94)/SUM($K58:Q58),0)</f>
        <v>4206.1731330170578</v>
      </c>
      <c r="R221" s="635">
        <f>IF(SUM($K58:R58)&gt;0,SUMPRODUCT($K58:R58,$K94:R94)/SUM($K58:R58),0)</f>
        <v>4248.1411423788868</v>
      </c>
      <c r="S221" s="635">
        <f>IF(SUM($K58:S58)&gt;0,SUMPRODUCT($K58:S58,$K94:S94)/SUM($K58:S58),0)</f>
        <v>4244.6808506483394</v>
      </c>
      <c r="T221" s="635">
        <f>IF(SUM($K58:T58)&gt;0,SUMPRODUCT($K58:T58,$K94:T94)/SUM($K58:T58),0)</f>
        <v>4215.1343968186811</v>
      </c>
      <c r="U221" s="635">
        <f>IF(SUM($K58:U58)&gt;0,SUMPRODUCT($K58:U58,$K94:U94)/SUM($K58:U58),0)</f>
        <v>4169.333820225349</v>
      </c>
      <c r="V221" s="635">
        <f>IF(SUM($K58:V58)&gt;0,SUMPRODUCT($K58:V58,$K94:V94)/SUM($K58:V58),0)</f>
        <v>4112.868425186346</v>
      </c>
      <c r="W221" s="635">
        <f>IF(SUM($K58:W58)&gt;0,SUMPRODUCT($K58:W58,$K94:W94)/SUM($K58:W58),0)</f>
        <v>4107.0224704450284</v>
      </c>
      <c r="X221" s="635">
        <f>IF(SUM($K58:X58)&gt;0,SUMPRODUCT($K58:X58,$K94:X94)/SUM($K58:X58),0)</f>
        <v>4101.7522705003648</v>
      </c>
      <c r="Y221" s="635">
        <f>IF(SUM($K58:Y58)&gt;0,SUMPRODUCT($K58:Y58,$K94:Y94)/SUM($K58:Y58),0)</f>
        <v>4096.9767601442609</v>
      </c>
      <c r="Z221" s="635">
        <f>IF(SUM($K58:Z58)&gt;0,SUMPRODUCT($K58:Z58,$K94:Z94)/SUM($K58:Z58),0)</f>
        <v>4092.6294103858518</v>
      </c>
      <c r="AA221" s="635">
        <f>IF(SUM($K58:AA58)&gt;0,SUMPRODUCT($K58:AA58,$K94:AA94)/SUM($K58:AA58),0)</f>
        <v>4088.6551100416455</v>
      </c>
      <c r="AB221" s="635">
        <f>IF(SUM($K58:AB58)&gt;0,SUMPRODUCT($K58:AB58,$K94:AB94)/SUM($K58:AB58),0)</f>
        <v>4085.0078170785555</v>
      </c>
      <c r="AC221" s="635">
        <f>IF(SUM($K58:AC58)&gt;0,SUMPRODUCT($K58:AC58,$K94:AC94)/SUM($K58:AC58),0)</f>
        <v>4081.6487667944325</v>
      </c>
      <c r="AD221" s="635">
        <f>IF(SUM($K58:AD58)&gt;0,SUMPRODUCT($K58:AD58,$K94:AD94)/SUM($K58:AD58),0)</f>
        <v>4078.5450886684048</v>
      </c>
      <c r="AE221" s="636">
        <f>IF(SUM($K58:AE58)&gt;0,SUMPRODUCT($K58:AE58,$K94:AE94)/SUM($K58:AE58),0)</f>
        <v>4075.6687271211267</v>
      </c>
      <c r="AF221" s="940"/>
      <c r="AG221" s="940" t="s">
        <v>554</v>
      </c>
      <c r="AH221" s="940"/>
      <c r="AI221" s="940"/>
      <c r="AJ221" s="345"/>
    </row>
    <row r="222" spans="1:36" s="301" customFormat="1" ht="12.75" customHeight="1" outlineLevel="1">
      <c r="A222" s="561">
        <v>203</v>
      </c>
      <c r="C222" s="10"/>
      <c r="D222" s="33"/>
      <c r="E222" s="16" t="s">
        <v>12</v>
      </c>
      <c r="F222" s="332"/>
      <c r="G222" s="332"/>
      <c r="H222" s="332"/>
      <c r="I222" s="332"/>
      <c r="J222" s="332"/>
      <c r="K222" s="635">
        <f>IF(SUM($K59:K59)&gt;0,SUMPRODUCT($K59:K59,$K95:K95)/SUM($K59:K59),0)</f>
        <v>0</v>
      </c>
      <c r="L222" s="635">
        <f>IF(SUM($K59:L59)&gt;0,SUMPRODUCT($K59:L59,$K95:L95)/SUM($K59:L59),0)</f>
        <v>4341</v>
      </c>
      <c r="M222" s="635">
        <f>IF(SUM($K59:M59)&gt;0,SUMPRODUCT($K59:M59,$K95:M95)/SUM($K59:M59),0)</f>
        <v>4901.8571428571422</v>
      </c>
      <c r="N222" s="636">
        <f>IF(SUM($K59:N59)&gt;0,SUMPRODUCT($K59:N59,$K95:N95)/SUM($K59:N59),0)</f>
        <v>5486.083333333333</v>
      </c>
      <c r="O222" s="637">
        <f>IF(SUM($K59:O59)&gt;0,SUMPRODUCT($K59:O59,$K95:O95)/SUM($K59:O59),0)</f>
        <v>5716.0624999999982</v>
      </c>
      <c r="P222" s="635">
        <f>IF(SUM($K59:P59)&gt;0,SUMPRODUCT($K59:P59,$K95:P95)/SUM($K59:P59),0)</f>
        <v>5654.3809523809505</v>
      </c>
      <c r="Q222" s="635">
        <f>IF(SUM($K59:Q59)&gt;0,SUMPRODUCT($K59:Q59,$K95:Q95)/SUM($K59:Q59),0)</f>
        <v>5697.1666666666661</v>
      </c>
      <c r="R222" s="635">
        <f>IF(SUM($K59:R59)&gt;0,SUMPRODUCT($K59:R59,$K95:R95)/SUM($K59:R59),0)</f>
        <v>5114.5833333333339</v>
      </c>
      <c r="S222" s="635">
        <f>IF(SUM($K59:S59)&gt;0,SUMPRODUCT($K59:S59,$K95:S95)/SUM($K59:S59),0)</f>
        <v>4903.8617021276596</v>
      </c>
      <c r="T222" s="635">
        <f>IF(SUM($K59:T59)&gt;0,SUMPRODUCT($K59:T59,$K95:T95)/SUM($K59:T59),0)</f>
        <v>4796.8106060606069</v>
      </c>
      <c r="U222" s="635">
        <f>IF(SUM($K59:U59)&gt;0,SUMPRODUCT($K59:U59,$K95:U95)/SUM($K59:U59),0)</f>
        <v>4734.0520231213877</v>
      </c>
      <c r="V222" s="635">
        <f>IF(SUM($K59:V59)&gt;0,SUMPRODUCT($K59:V59,$K95:V95)/SUM($K59:V59),0)</f>
        <v>4692.3440366972472</v>
      </c>
      <c r="W222" s="635">
        <f>IF(SUM($K59:W59)&gt;0,SUMPRODUCT($K59:W59,$K95:W95)/SUM($K59:W59),0)</f>
        <v>4685.311403508771</v>
      </c>
      <c r="X222" s="635">
        <f>IF(SUM($K59:X59)&gt;0,SUMPRODUCT($K59:X59,$K95:X95)/SUM($K59:X59),0)</f>
        <v>4678.869747899158</v>
      </c>
      <c r="Y222" s="635">
        <f>IF(SUM($K59:Y59)&gt;0,SUMPRODUCT($K59:Y59,$K95:Y95)/SUM($K59:Y59),0)</f>
        <v>4672.9475806451601</v>
      </c>
      <c r="Z222" s="635">
        <f>IF(SUM($K59:Z59)&gt;0,SUMPRODUCT($K59:Z59,$K95:Z95)/SUM($K59:Z59),0)</f>
        <v>4667.4844961240287</v>
      </c>
      <c r="AA222" s="635">
        <f>IF(SUM($K59:AA59)&gt;0,SUMPRODUCT($K59:AA59,$K95:AA95)/SUM($K59:AA59),0)</f>
        <v>4662.4291044776101</v>
      </c>
      <c r="AB222" s="635">
        <f>IF(SUM($K59:AB59)&gt;0,SUMPRODUCT($K59:AB59,$K95:AB95)/SUM($K59:AB59),0)</f>
        <v>4657.7374100719398</v>
      </c>
      <c r="AC222" s="635">
        <f>IF(SUM($K59:AC59)&gt;0,SUMPRODUCT($K59:AC59,$K95:AC95)/SUM($K59:AC59),0)</f>
        <v>4653.3715277777746</v>
      </c>
      <c r="AD222" s="635">
        <f>IF(SUM($K59:AD59)&gt;0,SUMPRODUCT($K59:AD59,$K95:AD95)/SUM($K59:AD59),0)</f>
        <v>4649.2986577181173</v>
      </c>
      <c r="AE222" s="636">
        <f>IF(SUM($K59:AE59)&gt;0,SUMPRODUCT($K59:AE59,$K95:AE95)/SUM($K59:AE59),0)</f>
        <v>4645.4902597402561</v>
      </c>
      <c r="AF222" s="940"/>
      <c r="AG222" s="940" t="s">
        <v>554</v>
      </c>
      <c r="AH222" s="940"/>
      <c r="AI222" s="940"/>
      <c r="AJ222" s="345"/>
    </row>
    <row r="223" spans="1:36" s="301" customFormat="1" ht="12.75" customHeight="1" outlineLevel="1">
      <c r="A223" s="561">
        <v>204</v>
      </c>
      <c r="C223" s="10"/>
      <c r="D223" s="33"/>
      <c r="E223" s="16" t="s">
        <v>24</v>
      </c>
      <c r="F223" s="332"/>
      <c r="G223" s="332"/>
      <c r="H223" s="332"/>
      <c r="I223" s="332"/>
      <c r="J223" s="332"/>
      <c r="K223" s="635">
        <f>IF(SUM($K60:K60)&gt;0,SUMPRODUCT($K60:K60,$K96:K96)/SUM($K60:K60),0)</f>
        <v>2258.3528764765942</v>
      </c>
      <c r="L223" s="635">
        <f>IF(SUM($K60:L60)&gt;0,SUMPRODUCT($K60:L60,$K96:L96)/SUM($K60:L60),0)</f>
        <v>2289.8582897449214</v>
      </c>
      <c r="M223" s="635">
        <f>IF(SUM($K60:M60)&gt;0,SUMPRODUCT($K60:M60,$K96:M96)/SUM($K60:M60),0)</f>
        <v>2323.9826193077179</v>
      </c>
      <c r="N223" s="636">
        <f>IF(SUM($K60:N60)&gt;0,SUMPRODUCT($K60:N60,$K96:N96)/SUM($K60:N60),0)</f>
        <v>2340.2754086518516</v>
      </c>
      <c r="O223" s="637">
        <f>IF(SUM($K60:O60)&gt;0,SUMPRODUCT($K60:O60,$K96:O96)/SUM($K60:O60),0)</f>
        <v>2353.156631483128</v>
      </c>
      <c r="P223" s="635">
        <f>IF(SUM($K60:P60)&gt;0,SUMPRODUCT($K60:P60,$K96:P96)/SUM($K60:P60),0)</f>
        <v>2364.0185907544701</v>
      </c>
      <c r="Q223" s="635">
        <f>IF(SUM($K60:Q60)&gt;0,SUMPRODUCT($K60:Q60,$K96:Q96)/SUM($K60:Q60),0)</f>
        <v>2373.3015860844312</v>
      </c>
      <c r="R223" s="635">
        <f>IF(SUM($K60:R60)&gt;0,SUMPRODUCT($K60:R60,$K96:R96)/SUM($K60:R60),0)</f>
        <v>2356.8420356300276</v>
      </c>
      <c r="S223" s="635">
        <f>IF(SUM($K60:S60)&gt;0,SUMPRODUCT($K60:S60,$K96:S96)/SUM($K60:S60),0)</f>
        <v>2344.4261225686814</v>
      </c>
      <c r="T223" s="635">
        <f>IF(SUM($K60:T60)&gt;0,SUMPRODUCT($K60:T60,$K96:T96)/SUM($K60:T60),0)</f>
        <v>2338.0556017835679</v>
      </c>
      <c r="U223" s="635">
        <f>IF(SUM($K60:U60)&gt;0,SUMPRODUCT($K60:U60,$K96:U96)/SUM($K60:U60),0)</f>
        <v>2335.479442878484</v>
      </c>
      <c r="V223" s="635">
        <f>IF(SUM($K60:V60)&gt;0,SUMPRODUCT($K60:V60,$K96:V96)/SUM($K60:V60),0)</f>
        <v>2336.0555099592161</v>
      </c>
      <c r="W223" s="635">
        <f>IF(SUM($K60:W60)&gt;0,SUMPRODUCT($K60:W60,$K96:W96)/SUM($K60:W60),0)</f>
        <v>2340.2066647139659</v>
      </c>
      <c r="X223" s="635">
        <f>IF(SUM($K60:X60)&gt;0,SUMPRODUCT($K60:X60,$K96:X96)/SUM($K60:X60),0)</f>
        <v>2346.0824526814727</v>
      </c>
      <c r="Y223" s="635">
        <f>IF(SUM($K60:Y60)&gt;0,SUMPRODUCT($K60:Y60,$K96:Y96)/SUM($K60:Y60),0)</f>
        <v>2352.750804500678</v>
      </c>
      <c r="Z223" s="635">
        <f>IF(SUM($K60:Z60)&gt;0,SUMPRODUCT($K60:Z60,$K96:Z96)/SUM($K60:Z60),0)</f>
        <v>2359.7135238667756</v>
      </c>
      <c r="AA223" s="635">
        <f>IF(SUM($K60:AA60)&gt;0,SUMPRODUCT($K60:AA60,$K96:AA96)/SUM($K60:AA60),0)</f>
        <v>2366.6957579932578</v>
      </c>
      <c r="AB223" s="635">
        <f>IF(SUM($K60:AB60)&gt;0,SUMPRODUCT($K60:AB60,$K96:AB96)/SUM($K60:AB60),0)</f>
        <v>2373.5445759187146</v>
      </c>
      <c r="AC223" s="635">
        <f>IF(SUM($K60:AC60)&gt;0,SUMPRODUCT($K60:AC60,$K96:AC96)/SUM($K60:AC60),0)</f>
        <v>2380.1763815886425</v>
      </c>
      <c r="AD223" s="635">
        <f>IF(SUM($K60:AD60)&gt;0,SUMPRODUCT($K60:AD60,$K96:AD96)/SUM($K60:AD60),0)</f>
        <v>2386.5481192496504</v>
      </c>
      <c r="AE223" s="636">
        <f>IF(SUM($K60:AE60)&gt;0,SUMPRODUCT($K60:AE60,$K96:AE96)/SUM($K60:AE60),0)</f>
        <v>2396.2262810053867</v>
      </c>
      <c r="AF223" s="940"/>
      <c r="AG223" s="940" t="s">
        <v>554</v>
      </c>
      <c r="AH223" s="940"/>
      <c r="AI223" s="940"/>
      <c r="AJ223" s="345"/>
    </row>
    <row r="224" spans="1:36" s="301" customFormat="1" ht="12.75" customHeight="1" outlineLevel="1">
      <c r="A224" s="561">
        <v>205</v>
      </c>
      <c r="C224" s="10"/>
      <c r="D224" s="33"/>
      <c r="E224" s="16" t="s">
        <v>26</v>
      </c>
      <c r="F224" s="332"/>
      <c r="G224" s="332"/>
      <c r="H224" s="332"/>
      <c r="I224" s="332"/>
      <c r="J224" s="332"/>
      <c r="K224" s="635">
        <f>IF(SUM($K61:K61)&gt;0,SUMPRODUCT($K61:K61,$K97:K97)/SUM($K61:K61),0)</f>
        <v>3462</v>
      </c>
      <c r="L224" s="635">
        <f>IF(SUM($K61:L61)&gt;0,SUMPRODUCT($K61:L61,$K97:L97)/SUM($K61:L61),0)</f>
        <v>3489.5174160861302</v>
      </c>
      <c r="M224" s="635">
        <f>IF(SUM($K61:M61)&gt;0,SUMPRODUCT($K61:M61,$K97:M97)/SUM($K61:M61),0)</f>
        <v>3538.5412511332725</v>
      </c>
      <c r="N224" s="636">
        <f>IF(SUM($K61:N61)&gt;0,SUMPRODUCT($K61:N61,$K97:N97)/SUM($K61:N61),0)</f>
        <v>3579.3921096499353</v>
      </c>
      <c r="O224" s="637">
        <f>IF(SUM($K61:O61)&gt;0,SUMPRODUCT($K61:O61,$K97:O97)/SUM($K61:O61),0)</f>
        <v>3628.4830119375574</v>
      </c>
      <c r="P224" s="635">
        <f>IF(SUM($K61:P61)&gt;0,SUMPRODUCT($K61:P61,$K97:P97)/SUM($K61:P61),0)</f>
        <v>3639.2989782318964</v>
      </c>
      <c r="Q224" s="635">
        <f>IF(SUM($K61:Q61)&gt;0,SUMPRODUCT($K61:Q61,$K97:Q97)/SUM($K61:Q61),0)</f>
        <v>3639.2989782318964</v>
      </c>
      <c r="R224" s="635">
        <f>IF(SUM($K61:R61)&gt;0,SUMPRODUCT($K61:R61,$K97:R97)/SUM($K61:R61),0)</f>
        <v>3668.832980972516</v>
      </c>
      <c r="S224" s="635">
        <f>IF(SUM($K61:S61)&gt;0,SUMPRODUCT($K61:S61,$K97:S97)/SUM($K61:S61),0)</f>
        <v>3725.0907700152984</v>
      </c>
      <c r="T224" s="635">
        <f>IF(SUM($K61:T61)&gt;0,SUMPRODUCT($K61:T61,$K97:T97)/SUM($K61:T61),0)</f>
        <v>3794.2461538461534</v>
      </c>
      <c r="U224" s="635">
        <f>IF(SUM($K61:U61)&gt;0,SUMPRODUCT($K61:U61,$K97:U97)/SUM($K61:U61),0)</f>
        <v>3839.6340425531912</v>
      </c>
      <c r="V224" s="635">
        <f>IF(SUM($K61:V61)&gt;0,SUMPRODUCT($K61:V61,$K97:V97)/SUM($K61:V61),0)</f>
        <v>3888.6811968969332</v>
      </c>
      <c r="W224" s="635">
        <f>IF(SUM($K61:W61)&gt;0,SUMPRODUCT($K61:W61,$K97:W97)/SUM($K61:W61),0)</f>
        <v>3934.7294756490746</v>
      </c>
      <c r="X224" s="635">
        <f>IF(SUM($K61:X61)&gt;0,SUMPRODUCT($K61:X61,$K97:X97)/SUM($K61:X61),0)</f>
        <v>3976.9216572504697</v>
      </c>
      <c r="Y224" s="635">
        <f>IF(SUM($K61:Y61)&gt;0,SUMPRODUCT($K61:Y61,$K97:Y97)/SUM($K61:Y61),0)</f>
        <v>4015.2515294951718</v>
      </c>
      <c r="Z224" s="635">
        <f>IF(SUM($K61:Z61)&gt;0,SUMPRODUCT($K61:Z61,$K97:Z97)/SUM($K61:Z61),0)</f>
        <v>4050.0001676086522</v>
      </c>
      <c r="AA224" s="635">
        <f>IF(SUM($K61:AA61)&gt;0,SUMPRODUCT($K61:AA61,$K97:AA97)/SUM($K61:AA61),0)</f>
        <v>4081.528650092383</v>
      </c>
      <c r="AB224" s="635">
        <f>IF(SUM($K61:AB61)&gt;0,SUMPRODUCT($K61:AB61,$K97:AB97)/SUM($K61:AB61),0)</f>
        <v>4110.1987968836174</v>
      </c>
      <c r="AC224" s="635">
        <f>IF(SUM($K61:AC61)&gt;0,SUMPRODUCT($K61:AC61,$K97:AC97)/SUM($K61:AC61),0)</f>
        <v>4136.3440164489321</v>
      </c>
      <c r="AD224" s="635">
        <f>IF(SUM($K61:AD61)&gt;0,SUMPRODUCT($K61:AD61,$K97:AD97)/SUM($K61:AD61),0)</f>
        <v>4160.2606524126968</v>
      </c>
      <c r="AE224" s="636">
        <f>IF(SUM($K61:AE61)&gt;0,SUMPRODUCT($K61:AE61,$K97:AE97)/SUM($K61:AE61),0)</f>
        <v>4186.8452434146839</v>
      </c>
      <c r="AF224" s="940"/>
      <c r="AG224" s="940" t="s">
        <v>554</v>
      </c>
      <c r="AH224" s="940"/>
      <c r="AI224" s="940"/>
      <c r="AJ224" s="345"/>
    </row>
    <row r="225" spans="1:36" s="301" customFormat="1" ht="12.75" customHeight="1" outlineLevel="1">
      <c r="A225" s="561">
        <v>206</v>
      </c>
      <c r="C225" s="10"/>
      <c r="D225" s="33"/>
      <c r="E225" s="303" t="s">
        <v>74</v>
      </c>
      <c r="F225" s="309"/>
      <c r="G225" s="309"/>
      <c r="H225" s="309"/>
      <c r="I225" s="309"/>
      <c r="J225" s="309"/>
      <c r="K225" s="638">
        <f>IF(SUM($K62:K62)&gt;0,SUMPRODUCT($K62:K62,$K98:K98)/SUM($K62:K62),0)</f>
        <v>959.99999999999989</v>
      </c>
      <c r="L225" s="638">
        <f>IF(SUM($K62:L62)&gt;0,SUMPRODUCT($K62:L62,$K98:L98)/SUM($K62:L62),0)</f>
        <v>960.00000000000011</v>
      </c>
      <c r="M225" s="638">
        <f>IF(SUM($K62:M62)&gt;0,SUMPRODUCT($K62:M62,$K98:M98)/SUM($K62:M62),0)</f>
        <v>960.00000000000023</v>
      </c>
      <c r="N225" s="639">
        <f>IF(SUM($K62:N62)&gt;0,SUMPRODUCT($K62:N62,$K98:N98)/SUM($K62:N62),0)</f>
        <v>961.97368421052647</v>
      </c>
      <c r="O225" s="640">
        <f>IF(SUM($K62:O62)&gt;0,SUMPRODUCT($K62:O62,$K98:O98)/SUM($K62:O62),0)</f>
        <v>963.02951466762363</v>
      </c>
      <c r="P225" s="638">
        <f>IF(SUM($K62:P62)&gt;0,SUMPRODUCT($K62:P62,$K98:P98)/SUM($K62:P62),0)</f>
        <v>963.62271131176328</v>
      </c>
      <c r="Q225" s="638">
        <f>IF(SUM($K62:Q62)&gt;0,SUMPRODUCT($K62:Q62,$K98:Q98)/SUM($K62:Q62),0)</f>
        <v>963.9717723059639</v>
      </c>
      <c r="R225" s="638">
        <f>IF(SUM($K62:R62)&gt;0,SUMPRODUCT($K62:R62,$K98:R98)/SUM($K62:R62),0)</f>
        <v>946.15217900252969</v>
      </c>
      <c r="S225" s="638">
        <f>IF(SUM($K62:S62)&gt;0,SUMPRODUCT($K62:S62,$K98:S98)/SUM($K62:S62),0)</f>
        <v>932.24122423229676</v>
      </c>
      <c r="T225" s="638">
        <f>IF(SUM($K62:T62)&gt;0,SUMPRODUCT($K62:T62,$K98:T98)/SUM($K62:T62),0)</f>
        <v>926.4852915458232</v>
      </c>
      <c r="U225" s="638">
        <f>IF(SUM($K62:U62)&gt;0,SUMPRODUCT($K62:U62,$K98:U98)/SUM($K62:U62),0)</f>
        <v>924.69802639790214</v>
      </c>
      <c r="V225" s="638">
        <f>IF(SUM($K62:V62)&gt;0,SUMPRODUCT($K62:V62,$K98:V98)/SUM($K62:V62),0)</f>
        <v>923.2290014943319</v>
      </c>
      <c r="W225" s="638">
        <f>IF(SUM($K62:W62)&gt;0,SUMPRODUCT($K62:W62,$K98:W98)/SUM($K62:W62),0)</f>
        <v>923.01844131052167</v>
      </c>
      <c r="X225" s="638">
        <f>IF(SUM($K62:X62)&gt;0,SUMPRODUCT($K62:X62,$K98:X98)/SUM($K62:X62),0)</f>
        <v>923.07047247968831</v>
      </c>
      <c r="Y225" s="638">
        <f>IF(SUM($K62:Y62)&gt;0,SUMPRODUCT($K62:Y62,$K98:Y98)/SUM($K62:Y62),0)</f>
        <v>923.35072140645116</v>
      </c>
      <c r="Z225" s="638">
        <f>IF(SUM($K62:Z62)&gt;0,SUMPRODUCT($K62:Z62,$K98:Z98)/SUM($K62:Z62),0)</f>
        <v>923.83056306895253</v>
      </c>
      <c r="AA225" s="638">
        <f>IF(SUM($K62:AA62)&gt;0,SUMPRODUCT($K62:AA62,$K98:AA98)/SUM($K62:AA62),0)</f>
        <v>924.48596752067954</v>
      </c>
      <c r="AB225" s="638">
        <f>IF(SUM($K62:AB62)&gt;0,SUMPRODUCT($K62:AB62,$K98:AB98)/SUM($K62:AB62),0)</f>
        <v>925.29661342635643</v>
      </c>
      <c r="AC225" s="638">
        <f>IF(SUM($K62:AC62)&gt;0,SUMPRODUCT($K62:AC62,$K98:AC98)/SUM($K62:AC62),0)</f>
        <v>926.24519918995611</v>
      </c>
      <c r="AD225" s="638">
        <f>IF(SUM($K62:AD62)&gt;0,SUMPRODUCT($K62:AD62,$K98:AD98)/SUM($K62:AD62),0)</f>
        <v>927.31690213171055</v>
      </c>
      <c r="AE225" s="639">
        <f>IF(SUM($K62:AE62)&gt;0,SUMPRODUCT($K62:AE62,$K98:AE98)/SUM($K62:AE62),0)</f>
        <v>928.1012958611625</v>
      </c>
      <c r="AF225" s="940"/>
      <c r="AG225" s="940" t="s">
        <v>554</v>
      </c>
      <c r="AH225" s="940"/>
      <c r="AI225" s="940"/>
      <c r="AJ225" s="345"/>
    </row>
    <row r="226" spans="1:36" s="301" customFormat="1" ht="12.75" customHeight="1" outlineLevel="1">
      <c r="A226" s="561">
        <v>207</v>
      </c>
      <c r="C226" s="10"/>
      <c r="D226" s="33"/>
      <c r="F226" s="331"/>
      <c r="G226" s="331"/>
      <c r="H226" s="331"/>
      <c r="I226" s="331"/>
      <c r="J226" s="331"/>
      <c r="K226" s="331"/>
      <c r="L226" s="331"/>
      <c r="M226" s="331"/>
      <c r="N226" s="349"/>
      <c r="O226" s="296"/>
      <c r="P226" s="331"/>
      <c r="Q226" s="331"/>
      <c r="R226" s="331"/>
      <c r="S226" s="331"/>
      <c r="T226" s="331"/>
      <c r="U226" s="331"/>
      <c r="V226" s="331"/>
      <c r="W226" s="331"/>
      <c r="X226" s="331"/>
      <c r="Y226" s="331"/>
      <c r="Z226" s="331"/>
      <c r="AA226" s="331"/>
      <c r="AB226" s="331"/>
      <c r="AC226" s="331"/>
      <c r="AD226" s="331"/>
      <c r="AE226" s="331"/>
      <c r="AF226" s="940"/>
      <c r="AG226" s="940"/>
      <c r="AH226" s="940"/>
      <c r="AI226" s="940"/>
      <c r="AJ226" s="345"/>
    </row>
    <row r="227" spans="1:36" s="301" customFormat="1" ht="114.75" outlineLevel="1">
      <c r="A227" s="561">
        <v>208</v>
      </c>
      <c r="C227" s="10"/>
      <c r="D227" s="33"/>
      <c r="E227" s="211" t="s">
        <v>577</v>
      </c>
      <c r="F227" s="331"/>
      <c r="G227" s="331"/>
      <c r="H227" s="331"/>
      <c r="I227" s="331"/>
      <c r="J227" s="331"/>
      <c r="K227" s="331"/>
      <c r="L227" s="331"/>
      <c r="M227" s="331"/>
      <c r="N227" s="349"/>
      <c r="O227" s="296"/>
      <c r="P227" s="331"/>
      <c r="Q227" s="331"/>
      <c r="R227" s="331"/>
      <c r="S227" s="331"/>
      <c r="T227" s="331"/>
      <c r="U227" s="331"/>
      <c r="V227" s="331"/>
      <c r="W227" s="331"/>
      <c r="X227" s="331"/>
      <c r="Y227" s="331"/>
      <c r="Z227" s="331"/>
      <c r="AA227" s="331"/>
      <c r="AB227" s="331"/>
      <c r="AC227" s="331"/>
      <c r="AD227" s="331"/>
      <c r="AE227" s="331"/>
      <c r="AF227" s="940"/>
      <c r="AG227" s="940" t="s">
        <v>576</v>
      </c>
      <c r="AH227" s="940"/>
      <c r="AI227" s="940"/>
      <c r="AJ227" s="345" t="s">
        <v>578</v>
      </c>
    </row>
    <row r="228" spans="1:36" s="301" customFormat="1" ht="12.75" customHeight="1" outlineLevel="1">
      <c r="A228" s="561">
        <v>209</v>
      </c>
      <c r="C228" s="10"/>
      <c r="D228" s="33"/>
      <c r="E228" s="321" t="s">
        <v>25</v>
      </c>
      <c r="F228" s="323"/>
      <c r="G228" s="323"/>
      <c r="H228" s="323"/>
      <c r="I228" s="323"/>
      <c r="J228" s="323"/>
      <c r="K228" s="197">
        <f t="shared" ref="K228:K234" si="23">(0.5*K56*K92)*K47/1000</f>
        <v>0.57525142472999935</v>
      </c>
      <c r="L228" s="323">
        <f>(SUMPRODUCT($K56:K56,$K92:K92) + 0.5*L56*L92)*L47/1000</f>
        <v>1.1932944564099985</v>
      </c>
      <c r="M228" s="323">
        <f>(SUMPRODUCT($K56:L56,$K92:L92) + 0.5*M56*M92)*M47/1000</f>
        <v>1.246767263359998</v>
      </c>
      <c r="N228" s="324">
        <f>(SUMPRODUCT($K56:M56,$K92:M92) + 0.5*N56*N92)*N47/1000</f>
        <v>1.2871184633599981</v>
      </c>
      <c r="O228" s="327">
        <f>(SUMPRODUCT($K56:N56,$K92:N92) + 0.5*O56*O92)*O47/1000</f>
        <v>1.3504144633599979</v>
      </c>
      <c r="P228" s="323">
        <f>(SUMPRODUCT($K56:O56,$K92:O92) + 0.5*P56*P92)*P47/1000</f>
        <v>1.4097544633599979</v>
      </c>
      <c r="Q228" s="323">
        <f>(SUMPRODUCT($K56:P56,$K92:P92) + 0.5*Q56*Q92)*Q47/1000</f>
        <v>1.4631184633599978</v>
      </c>
      <c r="R228" s="323">
        <f>(SUMPRODUCT($K56:Q56,$K92:Q92) + 0.5*R56*R92)*R47/1000</f>
        <v>1.5114704633599976</v>
      </c>
      <c r="S228" s="323">
        <f>(SUMPRODUCT($K56:R56,$K92:R92) + 0.5*S56*S92)*S47/1000</f>
        <v>1.5528909633599977</v>
      </c>
      <c r="T228" s="323">
        <f>(SUMPRODUCT($K56:S56,$K92:S92) + 0.5*T56*T92)*T47/1000</f>
        <v>1.5943389633599976</v>
      </c>
      <c r="U228" s="323">
        <f>(SUMPRODUCT($K56:T56,$K92:T92) + 0.5*U56*U92)*U47/1000</f>
        <v>1.6358144633599978</v>
      </c>
      <c r="V228" s="323">
        <f>(SUMPRODUCT($K56:U56,$K92:U92) + 0.5*V56*V92)*V47/1000</f>
        <v>1.6773174633599977</v>
      </c>
      <c r="W228" s="323">
        <f>(SUMPRODUCT($K56:V56,$K92:V92) + 0.5*W56*W92)*W47/1000</f>
        <v>1.7188314633599975</v>
      </c>
      <c r="X228" s="323">
        <f>(SUMPRODUCT($K56:W56,$K92:W92) + 0.5*X56*X92)*X47/1000</f>
        <v>1.7603454633599975</v>
      </c>
      <c r="Y228" s="323">
        <f>(SUMPRODUCT($K56:X56,$K92:X92) + 0.5*Y56*Y92)*Y47/1000</f>
        <v>1.8018594633599974</v>
      </c>
      <c r="Z228" s="323">
        <f>(SUMPRODUCT($K56:Y56,$K92:Y92) + 0.5*Z56*Z92)*Z47/1000</f>
        <v>1.8433734633599972</v>
      </c>
      <c r="AA228" s="323">
        <f>(SUMPRODUCT($K56:Z56,$K92:Z92) + 0.5*AA56*AA92)*AA47/1000</f>
        <v>1.884887463359997</v>
      </c>
      <c r="AB228" s="323">
        <f>(SUMPRODUCT($K56:AA56,$K92:AA92) + 0.5*AB56*AB92)*AB47/1000</f>
        <v>1.9264014633599971</v>
      </c>
      <c r="AC228" s="323">
        <f>(SUMPRODUCT($K56:AB56,$K92:AB92) + 0.5*AC56*AC92)*AC47/1000</f>
        <v>1.9679154633599969</v>
      </c>
      <c r="AD228" s="323">
        <f>(SUMPRODUCT($K56:AC56,$K92:AC92) + 0.5*AD56*AD92)*AD47/1000</f>
        <v>2.0094294633599969</v>
      </c>
      <c r="AE228" s="324">
        <f>(SUMPRODUCT($K56:AD56,$K92:AD92) + 0.5*AE56*AE92)*AE47/1000</f>
        <v>2.0509434633599968</v>
      </c>
      <c r="AF228" s="940" t="s">
        <v>605</v>
      </c>
      <c r="AG228" s="940" t="s">
        <v>576</v>
      </c>
      <c r="AH228" s="940"/>
      <c r="AI228" s="940"/>
    </row>
    <row r="229" spans="1:36" s="301" customFormat="1" ht="12.75" customHeight="1" outlineLevel="1">
      <c r="A229" s="561">
        <v>210</v>
      </c>
      <c r="C229" s="10"/>
      <c r="D229" s="33"/>
      <c r="E229" s="16" t="s">
        <v>50</v>
      </c>
      <c r="F229" s="332"/>
      <c r="G229" s="332"/>
      <c r="H229" s="332"/>
      <c r="I229" s="332"/>
      <c r="J229" s="332"/>
      <c r="K229" s="57">
        <f t="shared" si="23"/>
        <v>6.6406790999999743E-2</v>
      </c>
      <c r="L229" s="332">
        <f>(SUMPRODUCT($K57:K57,$K93:K93) + 0.5*L57*L93)*L48/1000</f>
        <v>0.13873742399999947</v>
      </c>
      <c r="M229" s="332">
        <f>(SUMPRODUCT($K57:L57,$K93:L93) + 0.5*M57*M93)*M48/1000</f>
        <v>0.14801366599999941</v>
      </c>
      <c r="N229" s="333">
        <f>(SUMPRODUCT($K57:M57,$K93:M93) + 0.5*N57*N93)*N48/1000</f>
        <v>0.16266706599999942</v>
      </c>
      <c r="O229" s="334">
        <f>(SUMPRODUCT($K57:N57,$K93:N93) + 0.5*O57*O93)*O48/1000</f>
        <v>0.17765306599999942</v>
      </c>
      <c r="P229" s="332">
        <f>(SUMPRODUCT($K57:O57,$K93:O93) + 0.5*P57*P93)*P48/1000</f>
        <v>0.1847104313395779</v>
      </c>
      <c r="Q229" s="332">
        <f>(SUMPRODUCT($K57:P57,$K93:P93) + 0.5*Q57*Q93)*Q48/1000</f>
        <v>0.1920050739068791</v>
      </c>
      <c r="R229" s="332">
        <f>(SUMPRODUCT($K57:Q57,$K93:Q93) + 0.5*R57*R93)*R48/1000</f>
        <v>0.19957535113460187</v>
      </c>
      <c r="S229" s="332">
        <f>(SUMPRODUCT($K57:R57,$K93:R93) + 0.5*S57*S93)*S48/1000</f>
        <v>0.20673082914046698</v>
      </c>
      <c r="T229" s="332">
        <f>(SUMPRODUCT($K57:S57,$K93:S93) + 0.5*T57*T93)*T48/1000</f>
        <v>0.21373336887472716</v>
      </c>
      <c r="U229" s="332">
        <f>(SUMPRODUCT($K57:T57,$K93:T93) + 0.5*U57*U93)*U48/1000</f>
        <v>0.22143766137235299</v>
      </c>
      <c r="V229" s="332">
        <f>(SUMPRODUCT($K57:U57,$K93:U93) + 0.5*V57*V93)*V48/1000</f>
        <v>0.2299241868275741</v>
      </c>
      <c r="W229" s="332">
        <f>(SUMPRODUCT($K57:V57,$K93:V93) + 0.5*W57*W93)*W48/1000</f>
        <v>0.25671355880825042</v>
      </c>
      <c r="X229" s="332">
        <f>(SUMPRODUCT($K57:W57,$K93:W93) + 0.5*X57*X93)*X48/1000</f>
        <v>0.3017377133976224</v>
      </c>
      <c r="Y229" s="332">
        <f>(SUMPRODUCT($K57:X57,$K93:X93) + 0.5*Y57*Y93)*Y48/1000</f>
        <v>0.34676186798699432</v>
      </c>
      <c r="Z229" s="332">
        <f>(SUMPRODUCT($K57:Y57,$K93:Y93) + 0.5*Z57*Z93)*Z48/1000</f>
        <v>0.3917860225763663</v>
      </c>
      <c r="AA229" s="332">
        <f>(SUMPRODUCT($K57:Z57,$K93:Z93) + 0.5*AA57*AA93)*AA48/1000</f>
        <v>0.43681017716573828</v>
      </c>
      <c r="AB229" s="332">
        <f>(SUMPRODUCT($K57:AA57,$K93:AA93) + 0.5*AB57*AB93)*AB48/1000</f>
        <v>0.4818343317551102</v>
      </c>
      <c r="AC229" s="332">
        <f>(SUMPRODUCT($K57:AB57,$K93:AB93) + 0.5*AC57*AC93)*AC48/1000</f>
        <v>0.52685848634448218</v>
      </c>
      <c r="AD229" s="332">
        <f>(SUMPRODUCT($K57:AC57,$K93:AC93) + 0.5*AD57*AD93)*AD48/1000</f>
        <v>0.57188264093385421</v>
      </c>
      <c r="AE229" s="333">
        <f>(SUMPRODUCT($K57:AD57,$K93:AD93) + 0.5*AE57*AE93)*AE48/1000</f>
        <v>0.61690679552322614</v>
      </c>
      <c r="AF229" s="940" t="s">
        <v>605</v>
      </c>
      <c r="AG229" s="940" t="s">
        <v>576</v>
      </c>
      <c r="AH229" s="940"/>
      <c r="AI229" s="940"/>
    </row>
    <row r="230" spans="1:36" s="301" customFormat="1" ht="12.75" customHeight="1" outlineLevel="1">
      <c r="A230" s="561">
        <v>211</v>
      </c>
      <c r="C230" s="10"/>
      <c r="D230" s="33"/>
      <c r="E230" s="16" t="s">
        <v>13</v>
      </c>
      <c r="F230" s="332"/>
      <c r="G230" s="332"/>
      <c r="H230" s="332"/>
      <c r="I230" s="332"/>
      <c r="J230" s="332"/>
      <c r="K230" s="57">
        <f t="shared" si="23"/>
        <v>0.65751134</v>
      </c>
      <c r="L230" s="332">
        <f>(SUMPRODUCT($K58:K58,$K94:K94) + 0.5*L58*L94)*L49/1000</f>
        <v>1.7649666799999999</v>
      </c>
      <c r="M230" s="332">
        <f>(SUMPRODUCT($K58:L58,$K94:L94) + 0.5*M58*M94)*M49/1000</f>
        <v>2.8284846799999999</v>
      </c>
      <c r="N230" s="333">
        <f>(SUMPRODUCT($K58:M58,$K94:M94) + 0.5*N58*N94)*N49/1000</f>
        <v>4.2970808420000024</v>
      </c>
      <c r="O230" s="334">
        <f>(SUMPRODUCT($K58:N58,$K94:N94) + 0.5*O58*O94)*O49/1000</f>
        <v>5.8171703220000044</v>
      </c>
      <c r="P230" s="332">
        <f>(SUMPRODUCT($K58:O58,$K94:O94) + 0.5*P58*P94)*P49/1000</f>
        <v>6.834237640000004</v>
      </c>
      <c r="Q230" s="332">
        <f>(SUMPRODUCT($K58:P58,$K94:P94) + 0.5*Q58*Q94)*Q49/1000</f>
        <v>7.4342376400000036</v>
      </c>
      <c r="R230" s="332">
        <f>(SUMPRODUCT($K58:Q58,$K94:Q94) + 0.5*R58*R94)*R49/1000</f>
        <v>8.5000971400000029</v>
      </c>
      <c r="S230" s="332">
        <f>(SUMPRODUCT($K58:R58,$K94:R94) + 0.5*S58*S94)*S49/1000</f>
        <v>10.093060640000003</v>
      </c>
      <c r="T230" s="332">
        <f>(SUMPRODUCT($K58:S58,$K94:S94) + 0.5*T58*T94)*T49/1000</f>
        <v>11.603816140000005</v>
      </c>
      <c r="U230" s="332">
        <f>(SUMPRODUCT($K58:T58,$K94:T94) + 0.5*U58*U94)*U49/1000</f>
        <v>13.037501640000004</v>
      </c>
      <c r="V230" s="332">
        <f>(SUMPRODUCT($K58:U58,$K94:U94) + 0.5*V58*V94)*V49/1000</f>
        <v>14.397236640000003</v>
      </c>
      <c r="W230" s="332">
        <f>(SUMPRODUCT($K58:V58,$K94:V94) + 0.5*W58*W94)*W49/1000</f>
        <v>15.458937640000004</v>
      </c>
      <c r="X230" s="332">
        <f>(SUMPRODUCT($K58:W58,$K94:W94) + 0.5*X58*X94)*X49/1000</f>
        <v>16.258937640000003</v>
      </c>
      <c r="Y230" s="332">
        <f>(SUMPRODUCT($K58:X58,$K94:X94) + 0.5*Y58*Y94)*Y49/1000</f>
        <v>17.058937640000003</v>
      </c>
      <c r="Z230" s="332">
        <f>(SUMPRODUCT($K58:Y58,$K94:Y94) + 0.5*Z58*Z94)*Z49/1000</f>
        <v>17.858937640000004</v>
      </c>
      <c r="AA230" s="332">
        <f>(SUMPRODUCT($K58:Z58,$K94:Z94) + 0.5*AA58*AA94)*AA49/1000</f>
        <v>18.658937640000005</v>
      </c>
      <c r="AB230" s="332">
        <f>(SUMPRODUCT($K58:AA58,$K94:AA94) + 0.5*AB58*AB94)*AB49/1000</f>
        <v>19.458937640000002</v>
      </c>
      <c r="AC230" s="332">
        <f>(SUMPRODUCT($K58:AB58,$K94:AB94) + 0.5*AC58*AC94)*AC49/1000</f>
        <v>20.258937640000003</v>
      </c>
      <c r="AD230" s="332">
        <f>(SUMPRODUCT($K58:AC58,$K94:AC94) + 0.5*AD58*AD94)*AD49/1000</f>
        <v>21.058937640000003</v>
      </c>
      <c r="AE230" s="333">
        <f>(SUMPRODUCT($K58:AD58,$K94:AD94) + 0.5*AE58*AE94)*AE49/1000</f>
        <v>21.858937640000004</v>
      </c>
      <c r="AF230" s="940" t="s">
        <v>605</v>
      </c>
      <c r="AG230" s="940" t="s">
        <v>576</v>
      </c>
      <c r="AH230" s="940"/>
      <c r="AI230" s="940"/>
    </row>
    <row r="231" spans="1:36" s="301" customFormat="1" ht="12.75" customHeight="1" outlineLevel="1">
      <c r="A231" s="561">
        <v>212</v>
      </c>
      <c r="C231" s="10"/>
      <c r="D231" s="33"/>
      <c r="E231" s="16" t="s">
        <v>12</v>
      </c>
      <c r="F231" s="332"/>
      <c r="G231" s="332"/>
      <c r="H231" s="332"/>
      <c r="I231" s="332"/>
      <c r="J231" s="332"/>
      <c r="K231" s="57">
        <f t="shared" si="23"/>
        <v>0</v>
      </c>
      <c r="L231" s="332">
        <f>(SUMPRODUCT($K59:K59,$K95:K95) + 0.5*L59*L95)*L50/1000</f>
        <v>1.0852499999999996E-2</v>
      </c>
      <c r="M231" s="332">
        <f>(SUMPRODUCT($K59:L59,$K95:L95) + 0.5*M59*M95)*M50/1000</f>
        <v>2.8008999999999992E-2</v>
      </c>
      <c r="N231" s="333">
        <f>(SUMPRODUCT($K59:M59,$K95:M95) + 0.5*N59*N95)*N50/1000</f>
        <v>5.0072999999999986E-2</v>
      </c>
      <c r="O231" s="334">
        <f>(SUMPRODUCT($K59:N59,$K95:N95) + 0.5*O59*O95)*O50/1000</f>
        <v>7.8644999999999979E-2</v>
      </c>
      <c r="P231" s="332">
        <f>(SUMPRODUCT($K59:O59,$K95:O95) + 0.5*P59*P95)*P50/1000</f>
        <v>0.10509949999999998</v>
      </c>
      <c r="Q231" s="332">
        <f>(SUMPRODUCT($K59:P59,$K95:P95) + 0.5*Q59*Q95)*Q50/1000</f>
        <v>0.14482849999999997</v>
      </c>
      <c r="R231" s="332">
        <f>(SUMPRODUCT($K59:Q59,$K95:Q95) + 0.5*R59*R95)*R50/1000</f>
        <v>0.23889499999999997</v>
      </c>
      <c r="S231" s="332">
        <f>(SUMPRODUCT($K59:R59,$K95:R95) + 0.5*S59*S95)*S50/1000</f>
        <v>0.38391900000000001</v>
      </c>
      <c r="T231" s="332">
        <f>(SUMPRODUCT($K59:S59,$K95:S95) + 0.5*T59*T95)*T50/1000</f>
        <v>0.54707099999999997</v>
      </c>
      <c r="U231" s="332">
        <f>(SUMPRODUCT($K59:T59,$K95:T95) + 0.5*U59*U95)*U50/1000</f>
        <v>0.72608500000000009</v>
      </c>
      <c r="V231" s="332">
        <f>(SUMPRODUCT($K59:U59,$K95:U95) + 0.5*V59*V95)*V50/1000</f>
        <v>0.92096100000000014</v>
      </c>
      <c r="W231" s="332">
        <f>(SUMPRODUCT($K59:V59,$K95:V95) + 0.5*W59*W95)*W50/1000</f>
        <v>1.0455910000000002</v>
      </c>
      <c r="X231" s="332">
        <f>(SUMPRODUCT($K59:W59,$K95:W95) + 0.5*X59*X95)*X50/1000</f>
        <v>1.090911</v>
      </c>
      <c r="Y231" s="332">
        <f>(SUMPRODUCT($K59:X59,$K95:X95) + 0.5*Y59*Y95)*Y50/1000</f>
        <v>1.136231</v>
      </c>
      <c r="Z231" s="332">
        <f>(SUMPRODUCT($K59:Y59,$K95:Y95) + 0.5*Z59*Z95)*Z50/1000</f>
        <v>1.181551</v>
      </c>
      <c r="AA231" s="332">
        <f>(SUMPRODUCT($K59:Z59,$K95:Z95) + 0.5*AA59*AA95)*AA50/1000</f>
        <v>1.2268709999999998</v>
      </c>
      <c r="AB231" s="332">
        <f>(SUMPRODUCT($K59:AA59,$K95:AA95) + 0.5*AB59*AB95)*AB50/1000</f>
        <v>1.2721909999999998</v>
      </c>
      <c r="AC231" s="332">
        <f>(SUMPRODUCT($K59:AB59,$K95:AB95) + 0.5*AC59*AC95)*AC50/1000</f>
        <v>1.3175109999999997</v>
      </c>
      <c r="AD231" s="332">
        <f>(SUMPRODUCT($K59:AC59,$K95:AC95) + 0.5*AD59*AD95)*AD50/1000</f>
        <v>1.3628309999999997</v>
      </c>
      <c r="AE231" s="333">
        <f>(SUMPRODUCT($K59:AD59,$K95:AD95) + 0.5*AE59*AE95)*AE50/1000</f>
        <v>1.4081509999999997</v>
      </c>
      <c r="AF231" s="940" t="s">
        <v>605</v>
      </c>
      <c r="AG231" s="940" t="s">
        <v>576</v>
      </c>
      <c r="AH231" s="940"/>
      <c r="AI231" s="940"/>
    </row>
    <row r="232" spans="1:36" s="301" customFormat="1" ht="12.75" customHeight="1" outlineLevel="1">
      <c r="A232" s="561">
        <v>213</v>
      </c>
      <c r="C232" s="10"/>
      <c r="D232" s="33"/>
      <c r="E232" s="16" t="s">
        <v>24</v>
      </c>
      <c r="F232" s="332"/>
      <c r="G232" s="332"/>
      <c r="H232" s="332"/>
      <c r="I232" s="332"/>
      <c r="J232" s="332"/>
      <c r="K232" s="57">
        <f t="shared" si="23"/>
        <v>4.2764260403075847</v>
      </c>
      <c r="L232" s="332">
        <f>(SUMPRODUCT($K60:K60,$K96:K96) + 0.5*L60*L96)*L51/1000</f>
        <v>13.702182312605201</v>
      </c>
      <c r="M232" s="332">
        <f>(SUMPRODUCT($K60:L60,$K96:L96) + 0.5*M60*M96)*M51/1000</f>
        <v>25.384958587989953</v>
      </c>
      <c r="N232" s="333">
        <f>(SUMPRODUCT($K60:M60,$K96:M96) + 0.5*N60*N96)*N51/1000</f>
        <v>34.842306540078191</v>
      </c>
      <c r="O232" s="334">
        <f>(SUMPRODUCT($K60:N60,$K96:N96) + 0.5*O60*O96)*O51/1000</f>
        <v>39.635011327747591</v>
      </c>
      <c r="P232" s="332">
        <f>(SUMPRODUCT($K60:O60,$K96:O96) + 0.5*P60*P96)*P51/1000</f>
        <v>43.372617085699339</v>
      </c>
      <c r="Q232" s="332">
        <f>(SUMPRODUCT($K60:P60,$K96:P96) + 0.5*Q60*Q96)*Q51/1000</f>
        <v>47.110222843651094</v>
      </c>
      <c r="R232" s="332">
        <f>(SUMPRODUCT($K60:Q60,$K96:Q96) + 0.5*R60*R96)*R51/1000</f>
        <v>51.166025722626969</v>
      </c>
      <c r="S232" s="332">
        <f>(SUMPRODUCT($K60:R60,$K96:R96) + 0.5*S60*S96)*S51/1000</f>
        <v>56.143025722626966</v>
      </c>
      <c r="T232" s="332">
        <f>(SUMPRODUCT($K60:S60,$K96:S96) + 0.5*T60*T96)*T51/1000</f>
        <v>61.775525722626966</v>
      </c>
      <c r="U232" s="332">
        <f>(SUMPRODUCT($K60:T60,$K96:T96) + 0.5*U60*U96)*U51/1000</f>
        <v>67.501775722626974</v>
      </c>
      <c r="V232" s="332">
        <f>(SUMPRODUCT($K60:U60,$K96:U96) + 0.5*V60*V96)*V51/1000</f>
        <v>73.314275722626974</v>
      </c>
      <c r="W232" s="332">
        <f>(SUMPRODUCT($K60:V60,$K96:V96) + 0.5*W60*W96)*W51/1000</f>
        <v>79.236025722626977</v>
      </c>
      <c r="X232" s="332">
        <f>(SUMPRODUCT($K60:W60,$K96:W96) + 0.5*X60*X96)*X51/1000</f>
        <v>85.264859055960301</v>
      </c>
      <c r="Y232" s="332">
        <f>(SUMPRODUCT($K60:X60,$K96:X96) + 0.5*Y60*Y96)*Y51/1000</f>
        <v>91.367120960722218</v>
      </c>
      <c r="Z232" s="332">
        <f>(SUMPRODUCT($K60:Y60,$K96:Y96) + 0.5*Z60*Z96)*Z51/1000</f>
        <v>97.522924532150796</v>
      </c>
      <c r="AA232" s="332">
        <f>(SUMPRODUCT($K60:Z60,$K96:Z96) + 0.5*AA60*AA96)*AA51/1000</f>
        <v>103.71952175437301</v>
      </c>
      <c r="AB232" s="332">
        <f>(SUMPRODUCT($K60:AA60,$K96:AA96) + 0.5*AB60*AB96)*AB51/1000</f>
        <v>109.94824397659524</v>
      </c>
      <c r="AC232" s="332">
        <f>(SUMPRODUCT($K60:AB60,$K96:AB96) + 0.5*AC60*AC96)*AC51/1000</f>
        <v>116.20292579477706</v>
      </c>
      <c r="AD232" s="332">
        <f>(SUMPRODUCT($K60:AC60,$K96:AC96) + 0.5*AD60*AD96)*AD51/1000</f>
        <v>122.47902427962553</v>
      </c>
      <c r="AE232" s="333">
        <f>(SUMPRODUCT($K60:AD60,$K96:AD96) + 0.5*AE60*AE96)*AE51/1000</f>
        <v>128.8719409462922</v>
      </c>
      <c r="AF232" s="940" t="s">
        <v>605</v>
      </c>
      <c r="AG232" s="940" t="s">
        <v>576</v>
      </c>
      <c r="AH232" s="940"/>
      <c r="AI232" s="940"/>
    </row>
    <row r="233" spans="1:36" s="301" customFormat="1" ht="12.75" customHeight="1" outlineLevel="1">
      <c r="A233" s="561">
        <v>214</v>
      </c>
      <c r="C233" s="10"/>
      <c r="D233" s="33"/>
      <c r="E233" s="16" t="s">
        <v>26</v>
      </c>
      <c r="F233" s="332"/>
      <c r="G233" s="332"/>
      <c r="H233" s="332"/>
      <c r="I233" s="332"/>
      <c r="J233" s="332"/>
      <c r="K233" s="57">
        <f t="shared" si="23"/>
        <v>3.9622590000000004</v>
      </c>
      <c r="L233" s="332">
        <f>(SUMPRODUCT($K61:K61,$K97:K97) + 0.5*L61*L97)*L52/1000</f>
        <v>9.4722070000000009</v>
      </c>
      <c r="M233" s="332">
        <f>(SUMPRODUCT($K61:L61,$K97:L97) + 0.5*M61*M97)*M52/1000</f>
        <v>13.315970000000002</v>
      </c>
      <c r="N233" s="333">
        <f>(SUMPRODUCT($K61:M61,$K97:M97) + 0.5*N61*N97)*N52/1000</f>
        <v>17.468591</v>
      </c>
      <c r="O233" s="334">
        <f>(SUMPRODUCT($K61:N61,$K97:N97) + 0.5*O61*O97)*O52/1000</f>
        <v>21.516823000000002</v>
      </c>
      <c r="P233" s="332">
        <f>(SUMPRODUCT($K61:O61,$K97:O97) + 0.5*P61*P97)*P52/1000</f>
        <v>24.142347000000001</v>
      </c>
      <c r="Q233" s="332">
        <f>(SUMPRODUCT($K61:P61,$K97:P97) + 0.5*Q61*Q97)*Q52/1000</f>
        <v>24.576186</v>
      </c>
      <c r="R233" s="332">
        <f>(SUMPRODUCT($K61:Q61,$K97:Q97) + 0.5*R61*R97)*R52/1000</f>
        <v>25.303278000000002</v>
      </c>
      <c r="S233" s="332">
        <f>(SUMPRODUCT($K61:R61,$K97:R97) + 0.5*S61*S97)*S52/1000</f>
        <v>27.624991000000001</v>
      </c>
      <c r="T233" s="332">
        <f>(SUMPRODUCT($K61:S61,$K97:S97) + 0.5*T61*T97)*T52/1000</f>
        <v>31.626999999999999</v>
      </c>
      <c r="U233" s="332">
        <f>(SUMPRODUCT($K61:T61,$K97:T97) + 0.5*U61*U97)*U52/1000</f>
        <v>35.965788000000003</v>
      </c>
      <c r="V233" s="332">
        <f>(SUMPRODUCT($K61:U61,$K97:U97) + 0.5*V61*V97)*V52/1000</f>
        <v>40.001914000000006</v>
      </c>
      <c r="W233" s="332">
        <f>(SUMPRODUCT($K61:V61,$K97:V97) + 0.5*W61*W97)*W52/1000</f>
        <v>44.2406808</v>
      </c>
      <c r="X233" s="332">
        <f>(SUMPRODUCT($K61:W61,$K97:W97) + 0.5*X61*X97)*X52/1000</f>
        <v>48.528305600000003</v>
      </c>
      <c r="Y233" s="332">
        <f>(SUMPRODUCT($K61:X61,$K97:X97) + 0.5*Y61*Y97)*Y52/1000</f>
        <v>52.849433028571426</v>
      </c>
      <c r="Z233" s="332">
        <f>(SUMPRODUCT($K61:Y61,$K97:Y97) + 0.5*Z61*Z97)*Z52/1000</f>
        <v>57.194989457142853</v>
      </c>
      <c r="AA233" s="332">
        <f>(SUMPRODUCT($K61:Z61,$K97:Z97) + 0.5*AA61*AA97)*AA52/1000</f>
        <v>61.559158457142857</v>
      </c>
      <c r="AB233" s="332">
        <f>(SUMPRODUCT($K61:AA61,$K97:AA97) + 0.5*AB61*AB97)*AB52/1000</f>
        <v>65.937984857142851</v>
      </c>
      <c r="AC233" s="332">
        <f>(SUMPRODUCT($K61:AB61,$K97:AB97) + 0.5*AC61*AC97)*AC52/1000</f>
        <v>70.328655620779216</v>
      </c>
      <c r="AD233" s="332">
        <f>(SUMPRODUCT($K61:AC61,$K97:AC97) + 0.5*AD61*AD97)*AD52/1000</f>
        <v>74.72909798441556</v>
      </c>
      <c r="AE233" s="333">
        <f>(SUMPRODUCT($K61:AD61,$K97:AD97) + 0.5*AE61*AE97)*AE52/1000</f>
        <v>79.18283998441558</v>
      </c>
      <c r="AF233" s="940" t="s">
        <v>605</v>
      </c>
      <c r="AG233" s="940" t="s">
        <v>576</v>
      </c>
      <c r="AH233" s="940"/>
      <c r="AI233" s="940"/>
    </row>
    <row r="234" spans="1:36" s="301" customFormat="1" ht="12.75" customHeight="1" outlineLevel="1">
      <c r="A234" s="561">
        <v>215</v>
      </c>
      <c r="C234" s="10"/>
      <c r="D234" s="33"/>
      <c r="E234" s="303" t="s">
        <v>74</v>
      </c>
      <c r="F234" s="309"/>
      <c r="G234" s="309"/>
      <c r="H234" s="309"/>
      <c r="I234" s="309"/>
      <c r="J234" s="309"/>
      <c r="K234" s="58">
        <f t="shared" si="23"/>
        <v>0.63551999999999997</v>
      </c>
      <c r="L234" s="309">
        <f>(SUMPRODUCT($K62:K62,$K98:K98) + 0.5*L62*L98)*L53/1000</f>
        <v>1.9694400000000001</v>
      </c>
      <c r="M234" s="309">
        <f>(SUMPRODUCT($K62:L62,$K98:L98) + 0.5*M62*M98)*M53/1000</f>
        <v>3.4425600000000003</v>
      </c>
      <c r="N234" s="56">
        <f>(SUMPRODUCT($K62:M62,$K98:M98) + 0.5*N62*N98)*N53/1000</f>
        <v>5.5996425000000007</v>
      </c>
      <c r="O234" s="310">
        <f>(SUMPRODUCT($K62:N62,$K98:N98) + 0.5*O62*O98)*O53/1000</f>
        <v>8.8584475000000005</v>
      </c>
      <c r="P234" s="309">
        <f>(SUMPRODUCT($K62:O62,$K98:O98) + 0.5*P62*P98)*P53/1000</f>
        <v>13.051372500000001</v>
      </c>
      <c r="Q234" s="309">
        <f>(SUMPRODUCT($K62:P62,$K98:P98) + 0.5*Q62*Q98)*Q53/1000</f>
        <v>17.98011</v>
      </c>
      <c r="R234" s="309">
        <f>(SUMPRODUCT($K62:Q62,$K98:Q98) + 0.5*R62*R98)*R53/1000</f>
        <v>23.398970950916535</v>
      </c>
      <c r="S234" s="309">
        <f>(SUMPRODUCT($K62:R62,$K98:R98) + 0.5*S62*S98)*S53/1000</f>
        <v>29.895715743625011</v>
      </c>
      <c r="T234" s="309">
        <f>(SUMPRODUCT($K62:S62,$K98:S98) + 0.5*T62*T98)*T53/1000</f>
        <v>37.247869559457165</v>
      </c>
      <c r="U234" s="309">
        <f>(SUMPRODUCT($K62:T62,$K98:T98) + 0.5*U62*U98)*U53/1000</f>
        <v>44.461027730064622</v>
      </c>
      <c r="V234" s="309">
        <f>(SUMPRODUCT($K62:U62,$K98:U98) + 0.5*V62*V98)*V53/1000</f>
        <v>51.589398340962092</v>
      </c>
      <c r="W234" s="309">
        <f>(SUMPRODUCT($K62:V62,$K98:V98) + 0.5*W62*W98)*W53/1000</f>
        <v>56.544862510646389</v>
      </c>
      <c r="X234" s="309">
        <f>(SUMPRODUCT($K62:W62,$K98:W98) + 0.5*X62*X98)*X53/1000</f>
        <v>59.309337556714951</v>
      </c>
      <c r="Y234" s="309">
        <f>(SUMPRODUCT($K62:X62,$K98:X98) + 0.5*Y62*Y98)*Y53/1000</f>
        <v>62.089815673504276</v>
      </c>
      <c r="Z234" s="309">
        <f>(SUMPRODUCT($K62:Y62,$K98:Y98) + 0.5*Z62*Z98)*Z53/1000</f>
        <v>64.886296861014372</v>
      </c>
      <c r="AA234" s="309">
        <f>(SUMPRODUCT($K62:Z62,$K98:Z98) + 0.5*AA62*AA98)*AA53/1000</f>
        <v>67.69878111924524</v>
      </c>
      <c r="AB234" s="309">
        <f>(SUMPRODUCT($K62:AA62,$K98:AA98) + 0.5*AB62*AB98)*AB53/1000</f>
        <v>70.527268448196892</v>
      </c>
      <c r="AC234" s="309">
        <f>(SUMPRODUCT($K62:AB62,$K98:AB98) + 0.5*AC62*AC98)*AC53/1000</f>
        <v>73.371758847869302</v>
      </c>
      <c r="AD234" s="309">
        <f>(SUMPRODUCT($K62:AC62,$K98:AC98) + 0.5*AD62*AD98)*AD53/1000</f>
        <v>76.232252318262482</v>
      </c>
      <c r="AE234" s="56">
        <f>(SUMPRODUCT($K62:AD62,$K98:AD98) + 0.5*AE62*AE98)*AE53/1000</f>
        <v>79.09149982113928</v>
      </c>
      <c r="AF234" s="940" t="s">
        <v>605</v>
      </c>
      <c r="AG234" s="940" t="s">
        <v>576</v>
      </c>
      <c r="AH234" s="940"/>
      <c r="AI234" s="940"/>
    </row>
    <row r="235" spans="1:36" s="301" customFormat="1" ht="12.75" customHeight="1" outlineLevel="1">
      <c r="A235" s="561">
        <v>216</v>
      </c>
      <c r="C235" s="10"/>
      <c r="D235" s="33"/>
      <c r="E235" s="27" t="s">
        <v>55</v>
      </c>
      <c r="F235" s="325"/>
      <c r="G235" s="325"/>
      <c r="H235" s="325"/>
      <c r="I235" s="325"/>
      <c r="J235" s="325"/>
      <c r="K235" s="325">
        <f>SUM(K228:K234)</f>
        <v>10.173374596037583</v>
      </c>
      <c r="L235" s="325">
        <f t="shared" ref="L235:AE235" si="24">SUM(L228:L234)</f>
        <v>28.251680373015198</v>
      </c>
      <c r="M235" s="325">
        <f t="shared" si="24"/>
        <v>46.394763197349953</v>
      </c>
      <c r="N235" s="326">
        <f t="shared" si="24"/>
        <v>63.707479411438186</v>
      </c>
      <c r="O235" s="300">
        <f t="shared" si="24"/>
        <v>77.434164679107596</v>
      </c>
      <c r="P235" s="325">
        <f t="shared" si="24"/>
        <v>89.100138620398923</v>
      </c>
      <c r="Q235" s="325">
        <f t="shared" si="24"/>
        <v>98.900708520917959</v>
      </c>
      <c r="R235" s="325">
        <f t="shared" si="24"/>
        <v>110.31831262803811</v>
      </c>
      <c r="S235" s="325">
        <f t="shared" si="24"/>
        <v>125.90033389875245</v>
      </c>
      <c r="T235" s="325">
        <f t="shared" si="24"/>
        <v>144.60935475431884</v>
      </c>
      <c r="U235" s="325">
        <f t="shared" si="24"/>
        <v>163.54943021742395</v>
      </c>
      <c r="V235" s="325">
        <f t="shared" si="24"/>
        <v>182.13102735377663</v>
      </c>
      <c r="W235" s="325">
        <f t="shared" si="24"/>
        <v>198.50164269544163</v>
      </c>
      <c r="X235" s="325">
        <f t="shared" si="24"/>
        <v>212.51443402943289</v>
      </c>
      <c r="Y235" s="325">
        <f t="shared" si="24"/>
        <v>226.65015963414493</v>
      </c>
      <c r="Z235" s="325">
        <f t="shared" si="24"/>
        <v>240.87985897624441</v>
      </c>
      <c r="AA235" s="325">
        <f t="shared" si="24"/>
        <v>255.18496761128685</v>
      </c>
      <c r="AB235" s="325">
        <f t="shared" si="24"/>
        <v>269.55286171705006</v>
      </c>
      <c r="AC235" s="325">
        <f t="shared" si="24"/>
        <v>283.97456285313007</v>
      </c>
      <c r="AD235" s="325">
        <f t="shared" si="24"/>
        <v>298.44345532659747</v>
      </c>
      <c r="AE235" s="326">
        <f t="shared" si="24"/>
        <v>313.0812196507303</v>
      </c>
      <c r="AF235" s="940"/>
      <c r="AG235" s="940"/>
      <c r="AH235" s="940"/>
      <c r="AI235" s="940"/>
      <c r="AJ235" s="345"/>
    </row>
    <row r="236" spans="1:36" s="301" customFormat="1" ht="12.75" customHeight="1" outlineLevel="1">
      <c r="A236" s="561">
        <v>217</v>
      </c>
      <c r="C236" s="10"/>
      <c r="D236" s="33"/>
      <c r="F236" s="331"/>
      <c r="G236" s="331"/>
      <c r="H236" s="331"/>
      <c r="I236" s="331"/>
      <c r="J236" s="331"/>
      <c r="K236" s="331"/>
      <c r="L236" s="331"/>
      <c r="M236" s="331"/>
      <c r="N236" s="349"/>
      <c r="O236" s="296"/>
      <c r="P236" s="331"/>
      <c r="Q236" s="331"/>
      <c r="R236" s="331"/>
      <c r="S236" s="331"/>
      <c r="T236" s="331"/>
      <c r="U236" s="331"/>
      <c r="V236" s="331"/>
      <c r="W236" s="331"/>
      <c r="X236" s="331"/>
      <c r="Y236" s="331"/>
      <c r="Z236" s="331"/>
      <c r="AA236" s="331"/>
      <c r="AB236" s="331"/>
      <c r="AC236" s="331"/>
      <c r="AD236" s="331"/>
      <c r="AE236" s="331"/>
      <c r="AF236" s="940"/>
      <c r="AG236" s="940"/>
      <c r="AH236" s="940"/>
      <c r="AI236" s="940"/>
      <c r="AJ236" s="345"/>
    </row>
    <row r="237" spans="1:36" s="301" customFormat="1" ht="54" customHeight="1" outlineLevel="1">
      <c r="A237" s="561">
        <v>218</v>
      </c>
      <c r="C237" s="10"/>
      <c r="D237" s="33"/>
      <c r="E237" s="322" t="s">
        <v>58</v>
      </c>
      <c r="F237" s="331"/>
      <c r="G237" s="331"/>
      <c r="H237" s="331"/>
      <c r="I237" s="331"/>
      <c r="J237" s="331"/>
      <c r="K237" s="331"/>
      <c r="L237" s="331"/>
      <c r="M237" s="1058"/>
      <c r="N237" s="349"/>
      <c r="O237" s="296"/>
      <c r="P237" s="331"/>
      <c r="Q237" s="331"/>
      <c r="R237" s="331"/>
      <c r="S237" s="331"/>
      <c r="T237" s="331"/>
      <c r="U237" s="331"/>
      <c r="V237" s="331"/>
      <c r="W237" s="331"/>
      <c r="X237" s="331"/>
      <c r="Y237" s="331"/>
      <c r="Z237" s="331"/>
      <c r="AA237" s="331"/>
      <c r="AB237" s="331"/>
      <c r="AC237" s="331"/>
      <c r="AD237" s="331"/>
      <c r="AE237" s="331"/>
      <c r="AF237" s="940" t="s">
        <v>576</v>
      </c>
      <c r="AG237" s="940"/>
      <c r="AH237" s="940"/>
      <c r="AI237" s="940"/>
      <c r="AJ237" s="345" t="s">
        <v>579</v>
      </c>
    </row>
    <row r="238" spans="1:36" s="301" customFormat="1" ht="12.75" customHeight="1" outlineLevel="2">
      <c r="A238" s="561">
        <v>219</v>
      </c>
      <c r="C238" s="10"/>
      <c r="D238" s="33"/>
      <c r="E238" s="321" t="s">
        <v>25</v>
      </c>
      <c r="F238" s="323">
        <f>IF(ControlPanel!$D$59&gt;F$5,F101,F74*F47+F228)</f>
        <v>5.444</v>
      </c>
      <c r="G238" s="323">
        <f>IF(ControlPanel!$D$59&gt;G$5,G101,G74*G47+G228)</f>
        <v>6.0667459999999993</v>
      </c>
      <c r="H238" s="323">
        <f>IF(ControlPanel!$D$59&gt;H$5,H101,H74*H47+H228)</f>
        <v>5.8298559999999995</v>
      </c>
      <c r="I238" s="323">
        <f>IF(ControlPanel!$D$59&gt;I$5,I101,I74*I47+I228)</f>
        <v>6.2952879999999993</v>
      </c>
      <c r="J238" s="323">
        <f>IF(ControlPanel!$D$59&gt;J$5,J101,J74*J47+J228)</f>
        <v>6.154331</v>
      </c>
      <c r="K238" s="323">
        <f>IF(ControlPanel!$D$59&gt;K$5,K101,K74*K47+K228)</f>
        <v>6.0918529999999995</v>
      </c>
      <c r="L238" s="323">
        <f>IF(ControlPanel!$D$59&gt;L$5,L101,L74*L47+L228)</f>
        <v>6.2462140000000002</v>
      </c>
      <c r="M238" s="323">
        <f>IF(ControlPanel!$D$59&gt;M$5,M101,M74*M47+M228)</f>
        <v>6.2808169999999999</v>
      </c>
      <c r="N238" s="324">
        <f>IF(ControlPanel!$D$59&gt;N$5,N101,N74*N47+N228)</f>
        <v>5.9237959999999994</v>
      </c>
      <c r="O238" s="327">
        <f>IF(ControlPanel!$D$59&gt;O$5,O101,O74*O47+O228)</f>
        <v>6.5145869999999997</v>
      </c>
      <c r="P238" s="323">
        <f>IF(ControlPanel!$D$59&gt;P$5,P101,P74*P47+P228)</f>
        <v>6.250337</v>
      </c>
      <c r="Q238" s="323">
        <f>IF(ControlPanel!$D$59&gt;Q$5,Q101,Q74*Q47+Q228)</f>
        <v>6.378431</v>
      </c>
      <c r="R238" s="323">
        <f>IF(ControlPanel!$D$59&gt;R$5,R101,R74*R47+R228)</f>
        <v>6.1744319999999995</v>
      </c>
      <c r="S238" s="323">
        <f>IF(ControlPanel!$D$59&gt;S$5,S101,S74*S47+S228)</f>
        <v>7.9182748643176799</v>
      </c>
      <c r="T238" s="323">
        <f>IF(ControlPanel!$D$59&gt;T$5,T101,T74*T47+T228)</f>
        <v>7.9597228643176798</v>
      </c>
      <c r="U238" s="323">
        <f>IF(ControlPanel!$D$59&gt;U$5,U101,U74*U47+U228)</f>
        <v>8.0011983643176805</v>
      </c>
      <c r="V238" s="323">
        <f>IF(ControlPanel!$D$59&gt;V$5,V101,V74*V47+V228)</f>
        <v>8.0427013643176792</v>
      </c>
      <c r="W238" s="323">
        <f>IF(ControlPanel!$D$59&gt;W$5,W101,W74*W47+W228)</f>
        <v>8.0842153643176804</v>
      </c>
      <c r="X238" s="323">
        <f>IF(ControlPanel!$D$59&gt;X$5,X101,X74*X47+X228)</f>
        <v>8.1257293643176798</v>
      </c>
      <c r="Y238" s="323">
        <f>IF(ControlPanel!$D$59&gt;Y$5,Y101,Y74*Y47+Y228)</f>
        <v>8.1672433643176792</v>
      </c>
      <c r="Z238" s="323">
        <f>IF(ControlPanel!$D$59&gt;Z$5,Z101,Z74*Z47+Z228)</f>
        <v>7.6697753311220049</v>
      </c>
      <c r="AA238" s="323">
        <f>IF(ControlPanel!$D$59&gt;AA$5,AA101,AA74*AA47+AA228)</f>
        <v>7.2455546923876017</v>
      </c>
      <c r="AB238" s="323">
        <f>IF(ControlPanel!$D$59&gt;AB$5,AB101,AB74*AB47+AB228)</f>
        <v>6.9661238299348236</v>
      </c>
      <c r="AC238" s="323">
        <f>IF(ControlPanel!$D$59&gt;AC$5,AC101,AC74*AC47+AC228)</f>
        <v>6.8216376223524584</v>
      </c>
      <c r="AD238" s="323">
        <f>IF(ControlPanel!$D$59&gt;AD$5,AD101,AD74*AD47+AD228)</f>
        <v>6.262486395106631</v>
      </c>
      <c r="AE238" s="324">
        <f>IF(ControlPanel!$D$59&gt;AE$5,AE101,AE74*AE47+AE228)</f>
        <v>6.2533480325921094</v>
      </c>
      <c r="AF238" s="940" t="s">
        <v>576</v>
      </c>
      <c r="AG238" s="940"/>
      <c r="AH238" s="940"/>
      <c r="AI238" s="940"/>
      <c r="AJ238" s="1105"/>
    </row>
    <row r="239" spans="1:36" s="301" customFormat="1" ht="12.75" customHeight="1" outlineLevel="2">
      <c r="A239" s="561">
        <v>220</v>
      </c>
      <c r="C239" s="10"/>
      <c r="D239" s="33"/>
      <c r="E239" s="16" t="s">
        <v>50</v>
      </c>
      <c r="F239" s="332">
        <f>IF(ControlPanel!$D$59&gt;F$5,F102,F75*F48+F229)</f>
        <v>1.835</v>
      </c>
      <c r="G239" s="332">
        <f>IF(ControlPanel!$D$59&gt;G$5,G102,G75*G48+G229)</f>
        <v>1.993012</v>
      </c>
      <c r="H239" s="332">
        <f>IF(ControlPanel!$D$59&gt;H$5,H102,H75*H48+H229)</f>
        <v>1.667049</v>
      </c>
      <c r="I239" s="332">
        <f>IF(ControlPanel!$D$59&gt;I$5,I102,I75*I48+I229)</f>
        <v>1.9069669999999999</v>
      </c>
      <c r="J239" s="332">
        <f>IF(ControlPanel!$D$59&gt;J$5,J102,J75*J48+J229)</f>
        <v>1.824149</v>
      </c>
      <c r="K239" s="332">
        <f>IF(ControlPanel!$D$59&gt;K$5,K102,K75*K48+K229)</f>
        <v>1.6785699999999999</v>
      </c>
      <c r="L239" s="332">
        <f>IF(ControlPanel!$D$59&gt;L$5,L102,L75*L48+L229)</f>
        <v>1.607626</v>
      </c>
      <c r="M239" s="332">
        <f>IF(ControlPanel!$D$59&gt;M$5,M102,M75*M48+M229)</f>
        <v>1.3880729999999999</v>
      </c>
      <c r="N239" s="333">
        <f>IF(ControlPanel!$D$59&gt;N$5,N102,N75*N48+N229)</f>
        <v>1.6777449999999998</v>
      </c>
      <c r="O239" s="334">
        <f>IF(ControlPanel!$D$59&gt;O$5,O102,O75*O48+O229)</f>
        <v>1.7078559999999998</v>
      </c>
      <c r="P239" s="332">
        <f>IF(ControlPanel!$D$59&gt;P$5,P102,P75*P48+P229)</f>
        <v>1.4397339999999998</v>
      </c>
      <c r="Q239" s="332">
        <f>IF(ControlPanel!$D$59&gt;Q$5,Q102,Q75*Q48+Q229)</f>
        <v>1.2507809999999999</v>
      </c>
      <c r="R239" s="332">
        <f>IF(ControlPanel!$D$59&gt;R$5,R102,R75*R48+R229)</f>
        <v>1.40089</v>
      </c>
      <c r="S239" s="332">
        <f>IF(ControlPanel!$D$59&gt;S$5,S102,S75*S48+S229)</f>
        <v>0.94870852436085795</v>
      </c>
      <c r="T239" s="332">
        <f>IF(ControlPanel!$D$59&gt;T$5,T102,T75*T48+T229)</f>
        <v>0.65301023634562494</v>
      </c>
      <c r="U239" s="332">
        <f>IF(ControlPanel!$D$59&gt;U$5,U102,U75*U48+U229)</f>
        <v>0.3772665231693284</v>
      </c>
      <c r="V239" s="332">
        <f>IF(ControlPanel!$D$59&gt;V$5,V102,V75*V48+V229)</f>
        <v>0.35529649515235129</v>
      </c>
      <c r="W239" s="332">
        <f>IF(ControlPanel!$D$59&gt;W$5,W102,W75*W48+W229)</f>
        <v>0.35718880733497282</v>
      </c>
      <c r="X239" s="332">
        <f>IF(ControlPanel!$D$59&gt;X$5,X102,X75*X48+X229)</f>
        <v>0.39849041413603148</v>
      </c>
      <c r="Y239" s="332">
        <f>IF(ControlPanel!$D$59&gt;Y$5,Y102,Y75*Y48+Y229)</f>
        <v>0.44038157120179588</v>
      </c>
      <c r="Z239" s="332">
        <f>IF(ControlPanel!$D$59&gt;Z$5,Z102,Z75*Z48+Z229)</f>
        <v>0.44686601596092967</v>
      </c>
      <c r="AA239" s="332">
        <f>IF(ControlPanel!$D$59&gt;AA$5,AA102,AA75*AA48+AA229)</f>
        <v>0.48516261436536323</v>
      </c>
      <c r="AB239" s="332">
        <f>IF(ControlPanel!$D$59&gt;AB$5,AB102,AB75*AB48+AB229)</f>
        <v>0.49693888717165019</v>
      </c>
      <c r="AC239" s="332">
        <f>IF(ControlPanel!$D$59&gt;AC$5,AC102,AC75*AC48+AC229)</f>
        <v>0.53922571679652342</v>
      </c>
      <c r="AD239" s="332">
        <f>IF(ControlPanel!$D$59&gt;AD$5,AD102,AD75*AD48+AD229)</f>
        <v>0.58000293991172824</v>
      </c>
      <c r="AE239" s="333">
        <f>IF(ControlPanel!$D$59&gt;AE$5,AE102,AE75*AE48+AE229)</f>
        <v>0.61690679552322614</v>
      </c>
      <c r="AF239" s="940" t="s">
        <v>576</v>
      </c>
      <c r="AG239" s="940"/>
      <c r="AH239" s="940"/>
      <c r="AI239" s="940"/>
      <c r="AJ239" s="1105"/>
    </row>
    <row r="240" spans="1:36" s="301" customFormat="1" ht="12.75" customHeight="1" outlineLevel="2">
      <c r="A240" s="561">
        <v>221</v>
      </c>
      <c r="C240" s="10"/>
      <c r="D240" s="33"/>
      <c r="E240" s="16" t="s">
        <v>13</v>
      </c>
      <c r="F240" s="332">
        <f>IF(ControlPanel!$D$59&gt;F$5,F103,F76*F49+F230)</f>
        <v>26.262</v>
      </c>
      <c r="G240" s="332">
        <f>IF(ControlPanel!$D$59&gt;G$5,G103,G76*G49+G230)</f>
        <v>27.776935999999999</v>
      </c>
      <c r="H240" s="332">
        <f>IF(ControlPanel!$D$59&gt;H$5,H103,H76*H49+H230)</f>
        <v>30.355590999999997</v>
      </c>
      <c r="I240" s="332">
        <f>IF(ControlPanel!$D$59&gt;I$5,I103,I76*I49+I230)</f>
        <v>33.165135999999997</v>
      </c>
      <c r="J240" s="332">
        <f>IF(ControlPanel!$D$59&gt;J$5,J103,J76*J49+J230)</f>
        <v>34.944730999999997</v>
      </c>
      <c r="K240" s="332">
        <f>IF(ControlPanel!$D$59&gt;K$5,K103,K76*K49+K230)</f>
        <v>38.357603999999995</v>
      </c>
      <c r="L240" s="332">
        <f>IF(ControlPanel!$D$59&gt;L$5,L103,L76*L49+L230)</f>
        <v>40.238844999999998</v>
      </c>
      <c r="M240" s="332">
        <f>IF(ControlPanel!$D$59&gt;M$5,M103,M76*M49+M230)</f>
        <v>40.770392999999999</v>
      </c>
      <c r="N240" s="333">
        <f>IF(ControlPanel!$D$59&gt;N$5,N103,N76*N49+N230)</f>
        <v>41.554488999999997</v>
      </c>
      <c r="O240" s="334">
        <f>IF(ControlPanel!$D$59&gt;O$5,O103,O76*O49+O230)</f>
        <v>41.351619999999997</v>
      </c>
      <c r="P240" s="332">
        <f>IF(ControlPanel!$D$59&gt;P$5,P103,P76*P49+P230)</f>
        <v>41.746690000000001</v>
      </c>
      <c r="Q240" s="332">
        <f>IF(ControlPanel!$D$59&gt;Q$5,Q103,Q76*Q49+Q230)</f>
        <v>40.206693999999999</v>
      </c>
      <c r="R240" s="332">
        <f>IF(ControlPanel!$D$59&gt;R$5,R103,R76*R49+R230)</f>
        <v>37.78369</v>
      </c>
      <c r="S240" s="332">
        <f>IF(ControlPanel!$D$59&gt;S$5,S103,S76*S49+S230)</f>
        <v>45.374889283350001</v>
      </c>
      <c r="T240" s="332">
        <f>IF(ControlPanel!$D$59&gt;T$5,T103,T76*T49+T230)</f>
        <v>45.585518231600005</v>
      </c>
      <c r="U240" s="332">
        <f>IF(ControlPanel!$D$59&gt;U$5,U103,U76*U49+U230)</f>
        <v>43.810302052650002</v>
      </c>
      <c r="V240" s="332">
        <f>IF(ControlPanel!$D$59&gt;V$5,V103,V76*V49+V230)</f>
        <v>41.270422760149998</v>
      </c>
      <c r="W240" s="332">
        <f>IF(ControlPanel!$D$59&gt;W$5,W103,W76*W49+W230)</f>
        <v>37.579072382</v>
      </c>
      <c r="X240" s="332">
        <f>IF(ControlPanel!$D$59&gt;X$5,X103,X76*X49+X230)</f>
        <v>34.78911248</v>
      </c>
      <c r="Y240" s="332">
        <f>IF(ControlPanel!$D$59&gt;Y$5,Y103,Y76*Y49+Y230)</f>
        <v>33.586578258000003</v>
      </c>
      <c r="Z240" s="1272">
        <f>IF(ControlPanel!$D$59&gt;Z$5,Z103,Z76*Z49+Z230)</f>
        <v>31.835137418000002</v>
      </c>
      <c r="AA240" s="332">
        <f>IF(ControlPanel!$D$59&gt;AA$5,AA103,AA76*AA49+AA230)</f>
        <v>29.064239000000008</v>
      </c>
      <c r="AB240" s="332">
        <f>IF(ControlPanel!$D$59&gt;AB$5,AB103,AB76*AB49+AB230)</f>
        <v>23.944383393700001</v>
      </c>
      <c r="AC240" s="332">
        <f>IF(ControlPanel!$D$59&gt;AC$5,AC103,AC76*AC49+AC230)</f>
        <v>22.873071750200005</v>
      </c>
      <c r="AD240" s="332">
        <f>IF(ControlPanel!$D$59&gt;AD$5,AD103,AD76*AD49+AD230)</f>
        <v>22.236208084650002</v>
      </c>
      <c r="AE240" s="333">
        <f>IF(ControlPanel!$D$59&gt;AE$5,AE103,AE76*AE49+AE230)</f>
        <v>21.858937640000004</v>
      </c>
      <c r="AF240" s="940" t="s">
        <v>576</v>
      </c>
      <c r="AG240" s="940"/>
      <c r="AH240" s="940"/>
      <c r="AI240" s="940"/>
      <c r="AJ240" s="1105"/>
    </row>
    <row r="241" spans="1:37" s="301" customFormat="1" ht="12.75" customHeight="1" outlineLevel="2">
      <c r="A241" s="561">
        <v>222</v>
      </c>
      <c r="C241" s="10"/>
      <c r="D241" s="33"/>
      <c r="E241" s="16" t="s">
        <v>12</v>
      </c>
      <c r="F241" s="332">
        <f>IF(ControlPanel!$D$59&gt;F$5,F104,F77*F50+F231)</f>
        <v>3.5999999999999997E-2</v>
      </c>
      <c r="G241" s="332">
        <f>IF(ControlPanel!$D$59&gt;G$5,G104,G77*G50+G231)</f>
        <v>6.1612E-2</v>
      </c>
      <c r="H241" s="332">
        <f>IF(ControlPanel!$D$59&gt;H$5,H104,H77*H50+H231)</f>
        <v>0.10724</v>
      </c>
      <c r="I241" s="332">
        <f>IF(ControlPanel!$D$59&gt;I$5,I104,I77*I50+I231)</f>
        <v>7.6874999999999999E-2</v>
      </c>
      <c r="J241" s="332">
        <f>IF(ControlPanel!$D$59&gt;J$5,J104,J77*J50+J231)</f>
        <v>0.130407</v>
      </c>
      <c r="K241" s="332">
        <f>IF(ControlPanel!$D$59&gt;K$5,K104,K77*K50+K231)</f>
        <v>0.15870499999999998</v>
      </c>
      <c r="L241" s="332">
        <f>IF(ControlPanel!$D$59&gt;L$5,L104,L77*L50+L231)</f>
        <v>0.18035599999999999</v>
      </c>
      <c r="M241" s="332">
        <f>IF(ControlPanel!$D$59&gt;M$5,M104,M77*M50+M231)</f>
        <v>0.189524</v>
      </c>
      <c r="N241" s="333">
        <f>IF(ControlPanel!$D$59&gt;N$5,N104,N77*N50+N231)</f>
        <v>0.25728000000000001</v>
      </c>
      <c r="O241" s="334">
        <f>IF(ControlPanel!$D$59&gt;O$5,O104,O77*O50+O231)</f>
        <v>0.28638599999999997</v>
      </c>
      <c r="P241" s="332">
        <f>IF(ControlPanel!$D$59&gt;P$5,P104,P77*P50+P231)</f>
        <v>0.214729</v>
      </c>
      <c r="Q241" s="332">
        <f>IF(ControlPanel!$D$59&gt;Q$5,Q104,Q77*Q50+Q231)</f>
        <v>0.26771400000000001</v>
      </c>
      <c r="R241" s="332">
        <f>IF(ControlPanel!$D$59&gt;R$5,R104,R77*R50+R231)</f>
        <v>0.34750999999999999</v>
      </c>
      <c r="S241" s="332">
        <f>IF(ControlPanel!$D$59&gt;S$5,S104,S77*S50+S231)</f>
        <v>0.5336078402037342</v>
      </c>
      <c r="T241" s="332">
        <f>IF(ControlPanel!$D$59&gt;T$5,T104,T77*T50+T231)</f>
        <v>0.69675984020373416</v>
      </c>
      <c r="U241" s="332">
        <f>IF(ControlPanel!$D$59&gt;U$5,U104,U77*U50+U231)</f>
        <v>0.87577384020373428</v>
      </c>
      <c r="V241" s="332">
        <f>IF(ControlPanel!$D$59&gt;V$5,V104,V77*V50+V231)</f>
        <v>1.0706498402037343</v>
      </c>
      <c r="W241" s="332">
        <f>IF(ControlPanel!$D$59&gt;W$5,W104,W77*W50+W231)</f>
        <v>1.1952798402037343</v>
      </c>
      <c r="X241" s="332">
        <f>IF(ControlPanel!$D$59&gt;X$5,X104,X77*X50+X231)</f>
        <v>1.2405998402037341</v>
      </c>
      <c r="Y241" s="332">
        <f>IF(ControlPanel!$D$59&gt;Y$5,Y104,Y77*Y50+Y231)</f>
        <v>1.2859198402037342</v>
      </c>
      <c r="Z241" s="332">
        <f>IF(ControlPanel!$D$59&gt;Z$5,Z104,Z77*Z50+Z231)</f>
        <v>1.3218237974711629</v>
      </c>
      <c r="AA241" s="332">
        <f>IF(ControlPanel!$D$59&gt;AA$5,AA104,AA77*AA50+AA231)</f>
        <v>1.3671437974711627</v>
      </c>
      <c r="AB241" s="332">
        <f>IF(ControlPanel!$D$59&gt;AB$5,AB104,AB77*AB50+AB231)</f>
        <v>1.4124637974711627</v>
      </c>
      <c r="AC241" s="332">
        <f>IF(ControlPanel!$D$59&gt;AC$5,AC104,AC77*AC50+AC231)</f>
        <v>1.3976857104820137</v>
      </c>
      <c r="AD241" s="332">
        <f>IF(ControlPanel!$D$59&gt;AD$5,AD104,AD77*AD50+AD231)</f>
        <v>1.3795248085283811</v>
      </c>
      <c r="AE241" s="333">
        <f>IF(ControlPanel!$D$59&gt;AE$5,AE104,AE77*AE50+AE231)</f>
        <v>1.4081509999999997</v>
      </c>
      <c r="AF241" s="940" t="s">
        <v>576</v>
      </c>
      <c r="AG241" s="940"/>
      <c r="AH241" s="940"/>
      <c r="AI241" s="940"/>
      <c r="AJ241" s="1105"/>
    </row>
    <row r="242" spans="1:37" s="301" customFormat="1" ht="12.75" customHeight="1" outlineLevel="2">
      <c r="A242" s="561">
        <v>223</v>
      </c>
      <c r="C242" s="10"/>
      <c r="D242" s="33"/>
      <c r="E242" s="16" t="s">
        <v>24</v>
      </c>
      <c r="F242" s="332">
        <f>IF(ControlPanel!$D$59&gt;F$5,F105,F78*F51+F232)</f>
        <v>47.704000000000001</v>
      </c>
      <c r="G242" s="332">
        <f>IF(ControlPanel!$D$59&gt;G$5,G105,G78*G51+G232)</f>
        <v>53.882748999999997</v>
      </c>
      <c r="H242" s="332">
        <f>IF(ControlPanel!$D$59&gt;H$5,H105,H78*H51+H232)</f>
        <v>50.125189999999996</v>
      </c>
      <c r="I242" s="332">
        <f>IF(ControlPanel!$D$59&gt;I$5,I105,I78*I51+I232)</f>
        <v>55.830889999999997</v>
      </c>
      <c r="J242" s="332">
        <f>IF(ControlPanel!$D$59&gt;J$5,J105,J78*J51+J232)</f>
        <v>62.190390000000001</v>
      </c>
      <c r="K242" s="332">
        <f>IF(ControlPanel!$D$59&gt;K$5,K105,K78*K51+K232)</f>
        <v>66.872687999999997</v>
      </c>
      <c r="L242" s="332">
        <f>IF(ControlPanel!$D$59&gt;L$5,L105,L78*L51+L232)</f>
        <v>75.948886000000002</v>
      </c>
      <c r="M242" s="332">
        <f>IF(ControlPanel!$D$59&gt;M$5,M105,M78*M51+M232)</f>
        <v>82.001902999999999</v>
      </c>
      <c r="N242" s="333">
        <f>IF(ControlPanel!$D$59&gt;N$5,N105,N78*N51+N232)</f>
        <v>92.724075999999997</v>
      </c>
      <c r="O242" s="334">
        <f>IF(ControlPanel!$D$59&gt;O$5,O105,O78*O51+O232)</f>
        <v>98.799182999999999</v>
      </c>
      <c r="P242" s="332">
        <f>IF(ControlPanel!$D$59&gt;P$5,P105,P78*P51+P232)</f>
        <v>102.08820399999999</v>
      </c>
      <c r="Q242" s="332">
        <f>IF(ControlPanel!$D$59&gt;Q$5,Q105,Q78*Q51+Q232)</f>
        <v>101.185739</v>
      </c>
      <c r="R242" s="332">
        <f>IF(ControlPanel!$D$59&gt;R$5,R105,R78*R51+R232)</f>
        <v>104.914812</v>
      </c>
      <c r="S242" s="332">
        <f>IF(ControlPanel!$D$59&gt;S$5,S105,S78*S51+S232)</f>
        <v>101.18491617138696</v>
      </c>
      <c r="T242" s="332">
        <f>IF(ControlPanel!$D$59&gt;T$5,T105,T78*T51+T232)</f>
        <v>102.36826625538697</v>
      </c>
      <c r="U242" s="332">
        <f>IF(ControlPanel!$D$59&gt;U$5,U105,U78*U51+U232)</f>
        <v>104.73249312838698</v>
      </c>
      <c r="V242" s="332">
        <f>IF(ControlPanel!$D$59&gt;V$5,V105,V78*V51+V232)</f>
        <v>107.57540391888696</v>
      </c>
      <c r="W242" s="332">
        <f>IF(ControlPanel!$D$59&gt;W$5,W105,W78*W51+W232)</f>
        <v>109.84690911288698</v>
      </c>
      <c r="X242" s="332">
        <f>IF(ControlPanel!$D$59&gt;X$5,X105,X78*X51+X232)</f>
        <v>113.1153574168203</v>
      </c>
      <c r="Y242" s="332">
        <f>IF(ControlPanel!$D$59&gt;Y$5,Y105,Y78*Y51+Y232)</f>
        <v>117.95407795358221</v>
      </c>
      <c r="Z242" s="332">
        <f>IF(ControlPanel!$D$59&gt;Z$5,Z105,Z78*Z51+Z232)</f>
        <v>119.69106207597079</v>
      </c>
      <c r="AA242" s="332">
        <f>IF(ControlPanel!$D$59&gt;AA$5,AA105,AA78*AA51+AA232)</f>
        <v>123.55221745114301</v>
      </c>
      <c r="AB242" s="332">
        <f>IF(ControlPanel!$D$59&gt;AB$5,AB105,AB78*AB51+AB232)</f>
        <v>126.70913821374523</v>
      </c>
      <c r="AC242" s="332">
        <f>IF(ControlPanel!$D$59&gt;AC$5,AC105,AC78*AC51+AC232)</f>
        <v>129.00043917631706</v>
      </c>
      <c r="AD242" s="332">
        <f>IF(ControlPanel!$D$59&gt;AD$5,AD105,AD78*AD51+AD232)</f>
        <v>130.31244682093552</v>
      </c>
      <c r="AE242" s="333">
        <f>IF(ControlPanel!$D$59&gt;AE$5,AE105,AE78*AE51+AE232)</f>
        <v>128.8719409462922</v>
      </c>
      <c r="AF242" s="940" t="s">
        <v>576</v>
      </c>
      <c r="AG242" s="940"/>
      <c r="AH242" s="940"/>
      <c r="AI242" s="940"/>
      <c r="AJ242" s="1105"/>
      <c r="AK242" s="347"/>
    </row>
    <row r="243" spans="1:37" s="301" customFormat="1" ht="12.75" customHeight="1" outlineLevel="2">
      <c r="A243" s="561">
        <v>224</v>
      </c>
      <c r="C243" s="10"/>
      <c r="D243" s="33"/>
      <c r="E243" s="16" t="s">
        <v>26</v>
      </c>
      <c r="F243" s="332">
        <f>IF(ControlPanel!$D$59&gt;F$5,F106,F79*F52+F233)</f>
        <v>0.65400000000000003</v>
      </c>
      <c r="G243" s="332">
        <f>IF(ControlPanel!$D$59&gt;G$5,G106,G79*G52+G233)</f>
        <v>1.1467909999999999</v>
      </c>
      <c r="H243" s="332">
        <f>IF(ControlPanel!$D$59&gt;H$5,H106,H79*H52+H233)</f>
        <v>1.361415</v>
      </c>
      <c r="I243" s="332">
        <f>IF(ControlPanel!$D$59&gt;I$5,I106,I79*I52+I233)</f>
        <v>2.4940419999999999</v>
      </c>
      <c r="J243" s="332">
        <f>IF(ControlPanel!$D$59&gt;J$5,J106,J79*J52+J233)</f>
        <v>7.397958</v>
      </c>
      <c r="K243" s="332">
        <f>IF(ControlPanel!$D$59&gt;K$5,K106,K79*K52+K233)</f>
        <v>11.231204</v>
      </c>
      <c r="L243" s="332">
        <f>IF(ControlPanel!$D$59&gt;L$5,L106,L79*L52+L233)</f>
        <v>15.379543999999999</v>
      </c>
      <c r="M243" s="332">
        <f>IF(ControlPanel!$D$59&gt;M$5,M106,M79*M52+M233)</f>
        <v>20.033355</v>
      </c>
      <c r="N243" s="333">
        <f>IF(ControlPanel!$D$59&gt;N$5,N106,N79*N52+N233)</f>
        <v>22.564405999999998</v>
      </c>
      <c r="O243" s="334">
        <f>IF(ControlPanel!$D$59&gt;O$5,O106,O79*O52+O233)</f>
        <v>26.466161</v>
      </c>
      <c r="P243" s="332">
        <f>IF(ControlPanel!$D$59&gt;P$5,P106,P79*P52+P233)</f>
        <v>29.940075999999998</v>
      </c>
      <c r="Q243" s="332">
        <f>IF(ControlPanel!$D$59&gt;Q$5,Q106,Q79*Q52+Q233)</f>
        <v>29.638939999999998</v>
      </c>
      <c r="R243" s="332">
        <f>IF(ControlPanel!$D$59&gt;R$5,R106,R79*R52+R233)</f>
        <v>30.205085999999998</v>
      </c>
      <c r="S243" s="332">
        <f>IF(ControlPanel!$D$59&gt;S$5,S106,S79*S52+S233)</f>
        <v>31.066219</v>
      </c>
      <c r="T243" s="332">
        <f>IF(ControlPanel!$D$59&gt;T$5,T106,T79*T52+T233)</f>
        <v>35.068227999999998</v>
      </c>
      <c r="U243" s="332">
        <f>IF(ControlPanel!$D$59&gt;U$5,U106,U79*U52+U233)</f>
        <v>39.407016000000006</v>
      </c>
      <c r="V243" s="332">
        <f>IF(ControlPanel!$D$59&gt;V$5,V106,V79*V52+V233)</f>
        <v>43.443142000000009</v>
      </c>
      <c r="W243" s="332">
        <f>IF(ControlPanel!$D$59&gt;W$5,W106,W79*W52+W233)</f>
        <v>47.681908800000002</v>
      </c>
      <c r="X243" s="332">
        <f>IF(ControlPanel!$D$59&gt;X$5,X106,X79*X52+X233)</f>
        <v>51.969533600000005</v>
      </c>
      <c r="Y243" s="332">
        <f>IF(ControlPanel!$D$59&gt;Y$5,Y106,Y79*Y52+Y233)</f>
        <v>56.290661028571428</v>
      </c>
      <c r="Z243" s="332">
        <f>IF(ControlPanel!$D$59&gt;Z$5,Z106,Z79*Z52+Z233)</f>
        <v>60.526125857142851</v>
      </c>
      <c r="AA243" s="332">
        <f>IF(ControlPanel!$D$59&gt;AA$5,AA106,AA79*AA52+AA233)</f>
        <v>64.734504857142852</v>
      </c>
      <c r="AB243" s="332">
        <f>IF(ControlPanel!$D$59&gt;AB$5,AB106,AB79*AB52+AB233)</f>
        <v>68.738396657142857</v>
      </c>
      <c r="AC243" s="332">
        <f>IF(ControlPanel!$D$59&gt;AC$5,AC106,AC79*AC52+AC233)</f>
        <v>72.85210742077922</v>
      </c>
      <c r="AD243" s="332">
        <f>IF(ControlPanel!$D$59&gt;AD$5,AD106,AD79*AD52+AD233)</f>
        <v>76.421669784415556</v>
      </c>
      <c r="AE243" s="333">
        <f>IF(ControlPanel!$D$59&gt;AE$5,AE106,AE79*AE52+AE233)</f>
        <v>79.18283998441558</v>
      </c>
      <c r="AF243" s="940" t="s">
        <v>576</v>
      </c>
      <c r="AG243" s="940"/>
      <c r="AH243" s="940"/>
      <c r="AI243" s="940"/>
      <c r="AJ243" s="1105"/>
    </row>
    <row r="244" spans="1:37" s="301" customFormat="1" ht="12.75" customHeight="1" outlineLevel="2">
      <c r="A244" s="561">
        <v>225</v>
      </c>
      <c r="C244" s="10"/>
      <c r="D244" s="33"/>
      <c r="E244" s="303" t="s">
        <v>74</v>
      </c>
      <c r="F244" s="309">
        <f>IF(ControlPanel!$D$59&gt;F$5,F107,F80*F53+F234)</f>
        <v>8.2959999999999994</v>
      </c>
      <c r="G244" s="309">
        <f>IF(ControlPanel!$D$59&gt;G$5,G107,G80*G53+G234)</f>
        <v>19.399286999999998</v>
      </c>
      <c r="H244" s="309">
        <f>IF(ControlPanel!$D$59&gt;H$5,H107,H80*H53+H234)</f>
        <v>24.072319</v>
      </c>
      <c r="I244" s="309">
        <f>IF(ControlPanel!$D$59&gt;I$5,I107,I80*I53+I234)</f>
        <v>34.673694999999995</v>
      </c>
      <c r="J244" s="309">
        <f>IF(ControlPanel!$D$59&gt;J$5,J107,J80*J53+J234)</f>
        <v>36.594586999999997</v>
      </c>
      <c r="K244" s="309">
        <f>IF(ControlPanel!$D$59&gt;K$5,K107,K80*K53+K234)</f>
        <v>36.096958000000001</v>
      </c>
      <c r="L244" s="309">
        <f>IF(ControlPanel!$D$59&gt;L$5,L107,L80*L53+L234)</f>
        <v>36.82555</v>
      </c>
      <c r="M244" s="309">
        <f>IF(ControlPanel!$D$59&gt;M$5,M107,M80*M53+M234)</f>
        <v>36.562143999999996</v>
      </c>
      <c r="N244" s="56">
        <f>IF(ControlPanel!$D$59&gt;N$5,N107,N80*N53+N234)</f>
        <v>39.173614999999998</v>
      </c>
      <c r="O244" s="310">
        <f>IF(ControlPanel!$D$59&gt;O$5,O107,O80*O53+O234)</f>
        <v>41.877699</v>
      </c>
      <c r="P244" s="309">
        <f>IF(ControlPanel!$D$59&gt;P$5,P107,P80*P53+P234)</f>
        <v>43.939245999999997</v>
      </c>
      <c r="Q244" s="309">
        <f>IF(ControlPanel!$D$59&gt;Q$5,Q107,Q80*Q53+Q234)</f>
        <v>49.344335000000001</v>
      </c>
      <c r="R244" s="309">
        <f>IF(ControlPanel!$D$59&gt;R$5,R107,R80*R53+R234)</f>
        <v>58.103859999999997</v>
      </c>
      <c r="S244" s="309">
        <f>IF(ControlPanel!$D$59&gt;S$5,S107,S80*S53+S234)</f>
        <v>65.950596318985077</v>
      </c>
      <c r="T244" s="309">
        <f>IF(ControlPanel!$D$59&gt;T$5,T107,T80*T53+T234)</f>
        <v>73.166001446817234</v>
      </c>
      <c r="U244" s="309">
        <f>IF(ControlPanel!$D$59&gt;U$5,U107,U80*U53+U234)</f>
        <v>79.749371489424675</v>
      </c>
      <c r="V244" s="309">
        <f>IF(ControlPanel!$D$59&gt;V$5,V107,V80*V53+V234)</f>
        <v>85.99012412272215</v>
      </c>
      <c r="W244" s="309">
        <f>IF(ControlPanel!$D$59&gt;W$5,W107,W80*W53+W234)</f>
        <v>90.134777140406442</v>
      </c>
      <c r="X244" s="309">
        <f>IF(ControlPanel!$D$59&gt;X$5,X107,X80*X53+X234)</f>
        <v>91.695651105514997</v>
      </c>
      <c r="Y244" s="309">
        <f>IF(ControlPanel!$D$59&gt;Y$5,Y107,Y80*Y53+Y234)</f>
        <v>92.57576783670433</v>
      </c>
      <c r="Z244" s="309">
        <f>IF(ControlPanel!$D$59&gt;Z$5,Z107,Z80*Z53+Z234)</f>
        <v>91.111327577814421</v>
      </c>
      <c r="AA244" s="309">
        <f>IF(ControlPanel!$D$59&gt;AA$5,AA107,AA80*AA53+AA234)</f>
        <v>86.633690549645252</v>
      </c>
      <c r="AB244" s="309">
        <f>IF(ControlPanel!$D$59&gt;AB$5,AB107,AB80*AB53+AB234)</f>
        <v>81.781803420996894</v>
      </c>
      <c r="AC244" s="309">
        <f>IF(ControlPanel!$D$59&gt;AC$5,AC107,AC80*AC53+AC234)</f>
        <v>78.057691695869281</v>
      </c>
      <c r="AD244" s="309">
        <f>IF(ControlPanel!$D$59&gt;AD$5,AD107,AD80*AD53+AD234)</f>
        <v>77.907989236662473</v>
      </c>
      <c r="AE244" s="56">
        <f>IF(ControlPanel!$D$59&gt;AE$5,AE107,AE80*AE53+AE234)</f>
        <v>79.09149982113928</v>
      </c>
      <c r="AF244" s="940" t="s">
        <v>576</v>
      </c>
      <c r="AG244" s="940"/>
      <c r="AH244" s="940"/>
      <c r="AI244" s="940"/>
      <c r="AJ244" s="1105"/>
    </row>
    <row r="245" spans="1:37" s="301" customFormat="1" ht="12.75" customHeight="1" outlineLevel="1">
      <c r="A245" s="561">
        <v>226</v>
      </c>
      <c r="C245" s="10"/>
      <c r="D245" s="33"/>
      <c r="E245" s="27" t="s">
        <v>55</v>
      </c>
      <c r="F245" s="325">
        <f t="shared" ref="F245:M245" si="25">SUM(F238:F244)</f>
        <v>90.230999999999995</v>
      </c>
      <c r="G245" s="325">
        <f t="shared" si="25"/>
        <v>110.32713299999998</v>
      </c>
      <c r="H245" s="325">
        <f t="shared" si="25"/>
        <v>113.51865999999998</v>
      </c>
      <c r="I245" s="325">
        <f t="shared" si="25"/>
        <v>134.44289299999997</v>
      </c>
      <c r="J245" s="325">
        <f t="shared" si="25"/>
        <v>149.23655299999999</v>
      </c>
      <c r="K245" s="325">
        <f t="shared" si="25"/>
        <v>160.48758199999997</v>
      </c>
      <c r="L245" s="325">
        <f t="shared" si="25"/>
        <v>176.427021</v>
      </c>
      <c r="M245" s="325">
        <f t="shared" si="25"/>
        <v>187.22620899999998</v>
      </c>
      <c r="N245" s="326">
        <f t="shared" ref="N245" si="26">SUM(N238:N244)</f>
        <v>203.875407</v>
      </c>
      <c r="O245" s="300">
        <f t="shared" ref="O245:P245" si="27">SUM(O238:O244)</f>
        <v>217.00349199999999</v>
      </c>
      <c r="P245" s="325">
        <f t="shared" si="27"/>
        <v>225.61901599999999</v>
      </c>
      <c r="Q245" s="325">
        <f t="shared" ref="Q245:AE245" si="28">SUM(Q238:Q244)</f>
        <v>228.27263399999998</v>
      </c>
      <c r="R245" s="325">
        <f t="shared" si="28"/>
        <v>238.93027999999998</v>
      </c>
      <c r="S245" s="325">
        <f t="shared" si="28"/>
        <v>252.97721200260429</v>
      </c>
      <c r="T245" s="325">
        <f t="shared" si="28"/>
        <v>265.49750687467122</v>
      </c>
      <c r="U245" s="325">
        <f t="shared" si="28"/>
        <v>276.95342139815239</v>
      </c>
      <c r="V245" s="325">
        <f t="shared" si="28"/>
        <v>287.74774050143287</v>
      </c>
      <c r="W245" s="325">
        <f t="shared" si="28"/>
        <v>294.87935144714982</v>
      </c>
      <c r="X245" s="325">
        <f t="shared" si="28"/>
        <v>301.33447422099277</v>
      </c>
      <c r="Y245" s="325">
        <f t="shared" si="28"/>
        <v>310.30062985258121</v>
      </c>
      <c r="Z245" s="325">
        <f t="shared" si="28"/>
        <v>312.60211807348219</v>
      </c>
      <c r="AA245" s="325">
        <f t="shared" si="28"/>
        <v>313.08251296215519</v>
      </c>
      <c r="AB245" s="325">
        <f t="shared" si="28"/>
        <v>310.04924820016259</v>
      </c>
      <c r="AC245" s="325">
        <f t="shared" si="28"/>
        <v>311.54185909279659</v>
      </c>
      <c r="AD245" s="325">
        <f t="shared" si="28"/>
        <v>315.10032807021025</v>
      </c>
      <c r="AE245" s="326">
        <f t="shared" si="28"/>
        <v>317.28362421996241</v>
      </c>
      <c r="AF245" s="940"/>
      <c r="AG245" s="940"/>
      <c r="AH245" s="940"/>
      <c r="AI245" s="940"/>
      <c r="AJ245" s="345"/>
    </row>
    <row r="246" spans="1:37" s="301" customFormat="1" ht="12.75" customHeight="1" outlineLevel="1">
      <c r="A246" s="561">
        <v>227</v>
      </c>
      <c r="C246" s="10"/>
      <c r="D246" s="33"/>
      <c r="F246" s="331"/>
      <c r="G246" s="331"/>
      <c r="H246" s="331"/>
      <c r="I246" s="331"/>
      <c r="J246" s="331"/>
      <c r="K246" s="331"/>
      <c r="L246" s="331"/>
      <c r="M246" s="331"/>
      <c r="N246" s="349"/>
      <c r="O246" s="296"/>
      <c r="P246" s="331"/>
      <c r="Q246" s="331"/>
      <c r="R246" s="331"/>
      <c r="S246" s="331"/>
      <c r="T246" s="331"/>
      <c r="U246" s="331"/>
      <c r="V246" s="331"/>
      <c r="W246" s="331"/>
      <c r="X246" s="331"/>
      <c r="Y246" s="331"/>
      <c r="Z246" s="331"/>
      <c r="AA246" s="331"/>
      <c r="AB246" s="331"/>
      <c r="AC246" s="331"/>
      <c r="AD246" s="331"/>
      <c r="AE246" s="331"/>
      <c r="AF246" s="940"/>
      <c r="AG246" s="940"/>
      <c r="AH246" s="940"/>
      <c r="AI246" s="940"/>
      <c r="AJ246" s="345"/>
    </row>
    <row r="247" spans="1:37" s="301" customFormat="1" ht="12.75" customHeight="1" outlineLevel="1">
      <c r="A247" s="561">
        <v>228</v>
      </c>
      <c r="C247" s="10"/>
      <c r="D247" s="33"/>
      <c r="E247" s="322" t="s">
        <v>277</v>
      </c>
      <c r="F247" s="331"/>
      <c r="G247" s="331"/>
      <c r="H247" s="331"/>
      <c r="I247" s="331"/>
      <c r="J247" s="331"/>
      <c r="K247" s="331"/>
      <c r="L247" s="331"/>
      <c r="M247" s="331"/>
      <c r="N247" s="349"/>
      <c r="O247" s="296"/>
      <c r="P247" s="331"/>
      <c r="Q247" s="331"/>
      <c r="R247" s="331"/>
      <c r="S247" s="331"/>
      <c r="T247" s="331"/>
      <c r="U247" s="331"/>
      <c r="V247" s="331"/>
      <c r="W247" s="331"/>
      <c r="X247" s="331"/>
      <c r="Y247" s="331"/>
      <c r="Z247" s="331"/>
      <c r="AA247" s="331"/>
      <c r="AB247" s="331"/>
      <c r="AC247" s="331"/>
      <c r="AD247" s="331"/>
      <c r="AE247" s="331"/>
      <c r="AF247" s="940"/>
      <c r="AG247" s="940"/>
      <c r="AH247" s="940"/>
      <c r="AI247" s="940"/>
      <c r="AJ247" s="345"/>
    </row>
    <row r="248" spans="1:37" s="301" customFormat="1" ht="12.75" customHeight="1" outlineLevel="2">
      <c r="A248" s="561">
        <v>229</v>
      </c>
      <c r="C248" s="10"/>
      <c r="D248" s="33"/>
      <c r="E248" s="321" t="s">
        <v>25</v>
      </c>
      <c r="F248" s="323"/>
      <c r="G248" s="323"/>
      <c r="H248" s="323"/>
      <c r="I248" s="323"/>
      <c r="J248" s="323"/>
      <c r="K248" s="323"/>
      <c r="L248" s="323"/>
      <c r="M248" s="323"/>
      <c r="N248" s="324"/>
      <c r="O248" s="327"/>
      <c r="P248" s="323"/>
      <c r="Q248" s="323"/>
      <c r="R248" s="323"/>
      <c r="S248" s="323"/>
      <c r="T248" s="323"/>
      <c r="U248" s="323"/>
      <c r="V248" s="323"/>
      <c r="W248" s="323"/>
      <c r="X248" s="323"/>
      <c r="Y248" s="323"/>
      <c r="Z248" s="323"/>
      <c r="AA248" s="323"/>
      <c r="AB248" s="323"/>
      <c r="AC248" s="323"/>
      <c r="AD248" s="323"/>
      <c r="AE248" s="324"/>
      <c r="AF248" s="940"/>
      <c r="AG248" s="940"/>
      <c r="AH248" s="940"/>
      <c r="AI248" s="940"/>
      <c r="AJ248" s="345"/>
    </row>
    <row r="249" spans="1:37" s="301" customFormat="1" ht="12.75" customHeight="1" outlineLevel="2">
      <c r="A249" s="561">
        <v>230</v>
      </c>
      <c r="C249" s="10"/>
      <c r="D249" s="33"/>
      <c r="E249" s="16" t="s">
        <v>50</v>
      </c>
      <c r="F249" s="332"/>
      <c r="G249" s="332"/>
      <c r="H249" s="332"/>
      <c r="I249" s="332"/>
      <c r="J249" s="332"/>
      <c r="K249" s="332"/>
      <c r="L249" s="332"/>
      <c r="M249" s="332"/>
      <c r="N249" s="333"/>
      <c r="O249" s="334"/>
      <c r="P249" s="332"/>
      <c r="Q249" s="332"/>
      <c r="R249" s="332"/>
      <c r="S249" s="332"/>
      <c r="T249" s="332"/>
      <c r="U249" s="332"/>
      <c r="V249" s="332"/>
      <c r="W249" s="332"/>
      <c r="X249" s="332"/>
      <c r="Y249" s="332"/>
      <c r="Z249" s="332"/>
      <c r="AA249" s="332"/>
      <c r="AB249" s="332"/>
      <c r="AC249" s="332"/>
      <c r="AD249" s="332"/>
      <c r="AE249" s="333"/>
      <c r="AF249" s="940"/>
      <c r="AG249" s="940"/>
      <c r="AH249" s="940"/>
      <c r="AI249" s="940"/>
      <c r="AJ249" s="345"/>
    </row>
    <row r="250" spans="1:37" s="301" customFormat="1" ht="12.75" customHeight="1" outlineLevel="2">
      <c r="A250" s="561">
        <v>231</v>
      </c>
      <c r="C250" s="10"/>
      <c r="D250" s="33"/>
      <c r="E250" s="16" t="s">
        <v>13</v>
      </c>
      <c r="F250" s="332"/>
      <c r="G250" s="332"/>
      <c r="H250" s="332"/>
      <c r="I250" s="332"/>
      <c r="J250" s="332"/>
      <c r="K250" s="332"/>
      <c r="L250" s="332"/>
      <c r="M250" s="332"/>
      <c r="N250" s="333"/>
      <c r="O250" s="334"/>
      <c r="P250" s="332"/>
      <c r="Q250" s="332"/>
      <c r="R250" s="332"/>
      <c r="S250" s="332"/>
      <c r="T250" s="332"/>
      <c r="U250" s="332"/>
      <c r="V250" s="332"/>
      <c r="W250" s="332"/>
      <c r="X250" s="332"/>
      <c r="Y250" s="332"/>
      <c r="Z250" s="332"/>
      <c r="AA250" s="332"/>
      <c r="AB250" s="332"/>
      <c r="AC250" s="332"/>
      <c r="AD250" s="332"/>
      <c r="AE250" s="333"/>
      <c r="AF250" s="940"/>
      <c r="AG250" s="940"/>
      <c r="AH250" s="940"/>
      <c r="AI250" s="940"/>
      <c r="AJ250" s="345"/>
    </row>
    <row r="251" spans="1:37" s="301" customFormat="1" ht="12.75" customHeight="1" outlineLevel="2">
      <c r="A251" s="561">
        <v>232</v>
      </c>
      <c r="C251" s="10"/>
      <c r="D251" s="33"/>
      <c r="E251" s="16" t="s">
        <v>12</v>
      </c>
      <c r="F251" s="332"/>
      <c r="G251" s="332"/>
      <c r="H251" s="332"/>
      <c r="I251" s="332"/>
      <c r="J251" s="332"/>
      <c r="K251" s="332"/>
      <c r="L251" s="332"/>
      <c r="M251" s="332"/>
      <c r="N251" s="333"/>
      <c r="O251" s="334"/>
      <c r="P251" s="332"/>
      <c r="Q251" s="332"/>
      <c r="R251" s="332"/>
      <c r="S251" s="332"/>
      <c r="T251" s="332"/>
      <c r="U251" s="332"/>
      <c r="V251" s="332"/>
      <c r="W251" s="332"/>
      <c r="X251" s="332"/>
      <c r="Y251" s="332"/>
      <c r="Z251" s="332"/>
      <c r="AA251" s="332"/>
      <c r="AB251" s="332"/>
      <c r="AC251" s="332"/>
      <c r="AD251" s="332"/>
      <c r="AE251" s="333"/>
      <c r="AF251" s="940"/>
      <c r="AG251" s="940"/>
      <c r="AH251" s="940"/>
      <c r="AI251" s="940"/>
      <c r="AJ251" s="345"/>
    </row>
    <row r="252" spans="1:37" s="301" customFormat="1" ht="12.75" customHeight="1" outlineLevel="2">
      <c r="A252" s="561">
        <v>233</v>
      </c>
      <c r="C252" s="10"/>
      <c r="D252" s="33"/>
      <c r="E252" s="16" t="s">
        <v>24</v>
      </c>
      <c r="F252" s="332"/>
      <c r="G252" s="332"/>
      <c r="H252" s="332"/>
      <c r="I252" s="332"/>
      <c r="J252" s="332"/>
      <c r="K252" s="332"/>
      <c r="L252" s="332"/>
      <c r="M252" s="332"/>
      <c r="N252" s="333"/>
      <c r="O252" s="334"/>
      <c r="P252" s="332"/>
      <c r="Q252" s="332"/>
      <c r="R252" s="332"/>
      <c r="S252" s="332"/>
      <c r="T252" s="332"/>
      <c r="U252" s="332"/>
      <c r="V252" s="332"/>
      <c r="W252" s="332"/>
      <c r="X252" s="332"/>
      <c r="Y252" s="332"/>
      <c r="Z252" s="332"/>
      <c r="AA252" s="332"/>
      <c r="AB252" s="332"/>
      <c r="AC252" s="332"/>
      <c r="AD252" s="332"/>
      <c r="AE252" s="333"/>
      <c r="AF252" s="940"/>
      <c r="AG252" s="940"/>
      <c r="AH252" s="940"/>
      <c r="AI252" s="940"/>
      <c r="AJ252" s="345"/>
    </row>
    <row r="253" spans="1:37" s="301" customFormat="1" ht="12.75" customHeight="1" outlineLevel="2">
      <c r="A253" s="561">
        <v>234</v>
      </c>
      <c r="C253" s="10"/>
      <c r="D253" s="33"/>
      <c r="E253" s="16" t="s">
        <v>26</v>
      </c>
      <c r="F253" s="332"/>
      <c r="G253" s="332"/>
      <c r="H253" s="332"/>
      <c r="I253" s="332"/>
      <c r="J253" s="332"/>
      <c r="K253" s="332"/>
      <c r="L253" s="332"/>
      <c r="M253" s="332"/>
      <c r="N253" s="333"/>
      <c r="O253" s="334"/>
      <c r="P253" s="332"/>
      <c r="Q253" s="332"/>
      <c r="R253" s="332"/>
      <c r="S253" s="332"/>
      <c r="T253" s="332"/>
      <c r="U253" s="332"/>
      <c r="V253" s="332"/>
      <c r="W253" s="332"/>
      <c r="X253" s="332"/>
      <c r="Y253" s="332"/>
      <c r="Z253" s="332"/>
      <c r="AA253" s="332"/>
      <c r="AB253" s="332"/>
      <c r="AC253" s="332"/>
      <c r="AD253" s="332"/>
      <c r="AE253" s="333"/>
      <c r="AF253" s="940"/>
      <c r="AG253" s="940"/>
      <c r="AH253" s="940"/>
      <c r="AI253" s="940"/>
      <c r="AJ253" s="345"/>
    </row>
    <row r="254" spans="1:37" s="301" customFormat="1" ht="12.75" customHeight="1" outlineLevel="2">
      <c r="A254" s="561">
        <v>235</v>
      </c>
      <c r="C254" s="10"/>
      <c r="D254" s="33"/>
      <c r="E254" s="303" t="s">
        <v>74</v>
      </c>
      <c r="F254" s="309">
        <f>IF(F$5&lt;ControlPanel!$D$59,'D-Eigenverbrauch EE-Bestand'!G12,'D-Eigenverbrauch EE-Bestand'!G12*F53)</f>
        <v>0</v>
      </c>
      <c r="G254" s="309">
        <f>IF(G$5&lt;ControlPanel!$D$59,'D-Eigenverbrauch EE-Bestand'!H12,'D-Eigenverbrauch EE-Bestand'!H12*G53)</f>
        <v>0</v>
      </c>
      <c r="H254" s="309">
        <f>IF(H$5&lt;ControlPanel!$D$59,'D-Eigenverbrauch EE-Bestand'!I12,'D-Eigenverbrauch EE-Bestand'!I12*H53)</f>
        <v>0.57208800000000004</v>
      </c>
      <c r="I254" s="309">
        <f>IF(I$5&lt;ControlPanel!$D$59,'D-Eigenverbrauch EE-Bestand'!J12,'D-Eigenverbrauch EE-Bestand'!J12*I53)</f>
        <v>2.3374609999999998</v>
      </c>
      <c r="J254" s="309">
        <f>IF(J$5&lt;ControlPanel!$D$59,'D-Eigenverbrauch EE-Bestand'!K12,'D-Eigenverbrauch EE-Bestand'!K12*J53)</f>
        <v>2.7879685354829888</v>
      </c>
      <c r="K254" s="309">
        <f>IF(K$5&lt;ControlPanel!$D$59,'D-Eigenverbrauch EE-Bestand'!L12,'D-Eigenverbrauch EE-Bestand'!L12*K53)</f>
        <v>2.0086940000000002</v>
      </c>
      <c r="L254" s="309">
        <f>IF(L$5&lt;ControlPanel!$D$59,'D-Eigenverbrauch EE-Bestand'!M12,'D-Eigenverbrauch EE-Bestand'!M12*L53)</f>
        <v>2.2527089999999999</v>
      </c>
      <c r="M254" s="56">
        <f>IF(M$5&lt;ControlPanel!$D$59,'D-Eigenverbrauch EE-Bestand'!N12,'D-Eigenverbrauch EE-Bestand'!N12*M53)</f>
        <v>1.6616164800000002</v>
      </c>
      <c r="N254" s="56">
        <f>IF(N$5&lt;ControlPanel!$D$59,'D-Eigenverbrauch EE-Bestand'!O12,'D-Eigenverbrauch EE-Bestand'!O12*N53)</f>
        <v>1.800618148392207</v>
      </c>
      <c r="O254" s="310">
        <f>IF(O$5&lt;ControlPanel!$D$59,'D-Eigenverbrauch EE-Bestand'!P12,'D-Eigenverbrauch EE-Bestand'!P12*O53)</f>
        <v>2.0329390000000003</v>
      </c>
      <c r="P254" s="309">
        <f>IF(P$5&lt;ControlPanel!$D$59,'D-Eigenverbrauch EE-Bestand'!Q12,'D-Eigenverbrauch EE-Bestand'!Q12*P53)</f>
        <v>2.4753820000000002</v>
      </c>
      <c r="Q254" s="309">
        <f>IF(Q$5&lt;ControlPanel!$D$59,'D-Eigenverbrauch EE-Bestand'!R12,'D-Eigenverbrauch EE-Bestand'!R12*Q53)</f>
        <v>3.1455769999999998</v>
      </c>
      <c r="R254" s="309">
        <f>IF(R$5&lt;ControlPanel!$D$59,'D-Eigenverbrauch EE-Bestand'!S12,'D-Eigenverbrauch EE-Bestand'!S12*R53)</f>
        <v>4.1792249999999997</v>
      </c>
      <c r="S254" s="309">
        <f>IF(S$5&lt;ControlPanel!$D$59,'D-Eigenverbrauch EE-Bestand'!T12,'D-Eigenverbrauch EE-Bestand'!T12*S53)</f>
        <v>2.0868880918641164</v>
      </c>
      <c r="T254" s="309">
        <f>IF(T$5&lt;ControlPanel!$D$59,'D-Eigenverbrauch EE-Bestand'!U12,'D-Eigenverbrauch EE-Bestand'!U12*T53)</f>
        <v>2.0500092058269064</v>
      </c>
      <c r="U254" s="309">
        <f>IF(U$5&lt;ControlPanel!$D$59,'D-Eigenverbrauch EE-Bestand'!V12,'D-Eigenverbrauch EE-Bestand'!V12*U53)</f>
        <v>1.9976632048994638</v>
      </c>
      <c r="V254" s="309">
        <f>IF(V$5&lt;ControlPanel!$D$59,'D-Eigenverbrauch EE-Bestand'!W12,'D-Eigenverbrauch EE-Bestand'!W12*V53)</f>
        <v>1.9512618602287659</v>
      </c>
      <c r="W254" s="309">
        <f>IF(W$5&lt;ControlPanel!$D$59,'D-Eigenverbrauch EE-Bestand'!X12,'D-Eigenverbrauch EE-Bestand'!X12*W53)</f>
        <v>1.8813020629850441</v>
      </c>
      <c r="X254" s="309">
        <f>IF(X$5&lt;ControlPanel!$D$59,'D-Eigenverbrauch EE-Bestand'!Y12,'D-Eigenverbrauch EE-Bestand'!Y12*X53)</f>
        <v>1.7739679916827171</v>
      </c>
      <c r="Y254" s="309">
        <f>IF(Y$5&lt;ControlPanel!$D$59,'D-Eigenverbrauch EE-Bestand'!Z12,'D-Eigenverbrauch EE-Bestand'!Z12*Y53)</f>
        <v>1.5292463091134123</v>
      </c>
      <c r="Z254" s="309">
        <f>IF(Z$5&lt;ControlPanel!$D$59,'D-Eigenverbrauch EE-Bestand'!AA12,'D-Eigenverbrauch EE-Bestand'!AA12*Z53)</f>
        <v>1.1231382177961986</v>
      </c>
      <c r="AA254" s="309">
        <f>IF(AA$5&lt;ControlPanel!$D$59,'D-Eigenverbrauch EE-Bestand'!AB12,'D-Eigenverbrauch EE-Bestand'!AB12*AA53)</f>
        <v>0.71114051333572914</v>
      </c>
      <c r="AB254" s="309">
        <f>IF(AB$5&lt;ControlPanel!$D$59,'D-Eigenverbrauch EE-Bestand'!AC12,'D-Eigenverbrauch EE-Bestand'!AC12*AB53)</f>
        <v>0.29259267837014319</v>
      </c>
      <c r="AC254" s="309">
        <f>IF(AC$5&lt;ControlPanel!$D$59,'D-Eigenverbrauch EE-Bestand'!AD12,'D-Eigenverbrauch EE-Bestand'!AD12*AC53)</f>
        <v>0.11073023140455976</v>
      </c>
      <c r="AD254" s="309">
        <f>IF(AD$5&lt;ControlPanel!$D$59,'D-Eigenverbrauch EE-Bestand'!AE12,'D-Eigenverbrauch EE-Bestand'!AE12*AD53)</f>
        <v>5.5428415282797027E-3</v>
      </c>
      <c r="AE254" s="56">
        <f>IF(AE$5&lt;ControlPanel!$D$59,'D-Eigenverbrauch EE-Bestand'!AF12,'D-Eigenverbrauch EE-Bestand'!AF12*AE53)</f>
        <v>5.5428415282797027E-3</v>
      </c>
      <c r="AF254" s="940"/>
      <c r="AG254" s="940"/>
      <c r="AH254" s="940"/>
      <c r="AI254" s="940"/>
      <c r="AJ254" s="345" t="s">
        <v>289</v>
      </c>
    </row>
    <row r="255" spans="1:37" s="301" customFormat="1" ht="12.75" customHeight="1" outlineLevel="1">
      <c r="A255" s="561">
        <v>236</v>
      </c>
      <c r="C255" s="10"/>
      <c r="D255" s="33"/>
      <c r="E255" s="27" t="s">
        <v>55</v>
      </c>
      <c r="F255" s="325">
        <f t="shared" ref="F255:M255" si="29">SUM(F248:F254)</f>
        <v>0</v>
      </c>
      <c r="G255" s="325">
        <f t="shared" si="29"/>
        <v>0</v>
      </c>
      <c r="H255" s="325">
        <f t="shared" si="29"/>
        <v>0.57208800000000004</v>
      </c>
      <c r="I255" s="325">
        <f t="shared" si="29"/>
        <v>2.3374609999999998</v>
      </c>
      <c r="J255" s="325">
        <f t="shared" si="29"/>
        <v>2.7879685354829888</v>
      </c>
      <c r="K255" s="325">
        <f t="shared" si="29"/>
        <v>2.0086940000000002</v>
      </c>
      <c r="L255" s="325">
        <f t="shared" si="29"/>
        <v>2.2527089999999999</v>
      </c>
      <c r="M255" s="325">
        <f t="shared" si="29"/>
        <v>1.6616164800000002</v>
      </c>
      <c r="N255" s="326">
        <f t="shared" ref="N255" si="30">SUM(N248:N254)</f>
        <v>1.800618148392207</v>
      </c>
      <c r="O255" s="300">
        <f t="shared" ref="O255:P255" si="31">SUM(O248:O254)</f>
        <v>2.0329390000000003</v>
      </c>
      <c r="P255" s="325">
        <f t="shared" si="31"/>
        <v>2.4753820000000002</v>
      </c>
      <c r="Q255" s="325">
        <f t="shared" ref="Q255:AE255" si="32">SUM(Q248:Q254)</f>
        <v>3.1455769999999998</v>
      </c>
      <c r="R255" s="325">
        <f t="shared" si="32"/>
        <v>4.1792249999999997</v>
      </c>
      <c r="S255" s="325">
        <f t="shared" si="32"/>
        <v>2.0868880918641164</v>
      </c>
      <c r="T255" s="325">
        <f t="shared" si="32"/>
        <v>2.0500092058269064</v>
      </c>
      <c r="U255" s="325">
        <f t="shared" si="32"/>
        <v>1.9976632048994638</v>
      </c>
      <c r="V255" s="325">
        <f t="shared" si="32"/>
        <v>1.9512618602287659</v>
      </c>
      <c r="W255" s="325">
        <f t="shared" si="32"/>
        <v>1.8813020629850441</v>
      </c>
      <c r="X255" s="325">
        <f t="shared" si="32"/>
        <v>1.7739679916827171</v>
      </c>
      <c r="Y255" s="325">
        <f t="shared" si="32"/>
        <v>1.5292463091134123</v>
      </c>
      <c r="Z255" s="325">
        <f t="shared" si="32"/>
        <v>1.1231382177961986</v>
      </c>
      <c r="AA255" s="325">
        <f t="shared" si="32"/>
        <v>0.71114051333572914</v>
      </c>
      <c r="AB255" s="325">
        <f t="shared" si="32"/>
        <v>0.29259267837014319</v>
      </c>
      <c r="AC255" s="325">
        <f t="shared" si="32"/>
        <v>0.11073023140455976</v>
      </c>
      <c r="AD255" s="325">
        <f t="shared" si="32"/>
        <v>5.5428415282797027E-3</v>
      </c>
      <c r="AE255" s="326">
        <f t="shared" si="32"/>
        <v>5.5428415282797027E-3</v>
      </c>
      <c r="AF255" s="940"/>
      <c r="AG255" s="940"/>
      <c r="AH255" s="940"/>
      <c r="AI255" s="940"/>
      <c r="AJ255" s="345"/>
    </row>
    <row r="256" spans="1:37" s="301" customFormat="1" ht="12.75" customHeight="1" outlineLevel="1">
      <c r="A256" s="561">
        <v>237</v>
      </c>
      <c r="C256" s="10"/>
      <c r="D256" s="33"/>
      <c r="F256" s="331"/>
      <c r="G256" s="331"/>
      <c r="H256" s="331"/>
      <c r="I256" s="331"/>
      <c r="J256" s="331"/>
      <c r="K256" s="331"/>
      <c r="L256" s="331"/>
      <c r="M256" s="331"/>
      <c r="N256" s="349"/>
      <c r="O256" s="296"/>
      <c r="P256" s="331"/>
      <c r="Q256" s="331"/>
      <c r="R256" s="331"/>
      <c r="S256" s="331"/>
      <c r="T256" s="331"/>
      <c r="U256" s="331"/>
      <c r="V256" s="331"/>
      <c r="W256" s="331"/>
      <c r="X256" s="331"/>
      <c r="Y256" s="331"/>
      <c r="Z256" s="331"/>
      <c r="AA256" s="331"/>
      <c r="AB256" s="331"/>
      <c r="AC256" s="331"/>
      <c r="AD256" s="331"/>
      <c r="AE256" s="331"/>
      <c r="AF256" s="940"/>
      <c r="AG256" s="940"/>
      <c r="AH256" s="940"/>
      <c r="AI256" s="940"/>
      <c r="AJ256" s="345"/>
    </row>
    <row r="257" spans="1:36" s="301" customFormat="1" ht="51" customHeight="1" outlineLevel="1">
      <c r="A257" s="561">
        <v>238</v>
      </c>
      <c r="C257" s="10"/>
      <c r="D257" s="33"/>
      <c r="E257" s="322" t="s">
        <v>278</v>
      </c>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c r="AF257" s="940"/>
      <c r="AG257" s="940"/>
      <c r="AH257" s="940"/>
      <c r="AI257" s="940"/>
      <c r="AJ257" s="345" t="s">
        <v>645</v>
      </c>
    </row>
    <row r="258" spans="1:36" s="301" customFormat="1" ht="12.75" customHeight="1" outlineLevel="1">
      <c r="A258" s="561">
        <v>239</v>
      </c>
      <c r="C258" s="10"/>
      <c r="D258" s="33"/>
      <c r="E258" s="321" t="s">
        <v>25</v>
      </c>
      <c r="F258" s="323"/>
      <c r="G258" s="323"/>
      <c r="H258" s="323"/>
      <c r="I258" s="323"/>
      <c r="J258" s="323"/>
      <c r="K258" s="323"/>
      <c r="L258" s="323"/>
      <c r="M258" s="323"/>
      <c r="N258" s="324"/>
      <c r="O258" s="327"/>
      <c r="P258" s="323"/>
      <c r="Q258" s="323"/>
      <c r="R258" s="323"/>
      <c r="S258" s="323"/>
      <c r="T258" s="323"/>
      <c r="U258" s="323"/>
      <c r="V258" s="323"/>
      <c r="W258" s="323"/>
      <c r="X258" s="323"/>
      <c r="Y258" s="323"/>
      <c r="Z258" s="323"/>
      <c r="AA258" s="323"/>
      <c r="AB258" s="323"/>
      <c r="AC258" s="323"/>
      <c r="AD258" s="323"/>
      <c r="AE258" s="324"/>
      <c r="AF258" s="940"/>
      <c r="AG258" s="940"/>
      <c r="AH258" s="940"/>
      <c r="AI258" s="940"/>
      <c r="AJ258" s="345"/>
    </row>
    <row r="259" spans="1:36" s="301" customFormat="1" ht="12.75" customHeight="1" outlineLevel="1">
      <c r="A259" s="561">
        <v>240</v>
      </c>
      <c r="C259" s="10"/>
      <c r="D259" s="33"/>
      <c r="E259" s="16" t="s">
        <v>50</v>
      </c>
      <c r="F259" s="332"/>
      <c r="G259" s="332"/>
      <c r="H259" s="332"/>
      <c r="I259" s="332"/>
      <c r="J259" s="332"/>
      <c r="K259" s="332"/>
      <c r="L259" s="332"/>
      <c r="M259" s="332"/>
      <c r="N259" s="333"/>
      <c r="O259" s="334"/>
      <c r="P259" s="332"/>
      <c r="Q259" s="332"/>
      <c r="R259" s="332"/>
      <c r="S259" s="332"/>
      <c r="T259" s="332"/>
      <c r="U259" s="332"/>
      <c r="V259" s="332"/>
      <c r="W259" s="332"/>
      <c r="X259" s="332"/>
      <c r="Y259" s="332"/>
      <c r="Z259" s="332"/>
      <c r="AA259" s="332"/>
      <c r="AB259" s="332"/>
      <c r="AC259" s="332"/>
      <c r="AD259" s="332"/>
      <c r="AE259" s="333"/>
      <c r="AF259" s="940"/>
      <c r="AG259" s="940"/>
      <c r="AH259" s="940"/>
      <c r="AI259" s="940"/>
      <c r="AJ259" s="345"/>
    </row>
    <row r="260" spans="1:36" s="301" customFormat="1" ht="12.75" customHeight="1" outlineLevel="1">
      <c r="A260" s="561">
        <v>241</v>
      </c>
      <c r="C260" s="10"/>
      <c r="D260" s="33"/>
      <c r="E260" s="16" t="s">
        <v>13</v>
      </c>
      <c r="F260" s="332"/>
      <c r="G260" s="332"/>
      <c r="H260" s="332"/>
      <c r="I260" s="332"/>
      <c r="J260" s="332"/>
      <c r="K260" s="332"/>
      <c r="L260" s="332"/>
      <c r="M260" s="332"/>
      <c r="N260" s="333"/>
      <c r="O260" s="334"/>
      <c r="P260" s="332"/>
      <c r="Q260" s="332"/>
      <c r="R260" s="332"/>
      <c r="S260" s="332"/>
      <c r="T260" s="332"/>
      <c r="U260" s="332"/>
      <c r="V260" s="332"/>
      <c r="W260" s="332"/>
      <c r="X260" s="332"/>
      <c r="Y260" s="332"/>
      <c r="Z260" s="332"/>
      <c r="AA260" s="332"/>
      <c r="AB260" s="332"/>
      <c r="AC260" s="332"/>
      <c r="AD260" s="332"/>
      <c r="AE260" s="333"/>
      <c r="AF260" s="940"/>
      <c r="AG260" s="940"/>
      <c r="AH260" s="940"/>
      <c r="AI260" s="940"/>
      <c r="AJ260" s="345"/>
    </row>
    <row r="261" spans="1:36" s="301" customFormat="1" ht="12.75" customHeight="1" outlineLevel="1">
      <c r="A261" s="561">
        <v>242</v>
      </c>
      <c r="C261" s="10"/>
      <c r="D261" s="33"/>
      <c r="E261" s="16" t="s">
        <v>12</v>
      </c>
      <c r="F261" s="332"/>
      <c r="G261" s="332"/>
      <c r="H261" s="332"/>
      <c r="I261" s="332"/>
      <c r="J261" s="332"/>
      <c r="K261" s="332"/>
      <c r="L261" s="332"/>
      <c r="M261" s="332"/>
      <c r="N261" s="333"/>
      <c r="O261" s="334"/>
      <c r="P261" s="332"/>
      <c r="Q261" s="332"/>
      <c r="R261" s="332"/>
      <c r="S261" s="332"/>
      <c r="T261" s="332"/>
      <c r="U261" s="332"/>
      <c r="V261" s="332"/>
      <c r="W261" s="332"/>
      <c r="X261" s="332"/>
      <c r="Y261" s="332"/>
      <c r="Z261" s="332"/>
      <c r="AA261" s="332"/>
      <c r="AB261" s="332"/>
      <c r="AC261" s="332"/>
      <c r="AD261" s="332"/>
      <c r="AE261" s="333"/>
      <c r="AF261" s="940"/>
      <c r="AG261" s="940"/>
      <c r="AH261" s="940"/>
      <c r="AI261" s="940"/>
      <c r="AJ261" s="345"/>
    </row>
    <row r="262" spans="1:36" s="301" customFormat="1" ht="12.75" customHeight="1" outlineLevel="1">
      <c r="A262" s="561">
        <v>243</v>
      </c>
      <c r="C262" s="10"/>
      <c r="D262" s="33"/>
      <c r="E262" s="16" t="s">
        <v>24</v>
      </c>
      <c r="F262" s="332"/>
      <c r="G262" s="332"/>
      <c r="H262" s="332"/>
      <c r="I262" s="332"/>
      <c r="J262" s="332"/>
      <c r="K262" s="332"/>
      <c r="L262" s="332"/>
      <c r="M262" s="332"/>
      <c r="N262" s="333"/>
      <c r="O262" s="334"/>
      <c r="P262" s="332"/>
      <c r="Q262" s="332"/>
      <c r="R262" s="332"/>
      <c r="S262" s="332"/>
      <c r="T262" s="332"/>
      <c r="U262" s="332"/>
      <c r="V262" s="332"/>
      <c r="W262" s="332"/>
      <c r="X262" s="332"/>
      <c r="Y262" s="332"/>
      <c r="Z262" s="332"/>
      <c r="AA262" s="332"/>
      <c r="AB262" s="332"/>
      <c r="AC262" s="332"/>
      <c r="AD262" s="332"/>
      <c r="AE262" s="333"/>
      <c r="AF262" s="940"/>
      <c r="AG262" s="940"/>
      <c r="AH262" s="940"/>
      <c r="AI262" s="940"/>
      <c r="AJ262" s="345"/>
    </row>
    <row r="263" spans="1:36" s="301" customFormat="1" ht="12.75" customHeight="1" outlineLevel="1">
      <c r="A263" s="561">
        <v>244</v>
      </c>
      <c r="D263" s="33"/>
      <c r="E263" s="16" t="s">
        <v>26</v>
      </c>
      <c r="F263" s="332"/>
      <c r="G263" s="332"/>
      <c r="H263" s="332"/>
      <c r="I263" s="332"/>
      <c r="J263" s="332"/>
      <c r="K263" s="332"/>
      <c r="L263" s="332"/>
      <c r="M263" s="332"/>
      <c r="N263" s="333"/>
      <c r="O263" s="334"/>
      <c r="P263" s="332"/>
      <c r="Q263" s="332"/>
      <c r="R263" s="332"/>
      <c r="S263" s="332"/>
      <c r="T263" s="332"/>
      <c r="U263" s="332"/>
      <c r="V263" s="332"/>
      <c r="W263" s="332"/>
      <c r="X263" s="332"/>
      <c r="Y263" s="332"/>
      <c r="Z263" s="332"/>
      <c r="AA263" s="332"/>
      <c r="AB263" s="332"/>
      <c r="AC263" s="332"/>
      <c r="AD263" s="332"/>
      <c r="AE263" s="333"/>
      <c r="AF263" s="940"/>
      <c r="AG263" s="940"/>
      <c r="AH263" s="940"/>
      <c r="AI263" s="940"/>
      <c r="AJ263" s="345"/>
    </row>
    <row r="264" spans="1:36" s="301" customFormat="1" ht="12.75" customHeight="1" outlineLevel="1">
      <c r="A264" s="561">
        <v>245</v>
      </c>
      <c r="B264" s="112"/>
      <c r="C264" s="112"/>
      <c r="D264" s="114"/>
      <c r="E264" s="303" t="s">
        <v>74</v>
      </c>
      <c r="F264" s="309">
        <f t="shared" ref="F264:AE264" si="33">F234*F137</f>
        <v>0</v>
      </c>
      <c r="G264" s="309">
        <f t="shared" si="33"/>
        <v>0</v>
      </c>
      <c r="H264" s="309">
        <f t="shared" si="33"/>
        <v>0</v>
      </c>
      <c r="I264" s="309">
        <f t="shared" si="33"/>
        <v>0</v>
      </c>
      <c r="J264" s="309">
        <f t="shared" si="33"/>
        <v>0</v>
      </c>
      <c r="K264" s="309">
        <f t="shared" si="33"/>
        <v>0.12726287999999999</v>
      </c>
      <c r="L264" s="309">
        <f t="shared" si="33"/>
        <v>0.51205440000000002</v>
      </c>
      <c r="M264" s="309">
        <f t="shared" si="33"/>
        <v>0.42343488000000001</v>
      </c>
      <c r="N264" s="56">
        <f t="shared" si="33"/>
        <v>0.68875602750000009</v>
      </c>
      <c r="O264" s="309">
        <f t="shared" si="33"/>
        <v>0.76433080539750753</v>
      </c>
      <c r="P264" s="309">
        <f t="shared" si="33"/>
        <v>0.76953737675769363</v>
      </c>
      <c r="Q264" s="309">
        <f t="shared" si="33"/>
        <v>1.2116090443875449</v>
      </c>
      <c r="R264" s="309">
        <f t="shared" si="33"/>
        <v>2.1059073855824879</v>
      </c>
      <c r="S264" s="309">
        <f t="shared" si="33"/>
        <v>2.6906144169262509</v>
      </c>
      <c r="T264" s="309">
        <f t="shared" si="33"/>
        <v>3.3523082603511445</v>
      </c>
      <c r="U264" s="309">
        <f t="shared" si="33"/>
        <v>4.0014924957058158</v>
      </c>
      <c r="V264" s="309">
        <f t="shared" si="33"/>
        <v>4.6430458506865877</v>
      </c>
      <c r="W264" s="309">
        <f t="shared" si="33"/>
        <v>5.0890376259581744</v>
      </c>
      <c r="X264" s="309">
        <f t="shared" si="33"/>
        <v>5.3378403801043453</v>
      </c>
      <c r="Y264" s="309">
        <f t="shared" si="33"/>
        <v>5.5880834106153845</v>
      </c>
      <c r="Z264" s="309">
        <f t="shared" si="33"/>
        <v>5.8397667174912931</v>
      </c>
      <c r="AA264" s="309">
        <f t="shared" si="33"/>
        <v>6.0928903007320709</v>
      </c>
      <c r="AB264" s="309">
        <f t="shared" si="33"/>
        <v>6.3474541603377199</v>
      </c>
      <c r="AC264" s="309">
        <f t="shared" si="33"/>
        <v>6.6034582963082373</v>
      </c>
      <c r="AD264" s="309">
        <f t="shared" si="33"/>
        <v>6.8609027086436232</v>
      </c>
      <c r="AE264" s="309">
        <f t="shared" si="33"/>
        <v>7.1182349839025347</v>
      </c>
      <c r="AF264" s="940" t="s">
        <v>576</v>
      </c>
      <c r="AG264" s="940"/>
      <c r="AH264" s="940"/>
      <c r="AI264" s="940"/>
      <c r="AJ264" s="1042"/>
    </row>
    <row r="265" spans="1:36" s="301" customFormat="1" ht="12.75" customHeight="1" outlineLevel="1">
      <c r="A265" s="561">
        <v>246</v>
      </c>
      <c r="B265" s="112"/>
      <c r="C265" s="112"/>
      <c r="D265" s="114"/>
      <c r="E265" s="203" t="s">
        <v>55</v>
      </c>
      <c r="F265" s="325">
        <f t="shared" ref="F265:N265" si="34">SUM(F258:F264)</f>
        <v>0</v>
      </c>
      <c r="G265" s="325">
        <f t="shared" si="34"/>
        <v>0</v>
      </c>
      <c r="H265" s="325">
        <f t="shared" si="34"/>
        <v>0</v>
      </c>
      <c r="I265" s="325">
        <f t="shared" si="34"/>
        <v>0</v>
      </c>
      <c r="J265" s="325">
        <f t="shared" si="34"/>
        <v>0</v>
      </c>
      <c r="K265" s="325">
        <f t="shared" si="34"/>
        <v>0.12726287999999999</v>
      </c>
      <c r="L265" s="325">
        <f t="shared" si="34"/>
        <v>0.51205440000000002</v>
      </c>
      <c r="M265" s="325">
        <f t="shared" si="34"/>
        <v>0.42343488000000001</v>
      </c>
      <c r="N265" s="326">
        <f t="shared" si="34"/>
        <v>0.68875602750000009</v>
      </c>
      <c r="O265" s="300">
        <f t="shared" ref="O265:P265" si="35">SUM(O258:O264)</f>
        <v>0.76433080539750753</v>
      </c>
      <c r="P265" s="325">
        <f t="shared" si="35"/>
        <v>0.76953737675769363</v>
      </c>
      <c r="Q265" s="325">
        <f t="shared" ref="Q265:AE265" si="36">SUM(Q258:Q264)</f>
        <v>1.2116090443875449</v>
      </c>
      <c r="R265" s="325">
        <f t="shared" si="36"/>
        <v>2.1059073855824879</v>
      </c>
      <c r="S265" s="325">
        <f t="shared" si="36"/>
        <v>2.6906144169262509</v>
      </c>
      <c r="T265" s="325">
        <f t="shared" si="36"/>
        <v>3.3523082603511445</v>
      </c>
      <c r="U265" s="325">
        <f t="shared" si="36"/>
        <v>4.0014924957058158</v>
      </c>
      <c r="V265" s="325">
        <f t="shared" si="36"/>
        <v>4.6430458506865877</v>
      </c>
      <c r="W265" s="325">
        <f t="shared" si="36"/>
        <v>5.0890376259581744</v>
      </c>
      <c r="X265" s="325">
        <f t="shared" si="36"/>
        <v>5.3378403801043453</v>
      </c>
      <c r="Y265" s="325">
        <f t="shared" si="36"/>
        <v>5.5880834106153845</v>
      </c>
      <c r="Z265" s="325">
        <f t="shared" si="36"/>
        <v>5.8397667174912931</v>
      </c>
      <c r="AA265" s="325">
        <f t="shared" si="36"/>
        <v>6.0928903007320709</v>
      </c>
      <c r="AB265" s="325">
        <f t="shared" si="36"/>
        <v>6.3474541603377199</v>
      </c>
      <c r="AC265" s="325">
        <f t="shared" si="36"/>
        <v>6.6034582963082373</v>
      </c>
      <c r="AD265" s="325">
        <f t="shared" si="36"/>
        <v>6.8609027086436232</v>
      </c>
      <c r="AE265" s="326">
        <f t="shared" si="36"/>
        <v>7.1182349839025347</v>
      </c>
      <c r="AF265" s="940"/>
      <c r="AG265" s="940"/>
      <c r="AH265" s="940"/>
      <c r="AI265" s="940"/>
      <c r="AJ265" s="345"/>
    </row>
    <row r="266" spans="1:36" s="301" customFormat="1" ht="12.75" customHeight="1" outlineLevel="1">
      <c r="A266" s="561">
        <v>247</v>
      </c>
      <c r="B266" s="112"/>
      <c r="C266" s="112"/>
      <c r="D266" s="114"/>
      <c r="F266" s="331"/>
      <c r="G266" s="331"/>
      <c r="H266" s="331"/>
      <c r="I266" s="331"/>
      <c r="J266" s="331"/>
      <c r="K266" s="331"/>
      <c r="L266" s="331"/>
      <c r="M266" s="331"/>
      <c r="N266" s="349"/>
      <c r="O266" s="296"/>
      <c r="P266" s="331"/>
      <c r="Q266" s="331"/>
      <c r="R266" s="331"/>
      <c r="S266" s="331"/>
      <c r="T266" s="331"/>
      <c r="U266" s="331"/>
      <c r="V266" s="331"/>
      <c r="W266" s="331"/>
      <c r="X266" s="331"/>
      <c r="Y266" s="331"/>
      <c r="Z266" s="331"/>
      <c r="AA266" s="331"/>
      <c r="AB266" s="331"/>
      <c r="AC266" s="331"/>
      <c r="AD266" s="331"/>
      <c r="AE266" s="331"/>
      <c r="AF266" s="940"/>
      <c r="AG266" s="940"/>
      <c r="AH266" s="940"/>
      <c r="AI266" s="940"/>
      <c r="AJ266" s="345"/>
    </row>
    <row r="267" spans="1:36" s="301" customFormat="1" ht="12.75" customHeight="1" outlineLevel="1">
      <c r="A267" s="561">
        <v>248</v>
      </c>
      <c r="B267" s="112"/>
      <c r="C267" s="112"/>
      <c r="D267" s="114"/>
      <c r="E267" s="322" t="s">
        <v>414</v>
      </c>
      <c r="F267" s="331"/>
      <c r="G267" s="331"/>
      <c r="H267" s="331"/>
      <c r="I267" s="331"/>
      <c r="J267" s="331"/>
      <c r="K267" s="331"/>
      <c r="L267" s="331"/>
      <c r="M267" s="331"/>
      <c r="N267" s="349"/>
      <c r="O267" s="296"/>
      <c r="P267" s="331"/>
      <c r="Q267" s="331"/>
      <c r="R267" s="331"/>
      <c r="S267" s="331"/>
      <c r="T267" s="331"/>
      <c r="U267" s="331"/>
      <c r="V267" s="331"/>
      <c r="W267" s="331"/>
      <c r="X267" s="331"/>
      <c r="Y267" s="331"/>
      <c r="Z267" s="331"/>
      <c r="AA267" s="331"/>
      <c r="AB267" s="331"/>
      <c r="AC267" s="331"/>
      <c r="AD267" s="331"/>
      <c r="AE267" s="331"/>
      <c r="AF267" s="940" t="s">
        <v>463</v>
      </c>
      <c r="AG267" s="940" t="s">
        <v>463</v>
      </c>
      <c r="AH267" s="940"/>
      <c r="AI267" s="940"/>
      <c r="AJ267" s="345" t="s">
        <v>465</v>
      </c>
    </row>
    <row r="268" spans="1:36" s="301" customFormat="1" ht="12.75" customHeight="1" outlineLevel="1">
      <c r="A268" s="561">
        <v>249</v>
      </c>
      <c r="B268" s="112"/>
      <c r="C268" s="112"/>
      <c r="D268" s="114"/>
      <c r="E268" s="321" t="s">
        <v>25</v>
      </c>
      <c r="F268" s="323"/>
      <c r="G268" s="323"/>
      <c r="H268" s="323"/>
      <c r="I268" s="314"/>
      <c r="J268" s="314"/>
      <c r="K268" s="323">
        <f t="shared" ref="K268:AE268" si="37">K149*K$26</f>
        <v>104.6549069956925</v>
      </c>
      <c r="L268" s="323">
        <f t="shared" si="37"/>
        <v>107.81540610709827</v>
      </c>
      <c r="M268" s="323">
        <f t="shared" si="37"/>
        <v>109.89175076989756</v>
      </c>
      <c r="N268" s="323">
        <f t="shared" si="37"/>
        <v>109.66547120427283</v>
      </c>
      <c r="O268" s="323">
        <f t="shared" si="37"/>
        <v>109.00963927303154</v>
      </c>
      <c r="P268" s="323">
        <f t="shared" si="37"/>
        <v>107.39597441581255</v>
      </c>
      <c r="Q268" s="323">
        <f t="shared" si="37"/>
        <v>108.33291170985395</v>
      </c>
      <c r="R268" s="323">
        <f t="shared" si="37"/>
        <v>107.79124715130467</v>
      </c>
      <c r="S268" s="323">
        <f t="shared" si="37"/>
        <v>107.25229091554817</v>
      </c>
      <c r="T268" s="323">
        <f t="shared" si="37"/>
        <v>106.71602946097043</v>
      </c>
      <c r="U268" s="323">
        <f t="shared" si="37"/>
        <v>106.18244931366557</v>
      </c>
      <c r="V268" s="323">
        <f t="shared" si="37"/>
        <v>105.65153706709724</v>
      </c>
      <c r="W268" s="323">
        <f t="shared" si="37"/>
        <v>105.12327938176175</v>
      </c>
      <c r="X268" s="323">
        <f t="shared" si="37"/>
        <v>104.59766298485293</v>
      </c>
      <c r="Y268" s="323">
        <f t="shared" si="37"/>
        <v>104.07467466992865</v>
      </c>
      <c r="Z268" s="323">
        <f t="shared" si="37"/>
        <v>103.55430129657901</v>
      </c>
      <c r="AA268" s="323">
        <f t="shared" si="37"/>
        <v>103.03652979009611</v>
      </c>
      <c r="AB268" s="323">
        <f t="shared" si="37"/>
        <v>102.52134714114563</v>
      </c>
      <c r="AC268" s="323">
        <f t="shared" si="37"/>
        <v>102.00874040543989</v>
      </c>
      <c r="AD268" s="323">
        <f t="shared" si="37"/>
        <v>101.49869670341272</v>
      </c>
      <c r="AE268" s="323">
        <f t="shared" si="37"/>
        <v>100.99120321989564</v>
      </c>
      <c r="AF268" s="940" t="s">
        <v>463</v>
      </c>
      <c r="AG268" s="940" t="s">
        <v>463</v>
      </c>
      <c r="AH268" s="940"/>
      <c r="AI268" s="940"/>
      <c r="AJ268" s="345"/>
    </row>
    <row r="269" spans="1:36" s="301" customFormat="1" ht="12.75" customHeight="1" outlineLevel="1">
      <c r="A269" s="561">
        <v>250</v>
      </c>
      <c r="B269" s="112"/>
      <c r="C269" s="112"/>
      <c r="D269" s="114"/>
      <c r="E269" s="16" t="s">
        <v>50</v>
      </c>
      <c r="F269" s="332"/>
      <c r="G269" s="332"/>
      <c r="H269" s="332"/>
      <c r="I269" s="316"/>
      <c r="J269" s="316"/>
      <c r="K269" s="332">
        <f t="shared" ref="K269:AE269" si="38">K150*K$26</f>
        <v>73.261496337603901</v>
      </c>
      <c r="L269" s="332">
        <f t="shared" si="38"/>
        <v>74.715406126884034</v>
      </c>
      <c r="M269" s="332">
        <f t="shared" si="38"/>
        <v>61.610459210445633</v>
      </c>
      <c r="N269" s="332">
        <f t="shared" si="38"/>
        <v>60.865670703537099</v>
      </c>
      <c r="O269" s="332">
        <f t="shared" si="38"/>
        <v>59.893618957621506</v>
      </c>
      <c r="P269" s="332">
        <f t="shared" si="38"/>
        <v>58.413981031156119</v>
      </c>
      <c r="Q269" s="332">
        <f t="shared" si="38"/>
        <v>58.331395747629315</v>
      </c>
      <c r="R269" s="332">
        <f t="shared" si="38"/>
        <v>57.456424811414877</v>
      </c>
      <c r="S269" s="332">
        <f t="shared" si="38"/>
        <v>56.594578439243655</v>
      </c>
      <c r="T269" s="332">
        <f t="shared" si="38"/>
        <v>55.745659762654995</v>
      </c>
      <c r="U269" s="332">
        <f t="shared" si="38"/>
        <v>54.909474866215163</v>
      </c>
      <c r="V269" s="332">
        <f t="shared" si="38"/>
        <v>54.085832743221935</v>
      </c>
      <c r="W269" s="332">
        <f t="shared" si="38"/>
        <v>53.274545252073601</v>
      </c>
      <c r="X269" s="332">
        <f t="shared" si="38"/>
        <v>52.475427073292501</v>
      </c>
      <c r="Y269" s="332">
        <f t="shared" si="38"/>
        <v>51.688295667193096</v>
      </c>
      <c r="Z269" s="332">
        <f t="shared" si="38"/>
        <v>50.912971232185193</v>
      </c>
      <c r="AA269" s="332">
        <f t="shared" si="38"/>
        <v>50.149276663702416</v>
      </c>
      <c r="AB269" s="332">
        <f t="shared" si="38"/>
        <v>49.397037513746881</v>
      </c>
      <c r="AC269" s="332">
        <f t="shared" si="38"/>
        <v>48.656081951040683</v>
      </c>
      <c r="AD269" s="332">
        <f t="shared" si="38"/>
        <v>47.926240721775066</v>
      </c>
      <c r="AE269" s="332">
        <f t="shared" si="38"/>
        <v>47.207347110948447</v>
      </c>
      <c r="AF269" s="940" t="s">
        <v>463</v>
      </c>
      <c r="AG269" s="940" t="s">
        <v>463</v>
      </c>
      <c r="AH269" s="940"/>
      <c r="AI269" s="940"/>
      <c r="AJ269" s="345"/>
    </row>
    <row r="270" spans="1:36" s="301" customFormat="1" ht="12.75" customHeight="1" outlineLevel="1">
      <c r="A270" s="561">
        <v>251</v>
      </c>
      <c r="B270" s="112"/>
      <c r="C270" s="112"/>
      <c r="D270" s="114"/>
      <c r="E270" s="16" t="s">
        <v>13</v>
      </c>
      <c r="F270" s="332"/>
      <c r="G270" s="332"/>
      <c r="H270" s="332"/>
      <c r="I270" s="316"/>
      <c r="J270" s="316"/>
      <c r="K270" s="332">
        <f t="shared" ref="K270:AE270" si="39">K151*K$26</f>
        <v>158.11805145780212</v>
      </c>
      <c r="L270" s="332">
        <f t="shared" si="39"/>
        <v>162.07453885682045</v>
      </c>
      <c r="M270" s="332">
        <f t="shared" si="39"/>
        <v>141.91830077537531</v>
      </c>
      <c r="N270" s="332">
        <f t="shared" si="39"/>
        <v>140.92277861207066</v>
      </c>
      <c r="O270" s="332">
        <f t="shared" si="39"/>
        <v>139.37525440885975</v>
      </c>
      <c r="P270" s="332">
        <f t="shared" si="39"/>
        <v>133.08387908003471</v>
      </c>
      <c r="Q270" s="332">
        <f t="shared" si="39"/>
        <v>140.35374272874085</v>
      </c>
      <c r="R270" s="332">
        <f t="shared" si="39"/>
        <v>137.90967883577406</v>
      </c>
      <c r="S270" s="332">
        <f t="shared" si="39"/>
        <v>134.73994655312134</v>
      </c>
      <c r="T270" s="332">
        <f t="shared" si="39"/>
        <v>132.51384160573735</v>
      </c>
      <c r="U270" s="332">
        <f t="shared" si="39"/>
        <v>135.45714387840496</v>
      </c>
      <c r="V270" s="332">
        <f t="shared" si="39"/>
        <v>134.08254466460022</v>
      </c>
      <c r="W270" s="332">
        <f t="shared" si="39"/>
        <v>132.71878347414261</v>
      </c>
      <c r="X270" s="332">
        <f t="shared" si="39"/>
        <v>131.36575201772001</v>
      </c>
      <c r="Y270" s="332">
        <f t="shared" si="39"/>
        <v>130.02334308800673</v>
      </c>
      <c r="Z270" s="332">
        <f t="shared" si="39"/>
        <v>128.69145054885226</v>
      </c>
      <c r="AA270" s="332">
        <f t="shared" si="39"/>
        <v>127.3699693245787</v>
      </c>
      <c r="AB270" s="332">
        <f t="shared" si="39"/>
        <v>126.05879538938493</v>
      </c>
      <c r="AC270" s="332">
        <f t="shared" si="39"/>
        <v>124.75782575685641</v>
      </c>
      <c r="AD270" s="332">
        <f t="shared" si="39"/>
        <v>123.46695846958028</v>
      </c>
      <c r="AE270" s="332">
        <f t="shared" si="39"/>
        <v>125.24077365300526</v>
      </c>
      <c r="AF270" s="940" t="s">
        <v>463</v>
      </c>
      <c r="AG270" s="940" t="s">
        <v>463</v>
      </c>
      <c r="AH270" s="940"/>
      <c r="AI270" s="940"/>
      <c r="AJ270" s="345"/>
    </row>
    <row r="271" spans="1:36" s="301" customFormat="1" ht="12.75" customHeight="1" outlineLevel="1">
      <c r="A271" s="561">
        <v>252</v>
      </c>
      <c r="B271" s="112"/>
      <c r="C271" s="112"/>
      <c r="D271" s="114"/>
      <c r="E271" s="16" t="s">
        <v>12</v>
      </c>
      <c r="F271" s="332"/>
      <c r="G271" s="332"/>
      <c r="H271" s="332"/>
      <c r="I271" s="316"/>
      <c r="J271" s="316"/>
      <c r="K271" s="332">
        <f t="shared" ref="K271:AE271" si="40">K152*K$26</f>
        <v>224.63073739001857</v>
      </c>
      <c r="L271" s="332">
        <f t="shared" si="40"/>
        <v>226.76286987390068</v>
      </c>
      <c r="M271" s="332">
        <f t="shared" si="40"/>
        <v>232.57730243476996</v>
      </c>
      <c r="N271" s="332">
        <f t="shared" si="40"/>
        <v>233.26472303309936</v>
      </c>
      <c r="O271" s="332">
        <f t="shared" si="40"/>
        <v>233.03490557198302</v>
      </c>
      <c r="P271" s="332">
        <f t="shared" si="40"/>
        <v>230.73899517225905</v>
      </c>
      <c r="Q271" s="332">
        <f t="shared" si="40"/>
        <v>222.22552190211019</v>
      </c>
      <c r="R271" s="332">
        <f t="shared" si="40"/>
        <v>211.11424580700469</v>
      </c>
      <c r="S271" s="332">
        <f t="shared" si="40"/>
        <v>200.55853351665445</v>
      </c>
      <c r="T271" s="332">
        <f t="shared" si="40"/>
        <v>190.53060684082172</v>
      </c>
      <c r="U271" s="332">
        <f t="shared" si="40"/>
        <v>181.00407649878062</v>
      </c>
      <c r="V271" s="332">
        <f t="shared" si="40"/>
        <v>171.95387267384157</v>
      </c>
      <c r="W271" s="332">
        <f t="shared" si="40"/>
        <v>163.3561790401495</v>
      </c>
      <c r="X271" s="332">
        <f t="shared" si="40"/>
        <v>155.18837008814199</v>
      </c>
      <c r="Y271" s="332">
        <f t="shared" si="40"/>
        <v>147.42895158373489</v>
      </c>
      <c r="Z271" s="332">
        <f t="shared" si="40"/>
        <v>140.05750400454812</v>
      </c>
      <c r="AA271" s="332">
        <f t="shared" si="40"/>
        <v>133.05462880432071</v>
      </c>
      <c r="AB271" s="332">
        <f t="shared" si="40"/>
        <v>126.40189736410467</v>
      </c>
      <c r="AC271" s="332">
        <f t="shared" si="40"/>
        <v>120.08180249589944</v>
      </c>
      <c r="AD271" s="332">
        <f t="shared" si="40"/>
        <v>114.07771237110447</v>
      </c>
      <c r="AE271" s="332">
        <f t="shared" si="40"/>
        <v>108.37382675254923</v>
      </c>
      <c r="AF271" s="940" t="s">
        <v>463</v>
      </c>
      <c r="AG271" s="940" t="s">
        <v>463</v>
      </c>
      <c r="AH271" s="940"/>
      <c r="AI271" s="940"/>
      <c r="AJ271" s="345"/>
    </row>
    <row r="272" spans="1:36" s="301" customFormat="1" ht="12.75" customHeight="1" outlineLevel="1">
      <c r="A272" s="561">
        <v>253</v>
      </c>
      <c r="B272" s="112"/>
      <c r="C272" s="112"/>
      <c r="D272" s="114"/>
      <c r="E272" s="16" t="s">
        <v>24</v>
      </c>
      <c r="F272" s="332"/>
      <c r="G272" s="332"/>
      <c r="H272" s="332"/>
      <c r="I272" s="316"/>
      <c r="J272" s="316"/>
      <c r="K272" s="332">
        <f t="shared" ref="K272:AE272" si="41">K153*K$26</f>
        <v>79.333871538538332</v>
      </c>
      <c r="L272" s="332">
        <f t="shared" si="41"/>
        <v>80.269152179532028</v>
      </c>
      <c r="M272" s="332">
        <f t="shared" si="41"/>
        <v>74.433966037159522</v>
      </c>
      <c r="N272" s="332">
        <f t="shared" si="41"/>
        <v>70.002558251500545</v>
      </c>
      <c r="O272" s="332">
        <f t="shared" si="41"/>
        <v>59.213059815814347</v>
      </c>
      <c r="P272" s="332">
        <f t="shared" si="41"/>
        <v>57.620654627739128</v>
      </c>
      <c r="Q272" s="332">
        <f t="shared" si="41"/>
        <v>57.392479399179912</v>
      </c>
      <c r="R272" s="332">
        <f t="shared" si="41"/>
        <v>56.369536520582891</v>
      </c>
      <c r="S272" s="332">
        <f t="shared" si="41"/>
        <v>55.346593641985876</v>
      </c>
      <c r="T272" s="332">
        <f t="shared" si="41"/>
        <v>54.323650763388862</v>
      </c>
      <c r="U272" s="332">
        <f t="shared" si="41"/>
        <v>53.300707884791848</v>
      </c>
      <c r="V272" s="332">
        <f t="shared" si="41"/>
        <v>52.277765006194826</v>
      </c>
      <c r="W272" s="332">
        <f t="shared" si="41"/>
        <v>51.254822127597819</v>
      </c>
      <c r="X272" s="332">
        <f t="shared" si="41"/>
        <v>50.231879249000791</v>
      </c>
      <c r="Y272" s="332">
        <f t="shared" si="41"/>
        <v>49.208936370403777</v>
      </c>
      <c r="Z272" s="332">
        <f t="shared" si="41"/>
        <v>48.185993491806755</v>
      </c>
      <c r="AA272" s="332">
        <f t="shared" si="41"/>
        <v>47.163050613209741</v>
      </c>
      <c r="AB272" s="332">
        <f t="shared" si="41"/>
        <v>46.140107734612727</v>
      </c>
      <c r="AC272" s="332">
        <f t="shared" si="41"/>
        <v>45.117164856015705</v>
      </c>
      <c r="AD272" s="332">
        <f t="shared" si="41"/>
        <v>44.094221977418705</v>
      </c>
      <c r="AE272" s="332">
        <f t="shared" si="41"/>
        <v>43.071279098821691</v>
      </c>
      <c r="AF272" s="940" t="s">
        <v>463</v>
      </c>
      <c r="AG272" s="940" t="s">
        <v>463</v>
      </c>
      <c r="AH272" s="940"/>
      <c r="AI272" s="940"/>
      <c r="AJ272" s="345"/>
    </row>
    <row r="273" spans="1:36" s="301" customFormat="1" ht="12.75" customHeight="1" outlineLevel="1">
      <c r="A273" s="561">
        <v>254</v>
      </c>
      <c r="B273" s="112"/>
      <c r="C273" s="112"/>
      <c r="D273" s="114"/>
      <c r="E273" s="16" t="s">
        <v>26</v>
      </c>
      <c r="F273" s="332"/>
      <c r="G273" s="332"/>
      <c r="H273" s="332"/>
      <c r="I273" s="316"/>
      <c r="J273" s="316"/>
      <c r="K273" s="332">
        <f t="shared" ref="K273:AE273" si="42">K154*K$26</f>
        <v>172.93001211771269</v>
      </c>
      <c r="L273" s="332">
        <f t="shared" si="42"/>
        <v>174.34068424574622</v>
      </c>
      <c r="M273" s="332">
        <f t="shared" si="42"/>
        <v>179.04760584264037</v>
      </c>
      <c r="N273" s="332">
        <f t="shared" si="42"/>
        <v>137.92239576163414</v>
      </c>
      <c r="O273" s="332">
        <f t="shared" si="42"/>
        <v>137.78651162787884</v>
      </c>
      <c r="P273" s="332">
        <f t="shared" si="42"/>
        <v>131.85085438414802</v>
      </c>
      <c r="Q273" s="332">
        <f t="shared" si="42"/>
        <v>68.965517241379317</v>
      </c>
      <c r="R273" s="332">
        <f t="shared" si="42"/>
        <v>65</v>
      </c>
      <c r="S273" s="332">
        <f t="shared" si="42"/>
        <v>62.591666666666661</v>
      </c>
      <c r="T273" s="332">
        <f t="shared" si="42"/>
        <v>60.09645833333331</v>
      </c>
      <c r="U273" s="332">
        <f t="shared" si="42"/>
        <v>57.512310624999976</v>
      </c>
      <c r="V273" s="332">
        <f t="shared" si="42"/>
        <v>57.313631733749972</v>
      </c>
      <c r="W273" s="332">
        <f t="shared" si="42"/>
        <v>57.096052205871835</v>
      </c>
      <c r="X273" s="332">
        <f t="shared" si="42"/>
        <v>56.859049725017265</v>
      </c>
      <c r="Y273" s="332">
        <f t="shared" si="42"/>
        <v>56.602090557990735</v>
      </c>
      <c r="Z273" s="332">
        <f t="shared" si="42"/>
        <v>56.324629329765287</v>
      </c>
      <c r="AA273" s="332">
        <f t="shared" si="42"/>
        <v>56.026108794317523</v>
      </c>
      <c r="AB273" s="332">
        <f t="shared" si="42"/>
        <v>55.705959601207127</v>
      </c>
      <c r="AC273" s="332">
        <f t="shared" si="42"/>
        <v>55.363600057824705</v>
      </c>
      <c r="AD273" s="332">
        <f t="shared" si="42"/>
        <v>54.998435887230542</v>
      </c>
      <c r="AE273" s="332">
        <f t="shared" si="42"/>
        <v>54.609859981505537</v>
      </c>
      <c r="AF273" s="940" t="s">
        <v>463</v>
      </c>
      <c r="AG273" s="940" t="s">
        <v>463</v>
      </c>
      <c r="AH273" s="940"/>
      <c r="AI273" s="940"/>
      <c r="AJ273" s="345"/>
    </row>
    <row r="274" spans="1:36" s="301" customFormat="1" ht="12.75" customHeight="1" outlineLevel="1">
      <c r="A274" s="561">
        <v>255</v>
      </c>
      <c r="B274" s="112"/>
      <c r="C274" s="112"/>
      <c r="D274" s="114"/>
      <c r="E274" s="303" t="s">
        <v>74</v>
      </c>
      <c r="F274" s="309"/>
      <c r="G274" s="309"/>
      <c r="H274" s="309"/>
      <c r="I274" s="318"/>
      <c r="J274" s="318"/>
      <c r="K274" s="309">
        <f t="shared" ref="K274:AE274" si="43">K155*K$26</f>
        <v>97.739644097585838</v>
      </c>
      <c r="L274" s="309">
        <f t="shared" si="43"/>
        <v>100.43769051296258</v>
      </c>
      <c r="M274" s="309">
        <f t="shared" si="43"/>
        <v>93.54666645516528</v>
      </c>
      <c r="N274" s="309">
        <f t="shared" si="43"/>
        <v>102.45321052764567</v>
      </c>
      <c r="O274" s="309">
        <f t="shared" si="43"/>
        <v>101.87852213664951</v>
      </c>
      <c r="P274" s="309">
        <f t="shared" si="43"/>
        <v>85.326994978146104</v>
      </c>
      <c r="Q274" s="309">
        <f t="shared" si="43"/>
        <v>83.571428571428584</v>
      </c>
      <c r="R274" s="309">
        <f t="shared" si="43"/>
        <v>78.358541666666667</v>
      </c>
      <c r="S274" s="309">
        <f t="shared" si="43"/>
        <v>75.322304166666655</v>
      </c>
      <c r="T274" s="309">
        <f t="shared" si="43"/>
        <v>72.896875180208326</v>
      </c>
      <c r="U274" s="309">
        <f t="shared" si="43"/>
        <v>70.452319096031232</v>
      </c>
      <c r="V274" s="309">
        <f t="shared" si="43"/>
        <v>68.138213245686686</v>
      </c>
      <c r="W274" s="309">
        <f t="shared" si="43"/>
        <v>65.868869604670735</v>
      </c>
      <c r="X274" s="309">
        <f t="shared" si="43"/>
        <v>63.704186797842162</v>
      </c>
      <c r="Y274" s="309">
        <f t="shared" si="43"/>
        <v>61.553941098130231</v>
      </c>
      <c r="Z274" s="309">
        <f t="shared" si="43"/>
        <v>59.524525396371459</v>
      </c>
      <c r="AA274" s="309">
        <f t="shared" si="43"/>
        <v>57.600461507937418</v>
      </c>
      <c r="AB274" s="309">
        <f t="shared" si="43"/>
        <v>55.608764307111265</v>
      </c>
      <c r="AC274" s="309">
        <f t="shared" si="43"/>
        <v>53.603449858113954</v>
      </c>
      <c r="AD274" s="309">
        <f t="shared" si="43"/>
        <v>51.752531821407707</v>
      </c>
      <c r="AE274" s="309">
        <f t="shared" si="43"/>
        <v>49.921300113982277</v>
      </c>
      <c r="AF274" s="940" t="s">
        <v>463</v>
      </c>
      <c r="AG274" s="940" t="s">
        <v>463</v>
      </c>
      <c r="AH274" s="940"/>
      <c r="AI274" s="940"/>
      <c r="AJ274" s="345"/>
    </row>
    <row r="275" spans="1:36" s="301" customFormat="1" ht="12.75" customHeight="1" outlineLevel="1">
      <c r="A275" s="561">
        <v>256</v>
      </c>
      <c r="B275" s="112"/>
      <c r="C275" s="112"/>
      <c r="D275" s="114"/>
      <c r="F275" s="331"/>
      <c r="G275" s="331"/>
      <c r="H275" s="331"/>
      <c r="I275" s="331"/>
      <c r="J275" s="331"/>
      <c r="K275" s="331"/>
      <c r="L275" s="331"/>
      <c r="M275" s="331"/>
      <c r="N275" s="349"/>
      <c r="O275" s="296"/>
      <c r="P275" s="331"/>
      <c r="Q275" s="331"/>
      <c r="R275" s="331"/>
      <c r="S275" s="331"/>
      <c r="T275" s="331"/>
      <c r="U275" s="331"/>
      <c r="V275" s="331"/>
      <c r="W275" s="331"/>
      <c r="X275" s="331"/>
      <c r="Y275" s="331"/>
      <c r="Z275" s="331"/>
      <c r="AA275" s="331"/>
      <c r="AB275" s="331"/>
      <c r="AC275" s="331"/>
      <c r="AD275" s="331"/>
      <c r="AE275" s="331"/>
      <c r="AF275" s="940" t="s">
        <v>463</v>
      </c>
      <c r="AG275" s="940" t="s">
        <v>463</v>
      </c>
      <c r="AH275" s="940"/>
      <c r="AI275" s="940"/>
      <c r="AJ275" s="345"/>
    </row>
    <row r="276" spans="1:36" s="301" customFormat="1" ht="57" customHeight="1" outlineLevel="1">
      <c r="A276" s="561">
        <v>257</v>
      </c>
      <c r="B276" s="112"/>
      <c r="C276" s="112"/>
      <c r="D276" s="114"/>
      <c r="E276" s="211" t="s">
        <v>755</v>
      </c>
      <c r="F276" s="331"/>
      <c r="G276" s="331"/>
      <c r="H276" s="331"/>
      <c r="I276" s="331"/>
      <c r="J276" s="331"/>
      <c r="K276" s="331"/>
      <c r="L276" s="331"/>
      <c r="M276" s="331"/>
      <c r="N276" s="349"/>
      <c r="O276" s="296"/>
      <c r="P276" s="331"/>
      <c r="Q276" s="331"/>
      <c r="R276" s="331"/>
      <c r="S276" s="331"/>
      <c r="T276" s="331"/>
      <c r="U276" s="331"/>
      <c r="V276" s="331"/>
      <c r="W276" s="331"/>
      <c r="X276" s="331"/>
      <c r="Y276" s="331"/>
      <c r="Z276" s="331"/>
      <c r="AA276" s="331"/>
      <c r="AB276" s="331"/>
      <c r="AC276" s="331"/>
      <c r="AD276" s="331"/>
      <c r="AE276" s="331"/>
      <c r="AF276" s="940" t="s">
        <v>544</v>
      </c>
      <c r="AG276" s="940"/>
      <c r="AH276" s="940"/>
      <c r="AI276" s="940"/>
      <c r="AJ276" s="340" t="s">
        <v>756</v>
      </c>
    </row>
    <row r="277" spans="1:36" s="301" customFormat="1" ht="12.75" customHeight="1" outlineLevel="1">
      <c r="A277" s="561">
        <v>258</v>
      </c>
      <c r="B277" s="112"/>
      <c r="C277" s="112"/>
      <c r="D277" s="114"/>
      <c r="E277" s="321" t="s">
        <v>25</v>
      </c>
      <c r="F277" s="323"/>
      <c r="G277" s="323"/>
      <c r="H277" s="323"/>
      <c r="I277" s="314"/>
      <c r="J277" s="314"/>
      <c r="K277" s="323">
        <f>K268</f>
        <v>104.6549069956925</v>
      </c>
      <c r="L277" s="323">
        <f>IF((SUM($K56:K56)+L56/2)&gt;0,(SUMPRODUCT($K56:K56,$K268:K268)+(L56/2)*L268) / (SUM($K56:K56)+L56/2),K277)</f>
        <v>104.76824267324855</v>
      </c>
      <c r="M277" s="323">
        <f>IF((SUM($K56:L56)+M56/2)&gt;0,(SUMPRODUCT($K56:L56,$K268:L268)+(M56/2)*M268) / (SUM($K56:L56)+M56/2),L277)</f>
        <v>104.91672125469348</v>
      </c>
      <c r="N277" s="323">
        <f>IF((SUM($K56:M56)+N56/2)&gt;0,(SUMPRODUCT($K56:M56,$K268:M268)+(N56/2)*N268) / (SUM($K56:M56)+N56/2),M277)</f>
        <v>105.06747248838744</v>
      </c>
      <c r="O277" s="323">
        <f>IF((SUM($K56:N56)+O56/2)&gt;0,(SUMPRODUCT($K56:N56,$K268:N268)+(O56/2)*O268) / (SUM($K56:N56)+O56/2),N277)</f>
        <v>105.26665720500512</v>
      </c>
      <c r="P277" s="323">
        <f>IF((SUM($K56:O56)+P56/2)&gt;0,(SUMPRODUCT($K56:O56,$K268:O268)+(P56/2)*P268) / (SUM($K56:O56)+P56/2),O277)</f>
        <v>105.3947751024634</v>
      </c>
      <c r="Q277" s="323">
        <f>IF((SUM($K56:P56)+Q56/2)&gt;0,(SUMPRODUCT($K56:P56,$K268:P268)+(Q56/2)*Q268) / (SUM($K56:P56)+Q56/2),P277)</f>
        <v>105.48555237631777</v>
      </c>
      <c r="R277" s="323">
        <f>IF((SUM($K56:Q56)+R56/2)&gt;0,(SUMPRODUCT($K56:Q56,$K268:Q268)+(R56/2)*R268) / (SUM($K56:Q56)+R56/2),Q277)</f>
        <v>105.57084623399206</v>
      </c>
      <c r="S277" s="323">
        <f>IF((SUM($K56:R56)+S56/2)&gt;0,(SUMPRODUCT($K56:R56,$K268:R268)+(S56/2)*S268) / (SUM($K56:R56)+S56/2),R277)</f>
        <v>105.62540244040531</v>
      </c>
      <c r="T277" s="323">
        <f>IF((SUM($K56:S56)+T56/2)&gt;0,(SUMPRODUCT($K56:S56,$K268:S268)+(T56/2)*T268) / (SUM($K56:S56)+T56/2),S277)</f>
        <v>105.66236551403577</v>
      </c>
      <c r="U277" s="323">
        <f>IF((SUM($K56:T56)+U56/2)&gt;0,(SUMPRODUCT($K56:T56,$K268:T268)+(U56/2)*U268) / (SUM($K56:T56)+U56/2),T277)</f>
        <v>105.68320440707821</v>
      </c>
      <c r="V277" s="323">
        <f>IF((SUM($K56:U56)+V56/2)&gt;0,(SUMPRODUCT($K56:U56,$K268:U268)+(V56/2)*V268) / (SUM($K56:U56)+V56/2),U277)</f>
        <v>105.68923612980552</v>
      </c>
      <c r="W277" s="323">
        <f>IF((SUM($K56:V56)+W56/2)&gt;0,(SUMPRODUCT($K56:V56,$K268:V268)+(W56/2)*W268) / (SUM($K56:V56)+W56/2),V277)</f>
        <v>105.68164485970635</v>
      </c>
      <c r="X277" s="323">
        <f>IF((SUM($K56:W56)+X56/2)&gt;0,(SUMPRODUCT($K56:W56,$K268:W268)+(X56/2)*X268) / (SUM($K56:W56)+X56/2),W277)</f>
        <v>105.66149823768046</v>
      </c>
      <c r="Y277" s="323">
        <f>IF((SUM($K56:X56)+Y56/2)&gt;0,(SUMPRODUCT($K56:X56,$K268:X268)+(Y56/2)*Y268) / (SUM($K56:X56)+Y56/2),X277)</f>
        <v>105.62976132281121</v>
      </c>
      <c r="Z277" s="323">
        <f>IF((SUM($K56:Y56)+Z56/2)&gt;0,(SUMPRODUCT($K56:Y56,$K268:Y268)+(Z56/2)*Z268) / (SUM($K56:Y56)+Z56/2),Y277)</f>
        <v>105.58730858901779</v>
      </c>
      <c r="AA277" s="323">
        <f>IF((SUM($K56:Z56)+AA56/2)&gt;0,(SUMPRODUCT($K56:Z56,$K268:Z268)+(AA56/2)*AA268) / (SUM($K56:Z56)+AA56/2),Z277)</f>
        <v>105.53493427681593</v>
      </c>
      <c r="AB277" s="323">
        <f>IF((SUM($K56:AA56)+AB56/2)&gt;0,(SUMPRODUCT($K56:AA56,$K268:AA268)+(AB56/2)*AB268) / (SUM($K56:AA56)+AB56/2),AA277)</f>
        <v>105.47336135743143</v>
      </c>
      <c r="AC277" s="323">
        <f>IF((SUM($K56:AB56)+AC56/2)&gt;0,(SUMPRODUCT($K56:AB56,$K268:AB268)+(AC56/2)*AC268) / (SUM($K56:AB56)+AC56/2),AB277)</f>
        <v>105.40324932153892</v>
      </c>
      <c r="AD277" s="323">
        <f>IF((SUM($K56:AC56)+AD56/2)&gt;0,(SUMPRODUCT($K56:AC56,$K268:AC268)+(AD56/2)*AD268) / (SUM($K56:AC56)+AD56/2),AC277)</f>
        <v>105.32520096858018</v>
      </c>
      <c r="AE277" s="323">
        <f>IF((SUM($K56:AD56)+AE56/2)&gt;0,(SUMPRODUCT($K56:AD56,$K268:AD268)+(AE56/2)*AE268) / (SUM($K56:AD56)+AE56/2),AD277)</f>
        <v>105.23976834314398</v>
      </c>
      <c r="AF277" s="940" t="s">
        <v>597</v>
      </c>
      <c r="AG277" s="940"/>
      <c r="AH277" s="940"/>
      <c r="AI277" s="940"/>
      <c r="AJ277" s="345" t="s">
        <v>466</v>
      </c>
    </row>
    <row r="278" spans="1:36" s="301" customFormat="1" ht="63.75" customHeight="1" outlineLevel="1">
      <c r="A278" s="561">
        <v>259</v>
      </c>
      <c r="B278" s="112"/>
      <c r="C278" s="112"/>
      <c r="D278" s="114"/>
      <c r="E278" s="16" t="s">
        <v>50</v>
      </c>
      <c r="F278" s="332"/>
      <c r="G278" s="332"/>
      <c r="H278" s="332"/>
      <c r="I278" s="316"/>
      <c r="J278" s="316"/>
      <c r="K278" s="332">
        <f t="shared" ref="K278:K283" si="44">K269</f>
        <v>73.261496337603901</v>
      </c>
      <c r="L278" s="332">
        <f>IF((SUM($K57:K57)+L57/2)&gt;0,(SUMPRODUCT($K57:K57,$K269:K269)+(L57/2)*L269) / (SUM($K57:K57)+L57/2),K278)</f>
        <v>73.323575707579437</v>
      </c>
      <c r="M278" s="332">
        <f>IF((SUM($K57:L57)+M57/2)&gt;0,(SUMPRODUCT($K57:L57,$K269:L269)+(M57/2)*M269) / (SUM($K57:L57)+M57/2),L278)</f>
        <v>73.183303775519661</v>
      </c>
      <c r="N278" s="332">
        <f>IF((SUM($K57:M57)+N57/2)&gt;0,(SUMPRODUCT($K57:M57,$K269:M269)+(N57/2)*N269) / (SUM($K57:M57)+N57/2),M278)</f>
        <v>72.325813450110772</v>
      </c>
      <c r="O278" s="332">
        <f>IF((SUM($K57:N57)+O57/2)&gt;0,(SUMPRODUCT($K57:N57,$K269:N269)+(O57/2)*O269) / (SUM($K57:N57)+O57/2),N278)</f>
        <v>71.526499467045355</v>
      </c>
      <c r="P278" s="332">
        <f>IF((SUM($K57:O57)+P57/2)&gt;0,(SUMPRODUCT($K57:O57,$K269:O269)+(P57/2)*P269) / (SUM($K57:O57)+P57/2),O278)</f>
        <v>71.117930320241626</v>
      </c>
      <c r="Q278" s="332">
        <f>IF((SUM($K57:P57)+Q57/2)&gt;0,(SUMPRODUCT($K57:P57,$K269:P269)+(Q57/2)*Q269) / (SUM($K57:P57)+Q57/2),P278)</f>
        <v>70.72041357040051</v>
      </c>
      <c r="R278" s="332">
        <f>IF((SUM($K57:Q57)+R57/2)&gt;0,(SUMPRODUCT($K57:Q57,$K269:Q269)+(R57/2)*R269) / (SUM($K57:Q57)+R57/2),Q278)</f>
        <v>70.34208588391472</v>
      </c>
      <c r="S278" s="332">
        <f>IF((SUM($K57:R57)+S57/2)&gt;0,(SUMPRODUCT($K57:R57,$K269:R269)+(S57/2)*S269) / (SUM($K57:R57)+S57/2),R278)</f>
        <v>69.960556387393325</v>
      </c>
      <c r="T278" s="332">
        <f>IF((SUM($K57:S57)+T57/2)&gt;0,(SUMPRODUCT($K57:S57,$K269:S269)+(T57/2)*T269) / (SUM($K57:S57)+T57/2),S278)</f>
        <v>69.576455430957253</v>
      </c>
      <c r="U278" s="332">
        <f>IF((SUM($K57:T57)+U57/2)&gt;0,(SUMPRODUCT($K57:T57,$K269:T269)+(U57/2)*U269) / (SUM($K57:T57)+U57/2),T278)</f>
        <v>69.19033974521659</v>
      </c>
      <c r="V278" s="332">
        <f>IF((SUM($K57:U57)+V57/2)&gt;0,(SUMPRODUCT($K57:U57,$K269:U269)+(V57/2)*V269) / (SUM($K57:U57)+V57/2),U278)</f>
        <v>68.802702230123458</v>
      </c>
      <c r="W278" s="332">
        <f>IF((SUM($K57:V57)+W57/2)&gt;0,(SUMPRODUCT($K57:V57,$K269:V269)+(W57/2)*W269) / (SUM($K57:V57)+W57/2),V278)</f>
        <v>67.627551383564636</v>
      </c>
      <c r="X278" s="332">
        <f>IF((SUM($K57:W57)+X57/2)&gt;0,(SUMPRODUCT($K57:W57,$K269:W269)+(X57/2)*X269) / (SUM($K57:W57)+X57/2),W278)</f>
        <v>65.950475556440338</v>
      </c>
      <c r="Y278" s="332">
        <f>IF((SUM($K57:X57)+Y57/2)&gt;0,(SUMPRODUCT($K57:X57,$K269:X269)+(Y57/2)*Y269) / (SUM($K57:X57)+Y57/2),X278)</f>
        <v>64.53481969765285</v>
      </c>
      <c r="Z278" s="332">
        <f>IF((SUM($K57:Y57)+Z57/2)&gt;0,(SUMPRODUCT($K57:Y57,$K269:Y269)+(Z57/2)*Z269) / (SUM($K57:Y57)+Z57/2),Y278)</f>
        <v>63.309046190440966</v>
      </c>
      <c r="AA278" s="332">
        <f>IF((SUM($K57:Z57)+AA57/2)&gt;0,(SUMPRODUCT($K57:Z57,$K269:Z269)+(AA57/2)*AA269) / (SUM($K57:Z57)+AA57/2),Z278)</f>
        <v>62.225859319436012</v>
      </c>
      <c r="AB278" s="332">
        <f>IF((SUM($K57:AA57)+AB57/2)&gt;0,(SUMPRODUCT($K57:AA57,$K269:AA269)+(AB57/2)*AB269) / (SUM($K57:AA57)+AB57/2),AA278)</f>
        <v>61.252733471108215</v>
      </c>
      <c r="AC278" s="332">
        <f>IF((SUM($K57:AB57)+AC57/2)&gt;0,(SUMPRODUCT($K57:AB57,$K269:AB269)+(AC57/2)*AC269) / (SUM($K57:AB57)+AC57/2),AB278)</f>
        <v>60.366560519894541</v>
      </c>
      <c r="AD278" s="332">
        <f>IF((SUM($K57:AC57)+AD57/2)&gt;0,(SUMPRODUCT($K57:AC57,$K269:AC269)+(AD57/2)*AD269) / (SUM($K57:AC57)+AD57/2),AC278)</f>
        <v>59.550467688873447</v>
      </c>
      <c r="AE278" s="332">
        <f>IF((SUM($K57:AD57)+AE57/2)&gt;0,(SUMPRODUCT($K57:AD57,$K269:AD269)+(AE57/2)*AE269) / (SUM($K57:AD57)+AE57/2),AD278)</f>
        <v>58.791844075405258</v>
      </c>
      <c r="AF278" s="940" t="s">
        <v>597</v>
      </c>
      <c r="AG278" s="940"/>
      <c r="AH278" s="940"/>
      <c r="AI278" s="940"/>
      <c r="AJ278" s="345" t="s">
        <v>641</v>
      </c>
    </row>
    <row r="279" spans="1:36" s="301" customFormat="1" ht="12.75" customHeight="1" outlineLevel="1">
      <c r="A279" s="561">
        <v>260</v>
      </c>
      <c r="B279" s="112"/>
      <c r="C279" s="112"/>
      <c r="D279" s="114"/>
      <c r="E279" s="16" t="s">
        <v>13</v>
      </c>
      <c r="F279" s="332"/>
      <c r="G279" s="332"/>
      <c r="H279" s="332"/>
      <c r="I279" s="316"/>
      <c r="J279" s="316"/>
      <c r="K279" s="332">
        <f t="shared" si="44"/>
        <v>158.11805145780212</v>
      </c>
      <c r="L279" s="332">
        <f>IF((SUM($K58:K58)+L58/2)&gt;0,(SUMPRODUCT($K58:K58,$K270:K270)+(L58/2)*L270) / (SUM($K58:K58)+L58/2),K279)</f>
        <v>159.40023779370907</v>
      </c>
      <c r="M279" s="332">
        <f>IF((SUM($K58:L58)+M58/2)&gt;0,(SUMPRODUCT($K58:L58,$K270:L270)+(M58/2)*M270) / (SUM($K58:L58)+M58/2),L279)</f>
        <v>155.51628032250218</v>
      </c>
      <c r="N279" s="332">
        <f>IF((SUM($K58:M58)+N58/2)&gt;0,(SUMPRODUCT($K58:M58,$K270:M270)+(N58/2)*N270) / (SUM($K58:M58)+N58/2),M279)</f>
        <v>150.20547394878406</v>
      </c>
      <c r="O279" s="332">
        <f>IF((SUM($K58:N58)+O58/2)&gt;0,(SUMPRODUCT($K58:N58,$K270:N270)+(O58/2)*O270) / (SUM($K58:N58)+O58/2),N279)</f>
        <v>147.42274724543361</v>
      </c>
      <c r="P279" s="332">
        <f>IF((SUM($K58:O58)+P58/2)&gt;0,(SUMPRODUCT($K58:O58,$K270:O270)+(P58/2)*P270) / (SUM($K58:O58)+P58/2),O279)</f>
        <v>145.81235345904682</v>
      </c>
      <c r="Q279" s="332">
        <f>IF((SUM($K58:P58)+Q58/2)&gt;0,(SUMPRODUCT($K58:P58,$K270:P270)+(Q58/2)*Q270) / (SUM($K58:P58)+Q58/2),P279)</f>
        <v>144.98571364224676</v>
      </c>
      <c r="R279" s="332">
        <f>IF((SUM($K58:Q58)+R58/2)&gt;0,(SUMPRODUCT($K58:Q58,$K270:Q270)+(R58/2)*R270) / (SUM($K58:Q58)+R58/2),Q279)</f>
        <v>144.19680921384153</v>
      </c>
      <c r="S279" s="332">
        <f>IF((SUM($K58:R58)+S58/2)&gt;0,(SUMPRODUCT($K58:R58,$K270:R270)+(S58/2)*S270) / (SUM($K58:R58)+S58/2),R279)</f>
        <v>142.98136105461273</v>
      </c>
      <c r="T279" s="332">
        <f>IF((SUM($K58:S58)+T58/2)&gt;0,(SUMPRODUCT($K58:S58,$K270:S270)+(T58/2)*T270) / (SUM($K58:S58)+T58/2),S279)</f>
        <v>141.73019859171495</v>
      </c>
      <c r="U279" s="332">
        <f>IF((SUM($K58:T58)+U58/2)&gt;0,(SUMPRODUCT($K58:T58,$K270:T270)+(U58/2)*U270) / (SUM($K58:T58)+U58/2),T279)</f>
        <v>140.81654369722409</v>
      </c>
      <c r="V279" s="332">
        <f>IF((SUM($K58:U58)+V58/2)&gt;0,(SUMPRODUCT($K58:U58,$K270:U270)+(V58/2)*V270) / (SUM($K58:U58)+V58/2),U279)</f>
        <v>140.17847874600707</v>
      </c>
      <c r="W279" s="332">
        <f>IF((SUM($K58:V58)+W58/2)&gt;0,(SUMPRODUCT($K58:V58,$K270:V270)+(W58/2)*W270) / (SUM($K58:V58)+W58/2),V279)</f>
        <v>139.68276873223323</v>
      </c>
      <c r="X279" s="332">
        <f>IF((SUM($K58:W58)+X58/2)&gt;0,(SUMPRODUCT($K58:W58,$K270:W270)+(X58/2)*X270) / (SUM($K58:W58)+X58/2),W279)</f>
        <v>139.29702314162321</v>
      </c>
      <c r="Y279" s="332">
        <f>IF((SUM($K58:X58)+Y58/2)&gt;0,(SUMPRODUCT($K58:X58,$K270:X270)+(Y58/2)*Y270) / (SUM($K58:X58)+Y58/2),X279)</f>
        <v>138.88358368459987</v>
      </c>
      <c r="Z279" s="332">
        <f>IF((SUM($K58:Y58)+Z58/2)&gt;0,(SUMPRODUCT($K58:Y58,$K270:Y270)+(Z58/2)*Z270) / (SUM($K58:Y58)+Z58/2),Y279)</f>
        <v>138.4467448828307</v>
      </c>
      <c r="AA279" s="332">
        <f>IF((SUM($K58:Z58)+AA58/2)&gt;0,(SUMPRODUCT($K58:Z58,$K270:Z270)+(AA58/2)*AA270) / (SUM($K58:Z58)+AA58/2),Z279)</f>
        <v>137.99004343723578</v>
      </c>
      <c r="AB279" s="332">
        <f>IF((SUM($K58:AA58)+AB58/2)&gt;0,(SUMPRODUCT($K58:AA58,$K270:AA270)+(AB58/2)*AB270) / (SUM($K58:AA58)+AB58/2),AA279)</f>
        <v>137.51641743087771</v>
      </c>
      <c r="AC279" s="332">
        <f>IF((SUM($K58:AB58)+AC58/2)&gt;0,(SUMPRODUCT($K58:AB58,$K270:AB270)+(AC58/2)*AC270) / (SUM($K58:AB58)+AC58/2),AB279)</f>
        <v>137.02832702561977</v>
      </c>
      <c r="AD279" s="332">
        <f>IF((SUM($K58:AC58)+AD58/2)&gt;0,(SUMPRODUCT($K58:AC58,$K270:AC270)+(AD58/2)*AD270) / (SUM($K58:AC58)+AD58/2),AC279)</f>
        <v>136.52784709711071</v>
      </c>
      <c r="AE279" s="332">
        <f>IF((SUM($K58:AD58)+AE58/2)&gt;0,(SUMPRODUCT($K58:AD58,$K270:AD270)+(AE58/2)*AE270) / (SUM($K58:AD58)+AE58/2),AD279)</f>
        <v>136.07371436264145</v>
      </c>
      <c r="AF279" s="940" t="s">
        <v>597</v>
      </c>
      <c r="AG279" s="940"/>
      <c r="AH279" s="940"/>
      <c r="AI279" s="940"/>
      <c r="AJ279" s="345"/>
    </row>
    <row r="280" spans="1:36" s="301" customFormat="1" ht="12.75" customHeight="1" outlineLevel="1">
      <c r="A280" s="561">
        <v>261</v>
      </c>
      <c r="B280" s="112"/>
      <c r="C280" s="112"/>
      <c r="D280" s="114"/>
      <c r="E280" s="16" t="s">
        <v>12</v>
      </c>
      <c r="F280" s="332"/>
      <c r="G280" s="332"/>
      <c r="H280" s="332"/>
      <c r="I280" s="316"/>
      <c r="J280" s="316"/>
      <c r="K280" s="332">
        <f t="shared" si="44"/>
        <v>224.63073739001857</v>
      </c>
      <c r="L280" s="332">
        <f>IF((SUM($K59:K59)+L59/2)&gt;0,(SUMPRODUCT($K59:K59,$K271:K271)+(L59/2)*L271) / (SUM($K59:K59)+L59/2),K280)</f>
        <v>226.76286987390068</v>
      </c>
      <c r="M280" s="332">
        <f>IF((SUM($K59:L59)+M59/2)&gt;0,(SUMPRODUCT($K59:L59,$K271:L271)+(M59/2)*M271) / (SUM($K59:L59)+M59/2),L280)</f>
        <v>227.73194196737887</v>
      </c>
      <c r="N280" s="332">
        <f>IF((SUM($K59:M59)+N59/2)&gt;0,(SUMPRODUCT($K59:M59,$K271:M271)+(N59/2)*N271) / (SUM($K59:M59)+N59/2),M280)</f>
        <v>229.69797492860965</v>
      </c>
      <c r="O280" s="332">
        <f>IF((SUM($K59:N59)+O59/2)&gt;0,(SUMPRODUCT($K59:N59,$K271:N271)+(O59/2)*O271) / (SUM($K59:N59)+O59/2),N280)</f>
        <v>230.81159861060755</v>
      </c>
      <c r="P280" s="332">
        <f>IF((SUM($K59:O59)+P59/2)&gt;0,(SUMPRODUCT($K59:O59,$K271:O271)+(P59/2)*P271) / (SUM($K59:O59)+P59/2),O280)</f>
        <v>231.04214484449295</v>
      </c>
      <c r="Q280" s="332">
        <f>IF((SUM($K59:P59)+Q59/2)&gt;0,(SUMPRODUCT($K59:P59,$K271:P271)+(Q59/2)*Q271) / (SUM($K59:P59)+Q59/2),P280)</f>
        <v>229.4565496515005</v>
      </c>
      <c r="R280" s="332">
        <f>IF((SUM($K59:Q59)+R59/2)&gt;0,(SUMPRODUCT($K59:Q59,$K271:Q271)+(R59/2)*R271) / (SUM($K59:Q59)+R59/2),Q280)</f>
        <v>222.61934559506287</v>
      </c>
      <c r="S280" s="332">
        <f>IF((SUM($K59:R59)+S59/2)&gt;0,(SUMPRODUCT($K59:R59,$K271:R271)+(S59/2)*S271) / (SUM($K59:R59)+S59/2),R280)</f>
        <v>215.50752348916916</v>
      </c>
      <c r="T280" s="332">
        <f>IF((SUM($K59:S59)+T59/2)&gt;0,(SUMPRODUCT($K59:S59,$K271:S271)+(T59/2)*T271) / (SUM($K59:S59)+T59/2),S280)</f>
        <v>209.05890184446696</v>
      </c>
      <c r="U280" s="332">
        <f>IF((SUM($K59:T59)+U59/2)&gt;0,(SUMPRODUCT($K59:T59,$K271:T271)+(U59/2)*U271) / (SUM($K59:T59)+U59/2),T280)</f>
        <v>202.97915414180576</v>
      </c>
      <c r="V280" s="332">
        <f>IF((SUM($K59:U59)+V59/2)&gt;0,(SUMPRODUCT($K59:U59,$K271:U271)+(V59/2)*V271) / (SUM($K59:U59)+V59/2),U280)</f>
        <v>197.10417754481745</v>
      </c>
      <c r="W280" s="332">
        <f>IF((SUM($K59:V59)+W59/2)&gt;0,(SUMPRODUCT($K59:V59,$K271:V271)+(W59/2)*W271) / (SUM($K59:V59)+W59/2),V280)</f>
        <v>193.80990914965918</v>
      </c>
      <c r="X280" s="332">
        <f>IF((SUM($K59:W59)+X59/2)&gt;0,(SUMPRODUCT($K59:W59,$K271:W271)+(X59/2)*X271) / (SUM($K59:W59)+X59/2),W280)</f>
        <v>192.32760723611781</v>
      </c>
      <c r="Y280" s="332">
        <f>IF((SUM($K59:X59)+Y59/2)&gt;0,(SUMPRODUCT($K59:X59,$K271:X271)+(Y59/2)*Y271) / (SUM($K59:X59)+Y59/2),X280)</f>
        <v>190.63958475051373</v>
      </c>
      <c r="Z280" s="332">
        <f>IF((SUM($K59:Y59)+Z59/2)&gt;0,(SUMPRODUCT($K59:Y59,$K271:Y271)+(Z59/2)*Z271) / (SUM($K59:Y59)+Z59/2),Y280)</f>
        <v>188.78597380362152</v>
      </c>
      <c r="AA280" s="332">
        <f>IF((SUM($K59:Z59)+AA59/2)&gt;0,(SUMPRODUCT($K59:Z59,$K271:Z271)+(AA59/2)*AA271) / (SUM($K59:Z59)+AA59/2),Z280)</f>
        <v>186.80004576562962</v>
      </c>
      <c r="AB280" s="332">
        <f>IF((SUM($K59:AA59)+AB59/2)&gt;0,(SUMPRODUCT($K59:AA59,$K271:AA271)+(AB59/2)*AB271) / (SUM($K59:AA59)+AB59/2),AA280)</f>
        <v>184.70950427546782</v>
      </c>
      <c r="AC280" s="332">
        <f>IF((SUM($K59:AB59)+AC59/2)&gt;0,(SUMPRODUCT($K59:AB59,$K271:AB271)+(AC59/2)*AC271) / (SUM($K59:AB59)+AC59/2),AB280)</f>
        <v>182.53750235513331</v>
      </c>
      <c r="AD280" s="332">
        <f>IF((SUM($K59:AC59)+AD59/2)&gt;0,(SUMPRODUCT($K59:AC59,$K271:AC271)+(AD59/2)*AD271) / (SUM($K59:AC59)+AD59/2),AC280)</f>
        <v>180.30344962743257</v>
      </c>
      <c r="AE280" s="332">
        <f>IF((SUM($K59:AD59)+AE59/2)&gt;0,(SUMPRODUCT($K59:AD59,$K271:AD271)+(AE59/2)*AE271) / (SUM($K59:AD59)+AE59/2),AD280)</f>
        <v>178.02365820612545</v>
      </c>
      <c r="AF280" s="940" t="s">
        <v>597</v>
      </c>
      <c r="AG280" s="940"/>
      <c r="AH280" s="940"/>
      <c r="AI280" s="940"/>
      <c r="AJ280" s="345"/>
    </row>
    <row r="281" spans="1:36" s="301" customFormat="1" ht="12.75" customHeight="1" outlineLevel="1">
      <c r="A281" s="561">
        <v>262</v>
      </c>
      <c r="B281" s="112"/>
      <c r="C281" s="112"/>
      <c r="D281" s="114"/>
      <c r="E281" s="16" t="s">
        <v>24</v>
      </c>
      <c r="F281" s="332"/>
      <c r="G281" s="332"/>
      <c r="H281" s="332"/>
      <c r="I281" s="316"/>
      <c r="J281" s="316"/>
      <c r="K281" s="332">
        <f t="shared" si="44"/>
        <v>79.333871538538332</v>
      </c>
      <c r="L281" s="332">
        <f>IF((SUM($K60:K60)+L60/2)&gt;0,(SUMPRODUCT($K60:K60,$K272:K272)+(L60/2)*L272) / (SUM($K60:K60)+L60/2),K281)</f>
        <v>79.679775197097186</v>
      </c>
      <c r="M281" s="332">
        <f>IF((SUM($K60:L60)+M60/2)&gt;0,(SUMPRODUCT($K60:L60,$K272:L272)+(M60/2)*M272) / (SUM($K60:L60)+M60/2),L281)</f>
        <v>78.485204908408974</v>
      </c>
      <c r="N281" s="332">
        <f>IF((SUM($K60:M60)+N60/2)&gt;0,(SUMPRODUCT($K60:M60,$K272:M272)+(N60/2)*N272) / (SUM($K60:M60)+N60/2),M281)</f>
        <v>77.056637934001699</v>
      </c>
      <c r="O281" s="332">
        <f>IF((SUM($K60:N60)+O60/2)&gt;0,(SUMPRODUCT($K60:N60,$K272:N272)+(O60/2)*O272) / (SUM($K60:N60)+O60/2),N281)</f>
        <v>75.762267445953199</v>
      </c>
      <c r="P281" s="332">
        <f>IF((SUM($K60:O60)+P60/2)&gt;0,(SUMPRODUCT($K60:O60,$K272:O272)+(P60/2)*P272) / (SUM($K60:O60)+P60/2),O281)</f>
        <v>74.347278630381098</v>
      </c>
      <c r="Q281" s="332">
        <f>IF((SUM($K60:P60)+Q60/2)&gt;0,(SUMPRODUCT($K60:P60,$K272:P272)+(Q60/2)*Q272) / (SUM($K60:P60)+Q60/2),P281)</f>
        <v>73.077080777247474</v>
      </c>
      <c r="R281" s="332">
        <f>IF((SUM($K60:Q60)+R60/2)&gt;0,(SUMPRODUCT($K60:Q60,$K272:Q272)+(R60/2)*R272) / (SUM($K60:Q60)+R60/2),Q281)</f>
        <v>71.761263913223715</v>
      </c>
      <c r="S281" s="332">
        <f>IF((SUM($K60:R60)+S60/2)&gt;0,(SUMPRODUCT($K60:R60,$K272:R272)+(S60/2)*S272) / (SUM($K60:R60)+S60/2),R281)</f>
        <v>70.257964856734162</v>
      </c>
      <c r="T281" s="332">
        <f>IF((SUM($K60:S60)+T60/2)&gt;0,(SUMPRODUCT($K60:S60,$K272:S272)+(T60/2)*T272) / (SUM($K60:S60)+T60/2),S281)</f>
        <v>68.796776875000802</v>
      </c>
      <c r="U281" s="332">
        <f>IF((SUM($K60:T60)+U60/2)&gt;0,(SUMPRODUCT($K60:T60,$K272:T272)+(U60/2)*U272) / (SUM($K60:T60)+U60/2),T281)</f>
        <v>67.499970779061755</v>
      </c>
      <c r="V281" s="332">
        <f>IF((SUM($K60:U60)+V60/2)&gt;0,(SUMPRODUCT($K60:U60,$K272:U272)+(V60/2)*V272) / (SUM($K60:U60)+V60/2),U281)</f>
        <v>66.328267750668189</v>
      </c>
      <c r="W281" s="332">
        <f>IF((SUM($K60:V60)+W60/2)&gt;0,(SUMPRODUCT($K60:V60,$K272:V272)+(W60/2)*W272) / (SUM($K60:V60)+W60/2),V281)</f>
        <v>65.253979915516496</v>
      </c>
      <c r="X281" s="332">
        <f>IF((SUM($K60:W60)+X60/2)&gt;0,(SUMPRODUCT($K60:W60,$K272:W272)+(X60/2)*X272) / (SUM($K60:W60)+X60/2),W281)</f>
        <v>64.257028569962813</v>
      </c>
      <c r="Y281" s="332">
        <f>IF((SUM($K60:X60)+Y60/2)&gt;0,(SUMPRODUCT($K60:X60,$K272:X272)+(Y60/2)*Y272) / (SUM($K60:X60)+Y60/2),X281)</f>
        <v>63.32249828919214</v>
      </c>
      <c r="Z281" s="332">
        <f>IF((SUM($K60:Y60)+Z60/2)&gt;0,(SUMPRODUCT($K60:Y60,$K272:Y272)+(Z60/2)*Z272) / (SUM($K60:Y60)+Z60/2),Y281)</f>
        <v>62.439077495602461</v>
      </c>
      <c r="AA281" s="332">
        <f>IF((SUM($K60:Z60)+AA60/2)&gt;0,(SUMPRODUCT($K60:Z60,$K272:Z272)+(AA60/2)*AA272) / (SUM($K60:Z60)+AA60/2),Z281)</f>
        <v>61.598032014281756</v>
      </c>
      <c r="AB281" s="332">
        <f>IF((SUM($K60:AA60)+AB60/2)&gt;0,(SUMPRODUCT($K60:AA60,$K272:AA272)+(AB60/2)*AB272) / (SUM($K60:AA60)+AB60/2),AA281)</f>
        <v>60.792510542596553</v>
      </c>
      <c r="AC281" s="332">
        <f>IF((SUM($K60:AB60)+AC60/2)&gt;0,(SUMPRODUCT($K60:AB60,$K272:AB272)+(AC60/2)*AC272) / (SUM($K60:AB60)+AC60/2),AB281)</f>
        <v>60.017063220366495</v>
      </c>
      <c r="AD281" s="332">
        <f>IF((SUM($K60:AC60)+AD60/2)&gt;0,(SUMPRODUCT($K60:AC60,$K272:AC272)+(AD60/2)*AD272) / (SUM($K60:AC60)+AD60/2),AC281)</f>
        <v>59.2673007292831</v>
      </c>
      <c r="AE281" s="332">
        <f>IF((SUM($K60:AD60)+AE60/2)&gt;0,(SUMPRODUCT($K60:AD60,$K272:AD272)+(AE60/2)*AE272) / (SUM($K60:AD60)+AE60/2),AD281)</f>
        <v>58.539648284616113</v>
      </c>
      <c r="AF281" s="940" t="s">
        <v>597</v>
      </c>
      <c r="AG281" s="940"/>
      <c r="AH281" s="940"/>
      <c r="AI281" s="940"/>
      <c r="AJ281" s="345"/>
    </row>
    <row r="282" spans="1:36" s="301" customFormat="1" ht="12.75" customHeight="1" outlineLevel="1">
      <c r="A282" s="561">
        <v>263</v>
      </c>
      <c r="B282" s="112"/>
      <c r="C282" s="112"/>
      <c r="D282" s="114"/>
      <c r="E282" s="16" t="s">
        <v>26</v>
      </c>
      <c r="F282" s="332"/>
      <c r="G282" s="332"/>
      <c r="H282" s="332"/>
      <c r="I282" s="316"/>
      <c r="J282" s="316"/>
      <c r="K282" s="332">
        <f t="shared" si="44"/>
        <v>172.93001211771269</v>
      </c>
      <c r="L282" s="332">
        <f>IF((SUM($K61:K61)+L61/2)&gt;0,(SUMPRODUCT($K61:K61,$K273:K273)+(L61/2)*L273) / (SUM($K61:K61)+L61/2),K282)</f>
        <v>173.15506702486545</v>
      </c>
      <c r="M282" s="332">
        <f>IF((SUM($K61:L61)+M61/2)&gt;0,(SUMPRODUCT($K61:L61,$K273:L273)+(M61/2)*M273) / (SUM($K61:L61)+M61/2),L282)</f>
        <v>174.26729226164684</v>
      </c>
      <c r="N282" s="332">
        <f>IF((SUM($K61:M61)+N61/2)&gt;0,(SUMPRODUCT($K61:M61,$K273:M273)+(N61/2)*N273) / (SUM($K61:M61)+N61/2),M282)</f>
        <v>171.22194524147082</v>
      </c>
      <c r="O282" s="332">
        <f>IF((SUM($K61:N61)+O61/2)&gt;0,(SUMPRODUCT($K61:N61,$K273:N273)+(O61/2)*O273) / (SUM($K61:N61)+O61/2),N282)</f>
        <v>165.28748848390563</v>
      </c>
      <c r="P282" s="332">
        <f>IF((SUM($K61:O61)+P61/2)&gt;0,(SUMPRODUCT($K61:O61,$K273:O273)+(P61/2)*P273) / (SUM($K61:O61)+P61/2),O282)</f>
        <v>162.38719258570157</v>
      </c>
      <c r="Q282" s="332">
        <f>IF((SUM($K61:P61)+Q61/2)&gt;0,(SUMPRODUCT($K61:P61,$K273:P273)+(Q61/2)*Q273) / (SUM($K61:P61)+Q61/2),P282)</f>
        <v>161.89204538696467</v>
      </c>
      <c r="R282" s="332">
        <f>IF((SUM($K61:Q61)+R61/2)&gt;0,(SUMPRODUCT($K61:Q61,$K273:Q273)+(R61/2)*R273) / (SUM($K61:Q61)+R61/2),Q282)</f>
        <v>159.49913092116876</v>
      </c>
      <c r="S282" s="332">
        <f>IF((SUM($K61:R61)+S61/2)&gt;0,(SUMPRODUCT($K61:R61,$K273:R273)+(S61/2)*S273) / (SUM($K61:R61)+S61/2),R282)</f>
        <v>152.47708168750773</v>
      </c>
      <c r="T282" s="332">
        <f>IF((SUM($K61:S61)+T61/2)&gt;0,(SUMPRODUCT($K61:S61,$K273:S273)+(T61/2)*T273) / (SUM($K61:S61)+T61/2),S282)</f>
        <v>142.28648113157757</v>
      </c>
      <c r="U282" s="332">
        <f>IF((SUM($K61:T61)+U61/2)&gt;0,(SUMPRODUCT($K61:T61,$K273:T273)+(U61/2)*U273) / (SUM($K61:T61)+U61/2),T282)</f>
        <v>133.32455336476534</v>
      </c>
      <c r="V282" s="332">
        <f>IF((SUM($K61:U61)+V61/2)&gt;0,(SUMPRODUCT($K61:U61,$K273:U273)+(V61/2)*V273) / (SUM($K61:U61)+V61/2),U282)</f>
        <v>126.50991033701862</v>
      </c>
      <c r="W282" s="332">
        <f>IF((SUM($K61:V61)+W61/2)&gt;0,(SUMPRODUCT($K61:V61,$K273:V273)+(W61/2)*W273) / (SUM($K61:V61)+W61/2),V282)</f>
        <v>120.63795000308519</v>
      </c>
      <c r="X282" s="332">
        <f>IF((SUM($K61:W61)+X61/2)&gt;0,(SUMPRODUCT($K61:W61,$K273:W273)+(X61/2)*X273) / (SUM($K61:W61)+X61/2),W282)</f>
        <v>115.66553563063843</v>
      </c>
      <c r="Y282" s="332">
        <f>IF((SUM($K61:X61)+Y61/2)&gt;0,(SUMPRODUCT($K61:X61,$K273:X273)+(Y61/2)*Y273) / (SUM($K61:X61)+Y61/2),X282)</f>
        <v>111.39572568292679</v>
      </c>
      <c r="Z282" s="332">
        <f>IF((SUM($K61:Y61)+Z61/2)&gt;0,(SUMPRODUCT($K61:Y61,$K273:Y273)+(Z61/2)*Z273) / (SUM($K61:Y61)+Z61/2),Y282)</f>
        <v>107.68475985696186</v>
      </c>
      <c r="AA282" s="332">
        <f>IF((SUM($K61:Z61)+AA61/2)&gt;0,(SUMPRODUCT($K61:Z61,$K273:Z273)+(AA61/2)*AA273) / (SUM($K61:Z61)+AA61/2),Z282)</f>
        <v>104.42523172554407</v>
      </c>
      <c r="AB282" s="332">
        <f>IF((SUM($K61:AA61)+AB61/2)&gt;0,(SUMPRODUCT($K61:AA61,$K273:AA273)+(AB61/2)*AB273) / (SUM($K61:AA61)+AB61/2),AA282)</f>
        <v>101.53527016552576</v>
      </c>
      <c r="AC282" s="332">
        <f>IF((SUM($K61:AB61)+AC61/2)&gt;0,(SUMPRODUCT($K61:AB61,$K273:AB273)+(AC61/2)*AC273) / (SUM($K61:AB61)+AC61/2),AB282)</f>
        <v>98.951366926481654</v>
      </c>
      <c r="AD282" s="332">
        <f>IF((SUM($K61:AC61)+AD61/2)&gt;0,(SUMPRODUCT($K61:AC61,$K273:AC273)+(AD61/2)*AD273) / (SUM($K61:AC61)+AD61/2),AC282)</f>
        <v>96.623492930040854</v>
      </c>
      <c r="AE282" s="332">
        <f>IF((SUM($K61:AD61)+AE61/2)&gt;0,(SUMPRODUCT($K61:AD61,$K273:AD273)+(AE61/2)*AE273) / (SUM($K61:AD61)+AE61/2),AD282)</f>
        <v>94.511694263346726</v>
      </c>
      <c r="AF282" s="940" t="s">
        <v>597</v>
      </c>
      <c r="AG282" s="940"/>
      <c r="AH282" s="940"/>
      <c r="AI282" s="940"/>
      <c r="AJ282" s="345"/>
    </row>
    <row r="283" spans="1:36" s="301" customFormat="1" ht="12.75" customHeight="1" outlineLevel="1">
      <c r="A283" s="561">
        <v>264</v>
      </c>
      <c r="B283" s="112"/>
      <c r="C283" s="112"/>
      <c r="D283" s="114"/>
      <c r="E283" s="303" t="s">
        <v>74</v>
      </c>
      <c r="F283" s="309"/>
      <c r="G283" s="309"/>
      <c r="H283" s="309"/>
      <c r="I283" s="318"/>
      <c r="J283" s="318"/>
      <c r="K283" s="309">
        <f t="shared" si="44"/>
        <v>97.739644097585838</v>
      </c>
      <c r="L283" s="309">
        <f>IF((SUM($K62:K62)+L62/2)&gt;0,(SUMPRODUCT($K62:K62,$K274:K274)+(L62/2)*L274) / (SUM($K62:K62)+L62/2),K283)</f>
        <v>98.696421463994128</v>
      </c>
      <c r="M283" s="309">
        <f>IF((SUM($K62:L62)+M62/2)&gt;0,(SUMPRODUCT($K62:L62,$K274:L274)+(M62/2)*M274) / (SUM($K62:L62)+M62/2),L283)</f>
        <v>97.890766400134595</v>
      </c>
      <c r="N283" s="309">
        <f>IF((SUM($K62:M62)+N62/2)&gt;0,(SUMPRODUCT($K62:M62,$K274:M274)+(N62/2)*N274) / (SUM($K62:M62)+N62/2),M283)</f>
        <v>98.410895583392573</v>
      </c>
      <c r="O283" s="309">
        <f>IF((SUM($K62:N62)+O62/2)&gt;0,(SUMPRODUCT($K62:N62,$K274:N274)+(O62/2)*O274) / (SUM($K62:N62)+O62/2),N283)</f>
        <v>99.772853311232907</v>
      </c>
      <c r="P283" s="309">
        <f>IF((SUM($K62:O62)+P62/2)&gt;0,(SUMPRODUCT($K62:O62,$K274:O274)+(P62/2)*P274) / (SUM($K62:O62)+P62/2),O283)</f>
        <v>97.515402866682095</v>
      </c>
      <c r="Q283" s="309">
        <f>IF((SUM($K62:P62)+Q62/2)&gt;0,(SUMPRODUCT($K62:P62,$K274:P274)+(Q62/2)*Q274) / (SUM($K62:P62)+Q62/2),P283)</f>
        <v>93.923625243863441</v>
      </c>
      <c r="R283" s="309">
        <f>IF((SUM($K62:Q62)+R62/2)&gt;0,(SUMPRODUCT($K62:Q62,$K274:Q274)+(R62/2)*R274) / (SUM($K62:Q62)+R62/2),Q283)</f>
        <v>90.771265896014839</v>
      </c>
      <c r="S283" s="309">
        <f>IF((SUM($K62:R62)+S62/2)&gt;0,(SUMPRODUCT($K62:R62,$K274:R274)+(S62/2)*S274) / (SUM($K62:R62)+S62/2),R283)</f>
        <v>87.517790608864146</v>
      </c>
      <c r="T283" s="309">
        <f>IF((SUM($K62:S62)+T62/2)&gt;0,(SUMPRODUCT($K62:S62,$K274:S274)+(T62/2)*T274) / (SUM($K62:S62)+T62/2),S283)</f>
        <v>84.768556686673051</v>
      </c>
      <c r="U283" s="309">
        <f>IF((SUM($K62:T62)+U62/2)&gt;0,(SUMPRODUCT($K62:T62,$K274:T274)+(U62/2)*U274) / (SUM($K62:T62)+U62/2),T283)</f>
        <v>82.606929674297945</v>
      </c>
      <c r="V283" s="309">
        <f>IF((SUM($K62:U62)+V62/2)&gt;0,(SUMPRODUCT($K62:U62,$K274:U274)+(V62/2)*V274) / (SUM($K62:U62)+V62/2),U283)</f>
        <v>80.746980420924771</v>
      </c>
      <c r="W283" s="309">
        <f>IF((SUM($K62:V62)+W62/2)&gt;0,(SUMPRODUCT($K62:V62,$K274:V274)+(W62/2)*W274) / (SUM($K62:V62)+W62/2),V283)</f>
        <v>79.576557289658012</v>
      </c>
      <c r="X283" s="309">
        <f>IF((SUM($K62:W62)+X62/2)&gt;0,(SUMPRODUCT($K62:W62,$K274:W274)+(X62/2)*X274) / (SUM($K62:W62)+X62/2),W283)</f>
        <v>78.886015264800363</v>
      </c>
      <c r="Y283" s="309">
        <f>IF((SUM($K62:X62)+Y62/2)&gt;0,(SUMPRODUCT($K62:X62,$K274:X274)+(Y62/2)*Y274) / (SUM($K62:X62)+Y62/2),X283)</f>
        <v>78.160841238713544</v>
      </c>
      <c r="Z283" s="309">
        <f>IF((SUM($K62:Y62)+Z62/2)&gt;0,(SUMPRODUCT($K62:Y62,$K274:Y274)+(Z62/2)*Z274) / (SUM($K62:Y62)+Z62/2),Y283)</f>
        <v>77.408359899937267</v>
      </c>
      <c r="AA283" s="309">
        <f>IF((SUM($K62:Z62)+AA62/2)&gt;0,(SUMPRODUCT($K62:Z62,$K274:Z274)+(AA62/2)*AA274) / (SUM($K62:Z62)+AA62/2),Z283)</f>
        <v>76.636557686497085</v>
      </c>
      <c r="AB283" s="309">
        <f>IF((SUM($K62:AA62)+AB62/2)&gt;0,(SUMPRODUCT($K62:AA62,$K274:AA274)+(AB62/2)*AB274) / (SUM($K62:AA62)+AB62/2),AA283)</f>
        <v>75.848456939822569</v>
      </c>
      <c r="AC283" s="309">
        <f>IF((SUM($K62:AB62)+AC62/2)&gt;0,(SUMPRODUCT($K62:AB62,$K274:AB274)+(AC62/2)*AC274) / (SUM($K62:AB62)+AC62/2),AB283)</f>
        <v>75.044370716141358</v>
      </c>
      <c r="AD283" s="309">
        <f>IF((SUM($K62:AC62)+AD62/2)&gt;0,(SUMPRODUCT($K62:AC62,$K274:AC274)+(AD62/2)*AD274) / (SUM($K62:AC62)+AD62/2),AC283)</f>
        <v>74.228615377444868</v>
      </c>
      <c r="AE283" s="309">
        <f>IF((SUM($K62:AD62)+AE62/2)&gt;0,(SUMPRODUCT($K62:AD62,$K274:AD274)+(AE62/2)*AE274) / (SUM($K62:AD62)+AE62/2),AD283)</f>
        <v>73.405485691691126</v>
      </c>
      <c r="AF283" s="940" t="s">
        <v>597</v>
      </c>
      <c r="AG283" s="940"/>
      <c r="AH283" s="940"/>
      <c r="AI283" s="940"/>
      <c r="AJ283" s="345"/>
    </row>
    <row r="284" spans="1:36" s="301" customFormat="1" ht="12.75" customHeight="1" outlineLevel="1">
      <c r="A284" s="561">
        <v>265</v>
      </c>
      <c r="B284" s="112"/>
      <c r="C284" s="112"/>
      <c r="D284" s="114"/>
      <c r="F284" s="331"/>
      <c r="G284" s="331"/>
      <c r="H284" s="331"/>
      <c r="I284" s="331"/>
      <c r="J284" s="331"/>
      <c r="K284" s="331"/>
      <c r="L284" s="331"/>
      <c r="M284" s="331"/>
      <c r="N284" s="349"/>
      <c r="O284" s="296"/>
      <c r="P284" s="331"/>
      <c r="Q284" s="331"/>
      <c r="R284" s="331"/>
      <c r="S284" s="331"/>
      <c r="T284" s="331"/>
      <c r="U284" s="331"/>
      <c r="V284" s="331"/>
      <c r="W284" s="331"/>
      <c r="X284" s="331"/>
      <c r="Y284" s="331"/>
      <c r="Z284" s="331"/>
      <c r="AA284" s="331"/>
      <c r="AB284" s="331"/>
      <c r="AC284" s="331"/>
      <c r="AD284" s="331"/>
      <c r="AE284" s="331"/>
      <c r="AF284" s="940"/>
      <c r="AG284" s="940"/>
      <c r="AH284" s="940"/>
      <c r="AI284" s="940"/>
      <c r="AJ284" s="345"/>
    </row>
    <row r="285" spans="1:36" s="301" customFormat="1" outlineLevel="1">
      <c r="A285" s="1227" t="s">
        <v>941</v>
      </c>
      <c r="B285" s="112"/>
      <c r="C285" s="112"/>
      <c r="D285" s="114"/>
      <c r="E285" s="1113" t="s">
        <v>406</v>
      </c>
      <c r="F285" s="331"/>
      <c r="G285" s="331"/>
      <c r="H285" s="331"/>
      <c r="I285" s="331"/>
      <c r="J285" s="331"/>
      <c r="K285" s="331"/>
      <c r="L285" s="331"/>
      <c r="M285" s="331"/>
      <c r="N285" s="349"/>
      <c r="O285" s="296"/>
      <c r="P285" s="331"/>
      <c r="Q285" s="331"/>
      <c r="R285" s="331"/>
      <c r="S285" s="331"/>
      <c r="T285" s="331"/>
      <c r="U285" s="331"/>
      <c r="V285" s="331"/>
      <c r="W285" s="331"/>
      <c r="X285" s="331"/>
      <c r="Y285" s="331"/>
      <c r="Z285" s="331"/>
      <c r="AA285" s="331"/>
      <c r="AB285" s="331"/>
      <c r="AC285" s="331"/>
      <c r="AD285" s="331"/>
      <c r="AE285" s="331"/>
      <c r="AF285" s="940" t="s">
        <v>544</v>
      </c>
      <c r="AG285" s="940"/>
      <c r="AH285" s="940"/>
      <c r="AI285" s="940"/>
      <c r="AJ285" s="345"/>
    </row>
    <row r="286" spans="1:36" s="301" customFormat="1" ht="38.25" outlineLevel="1">
      <c r="A286" s="1227" t="s">
        <v>942</v>
      </c>
      <c r="B286" s="112"/>
      <c r="C286" s="112"/>
      <c r="D286" s="114"/>
      <c r="E286" s="321" t="s">
        <v>25</v>
      </c>
      <c r="F286" s="323"/>
      <c r="G286" s="323"/>
      <c r="H286" s="323"/>
      <c r="I286" s="314"/>
      <c r="J286" s="314"/>
      <c r="K286" s="323">
        <f t="shared" ref="K286:AE286" si="45">IF(K277&lt;K$181*K29,K$181*K29,K277)</f>
        <v>104.6549069956925</v>
      </c>
      <c r="L286" s="323">
        <f t="shared" si="45"/>
        <v>104.76824267324855</v>
      </c>
      <c r="M286" s="323">
        <f t="shared" si="45"/>
        <v>104.91672125469348</v>
      </c>
      <c r="N286" s="323">
        <f t="shared" si="45"/>
        <v>105.06747248838744</v>
      </c>
      <c r="O286" s="323">
        <f t="shared" si="45"/>
        <v>105.26665720500512</v>
      </c>
      <c r="P286" s="323">
        <f t="shared" si="45"/>
        <v>105.3947751024634</v>
      </c>
      <c r="Q286" s="323">
        <f t="shared" si="45"/>
        <v>105.48555237631777</v>
      </c>
      <c r="R286" s="323">
        <f t="shared" si="45"/>
        <v>105.57084623399206</v>
      </c>
      <c r="S286" s="323">
        <f t="shared" si="45"/>
        <v>105.62540244040531</v>
      </c>
      <c r="T286" s="323">
        <f t="shared" si="45"/>
        <v>105.66236551403577</v>
      </c>
      <c r="U286" s="323">
        <f t="shared" si="45"/>
        <v>105.68320440707821</v>
      </c>
      <c r="V286" s="323">
        <f t="shared" si="45"/>
        <v>105.68923612980552</v>
      </c>
      <c r="W286" s="323">
        <f t="shared" si="45"/>
        <v>105.68164485970635</v>
      </c>
      <c r="X286" s="323">
        <f t="shared" si="45"/>
        <v>105.66149823768046</v>
      </c>
      <c r="Y286" s="323">
        <f t="shared" si="45"/>
        <v>105.62976132281121</v>
      </c>
      <c r="Z286" s="323">
        <f t="shared" si="45"/>
        <v>105.58730858901779</v>
      </c>
      <c r="AA286" s="323">
        <f t="shared" si="45"/>
        <v>105.53493427681593</v>
      </c>
      <c r="AB286" s="323">
        <f t="shared" si="45"/>
        <v>105.47336135743143</v>
      </c>
      <c r="AC286" s="323">
        <f t="shared" si="45"/>
        <v>105.40324932153892</v>
      </c>
      <c r="AD286" s="323">
        <f t="shared" si="45"/>
        <v>105.32520096858018</v>
      </c>
      <c r="AE286" s="323">
        <f t="shared" si="45"/>
        <v>105.23976834314398</v>
      </c>
      <c r="AF286" s="940" t="s">
        <v>597</v>
      </c>
      <c r="AG286" s="940"/>
      <c r="AH286" s="940"/>
      <c r="AI286" s="940"/>
      <c r="AJ286" s="345" t="s">
        <v>940</v>
      </c>
    </row>
    <row r="287" spans="1:36" s="301" customFormat="1" outlineLevel="1">
      <c r="A287" s="1227" t="s">
        <v>949</v>
      </c>
      <c r="B287" s="112"/>
      <c r="C287" s="112"/>
      <c r="D287" s="114"/>
      <c r="E287" s="16" t="s">
        <v>50</v>
      </c>
      <c r="F287" s="332"/>
      <c r="G287" s="332"/>
      <c r="H287" s="332"/>
      <c r="I287" s="316"/>
      <c r="J287" s="316"/>
      <c r="K287" s="332">
        <f t="shared" ref="K287:AE287" si="46">IF(K278&lt;K$181*K30,K$181*K30,K278)</f>
        <v>73.261496337603901</v>
      </c>
      <c r="L287" s="332">
        <f t="shared" si="46"/>
        <v>73.323575707579437</v>
      </c>
      <c r="M287" s="332">
        <f t="shared" si="46"/>
        <v>73.183303775519661</v>
      </c>
      <c r="N287" s="332">
        <f t="shared" si="46"/>
        <v>72.325813450110772</v>
      </c>
      <c r="O287" s="332">
        <f t="shared" si="46"/>
        <v>71.526499467045355</v>
      </c>
      <c r="P287" s="332">
        <f t="shared" si="46"/>
        <v>71.117930320241626</v>
      </c>
      <c r="Q287" s="332">
        <f t="shared" si="46"/>
        <v>70.72041357040051</v>
      </c>
      <c r="R287" s="332">
        <f t="shared" si="46"/>
        <v>78.400000000000006</v>
      </c>
      <c r="S287" s="332">
        <f t="shared" si="46"/>
        <v>87.52</v>
      </c>
      <c r="T287" s="332">
        <f t="shared" si="46"/>
        <v>72.53</v>
      </c>
      <c r="U287" s="332">
        <f t="shared" si="46"/>
        <v>71.599999999999994</v>
      </c>
      <c r="V287" s="332">
        <f t="shared" si="46"/>
        <v>70.62</v>
      </c>
      <c r="W287" s="332">
        <f t="shared" si="46"/>
        <v>70.350000000000009</v>
      </c>
      <c r="X287" s="332">
        <f t="shared" si="46"/>
        <v>69.61</v>
      </c>
      <c r="Y287" s="332">
        <f t="shared" si="46"/>
        <v>68.930000000000007</v>
      </c>
      <c r="Z287" s="332">
        <f t="shared" si="46"/>
        <v>68.58</v>
      </c>
      <c r="AA287" s="332">
        <f t="shared" si="46"/>
        <v>68.17</v>
      </c>
      <c r="AB287" s="332">
        <f t="shared" si="46"/>
        <v>67.377499999999998</v>
      </c>
      <c r="AC287" s="332">
        <f t="shared" si="46"/>
        <v>66.585000000000008</v>
      </c>
      <c r="AD287" s="332">
        <f t="shared" si="46"/>
        <v>65.792500000000004</v>
      </c>
      <c r="AE287" s="332">
        <f t="shared" si="46"/>
        <v>65</v>
      </c>
      <c r="AF287" s="940" t="s">
        <v>597</v>
      </c>
      <c r="AG287" s="940"/>
      <c r="AH287" s="940"/>
      <c r="AI287" s="940"/>
      <c r="AJ287" s="345"/>
    </row>
    <row r="288" spans="1:36" s="301" customFormat="1" ht="12.75" customHeight="1" outlineLevel="1">
      <c r="A288" s="1227" t="s">
        <v>943</v>
      </c>
      <c r="B288" s="112"/>
      <c r="C288" s="112"/>
      <c r="D288" s="114"/>
      <c r="E288" s="16" t="s">
        <v>13</v>
      </c>
      <c r="F288" s="332"/>
      <c r="G288" s="332"/>
      <c r="H288" s="332"/>
      <c r="I288" s="316"/>
      <c r="J288" s="316"/>
      <c r="K288" s="332">
        <f t="shared" ref="K288:AE288" si="47">IF(K279&lt;K$181*K31,K$181*K31,K279)</f>
        <v>158.11805145780212</v>
      </c>
      <c r="L288" s="332">
        <f t="shared" si="47"/>
        <v>159.40023779370907</v>
      </c>
      <c r="M288" s="332">
        <f t="shared" si="47"/>
        <v>155.51628032250218</v>
      </c>
      <c r="N288" s="332">
        <f t="shared" si="47"/>
        <v>150.20547394878406</v>
      </c>
      <c r="O288" s="332">
        <f t="shared" si="47"/>
        <v>147.42274724543361</v>
      </c>
      <c r="P288" s="332">
        <f t="shared" si="47"/>
        <v>145.81235345904682</v>
      </c>
      <c r="Q288" s="332">
        <f t="shared" si="47"/>
        <v>144.98571364224676</v>
      </c>
      <c r="R288" s="332">
        <f t="shared" si="47"/>
        <v>144.19680921384153</v>
      </c>
      <c r="S288" s="332">
        <f t="shared" si="47"/>
        <v>142.98136105461273</v>
      </c>
      <c r="T288" s="332">
        <f t="shared" si="47"/>
        <v>141.73019859171495</v>
      </c>
      <c r="U288" s="332">
        <f t="shared" si="47"/>
        <v>140.81654369722409</v>
      </c>
      <c r="V288" s="332">
        <f t="shared" si="47"/>
        <v>140.17847874600707</v>
      </c>
      <c r="W288" s="332">
        <f t="shared" si="47"/>
        <v>139.68276873223323</v>
      </c>
      <c r="X288" s="332">
        <f t="shared" si="47"/>
        <v>139.29702314162321</v>
      </c>
      <c r="Y288" s="332">
        <f t="shared" si="47"/>
        <v>138.88358368459987</v>
      </c>
      <c r="Z288" s="332">
        <f t="shared" si="47"/>
        <v>138.4467448828307</v>
      </c>
      <c r="AA288" s="332">
        <f t="shared" si="47"/>
        <v>137.99004343723578</v>
      </c>
      <c r="AB288" s="332">
        <f t="shared" si="47"/>
        <v>137.51641743087771</v>
      </c>
      <c r="AC288" s="332">
        <f t="shared" si="47"/>
        <v>137.02832702561977</v>
      </c>
      <c r="AD288" s="332">
        <f t="shared" si="47"/>
        <v>136.52784709711071</v>
      </c>
      <c r="AE288" s="332">
        <f t="shared" si="47"/>
        <v>136.07371436264145</v>
      </c>
      <c r="AF288" s="940" t="s">
        <v>597</v>
      </c>
      <c r="AG288" s="940"/>
      <c r="AH288" s="940"/>
      <c r="AI288" s="940"/>
      <c r="AJ288" s="345"/>
    </row>
    <row r="289" spans="1:38" s="301" customFormat="1" ht="12.75" customHeight="1" outlineLevel="1">
      <c r="A289" s="1227" t="s">
        <v>944</v>
      </c>
      <c r="B289" s="112"/>
      <c r="C289" s="112"/>
      <c r="D289" s="114"/>
      <c r="E289" s="16" t="s">
        <v>12</v>
      </c>
      <c r="F289" s="332"/>
      <c r="G289" s="332"/>
      <c r="H289" s="332"/>
      <c r="I289" s="316"/>
      <c r="J289" s="316"/>
      <c r="K289" s="332">
        <f t="shared" ref="K289:AE289" si="48">IF(K280&lt;K$181*K32,K$181*K32,K280)</f>
        <v>224.63073739001857</v>
      </c>
      <c r="L289" s="332">
        <f t="shared" si="48"/>
        <v>226.76286987390068</v>
      </c>
      <c r="M289" s="332">
        <f t="shared" si="48"/>
        <v>227.73194196737887</v>
      </c>
      <c r="N289" s="332">
        <f t="shared" si="48"/>
        <v>229.69797492860965</v>
      </c>
      <c r="O289" s="332">
        <f t="shared" si="48"/>
        <v>230.81159861060755</v>
      </c>
      <c r="P289" s="332">
        <f t="shared" si="48"/>
        <v>231.04214484449295</v>
      </c>
      <c r="Q289" s="332">
        <f t="shared" si="48"/>
        <v>229.4565496515005</v>
      </c>
      <c r="R289" s="332">
        <f t="shared" si="48"/>
        <v>222.61934559506287</v>
      </c>
      <c r="S289" s="332">
        <f t="shared" si="48"/>
        <v>215.50752348916916</v>
      </c>
      <c r="T289" s="332">
        <f t="shared" si="48"/>
        <v>209.05890184446696</v>
      </c>
      <c r="U289" s="332">
        <f t="shared" si="48"/>
        <v>202.97915414180576</v>
      </c>
      <c r="V289" s="332">
        <f t="shared" si="48"/>
        <v>197.10417754481745</v>
      </c>
      <c r="W289" s="332">
        <f t="shared" si="48"/>
        <v>193.80990914965918</v>
      </c>
      <c r="X289" s="332">
        <f t="shared" si="48"/>
        <v>192.32760723611781</v>
      </c>
      <c r="Y289" s="332">
        <f t="shared" si="48"/>
        <v>190.63958475051373</v>
      </c>
      <c r="Z289" s="332">
        <f t="shared" si="48"/>
        <v>188.78597380362152</v>
      </c>
      <c r="AA289" s="332">
        <f t="shared" si="48"/>
        <v>186.80004576562962</v>
      </c>
      <c r="AB289" s="332">
        <f t="shared" si="48"/>
        <v>184.70950427546782</v>
      </c>
      <c r="AC289" s="332">
        <f t="shared" si="48"/>
        <v>182.53750235513331</v>
      </c>
      <c r="AD289" s="332">
        <f t="shared" si="48"/>
        <v>180.30344962743257</v>
      </c>
      <c r="AE289" s="332">
        <f t="shared" si="48"/>
        <v>178.02365820612545</v>
      </c>
      <c r="AF289" s="940" t="s">
        <v>597</v>
      </c>
      <c r="AG289" s="940"/>
      <c r="AH289" s="940"/>
      <c r="AI289" s="940"/>
      <c r="AJ289" s="345"/>
    </row>
    <row r="290" spans="1:38" s="301" customFormat="1" ht="12.75" customHeight="1" outlineLevel="1">
      <c r="A290" s="1227" t="s">
        <v>945</v>
      </c>
      <c r="B290" s="112"/>
      <c r="C290" s="112"/>
      <c r="D290" s="114"/>
      <c r="E290" s="16" t="s">
        <v>24</v>
      </c>
      <c r="F290" s="332"/>
      <c r="G290" s="332"/>
      <c r="H290" s="332"/>
      <c r="I290" s="316"/>
      <c r="J290" s="316"/>
      <c r="K290" s="332">
        <f t="shared" ref="K290:AE290" si="49">IF(K281&lt;K$181*K33,K$181*K33,K281)</f>
        <v>79.333871538538332</v>
      </c>
      <c r="L290" s="332">
        <f t="shared" si="49"/>
        <v>79.679775197097186</v>
      </c>
      <c r="M290" s="332">
        <f t="shared" si="49"/>
        <v>78.485204908408974</v>
      </c>
      <c r="N290" s="332">
        <f t="shared" si="49"/>
        <v>77.056637934001699</v>
      </c>
      <c r="O290" s="332">
        <f t="shared" si="49"/>
        <v>75.762267445953199</v>
      </c>
      <c r="P290" s="332">
        <f t="shared" si="49"/>
        <v>74.347278630381098</v>
      </c>
      <c r="Q290" s="332">
        <f t="shared" si="49"/>
        <v>73.077080777247474</v>
      </c>
      <c r="R290" s="332">
        <f t="shared" si="49"/>
        <v>71.761263913223715</v>
      </c>
      <c r="S290" s="332">
        <f t="shared" si="49"/>
        <v>77.624522613065309</v>
      </c>
      <c r="T290" s="332">
        <f t="shared" si="49"/>
        <v>68.796776875000802</v>
      </c>
      <c r="U290" s="332">
        <f t="shared" si="49"/>
        <v>67.499970779061755</v>
      </c>
      <c r="V290" s="332">
        <f t="shared" si="49"/>
        <v>66.328267750668189</v>
      </c>
      <c r="W290" s="332">
        <f t="shared" si="49"/>
        <v>65.253979915516496</v>
      </c>
      <c r="X290" s="332">
        <f t="shared" si="49"/>
        <v>64.257028569962813</v>
      </c>
      <c r="Y290" s="332">
        <f t="shared" si="49"/>
        <v>63.32249828919214</v>
      </c>
      <c r="Z290" s="332">
        <f t="shared" si="49"/>
        <v>62.439077495602461</v>
      </c>
      <c r="AA290" s="332">
        <f t="shared" si="49"/>
        <v>61.598032014281756</v>
      </c>
      <c r="AB290" s="332">
        <f t="shared" si="49"/>
        <v>60.792510542596553</v>
      </c>
      <c r="AC290" s="332">
        <f t="shared" si="49"/>
        <v>60.017063220366495</v>
      </c>
      <c r="AD290" s="332">
        <f t="shared" si="49"/>
        <v>59.2673007292831</v>
      </c>
      <c r="AE290" s="332">
        <f t="shared" si="49"/>
        <v>58.539648284616113</v>
      </c>
      <c r="AF290" s="940" t="s">
        <v>597</v>
      </c>
      <c r="AG290" s="940"/>
      <c r="AH290" s="940"/>
      <c r="AI290" s="940"/>
      <c r="AJ290" s="345"/>
    </row>
    <row r="291" spans="1:38" s="301" customFormat="1" ht="12.75" customHeight="1" outlineLevel="1">
      <c r="A291" s="1227" t="s">
        <v>946</v>
      </c>
      <c r="B291" s="112"/>
      <c r="C291" s="112"/>
      <c r="D291" s="114"/>
      <c r="E291" s="16" t="s">
        <v>26</v>
      </c>
      <c r="F291" s="332"/>
      <c r="G291" s="332"/>
      <c r="H291" s="332"/>
      <c r="I291" s="316"/>
      <c r="J291" s="316"/>
      <c r="K291" s="332">
        <f t="shared" ref="K291:AE291" si="50">IF(K282&lt;K$181*K34,K$181*K34,K282)</f>
        <v>172.93001211771269</v>
      </c>
      <c r="L291" s="332">
        <f t="shared" si="50"/>
        <v>173.15506702486545</v>
      </c>
      <c r="M291" s="332">
        <f t="shared" si="50"/>
        <v>174.26729226164684</v>
      </c>
      <c r="N291" s="332">
        <f t="shared" si="50"/>
        <v>171.22194524147082</v>
      </c>
      <c r="O291" s="332">
        <f t="shared" si="50"/>
        <v>165.28748848390563</v>
      </c>
      <c r="P291" s="332">
        <f t="shared" si="50"/>
        <v>162.38719258570157</v>
      </c>
      <c r="Q291" s="332">
        <f t="shared" si="50"/>
        <v>161.89204538696467</v>
      </c>
      <c r="R291" s="332">
        <f t="shared" si="50"/>
        <v>159.49913092116876</v>
      </c>
      <c r="S291" s="332">
        <f t="shared" si="50"/>
        <v>152.47708168750773</v>
      </c>
      <c r="T291" s="332">
        <f t="shared" si="50"/>
        <v>142.28648113157757</v>
      </c>
      <c r="U291" s="332">
        <f t="shared" si="50"/>
        <v>133.32455336476534</v>
      </c>
      <c r="V291" s="332">
        <f t="shared" si="50"/>
        <v>126.50991033701862</v>
      </c>
      <c r="W291" s="332">
        <f t="shared" si="50"/>
        <v>120.63795000308519</v>
      </c>
      <c r="X291" s="332">
        <f t="shared" si="50"/>
        <v>115.66553563063843</v>
      </c>
      <c r="Y291" s="332">
        <f t="shared" si="50"/>
        <v>111.39572568292679</v>
      </c>
      <c r="Z291" s="332">
        <f t="shared" si="50"/>
        <v>107.68475985696186</v>
      </c>
      <c r="AA291" s="332">
        <f t="shared" si="50"/>
        <v>104.42523172554407</v>
      </c>
      <c r="AB291" s="332">
        <f t="shared" si="50"/>
        <v>101.53527016552576</v>
      </c>
      <c r="AC291" s="332">
        <f t="shared" si="50"/>
        <v>98.951366926481654</v>
      </c>
      <c r="AD291" s="332">
        <f t="shared" si="50"/>
        <v>96.623492930040854</v>
      </c>
      <c r="AE291" s="332">
        <f t="shared" si="50"/>
        <v>94.511694263346726</v>
      </c>
      <c r="AF291" s="940" t="s">
        <v>597</v>
      </c>
      <c r="AG291" s="940"/>
      <c r="AH291" s="940"/>
      <c r="AI291" s="940"/>
      <c r="AJ291" s="345"/>
    </row>
    <row r="292" spans="1:38" s="301" customFormat="1" ht="12.75" customHeight="1" outlineLevel="1">
      <c r="A292" s="1227" t="s">
        <v>947</v>
      </c>
      <c r="B292" s="112"/>
      <c r="C292" s="112"/>
      <c r="D292" s="114"/>
      <c r="E292" s="303" t="s">
        <v>74</v>
      </c>
      <c r="F292" s="309"/>
      <c r="G292" s="309"/>
      <c r="H292" s="309"/>
      <c r="I292" s="318"/>
      <c r="J292" s="318"/>
      <c r="K292" s="309">
        <f t="shared" ref="K292:AE292" si="51">IF(K283&lt;K$181*K35,K$181*K35,K283)</f>
        <v>97.739644097585838</v>
      </c>
      <c r="L292" s="309">
        <f t="shared" si="51"/>
        <v>98.696421463994128</v>
      </c>
      <c r="M292" s="309">
        <f t="shared" si="51"/>
        <v>97.890766400134595</v>
      </c>
      <c r="N292" s="309">
        <f t="shared" si="51"/>
        <v>98.410895583392573</v>
      </c>
      <c r="O292" s="309">
        <f t="shared" si="51"/>
        <v>99.772853311232907</v>
      </c>
      <c r="P292" s="309">
        <f t="shared" si="51"/>
        <v>97.515402866682095</v>
      </c>
      <c r="Q292" s="309">
        <f t="shared" si="51"/>
        <v>93.923625243863441</v>
      </c>
      <c r="R292" s="309">
        <f t="shared" si="51"/>
        <v>90.771265896014839</v>
      </c>
      <c r="S292" s="309">
        <f t="shared" si="51"/>
        <v>87.517790608864146</v>
      </c>
      <c r="T292" s="309">
        <f t="shared" si="51"/>
        <v>84.768556686673051</v>
      </c>
      <c r="U292" s="309">
        <f t="shared" si="51"/>
        <v>82.606929674297945</v>
      </c>
      <c r="V292" s="309">
        <f t="shared" si="51"/>
        <v>80.746980420924771</v>
      </c>
      <c r="W292" s="309">
        <f t="shared" si="51"/>
        <v>79.576557289658012</v>
      </c>
      <c r="X292" s="309">
        <f t="shared" si="51"/>
        <v>78.886015264800363</v>
      </c>
      <c r="Y292" s="309">
        <f t="shared" si="51"/>
        <v>78.160841238713544</v>
      </c>
      <c r="Z292" s="309">
        <f t="shared" si="51"/>
        <v>77.408359899937267</v>
      </c>
      <c r="AA292" s="309">
        <f t="shared" si="51"/>
        <v>76.636557686497085</v>
      </c>
      <c r="AB292" s="309">
        <f t="shared" si="51"/>
        <v>75.848456939822569</v>
      </c>
      <c r="AC292" s="309">
        <f t="shared" si="51"/>
        <v>75.044370716141358</v>
      </c>
      <c r="AD292" s="309">
        <f t="shared" si="51"/>
        <v>74.228615377444868</v>
      </c>
      <c r="AE292" s="309">
        <f t="shared" si="51"/>
        <v>73.405485691691126</v>
      </c>
      <c r="AF292" s="940" t="s">
        <v>597</v>
      </c>
      <c r="AG292" s="940"/>
      <c r="AH292" s="940"/>
      <c r="AI292" s="940"/>
      <c r="AJ292" s="345"/>
    </row>
    <row r="293" spans="1:38" s="301" customFormat="1" ht="12.75" customHeight="1" outlineLevel="1">
      <c r="A293" s="1227" t="s">
        <v>948</v>
      </c>
      <c r="B293" s="112"/>
      <c r="C293" s="112"/>
      <c r="D293" s="114"/>
      <c r="F293" s="331"/>
      <c r="G293" s="331"/>
      <c r="H293" s="331"/>
      <c r="I293" s="331"/>
      <c r="J293" s="331"/>
      <c r="K293" s="331"/>
      <c r="L293" s="331"/>
      <c r="M293" s="331"/>
      <c r="N293" s="349"/>
      <c r="O293" s="296"/>
      <c r="P293" s="331"/>
      <c r="Q293" s="331"/>
      <c r="R293" s="331"/>
      <c r="S293" s="331"/>
      <c r="T293" s="331"/>
      <c r="U293" s="331"/>
      <c r="V293" s="331"/>
      <c r="W293" s="331"/>
      <c r="X293" s="331"/>
      <c r="Y293" s="331"/>
      <c r="Z293" s="331"/>
      <c r="AA293" s="331"/>
      <c r="AB293" s="331"/>
      <c r="AC293" s="331"/>
      <c r="AD293" s="331"/>
      <c r="AE293" s="331"/>
      <c r="AF293" s="940"/>
      <c r="AG293" s="940"/>
      <c r="AH293" s="940"/>
      <c r="AI293" s="940"/>
      <c r="AJ293" s="345"/>
    </row>
    <row r="294" spans="1:38" s="112" customFormat="1" ht="76.5" outlineLevel="1">
      <c r="A294" s="561">
        <v>266</v>
      </c>
      <c r="D294" s="114"/>
      <c r="E294" s="211" t="s">
        <v>674</v>
      </c>
      <c r="F294" s="312"/>
      <c r="G294" s="312"/>
      <c r="H294" s="312"/>
      <c r="I294" s="312"/>
      <c r="J294" s="312"/>
      <c r="K294" s="312"/>
      <c r="L294" s="312"/>
      <c r="M294" s="312"/>
      <c r="N294" s="352"/>
      <c r="O294" s="299"/>
      <c r="P294" s="312"/>
      <c r="Q294" s="312"/>
      <c r="R294" s="312"/>
      <c r="S294" s="312"/>
      <c r="T294" s="312"/>
      <c r="U294" s="312"/>
      <c r="V294" s="312"/>
      <c r="W294" s="312"/>
      <c r="X294" s="312"/>
      <c r="Y294" s="312"/>
      <c r="Z294" s="312"/>
      <c r="AA294" s="312"/>
      <c r="AB294" s="312"/>
      <c r="AC294" s="312"/>
      <c r="AD294" s="312"/>
      <c r="AE294" s="312"/>
      <c r="AF294" s="940" t="s">
        <v>576</v>
      </c>
      <c r="AG294" s="940"/>
      <c r="AH294" s="940"/>
      <c r="AI294" s="940"/>
      <c r="AJ294" s="345" t="s">
        <v>642</v>
      </c>
      <c r="AK294" s="113" t="s">
        <v>951</v>
      </c>
    </row>
    <row r="295" spans="1:38" s="112" customFormat="1" ht="12.75" customHeight="1" outlineLevel="1">
      <c r="A295" s="561">
        <v>267</v>
      </c>
      <c r="D295" s="114"/>
      <c r="E295" s="302" t="s">
        <v>25</v>
      </c>
      <c r="F295" s="323"/>
      <c r="G295" s="323"/>
      <c r="H295" s="323"/>
      <c r="I295" s="323"/>
      <c r="J295" s="323"/>
      <c r="K295" s="323">
        <f t="shared" ref="K295:AD301" si="52">IF(K286*(K228-K258)/1000-K167+K355+K315&lt;=K345,K345-K355-K315,K286*(K228-K258)/1000-K167)</f>
        <v>6.0202884354257684E-2</v>
      </c>
      <c r="L295" s="323">
        <f t="shared" si="52"/>
        <v>0.12501936318980494</v>
      </c>
      <c r="M295" s="323">
        <f t="shared" si="52"/>
        <v>0.13080673343941793</v>
      </c>
      <c r="N295" s="324">
        <f t="shared" si="52"/>
        <v>0.13523428373837212</v>
      </c>
      <c r="O295" s="402">
        <f t="shared" si="52"/>
        <v>0.14215361639919785</v>
      </c>
      <c r="P295" s="402">
        <f t="shared" si="52"/>
        <v>0.14858075461552095</v>
      </c>
      <c r="Q295" s="402">
        <f t="shared" si="52"/>
        <v>0.15433785929951863</v>
      </c>
      <c r="R295" s="402">
        <f t="shared" si="52"/>
        <v>0.15956721587459904</v>
      </c>
      <c r="S295" s="402">
        <f t="shared" si="52"/>
        <v>0.16402473295096845</v>
      </c>
      <c r="T295" s="402">
        <f t="shared" si="52"/>
        <v>0.16846162629981293</v>
      </c>
      <c r="U295" s="402">
        <f t="shared" si="52"/>
        <v>0.17287811430332958</v>
      </c>
      <c r="V295" s="402">
        <f t="shared" si="52"/>
        <v>0.17727440144970119</v>
      </c>
      <c r="W295" s="402">
        <f t="shared" si="52"/>
        <v>0.18164893628450063</v>
      </c>
      <c r="X295" s="402">
        <f t="shared" si="52"/>
        <v>0.18600073907452117</v>
      </c>
      <c r="Y295" s="402">
        <f t="shared" si="52"/>
        <v>0.19032998505196519</v>
      </c>
      <c r="Z295" s="402">
        <f t="shared" si="52"/>
        <v>0.1946368427205985</v>
      </c>
      <c r="AA295" s="402">
        <f t="shared" si="52"/>
        <v>0.19892147456489159</v>
      </c>
      <c r="AB295" s="402">
        <f t="shared" si="52"/>
        <v>0.20318403766445367</v>
      </c>
      <c r="AC295" s="402">
        <f t="shared" si="52"/>
        <v>0.20742468422824556</v>
      </c>
      <c r="AD295" s="402">
        <f t="shared" si="52"/>
        <v>0.21164356206057788</v>
      </c>
      <c r="AE295" s="403">
        <f>IF(AE286*(AE228-AE258)/1000-AE167+AE355+AE315&lt;=AE345,AE345-AE355-AE315,AE286*(AE228-AE258)/1000-AE167)</f>
        <v>0.21584081496889146</v>
      </c>
      <c r="AF295" s="940" t="s">
        <v>669</v>
      </c>
      <c r="AG295" s="940"/>
      <c r="AH295" s="1048"/>
      <c r="AI295" s="1048"/>
      <c r="AJ295" s="345" t="s">
        <v>670</v>
      </c>
      <c r="AK295" s="1287">
        <f>AE345</f>
        <v>0.40646762211848708</v>
      </c>
    </row>
    <row r="296" spans="1:38" s="112" customFormat="1" ht="12.75" customHeight="1" outlineLevel="1">
      <c r="A296" s="561">
        <v>268</v>
      </c>
      <c r="D296" s="114"/>
      <c r="E296" s="304" t="s">
        <v>50</v>
      </c>
      <c r="F296" s="332"/>
      <c r="G296" s="332"/>
      <c r="H296" s="332"/>
      <c r="I296" s="332"/>
      <c r="J296" s="332"/>
      <c r="K296" s="332">
        <f t="shared" si="52"/>
        <v>4.8650608756385088E-3</v>
      </c>
      <c r="L296" s="332">
        <f t="shared" si="52"/>
        <v>1.017272401213851E-2</v>
      </c>
      <c r="M296" s="332">
        <f t="shared" si="52"/>
        <v>1.0832129081806263E-2</v>
      </c>
      <c r="N296" s="333">
        <f t="shared" si="52"/>
        <v>1.1765027869992813E-2</v>
      </c>
      <c r="O296" s="404">
        <f t="shared" si="52"/>
        <v>1.2706901930567933E-2</v>
      </c>
      <c r="P296" s="404">
        <f t="shared" si="52"/>
        <v>1.3136223585429877E-2</v>
      </c>
      <c r="Q296" s="404">
        <f t="shared" si="52"/>
        <v>1.3578678234309806E-2</v>
      </c>
      <c r="R296" s="404">
        <f t="shared" si="52"/>
        <v>1.5646707528952787E-2</v>
      </c>
      <c r="S296" s="404">
        <f t="shared" si="52"/>
        <v>2.8380767735593088E-2</v>
      </c>
      <c r="T296" s="404">
        <f t="shared" si="52"/>
        <v>1.550208124448396E-2</v>
      </c>
      <c r="U296" s="404">
        <f t="shared" si="52"/>
        <v>1.5854936554260471E-2</v>
      </c>
      <c r="V296" s="404">
        <f t="shared" si="52"/>
        <v>1.6237246073763284E-2</v>
      </c>
      <c r="W296" s="404">
        <f t="shared" si="52"/>
        <v>1.8059798862160421E-2</v>
      </c>
      <c r="X296" s="404">
        <f t="shared" si="52"/>
        <v>2.1003962229608493E-2</v>
      </c>
      <c r="Y296" s="404">
        <f t="shared" si="52"/>
        <v>2.3902295560343522E-2</v>
      </c>
      <c r="Z296" s="404">
        <f t="shared" si="52"/>
        <v>2.6868685428287201E-2</v>
      </c>
      <c r="AA296" s="404">
        <f t="shared" si="52"/>
        <v>2.9777349777388381E-2</v>
      </c>
      <c r="AB296" s="404">
        <f t="shared" si="52"/>
        <v>3.2464792687829931E-2</v>
      </c>
      <c r="AC296" s="404">
        <f t="shared" si="52"/>
        <v>3.5080872313247351E-2</v>
      </c>
      <c r="AD296" s="404">
        <f t="shared" si="52"/>
        <v>3.7625588653640608E-2</v>
      </c>
      <c r="AE296" s="405">
        <f t="shared" ref="AE296:AE301" si="53">IF(AE287*(AE229-AE259)/1000-AE168+AE356+AE316&lt;=AE346,AE346-AE356-AE316,AE287*(AE229-AE259)/1000-AE168)</f>
        <v>4.0098941709009697E-2</v>
      </c>
      <c r="AF296" s="940" t="s">
        <v>669</v>
      </c>
      <c r="AG296" s="940"/>
      <c r="AH296" s="940"/>
      <c r="AI296" s="940"/>
      <c r="AJ296" s="345" t="s">
        <v>670</v>
      </c>
      <c r="AK296" s="1286">
        <f t="shared" ref="AK296:AK302" si="54">AE346</f>
        <v>4.0098941709009697E-2</v>
      </c>
    </row>
    <row r="297" spans="1:38" s="112" customFormat="1" ht="12.75" customHeight="1" outlineLevel="1">
      <c r="A297" s="561">
        <v>269</v>
      </c>
      <c r="D297" s="114"/>
      <c r="E297" s="304" t="s">
        <v>13</v>
      </c>
      <c r="F297" s="332"/>
      <c r="G297" s="332"/>
      <c r="H297" s="332"/>
      <c r="I297" s="332"/>
      <c r="J297" s="332"/>
      <c r="K297" s="332">
        <f t="shared" si="52"/>
        <v>0.10396441189220842</v>
      </c>
      <c r="L297" s="332">
        <f t="shared" si="52"/>
        <v>0.2813361084899732</v>
      </c>
      <c r="M297" s="332">
        <f t="shared" si="52"/>
        <v>0.43987541638278288</v>
      </c>
      <c r="N297" s="333">
        <f t="shared" si="52"/>
        <v>0.64544506446885042</v>
      </c>
      <c r="O297" s="404">
        <f t="shared" si="52"/>
        <v>0.85758323006384429</v>
      </c>
      <c r="P297" s="404">
        <f t="shared" si="52"/>
        <v>0.99651627438680257</v>
      </c>
      <c r="Q297" s="404">
        <f t="shared" si="52"/>
        <v>1.0778582496214528</v>
      </c>
      <c r="R297" s="404">
        <f t="shared" si="52"/>
        <v>1.2256868855957004</v>
      </c>
      <c r="S297" s="404">
        <f t="shared" si="52"/>
        <v>1.4431195475139411</v>
      </c>
      <c r="T297" s="404">
        <f t="shared" si="52"/>
        <v>1.644611165943948</v>
      </c>
      <c r="U297" s="404">
        <f t="shared" si="52"/>
        <v>1.8358959193916913</v>
      </c>
      <c r="V297" s="404">
        <f t="shared" si="52"/>
        <v>2.0181827303414748</v>
      </c>
      <c r="W297" s="404">
        <f t="shared" si="52"/>
        <v>2.1593472112141359</v>
      </c>
      <c r="X297" s="404">
        <f t="shared" si="52"/>
        <v>2.2648216126972893</v>
      </c>
      <c r="Y297" s="404">
        <f t="shared" si="52"/>
        <v>2.3692063932953111</v>
      </c>
      <c r="Z297" s="404">
        <f t="shared" si="52"/>
        <v>2.4725117833234629</v>
      </c>
      <c r="AA297" s="404">
        <f t="shared" si="52"/>
        <v>2.5747476154362743</v>
      </c>
      <c r="AB297" s="404">
        <f t="shared" si="52"/>
        <v>2.6759233912636589</v>
      </c>
      <c r="AC297" s="404">
        <f t="shared" si="52"/>
        <v>2.776048332125558</v>
      </c>
      <c r="AD297" s="404">
        <f t="shared" si="52"/>
        <v>2.87513141814151</v>
      </c>
      <c r="AE297" s="405">
        <f t="shared" si="53"/>
        <v>2.9744268366961522</v>
      </c>
      <c r="AF297" s="940" t="s">
        <v>669</v>
      </c>
      <c r="AG297" s="940"/>
      <c r="AH297" s="940"/>
      <c r="AI297" s="940"/>
      <c r="AJ297" s="345" t="s">
        <v>670</v>
      </c>
      <c r="AK297" s="1286">
        <f t="shared" si="54"/>
        <v>1.4208309466000002</v>
      </c>
    </row>
    <row r="298" spans="1:38" s="112" customFormat="1" ht="12.75" customHeight="1" outlineLevel="1">
      <c r="A298" s="561">
        <v>270</v>
      </c>
      <c r="D298" s="114"/>
      <c r="E298" s="304" t="s">
        <v>12</v>
      </c>
      <c r="F298" s="332"/>
      <c r="G298" s="332"/>
      <c r="H298" s="332"/>
      <c r="I298" s="332"/>
      <c r="J298" s="332"/>
      <c r="K298" s="332">
        <f t="shared" si="52"/>
        <v>0</v>
      </c>
      <c r="L298" s="332">
        <f t="shared" si="52"/>
        <v>2.460944045306506E-3</v>
      </c>
      <c r="M298" s="332">
        <f t="shared" si="52"/>
        <v>6.3785439625643134E-3</v>
      </c>
      <c r="N298" s="333">
        <f t="shared" si="52"/>
        <v>1.1501666698600267E-2</v>
      </c>
      <c r="O298" s="404">
        <f t="shared" si="52"/>
        <v>1.8152178172731227E-2</v>
      </c>
      <c r="P298" s="404">
        <f t="shared" si="52"/>
        <v>2.4282413902083782E-2</v>
      </c>
      <c r="Q298" s="404">
        <f t="shared" si="52"/>
        <v>3.3231847901202337E-2</v>
      </c>
      <c r="R298" s="404">
        <f t="shared" si="52"/>
        <v>5.3182648565932536E-2</v>
      </c>
      <c r="S298" s="404">
        <f t="shared" si="52"/>
        <v>8.2737432910438349E-2</v>
      </c>
      <c r="T298" s="404">
        <f t="shared" si="52"/>
        <v>0.11437006249095438</v>
      </c>
      <c r="U298" s="404">
        <f t="shared" si="52"/>
        <v>0.14738011913505306</v>
      </c>
      <c r="V298" s="404">
        <f t="shared" si="52"/>
        <v>0.18152526045585266</v>
      </c>
      <c r="W298" s="404">
        <f t="shared" si="52"/>
        <v>0.20264589671770131</v>
      </c>
      <c r="X298" s="404">
        <f t="shared" si="52"/>
        <v>0.20981230233756051</v>
      </c>
      <c r="Y298" s="404">
        <f t="shared" si="52"/>
        <v>0.21661060602066098</v>
      </c>
      <c r="Z298" s="404">
        <f t="shared" si="52"/>
        <v>0.2230602561336428</v>
      </c>
      <c r="AA298" s="404">
        <f t="shared" si="52"/>
        <v>0.22917955894852374</v>
      </c>
      <c r="AB298" s="404">
        <f t="shared" si="52"/>
        <v>0.23498576895371168</v>
      </c>
      <c r="AC298" s="404">
        <f t="shared" si="52"/>
        <v>0.24049516726541398</v>
      </c>
      <c r="AD298" s="404">
        <f t="shared" si="52"/>
        <v>0.2457231305592035</v>
      </c>
      <c r="AE298" s="405">
        <f t="shared" si="53"/>
        <v>0.25068419232661371</v>
      </c>
      <c r="AF298" s="940" t="s">
        <v>669</v>
      </c>
      <c r="AG298" s="940"/>
      <c r="AH298" s="940"/>
      <c r="AI298" s="940"/>
      <c r="AJ298" s="345" t="s">
        <v>670</v>
      </c>
      <c r="AK298" s="1286">
        <f t="shared" si="54"/>
        <v>9.1529814999999987E-2</v>
      </c>
    </row>
    <row r="299" spans="1:38" s="112" customFormat="1" ht="12.75" customHeight="1" outlineLevel="1">
      <c r="A299" s="561">
        <v>271</v>
      </c>
      <c r="D299" s="114"/>
      <c r="E299" s="304" t="s">
        <v>24</v>
      </c>
      <c r="F299" s="332"/>
      <c r="G299" s="332"/>
      <c r="H299" s="332"/>
      <c r="I299" s="332"/>
      <c r="J299" s="332"/>
      <c r="K299" s="332">
        <f t="shared" si="52"/>
        <v>0.33926543412582211</v>
      </c>
      <c r="L299" s="332">
        <f t="shared" si="52"/>
        <v>1.0917868063780236</v>
      </c>
      <c r="M299" s="332">
        <f t="shared" si="52"/>
        <v>1.9923436763698676</v>
      </c>
      <c r="N299" s="333">
        <f t="shared" si="52"/>
        <v>2.6848309998443045</v>
      </c>
      <c r="O299" s="404">
        <f t="shared" si="52"/>
        <v>3.0028383284361975</v>
      </c>
      <c r="P299" s="404">
        <f t="shared" si="52"/>
        <v>3.2246360473993163</v>
      </c>
      <c r="Q299" s="404">
        <f t="shared" si="52"/>
        <v>3.4426775601796202</v>
      </c>
      <c r="R299" s="404">
        <f t="shared" si="52"/>
        <v>3.6717386752722274</v>
      </c>
      <c r="S299" s="404">
        <f t="shared" si="52"/>
        <v>4.3580755697719642</v>
      </c>
      <c r="T299" s="404">
        <f t="shared" si="52"/>
        <v>4.2499570594754408</v>
      </c>
      <c r="U299" s="404">
        <f t="shared" si="52"/>
        <v>4.5563678888121011</v>
      </c>
      <c r="V299" s="404">
        <f t="shared" si="52"/>
        <v>4.8628089100767147</v>
      </c>
      <c r="W299" s="404">
        <f t="shared" si="52"/>
        <v>5.1704660310896484</v>
      </c>
      <c r="X299" s="404">
        <f t="shared" si="52"/>
        <v>5.478866484372694</v>
      </c>
      <c r="Y299" s="404">
        <f t="shared" si="52"/>
        <v>5.7855943607237439</v>
      </c>
      <c r="Z299" s="404">
        <f t="shared" si="52"/>
        <v>6.0892414424607537</v>
      </c>
      <c r="AA299" s="404">
        <f t="shared" si="52"/>
        <v>6.3889184215318613</v>
      </c>
      <c r="AB299" s="404">
        <f t="shared" si="52"/>
        <v>6.6840297810871432</v>
      </c>
      <c r="AC299" s="404">
        <f t="shared" si="52"/>
        <v>6.9741583438166916</v>
      </c>
      <c r="AD299" s="404">
        <f t="shared" si="52"/>
        <v>7.2590011650097335</v>
      </c>
      <c r="AE299" s="405">
        <f t="shared" si="53"/>
        <v>7.5441180967517631</v>
      </c>
      <c r="AF299" s="940" t="s">
        <v>669</v>
      </c>
      <c r="AG299" s="940"/>
      <c r="AH299" s="940"/>
      <c r="AI299" s="940"/>
      <c r="AJ299" s="345" t="s">
        <v>670</v>
      </c>
      <c r="AK299" s="1286">
        <f t="shared" si="54"/>
        <v>5.0260056969053961</v>
      </c>
    </row>
    <row r="300" spans="1:38" s="112" customFormat="1" ht="12.75" customHeight="1" outlineLevel="1">
      <c r="A300" s="561">
        <v>272</v>
      </c>
      <c r="D300" s="114"/>
      <c r="E300" s="304" t="s">
        <v>26</v>
      </c>
      <c r="F300" s="332"/>
      <c r="G300" s="332"/>
      <c r="H300" s="332"/>
      <c r="I300" s="332"/>
      <c r="J300" s="332"/>
      <c r="K300" s="332">
        <f t="shared" si="52"/>
        <v>0.68519349688351627</v>
      </c>
      <c r="L300" s="332">
        <f t="shared" si="52"/>
        <v>1.6401606379583997</v>
      </c>
      <c r="M300" s="332">
        <f t="shared" si="52"/>
        <v>2.320538035737322</v>
      </c>
      <c r="N300" s="333">
        <f t="shared" si="52"/>
        <v>2.9910061316476497</v>
      </c>
      <c r="O300" s="404">
        <f t="shared" si="52"/>
        <v>3.5564616338227362</v>
      </c>
      <c r="P300" s="404">
        <f t="shared" si="52"/>
        <v>3.9204079517598349</v>
      </c>
      <c r="Q300" s="404">
        <f t="shared" si="52"/>
        <v>3.9676106193504852</v>
      </c>
      <c r="R300" s="404">
        <f t="shared" si="52"/>
        <v>3.9915372504567288</v>
      </c>
      <c r="S300" s="404">
        <f t="shared" si="52"/>
        <v>4.1005631293236666</v>
      </c>
      <c r="T300" s="404">
        <f t="shared" si="52"/>
        <v>4.0396485387484029</v>
      </c>
      <c r="U300" s="404">
        <f t="shared" si="52"/>
        <v>4.1153103015118369</v>
      </c>
      <c r="V300" s="404">
        <f t="shared" si="52"/>
        <v>3.9857332834491306</v>
      </c>
      <c r="W300" s="404">
        <f t="shared" si="52"/>
        <v>3.3078821584528511</v>
      </c>
      <c r="X300" s="404">
        <f t="shared" si="52"/>
        <v>3.2278611104713111</v>
      </c>
      <c r="Y300" s="404">
        <f t="shared" si="52"/>
        <v>3.0417061886200107</v>
      </c>
      <c r="Z300" s="404">
        <f t="shared" si="52"/>
        <v>3.245740334713894</v>
      </c>
      <c r="AA300" s="404">
        <f t="shared" si="52"/>
        <v>3.5329568667166282</v>
      </c>
      <c r="AB300" s="404">
        <f t="shared" si="52"/>
        <v>3.8426566266403457</v>
      </c>
      <c r="AC300" s="404">
        <f t="shared" si="52"/>
        <v>4.1496709277778914</v>
      </c>
      <c r="AD300" s="404">
        <f t="shared" si="52"/>
        <v>4.1314868507655076</v>
      </c>
      <c r="AE300" s="405">
        <f t="shared" si="53"/>
        <v>4.173226503510592</v>
      </c>
      <c r="AF300" s="940" t="s">
        <v>669</v>
      </c>
      <c r="AG300" s="940"/>
      <c r="AH300" s="940"/>
      <c r="AI300" s="940"/>
      <c r="AJ300" s="345" t="s">
        <v>670</v>
      </c>
      <c r="AK300" s="1286">
        <f t="shared" si="54"/>
        <v>3.6028192192909083</v>
      </c>
      <c r="AL300" s="516"/>
    </row>
    <row r="301" spans="1:38" s="112" customFormat="1" ht="12.75" customHeight="1" outlineLevel="1">
      <c r="A301" s="561">
        <v>273</v>
      </c>
      <c r="D301" s="114"/>
      <c r="E301" s="305" t="s">
        <v>74</v>
      </c>
      <c r="F301" s="309"/>
      <c r="G301" s="309"/>
      <c r="H301" s="309"/>
      <c r="I301" s="309"/>
      <c r="J301" s="309"/>
      <c r="K301" s="309">
        <f t="shared" si="52"/>
        <v>4.9676870018863978E-2</v>
      </c>
      <c r="L301" s="309">
        <f t="shared" si="52"/>
        <v>0.14383874341315595</v>
      </c>
      <c r="M301" s="309">
        <f t="shared" si="52"/>
        <v>0.2955444718546984</v>
      </c>
      <c r="N301" s="367">
        <f t="shared" si="52"/>
        <v>0.48328473586709264</v>
      </c>
      <c r="O301" s="1108">
        <f t="shared" si="52"/>
        <v>0.80757311765457584</v>
      </c>
      <c r="P301" s="406">
        <f t="shared" si="52"/>
        <v>1.1976680999851399</v>
      </c>
      <c r="Q301" s="406">
        <f t="shared" si="52"/>
        <v>1.5749583996563103</v>
      </c>
      <c r="R301" s="406">
        <f t="shared" si="52"/>
        <v>1.9327983346296826</v>
      </c>
      <c r="S301" s="406">
        <f t="shared" si="52"/>
        <v>2.380930361402954</v>
      </c>
      <c r="T301" s="406">
        <f t="shared" si="52"/>
        <v>2.8732778094098697</v>
      </c>
      <c r="U301" s="406">
        <f t="shared" si="52"/>
        <v>3.3422379817594572</v>
      </c>
      <c r="V301" s="406">
        <f t="shared" si="52"/>
        <v>3.7907762053661087</v>
      </c>
      <c r="W301" s="406">
        <f t="shared" si="52"/>
        <v>4.0946773968230019</v>
      </c>
      <c r="X301" s="406">
        <f t="shared" si="52"/>
        <v>4.2575963501382343</v>
      </c>
      <c r="Y301" s="406">
        <f t="shared" si="52"/>
        <v>4.416222925111958</v>
      </c>
      <c r="Z301" s="406">
        <f t="shared" si="52"/>
        <v>4.5706950561923287</v>
      </c>
      <c r="AA301" s="406">
        <f t="shared" si="52"/>
        <v>4.7212634055410252</v>
      </c>
      <c r="AB301" s="406">
        <f t="shared" si="52"/>
        <v>4.8679398804184961</v>
      </c>
      <c r="AC301" s="406">
        <f t="shared" si="52"/>
        <v>5.010585098678094</v>
      </c>
      <c r="AD301" s="406">
        <f t="shared" si="52"/>
        <v>5.1493392283866584</v>
      </c>
      <c r="AE301" s="407">
        <f t="shared" si="53"/>
        <v>5.2832324621940776</v>
      </c>
      <c r="AF301" s="940" t="s">
        <v>669</v>
      </c>
      <c r="AG301" s="940"/>
      <c r="AH301" s="1048"/>
      <c r="AI301" s="1048"/>
      <c r="AJ301" s="345" t="s">
        <v>670</v>
      </c>
      <c r="AK301" s="1286">
        <f t="shared" si="54"/>
        <v>2.8067411578326298</v>
      </c>
    </row>
    <row r="302" spans="1:38" s="112" customFormat="1" ht="12.75" customHeight="1" outlineLevel="1">
      <c r="A302" s="561">
        <v>274</v>
      </c>
      <c r="D302" s="114"/>
      <c r="E302" s="27" t="s">
        <v>55</v>
      </c>
      <c r="F302" s="325"/>
      <c r="G302" s="325"/>
      <c r="H302" s="325"/>
      <c r="I302" s="325"/>
      <c r="J302" s="325"/>
      <c r="K302" s="325">
        <f t="shared" ref="K302:M302" si="55">SUM(K295:K301)</f>
        <v>1.2431681581503069</v>
      </c>
      <c r="L302" s="325">
        <f t="shared" si="55"/>
        <v>3.2947753274868026</v>
      </c>
      <c r="M302" s="325">
        <f t="shared" si="55"/>
        <v>5.1963190068284595</v>
      </c>
      <c r="N302" s="326">
        <f t="shared" ref="N302" si="56">SUM(N295:N301)</f>
        <v>6.9630679101348623</v>
      </c>
      <c r="O302" s="623">
        <f t="shared" ref="O302:P302" si="57">SUM(O295:O301)</f>
        <v>8.3974690064798505</v>
      </c>
      <c r="P302" s="624">
        <f t="shared" si="57"/>
        <v>9.5252277656341295</v>
      </c>
      <c r="Q302" s="624">
        <f t="shared" ref="Q302:AE302" si="58">SUM(Q295:Q301)</f>
        <v>10.264253214242899</v>
      </c>
      <c r="R302" s="624">
        <f t="shared" si="58"/>
        <v>11.050157717923824</v>
      </c>
      <c r="S302" s="624">
        <f t="shared" si="58"/>
        <v>12.557831541609524</v>
      </c>
      <c r="T302" s="624">
        <f t="shared" si="58"/>
        <v>13.105828343612913</v>
      </c>
      <c r="U302" s="624">
        <f t="shared" si="58"/>
        <v>14.185925261467728</v>
      </c>
      <c r="V302" s="624">
        <f t="shared" si="58"/>
        <v>15.032538037212747</v>
      </c>
      <c r="W302" s="624">
        <f t="shared" si="58"/>
        <v>15.134727429443998</v>
      </c>
      <c r="X302" s="624">
        <f t="shared" si="58"/>
        <v>15.64596256132122</v>
      </c>
      <c r="Y302" s="624">
        <f t="shared" si="58"/>
        <v>16.043572754383995</v>
      </c>
      <c r="Z302" s="624">
        <f t="shared" si="58"/>
        <v>16.822754400972968</v>
      </c>
      <c r="AA302" s="624">
        <f t="shared" si="58"/>
        <v>17.675764692516594</v>
      </c>
      <c r="AB302" s="624">
        <f t="shared" si="58"/>
        <v>18.54118427871564</v>
      </c>
      <c r="AC302" s="624">
        <f t="shared" si="58"/>
        <v>19.393463426205145</v>
      </c>
      <c r="AD302" s="624">
        <f t="shared" si="58"/>
        <v>19.909950943576831</v>
      </c>
      <c r="AE302" s="625">
        <f t="shared" si="58"/>
        <v>20.4816278481571</v>
      </c>
      <c r="AF302" s="940"/>
      <c r="AG302" s="940"/>
      <c r="AH302" s="940"/>
      <c r="AI302" s="940"/>
      <c r="AJ302" s="345"/>
      <c r="AK302" s="1286">
        <f t="shared" si="54"/>
        <v>13.394493399456429</v>
      </c>
    </row>
    <row r="303" spans="1:38" s="112" customFormat="1" ht="12.75" customHeight="1" outlineLevel="1">
      <c r="A303" s="561">
        <v>275</v>
      </c>
      <c r="C303" s="113"/>
      <c r="D303" s="114"/>
      <c r="E303" s="115"/>
      <c r="F303" s="312"/>
      <c r="G303" s="312"/>
      <c r="H303" s="312"/>
      <c r="I303" s="312"/>
      <c r="J303" s="312"/>
      <c r="K303" s="312"/>
      <c r="L303" s="312"/>
      <c r="M303" s="312"/>
      <c r="N303" s="352"/>
      <c r="O303" s="299"/>
      <c r="P303" s="312"/>
      <c r="Q303" s="312"/>
      <c r="R303" s="312"/>
      <c r="S303" s="312"/>
      <c r="T303" s="312"/>
      <c r="U303" s="312"/>
      <c r="V303" s="312"/>
      <c r="W303" s="312"/>
      <c r="X303" s="312"/>
      <c r="Y303" s="312"/>
      <c r="Z303" s="312"/>
      <c r="AA303" s="312"/>
      <c r="AB303" s="312"/>
      <c r="AC303" s="312"/>
      <c r="AD303" s="312"/>
      <c r="AE303" s="312"/>
      <c r="AF303" s="940"/>
      <c r="AG303" s="940"/>
      <c r="AH303" s="940"/>
      <c r="AI303" s="940"/>
      <c r="AJ303" s="345"/>
    </row>
    <row r="304" spans="1:38" s="112" customFormat="1" ht="76.5" outlineLevel="1">
      <c r="A304" s="561">
        <v>276</v>
      </c>
      <c r="B304" s="301"/>
      <c r="C304" s="301"/>
      <c r="D304" s="33"/>
      <c r="E304" s="211" t="s">
        <v>678</v>
      </c>
      <c r="F304" s="312"/>
      <c r="G304" s="312"/>
      <c r="H304" s="312"/>
      <c r="I304" s="312"/>
      <c r="J304" s="312"/>
      <c r="K304" s="312"/>
      <c r="L304" s="312"/>
      <c r="M304" s="312"/>
      <c r="N304" s="352"/>
      <c r="O304" s="299"/>
      <c r="P304" s="312"/>
      <c r="Q304" s="312"/>
      <c r="R304" s="312"/>
      <c r="S304" s="312"/>
      <c r="T304" s="312"/>
      <c r="U304" s="312"/>
      <c r="V304" s="312"/>
      <c r="W304" s="312"/>
      <c r="X304" s="312"/>
      <c r="Y304" s="312"/>
      <c r="Z304" s="312"/>
      <c r="AA304" s="312"/>
      <c r="AB304" s="312"/>
      <c r="AC304" s="312"/>
      <c r="AD304" s="312"/>
      <c r="AE304" s="312"/>
      <c r="AF304" s="940" t="s">
        <v>514</v>
      </c>
      <c r="AG304" s="940"/>
      <c r="AH304" s="940"/>
      <c r="AI304" s="940"/>
      <c r="AJ304" s="345" t="s">
        <v>820</v>
      </c>
    </row>
    <row r="305" spans="1:36" s="112" customFormat="1" ht="12.75" customHeight="1" outlineLevel="2">
      <c r="A305" s="561">
        <v>277</v>
      </c>
      <c r="B305" s="301"/>
      <c r="C305" s="301"/>
      <c r="D305" s="33"/>
      <c r="E305" s="302" t="s">
        <v>25</v>
      </c>
      <c r="F305" s="323">
        <f t="shared" ref="F305:AE305" si="59">F140*(F111+F121)/1000 + F158*(F248+F258)/1000</f>
        <v>0.41396176000000001</v>
      </c>
      <c r="G305" s="323">
        <f t="shared" si="59"/>
        <v>0.16263688900000001</v>
      </c>
      <c r="H305" s="323">
        <f t="shared" si="59"/>
        <v>0.41207295941425998</v>
      </c>
      <c r="I305" s="323">
        <f t="shared" si="59"/>
        <v>0.48692010585074991</v>
      </c>
      <c r="J305" s="323">
        <f t="shared" si="59"/>
        <v>0.51080576769520003</v>
      </c>
      <c r="K305" s="323">
        <f t="shared" si="59"/>
        <v>0.55367710800000003</v>
      </c>
      <c r="L305" s="323">
        <f t="shared" si="59"/>
        <v>0.57915161100000001</v>
      </c>
      <c r="M305" s="323">
        <f t="shared" si="59"/>
        <v>0.59035525699999991</v>
      </c>
      <c r="N305" s="323">
        <f t="shared" si="59"/>
        <v>0.50933458300000001</v>
      </c>
      <c r="O305" s="402">
        <f t="shared" si="59"/>
        <v>0.56000223000000005</v>
      </c>
      <c r="P305" s="402">
        <f t="shared" si="59"/>
        <v>0.52196014299999993</v>
      </c>
      <c r="Q305" s="402">
        <f t="shared" si="59"/>
        <v>0.54223086899999995</v>
      </c>
      <c r="R305" s="402">
        <f t="shared" si="59"/>
        <v>0.54161495900000001</v>
      </c>
      <c r="S305" s="402">
        <f t="shared" si="59"/>
        <v>0</v>
      </c>
      <c r="T305" s="402">
        <f t="shared" si="59"/>
        <v>0</v>
      </c>
      <c r="U305" s="402">
        <f t="shared" si="59"/>
        <v>0</v>
      </c>
      <c r="V305" s="402">
        <f t="shared" si="59"/>
        <v>0</v>
      </c>
      <c r="W305" s="402">
        <f t="shared" si="59"/>
        <v>0</v>
      </c>
      <c r="X305" s="402">
        <f t="shared" si="59"/>
        <v>0</v>
      </c>
      <c r="Y305" s="402">
        <f t="shared" si="59"/>
        <v>0</v>
      </c>
      <c r="Z305" s="402">
        <f t="shared" si="59"/>
        <v>0</v>
      </c>
      <c r="AA305" s="402">
        <f t="shared" si="59"/>
        <v>0</v>
      </c>
      <c r="AB305" s="402">
        <f t="shared" si="59"/>
        <v>0</v>
      </c>
      <c r="AC305" s="402">
        <f t="shared" si="59"/>
        <v>0</v>
      </c>
      <c r="AD305" s="402">
        <f t="shared" si="59"/>
        <v>0</v>
      </c>
      <c r="AE305" s="403">
        <f t="shared" si="59"/>
        <v>0</v>
      </c>
      <c r="AF305" s="940" t="s">
        <v>576</v>
      </c>
      <c r="AG305" s="940" t="s">
        <v>672</v>
      </c>
      <c r="AH305" s="940"/>
      <c r="AI305" s="940"/>
      <c r="AJ305" s="345"/>
    </row>
    <row r="306" spans="1:36" s="112" customFormat="1" ht="12.75" customHeight="1" outlineLevel="2">
      <c r="A306" s="561">
        <v>278</v>
      </c>
      <c r="B306" s="301"/>
      <c r="C306" s="301"/>
      <c r="D306" s="33"/>
      <c r="E306" s="304" t="s">
        <v>50</v>
      </c>
      <c r="F306" s="332">
        <f t="shared" ref="F306:AE306" si="60">F141*(F112+F122)/1000 + F159*(F249+F259)/1000</f>
        <v>0.12953265</v>
      </c>
      <c r="G306" s="332">
        <f t="shared" si="60"/>
        <v>1.4075396E-2</v>
      </c>
      <c r="H306" s="332">
        <f t="shared" si="60"/>
        <v>5.2400481459999995E-2</v>
      </c>
      <c r="I306" s="332">
        <f t="shared" si="60"/>
        <v>0.10797205039999999</v>
      </c>
      <c r="J306" s="332">
        <f t="shared" si="60"/>
        <v>6.3886050243399994E-2</v>
      </c>
      <c r="K306" s="332">
        <f t="shared" si="60"/>
        <v>0.11697941100000001</v>
      </c>
      <c r="L306" s="332">
        <f t="shared" si="60"/>
        <v>0.11299272400000002</v>
      </c>
      <c r="M306" s="332">
        <f t="shared" si="60"/>
        <v>9.5978957999999989E-2</v>
      </c>
      <c r="N306" s="332">
        <f t="shared" si="60"/>
        <v>9.0931739999999997E-2</v>
      </c>
      <c r="O306" s="404">
        <f t="shared" si="60"/>
        <v>8.8120348999999987E-2</v>
      </c>
      <c r="P306" s="404">
        <f t="shared" si="60"/>
        <v>6.8837204999999999E-2</v>
      </c>
      <c r="Q306" s="404">
        <f t="shared" si="60"/>
        <v>6.0752625999999997E-2</v>
      </c>
      <c r="R306" s="404">
        <f t="shared" si="60"/>
        <v>6.2321124999999991E-2</v>
      </c>
      <c r="S306" s="404">
        <f t="shared" si="60"/>
        <v>0</v>
      </c>
      <c r="T306" s="404">
        <f t="shared" si="60"/>
        <v>0</v>
      </c>
      <c r="U306" s="404">
        <f t="shared" si="60"/>
        <v>0</v>
      </c>
      <c r="V306" s="404">
        <f t="shared" si="60"/>
        <v>0</v>
      </c>
      <c r="W306" s="404">
        <f t="shared" si="60"/>
        <v>0</v>
      </c>
      <c r="X306" s="404">
        <f t="shared" si="60"/>
        <v>0</v>
      </c>
      <c r="Y306" s="404">
        <f t="shared" si="60"/>
        <v>0</v>
      </c>
      <c r="Z306" s="404">
        <f t="shared" si="60"/>
        <v>0</v>
      </c>
      <c r="AA306" s="404">
        <f t="shared" si="60"/>
        <v>0</v>
      </c>
      <c r="AB306" s="404">
        <f t="shared" si="60"/>
        <v>0</v>
      </c>
      <c r="AC306" s="404">
        <f t="shared" si="60"/>
        <v>0</v>
      </c>
      <c r="AD306" s="404">
        <f t="shared" si="60"/>
        <v>0</v>
      </c>
      <c r="AE306" s="405">
        <f t="shared" si="60"/>
        <v>0</v>
      </c>
      <c r="AF306" s="940" t="s">
        <v>576</v>
      </c>
      <c r="AG306" s="940" t="s">
        <v>672</v>
      </c>
      <c r="AH306" s="940"/>
      <c r="AI306" s="940"/>
      <c r="AJ306" s="345"/>
    </row>
    <row r="307" spans="1:36" s="112" customFormat="1" ht="12.75" customHeight="1" outlineLevel="2">
      <c r="A307" s="561">
        <v>279</v>
      </c>
      <c r="B307" s="301"/>
      <c r="C307" s="301"/>
      <c r="D307" s="33"/>
      <c r="E307" s="304" t="s">
        <v>13</v>
      </c>
      <c r="F307" s="332">
        <f t="shared" ref="F307:AE307" si="61">F142*(F113+F123)/1000 + F160*(F250+F260)/1000</f>
        <v>3.9508552800000003</v>
      </c>
      <c r="G307" s="332">
        <f t="shared" si="61"/>
        <v>4.2497729089999998</v>
      </c>
      <c r="H307" s="332">
        <f t="shared" si="61"/>
        <v>5.0895666185599993</v>
      </c>
      <c r="I307" s="332">
        <f t="shared" si="61"/>
        <v>6.0503774180499983</v>
      </c>
      <c r="J307" s="332">
        <f t="shared" si="61"/>
        <v>6.4394082612499988</v>
      </c>
      <c r="K307" s="332">
        <f t="shared" si="61"/>
        <v>7.1272603240000008</v>
      </c>
      <c r="L307" s="332">
        <f t="shared" si="61"/>
        <v>7.5257682859999999</v>
      </c>
      <c r="M307" s="332">
        <f t="shared" si="61"/>
        <v>7.6880897129999992</v>
      </c>
      <c r="N307" s="332">
        <f t="shared" si="61"/>
        <v>7.9379307329999991</v>
      </c>
      <c r="O307" s="404">
        <f t="shared" si="61"/>
        <v>8.0948488320000003</v>
      </c>
      <c r="P307" s="404">
        <f t="shared" si="61"/>
        <v>8.0244355190000007</v>
      </c>
      <c r="Q307" s="404">
        <f t="shared" si="61"/>
        <v>7.9354001729999988</v>
      </c>
      <c r="R307" s="404">
        <f t="shared" si="61"/>
        <v>7.3205225789999995</v>
      </c>
      <c r="S307" s="404">
        <f t="shared" si="61"/>
        <v>0</v>
      </c>
      <c r="T307" s="404">
        <f t="shared" si="61"/>
        <v>0</v>
      </c>
      <c r="U307" s="404">
        <f t="shared" si="61"/>
        <v>0</v>
      </c>
      <c r="V307" s="404">
        <f t="shared" si="61"/>
        <v>0</v>
      </c>
      <c r="W307" s="404">
        <f t="shared" si="61"/>
        <v>0</v>
      </c>
      <c r="X307" s="404">
        <f t="shared" si="61"/>
        <v>0</v>
      </c>
      <c r="Y307" s="404">
        <f t="shared" si="61"/>
        <v>0</v>
      </c>
      <c r="Z307" s="404">
        <f t="shared" si="61"/>
        <v>0</v>
      </c>
      <c r="AA307" s="404">
        <f t="shared" si="61"/>
        <v>0</v>
      </c>
      <c r="AB307" s="404">
        <f t="shared" si="61"/>
        <v>0</v>
      </c>
      <c r="AC307" s="404">
        <f t="shared" si="61"/>
        <v>0</v>
      </c>
      <c r="AD307" s="404">
        <f t="shared" si="61"/>
        <v>0</v>
      </c>
      <c r="AE307" s="405">
        <f t="shared" si="61"/>
        <v>0</v>
      </c>
      <c r="AF307" s="940" t="s">
        <v>576</v>
      </c>
      <c r="AG307" s="940" t="s">
        <v>672</v>
      </c>
      <c r="AH307" s="940"/>
      <c r="AI307" s="940"/>
      <c r="AJ307" s="345"/>
    </row>
    <row r="308" spans="1:36" s="112" customFormat="1" ht="12.75" customHeight="1" outlineLevel="2">
      <c r="A308" s="561">
        <v>280</v>
      </c>
      <c r="B308" s="301"/>
      <c r="C308" s="301"/>
      <c r="D308" s="33"/>
      <c r="E308" s="304" t="s">
        <v>12</v>
      </c>
      <c r="F308" s="332">
        <f t="shared" ref="F308:AE308" si="62">F143*(F114+F124)/1000 + F161*(F251+F261)/1000</f>
        <v>5.3999999999999994E-3</v>
      </c>
      <c r="G308" s="332">
        <f t="shared" si="62"/>
        <v>1.3090355999999999E-2</v>
      </c>
      <c r="H308" s="332">
        <f t="shared" si="62"/>
        <v>2.3729284699999999E-2</v>
      </c>
      <c r="I308" s="332">
        <f t="shared" si="62"/>
        <v>1.8123731000000001E-2</v>
      </c>
      <c r="J308" s="332">
        <f t="shared" si="62"/>
        <v>3.1732540359999999E-2</v>
      </c>
      <c r="K308" s="332">
        <f t="shared" si="62"/>
        <v>3.8942879E-2</v>
      </c>
      <c r="L308" s="332">
        <f t="shared" si="62"/>
        <v>4.3986963000000004E-2</v>
      </c>
      <c r="M308" s="332">
        <f t="shared" si="62"/>
        <v>4.6891084999999992E-2</v>
      </c>
      <c r="N308" s="332">
        <f t="shared" si="62"/>
        <v>4.9615844000000006E-2</v>
      </c>
      <c r="O308" s="404">
        <f t="shared" si="62"/>
        <v>5.7536446999999998E-2</v>
      </c>
      <c r="P308" s="404">
        <f t="shared" si="62"/>
        <v>4.2243857000000003E-2</v>
      </c>
      <c r="Q308" s="404">
        <f t="shared" si="62"/>
        <v>5.3254587999999999E-2</v>
      </c>
      <c r="R308" s="404">
        <f t="shared" si="62"/>
        <v>8.6403632000000008E-2</v>
      </c>
      <c r="S308" s="404">
        <f t="shared" si="62"/>
        <v>0</v>
      </c>
      <c r="T308" s="404">
        <f t="shared" si="62"/>
        <v>0</v>
      </c>
      <c r="U308" s="404">
        <f t="shared" si="62"/>
        <v>0</v>
      </c>
      <c r="V308" s="404">
        <f t="shared" si="62"/>
        <v>0</v>
      </c>
      <c r="W308" s="404">
        <f t="shared" si="62"/>
        <v>0</v>
      </c>
      <c r="X308" s="404">
        <f t="shared" si="62"/>
        <v>0</v>
      </c>
      <c r="Y308" s="404">
        <f t="shared" si="62"/>
        <v>0</v>
      </c>
      <c r="Z308" s="404">
        <f t="shared" si="62"/>
        <v>0</v>
      </c>
      <c r="AA308" s="404">
        <f t="shared" si="62"/>
        <v>0</v>
      </c>
      <c r="AB308" s="404">
        <f t="shared" si="62"/>
        <v>0</v>
      </c>
      <c r="AC308" s="404">
        <f t="shared" si="62"/>
        <v>0</v>
      </c>
      <c r="AD308" s="404">
        <f t="shared" si="62"/>
        <v>0</v>
      </c>
      <c r="AE308" s="405">
        <f t="shared" si="62"/>
        <v>0</v>
      </c>
      <c r="AF308" s="940" t="s">
        <v>576</v>
      </c>
      <c r="AG308" s="940" t="s">
        <v>672</v>
      </c>
      <c r="AH308" s="940"/>
      <c r="AI308" s="940"/>
      <c r="AJ308" s="345"/>
    </row>
    <row r="309" spans="1:36" s="112" customFormat="1" ht="12.75" customHeight="1" outlineLevel="2">
      <c r="A309" s="561">
        <v>281</v>
      </c>
      <c r="B309" s="301"/>
      <c r="C309" s="301"/>
      <c r="D309" s="33"/>
      <c r="E309" s="304" t="s">
        <v>24</v>
      </c>
      <c r="F309" s="332">
        <f t="shared" ref="F309:AE309" si="63">F144*(F115+F125)/1000 + F162*(F252+F262)/1000</f>
        <v>4.1869800800000005</v>
      </c>
      <c r="G309" s="332">
        <f t="shared" si="63"/>
        <v>4.4946196810000005</v>
      </c>
      <c r="H309" s="332">
        <f t="shared" si="63"/>
        <v>4.3533828439027991</v>
      </c>
      <c r="I309" s="332">
        <f t="shared" si="63"/>
        <v>5.3593675109834491</v>
      </c>
      <c r="J309" s="332">
        <f t="shared" si="63"/>
        <v>6.1037070259736002</v>
      </c>
      <c r="K309" s="332">
        <f t="shared" si="63"/>
        <v>6.2107977910000001</v>
      </c>
      <c r="L309" s="332">
        <f t="shared" si="63"/>
        <v>6.9356407530000004</v>
      </c>
      <c r="M309" s="332">
        <f t="shared" si="63"/>
        <v>7.2198882399999995</v>
      </c>
      <c r="N309" s="332">
        <f t="shared" si="63"/>
        <v>7.9691562089999985</v>
      </c>
      <c r="O309" s="404">
        <f t="shared" si="63"/>
        <v>8.759169442000001</v>
      </c>
      <c r="P309" s="404">
        <f t="shared" si="63"/>
        <v>8.6681318550000004</v>
      </c>
      <c r="Q309" s="404">
        <f t="shared" si="63"/>
        <v>8.7232046370000003</v>
      </c>
      <c r="R309" s="404">
        <f t="shared" si="63"/>
        <v>8.1493156079999984</v>
      </c>
      <c r="S309" s="404">
        <f t="shared" si="63"/>
        <v>0</v>
      </c>
      <c r="T309" s="404">
        <f t="shared" si="63"/>
        <v>0</v>
      </c>
      <c r="U309" s="404">
        <f t="shared" si="63"/>
        <v>0</v>
      </c>
      <c r="V309" s="404">
        <f t="shared" si="63"/>
        <v>0</v>
      </c>
      <c r="W309" s="404">
        <f t="shared" si="63"/>
        <v>0</v>
      </c>
      <c r="X309" s="404">
        <f t="shared" si="63"/>
        <v>0</v>
      </c>
      <c r="Y309" s="404">
        <f t="shared" si="63"/>
        <v>0</v>
      </c>
      <c r="Z309" s="404">
        <f t="shared" si="63"/>
        <v>0</v>
      </c>
      <c r="AA309" s="404">
        <f t="shared" si="63"/>
        <v>0</v>
      </c>
      <c r="AB309" s="404">
        <f t="shared" si="63"/>
        <v>0</v>
      </c>
      <c r="AC309" s="404">
        <f t="shared" si="63"/>
        <v>0</v>
      </c>
      <c r="AD309" s="404">
        <f t="shared" si="63"/>
        <v>0</v>
      </c>
      <c r="AE309" s="405">
        <f t="shared" si="63"/>
        <v>0</v>
      </c>
      <c r="AF309" s="940" t="s">
        <v>576</v>
      </c>
      <c r="AG309" s="940" t="s">
        <v>672</v>
      </c>
      <c r="AH309" s="940"/>
      <c r="AI309" s="940"/>
      <c r="AJ309" s="345"/>
    </row>
    <row r="310" spans="1:36" s="112" customFormat="1" ht="12.75" customHeight="1" outlineLevel="2">
      <c r="A310" s="561">
        <v>282</v>
      </c>
      <c r="B310" s="301"/>
      <c r="C310" s="301"/>
      <c r="D310" s="33"/>
      <c r="E310" s="304" t="s">
        <v>26</v>
      </c>
      <c r="F310" s="332">
        <f t="shared" ref="F310:AE311" si="64">F145*(F116+F126)/1000 + F163*(F253+F263)/1000</f>
        <v>9.8100000000000007E-2</v>
      </c>
      <c r="G310" s="332">
        <f t="shared" si="64"/>
        <v>0.17201868399999998</v>
      </c>
      <c r="H310" s="332">
        <f t="shared" si="64"/>
        <v>0.21721885938639998</v>
      </c>
      <c r="I310" s="332">
        <f t="shared" si="64"/>
        <v>0.47161680655509991</v>
      </c>
      <c r="J310" s="332">
        <f t="shared" si="64"/>
        <v>1.4138436736538</v>
      </c>
      <c r="K310" s="332">
        <f t="shared" si="64"/>
        <v>2.0468048479999998</v>
      </c>
      <c r="L310" s="332">
        <f t="shared" si="64"/>
        <v>2.8240475410000001</v>
      </c>
      <c r="M310" s="332">
        <f t="shared" si="64"/>
        <v>3.640805179</v>
      </c>
      <c r="N310" s="332">
        <f t="shared" si="64"/>
        <v>4.1951680539999998</v>
      </c>
      <c r="O310" s="404">
        <f t="shared" si="64"/>
        <v>4.9603236049999992</v>
      </c>
      <c r="P310" s="404">
        <f t="shared" si="64"/>
        <v>5.5274199179999997</v>
      </c>
      <c r="Q310" s="404">
        <f t="shared" si="64"/>
        <v>5.4945598640000002</v>
      </c>
      <c r="R310" s="404">
        <f t="shared" si="64"/>
        <v>5.4916206320000001</v>
      </c>
      <c r="S310" s="404">
        <f t="shared" si="64"/>
        <v>0</v>
      </c>
      <c r="T310" s="404">
        <f t="shared" si="64"/>
        <v>0</v>
      </c>
      <c r="U310" s="404">
        <f t="shared" si="64"/>
        <v>0</v>
      </c>
      <c r="V310" s="404">
        <f t="shared" si="64"/>
        <v>0</v>
      </c>
      <c r="W310" s="404">
        <f t="shared" si="64"/>
        <v>0</v>
      </c>
      <c r="X310" s="404">
        <f t="shared" si="64"/>
        <v>0</v>
      </c>
      <c r="Y310" s="404">
        <f t="shared" si="64"/>
        <v>0</v>
      </c>
      <c r="Z310" s="404">
        <f t="shared" si="64"/>
        <v>0</v>
      </c>
      <c r="AA310" s="404">
        <f t="shared" si="64"/>
        <v>0</v>
      </c>
      <c r="AB310" s="404">
        <f t="shared" si="64"/>
        <v>0</v>
      </c>
      <c r="AC310" s="404">
        <f t="shared" si="64"/>
        <v>0</v>
      </c>
      <c r="AD310" s="404">
        <f t="shared" si="64"/>
        <v>0</v>
      </c>
      <c r="AE310" s="405">
        <f t="shared" si="64"/>
        <v>0</v>
      </c>
      <c r="AF310" s="940" t="s">
        <v>576</v>
      </c>
      <c r="AG310" s="940" t="s">
        <v>672</v>
      </c>
      <c r="AH310" s="940"/>
      <c r="AI310" s="940"/>
      <c r="AJ310" s="345"/>
    </row>
    <row r="311" spans="1:36" s="112" customFormat="1" ht="12.75" customHeight="1" outlineLevel="2">
      <c r="A311" s="561">
        <v>283</v>
      </c>
      <c r="B311" s="301"/>
      <c r="C311" s="301"/>
      <c r="D311" s="33"/>
      <c r="E311" s="305" t="s">
        <v>74</v>
      </c>
      <c r="F311" s="309">
        <f t="shared" ref="F311:AE311" si="65">F146*(F117+F127)/1000 + F164*(F254+F264)/1000</f>
        <v>3.8826109599999996</v>
      </c>
      <c r="G311" s="309">
        <f t="shared" si="65"/>
        <v>8.0206210149999997</v>
      </c>
      <c r="H311" s="309">
        <f t="shared" si="65"/>
        <v>8.7892939436962809</v>
      </c>
      <c r="I311" s="309">
        <f t="shared" si="65"/>
        <v>10.302513792381449</v>
      </c>
      <c r="J311" s="309">
        <f t="shared" si="65"/>
        <v>10.72971006440835</v>
      </c>
      <c r="K311" s="309">
        <f t="shared" si="65"/>
        <v>10.922211617309644</v>
      </c>
      <c r="L311" s="309">
        <f t="shared" si="65"/>
        <v>10.733641847822593</v>
      </c>
      <c r="M311" s="309">
        <f t="shared" si="65"/>
        <v>10.313718607912627</v>
      </c>
      <c r="N311" s="309">
        <f t="shared" si="65"/>
        <v>10.725377803457876</v>
      </c>
      <c r="O311" s="406">
        <f t="shared" si="65"/>
        <v>10.640584707282317</v>
      </c>
      <c r="P311" s="406">
        <f t="shared" si="65"/>
        <v>10.785729273655347</v>
      </c>
      <c r="Q311" s="406">
        <f t="shared" si="64"/>
        <v>11.145528535703878</v>
      </c>
      <c r="R311" s="406">
        <f t="shared" si="65"/>
        <v>12.145899166899436</v>
      </c>
      <c r="S311" s="406">
        <f t="shared" si="65"/>
        <v>0</v>
      </c>
      <c r="T311" s="406">
        <f t="shared" si="65"/>
        <v>0</v>
      </c>
      <c r="U311" s="406">
        <f t="shared" si="65"/>
        <v>0</v>
      </c>
      <c r="V311" s="406">
        <f t="shared" si="65"/>
        <v>0</v>
      </c>
      <c r="W311" s="406">
        <f t="shared" si="65"/>
        <v>0</v>
      </c>
      <c r="X311" s="406">
        <f t="shared" si="65"/>
        <v>0</v>
      </c>
      <c r="Y311" s="406">
        <f t="shared" si="65"/>
        <v>0</v>
      </c>
      <c r="Z311" s="406">
        <f t="shared" si="65"/>
        <v>0</v>
      </c>
      <c r="AA311" s="406">
        <f t="shared" si="65"/>
        <v>0</v>
      </c>
      <c r="AB311" s="406">
        <f t="shared" si="65"/>
        <v>0</v>
      </c>
      <c r="AC311" s="406">
        <f t="shared" si="65"/>
        <v>0</v>
      </c>
      <c r="AD311" s="406">
        <f t="shared" si="65"/>
        <v>0</v>
      </c>
      <c r="AE311" s="407">
        <f t="shared" si="65"/>
        <v>0</v>
      </c>
      <c r="AF311" s="940" t="s">
        <v>576</v>
      </c>
      <c r="AG311" s="940" t="s">
        <v>672</v>
      </c>
      <c r="AH311" s="940"/>
      <c r="AI311" s="940"/>
      <c r="AJ311" s="345"/>
    </row>
    <row r="312" spans="1:36" s="112" customFormat="1" ht="12.75" customHeight="1" outlineLevel="1">
      <c r="A312" s="561">
        <v>284</v>
      </c>
      <c r="C312" s="113"/>
      <c r="D312" s="114"/>
      <c r="E312" s="27" t="s">
        <v>55</v>
      </c>
      <c r="F312" s="325">
        <f t="shared" ref="F312:I312" si="66">SUM(F305:F311)</f>
        <v>12.667440729999999</v>
      </c>
      <c r="G312" s="325">
        <f t="shared" si="66"/>
        <v>17.126834930000001</v>
      </c>
      <c r="H312" s="325">
        <f t="shared" si="66"/>
        <v>18.937664991119739</v>
      </c>
      <c r="I312" s="325">
        <f t="shared" si="66"/>
        <v>22.796891415220745</v>
      </c>
      <c r="J312" s="325">
        <f t="shared" ref="J312:K312" si="67">SUM(J305:J311)</f>
        <v>25.293093383584349</v>
      </c>
      <c r="K312" s="325">
        <f t="shared" si="67"/>
        <v>27.016673978309647</v>
      </c>
      <c r="L312" s="325">
        <f t="shared" ref="L312:AE312" si="68">SUM(L305:L311)</f>
        <v>28.755229725822591</v>
      </c>
      <c r="M312" s="325">
        <f t="shared" si="68"/>
        <v>29.595727039912624</v>
      </c>
      <c r="N312" s="325">
        <f t="shared" si="68"/>
        <v>31.477514966457875</v>
      </c>
      <c r="O312" s="325">
        <f t="shared" si="68"/>
        <v>33.160585612282318</v>
      </c>
      <c r="P312" s="325">
        <f t="shared" si="68"/>
        <v>33.638757770655353</v>
      </c>
      <c r="Q312" s="325">
        <f t="shared" si="68"/>
        <v>33.954931292703876</v>
      </c>
      <c r="R312" s="325">
        <f t="shared" si="68"/>
        <v>33.797697701899438</v>
      </c>
      <c r="S312" s="325">
        <f t="shared" si="68"/>
        <v>0</v>
      </c>
      <c r="T312" s="325">
        <f t="shared" si="68"/>
        <v>0</v>
      </c>
      <c r="U312" s="325">
        <f t="shared" si="68"/>
        <v>0</v>
      </c>
      <c r="V312" s="325">
        <f t="shared" si="68"/>
        <v>0</v>
      </c>
      <c r="W312" s="325">
        <f t="shared" si="68"/>
        <v>0</v>
      </c>
      <c r="X312" s="325">
        <f t="shared" si="68"/>
        <v>0</v>
      </c>
      <c r="Y312" s="325">
        <f t="shared" si="68"/>
        <v>0</v>
      </c>
      <c r="Z312" s="325">
        <f t="shared" si="68"/>
        <v>0</v>
      </c>
      <c r="AA312" s="325">
        <f t="shared" si="68"/>
        <v>0</v>
      </c>
      <c r="AB312" s="325">
        <f t="shared" si="68"/>
        <v>0</v>
      </c>
      <c r="AC312" s="325">
        <f t="shared" si="68"/>
        <v>0</v>
      </c>
      <c r="AD312" s="325">
        <f t="shared" si="68"/>
        <v>0</v>
      </c>
      <c r="AE312" s="325">
        <f t="shared" si="68"/>
        <v>0</v>
      </c>
      <c r="AF312" s="940"/>
      <c r="AG312" s="940"/>
      <c r="AH312" s="940"/>
      <c r="AI312" s="940"/>
      <c r="AJ312" s="345"/>
    </row>
    <row r="313" spans="1:36" s="301" customFormat="1" ht="12.75" customHeight="1" outlineLevel="1">
      <c r="A313" s="561">
        <v>285</v>
      </c>
      <c r="B313" s="112"/>
      <c r="C313" s="113"/>
      <c r="D313" s="114"/>
      <c r="F313" s="331"/>
      <c r="G313" s="331"/>
      <c r="H313" s="331"/>
      <c r="I313" s="331"/>
      <c r="J313" s="331"/>
      <c r="K313" s="331"/>
      <c r="L313" s="331"/>
      <c r="M313" s="331"/>
      <c r="N313" s="349"/>
      <c r="O313" s="296"/>
      <c r="P313" s="331"/>
      <c r="Q313" s="331"/>
      <c r="R313" s="331"/>
      <c r="S313" s="331"/>
      <c r="T313" s="331"/>
      <c r="U313" s="331"/>
      <c r="V313" s="331"/>
      <c r="W313" s="331"/>
      <c r="X313" s="331"/>
      <c r="Y313" s="331"/>
      <c r="Z313" s="331"/>
      <c r="AA313" s="331"/>
      <c r="AB313" s="331"/>
      <c r="AC313" s="331"/>
      <c r="AD313" s="331"/>
      <c r="AE313" s="331"/>
      <c r="AF313" s="940"/>
      <c r="AG313" s="940"/>
      <c r="AH313" s="940"/>
      <c r="AI313" s="940"/>
      <c r="AJ313" s="345"/>
    </row>
    <row r="314" spans="1:36" s="112" customFormat="1" ht="39" customHeight="1" outlineLevel="1">
      <c r="A314" s="561">
        <v>286</v>
      </c>
      <c r="C314" s="113"/>
      <c r="D314" s="114"/>
      <c r="E314" s="211" t="s">
        <v>434</v>
      </c>
      <c r="F314" s="312"/>
      <c r="G314" s="312"/>
      <c r="H314" s="312"/>
      <c r="I314" s="312"/>
      <c r="J314" s="312"/>
      <c r="K314" s="312"/>
      <c r="L314" s="312"/>
      <c r="M314" s="312"/>
      <c r="N314" s="352"/>
      <c r="O314" s="299"/>
      <c r="P314" s="312"/>
      <c r="Q314" s="312"/>
      <c r="R314" s="312"/>
      <c r="S314" s="312"/>
      <c r="T314" s="312"/>
      <c r="U314" s="312"/>
      <c r="V314" s="312"/>
      <c r="W314" s="312"/>
      <c r="X314" s="312"/>
      <c r="Y314" s="312"/>
      <c r="Z314" s="312"/>
      <c r="AA314" s="312"/>
      <c r="AB314" s="312"/>
      <c r="AC314" s="312"/>
      <c r="AD314" s="312"/>
      <c r="AE314" s="312"/>
      <c r="AF314" s="940" t="s">
        <v>432</v>
      </c>
      <c r="AG314" s="940"/>
      <c r="AH314" s="940"/>
      <c r="AI314" s="940"/>
      <c r="AJ314" s="345"/>
    </row>
    <row r="315" spans="1:36" s="112" customFormat="1" ht="12.75" customHeight="1" outlineLevel="2">
      <c r="A315" s="561">
        <v>287</v>
      </c>
      <c r="C315" s="113"/>
      <c r="D315" s="114"/>
      <c r="E315" s="302" t="s">
        <v>25</v>
      </c>
      <c r="F315" s="323"/>
      <c r="G315" s="323"/>
      <c r="H315" s="323"/>
      <c r="I315" s="323"/>
      <c r="J315" s="323"/>
      <c r="K315" s="323"/>
      <c r="L315" s="402">
        <f>'D-Managementprämie_Bestand'!M6*L26</f>
        <v>6.7446899412775038E-3</v>
      </c>
      <c r="M315" s="402">
        <f>'D-Managementprämie_Bestand'!N6*M26</f>
        <v>5.338206538063172E-3</v>
      </c>
      <c r="N315" s="402">
        <f>'D-Managementprämie_Bestand'!O6*N26</f>
        <v>5.6600221307844525E-3</v>
      </c>
      <c r="O315" s="402">
        <f>'D-Managementprämie_Bestand'!P6</f>
        <v>0</v>
      </c>
      <c r="P315" s="402">
        <f>'D-Managementprämie_Bestand'!Q6</f>
        <v>0</v>
      </c>
      <c r="Q315" s="402">
        <f>'D-Managementprämie_Bestand'!R6</f>
        <v>0</v>
      </c>
      <c r="R315" s="402">
        <f>'D-Managementprämie_Bestand'!S6</f>
        <v>0</v>
      </c>
      <c r="S315" s="402">
        <f>'D-Managementprämie_Bestand'!T6</f>
        <v>5.9352295566502469E-3</v>
      </c>
      <c r="T315" s="402">
        <f>'D-Managementprämie_Bestand'!U6</f>
        <v>5.8475168045815252E-3</v>
      </c>
      <c r="U315" s="402">
        <f>'D-Managementprämie_Bestand'!V6</f>
        <v>5.7611003000803207E-3</v>
      </c>
      <c r="V315" s="402">
        <f>'D-Managementprämie_Bestand'!W6</f>
        <v>5.6759608867786426E-3</v>
      </c>
      <c r="W315" s="402">
        <f>'D-Managementprämie_Bestand'!X6</f>
        <v>5.59207969140753E-3</v>
      </c>
      <c r="X315" s="402">
        <f>'D-Managementprämie_Bestand'!Y6</f>
        <v>5.5094381196133316E-3</v>
      </c>
      <c r="Y315" s="402">
        <f>'D-Managementprämie_Bestand'!Z6</f>
        <v>5.4280178518357949E-3</v>
      </c>
      <c r="Z315" s="402">
        <f>'D-Managementprämie_Bestand'!AA6</f>
        <v>5.3478008392470891E-3</v>
      </c>
      <c r="AA315" s="402">
        <f>'D-Managementprämie_Bestand'!AB6</f>
        <v>5.2687692997508279E-3</v>
      </c>
      <c r="AB315" s="402">
        <f>'D-Managementprämie_Bestand'!AC6</f>
        <v>5.1909057140402245E-3</v>
      </c>
      <c r="AC315" s="402">
        <f>'D-Managementprämie_Bestand'!AD6</f>
        <v>5.1141928217145081E-3</v>
      </c>
      <c r="AD315" s="402">
        <f>'D-Managementprämie_Bestand'!AE6</f>
        <v>5.0386136174527174E-3</v>
      </c>
      <c r="AE315" s="402">
        <f>'D-Managementprämie_Bestand'!AF6</f>
        <v>4.9641513472440564E-3</v>
      </c>
      <c r="AF315" s="940" t="s">
        <v>432</v>
      </c>
      <c r="AG315" s="940"/>
      <c r="AH315" s="940"/>
      <c r="AI315" s="940"/>
      <c r="AJ315" s="345" t="s">
        <v>362</v>
      </c>
    </row>
    <row r="316" spans="1:36" s="112" customFormat="1" ht="12.75" customHeight="1" outlineLevel="2">
      <c r="A316" s="561">
        <v>288</v>
      </c>
      <c r="C316" s="113"/>
      <c r="D316" s="114"/>
      <c r="E316" s="304" t="s">
        <v>50</v>
      </c>
      <c r="F316" s="332"/>
      <c r="G316" s="332"/>
      <c r="H316" s="332"/>
      <c r="I316" s="332"/>
      <c r="J316" s="332"/>
      <c r="K316" s="332"/>
      <c r="L316" s="404">
        <f>'D-Managementprämie_Bestand'!M7*L27</f>
        <v>0</v>
      </c>
      <c r="M316" s="404">
        <f>'D-Managementprämie_Bestand'!N7*M27</f>
        <v>0</v>
      </c>
      <c r="N316" s="404">
        <f>'D-Managementprämie_Bestand'!O7*N27</f>
        <v>0</v>
      </c>
      <c r="O316" s="404">
        <f>'D-Managementprämie_Bestand'!P7</f>
        <v>0</v>
      </c>
      <c r="P316" s="404">
        <f>'D-Managementprämie_Bestand'!Q7</f>
        <v>0</v>
      </c>
      <c r="Q316" s="404">
        <f>'D-Managementprämie_Bestand'!R7</f>
        <v>0</v>
      </c>
      <c r="R316" s="404">
        <f>'D-Managementprämie_Bestand'!S7</f>
        <v>0</v>
      </c>
      <c r="S316" s="404">
        <f>'D-Managementprämie_Bestand'!T7</f>
        <v>1.7861162561576356E-3</v>
      </c>
      <c r="T316" s="404">
        <f>'D-Managementprämie_Bestand'!U7</f>
        <v>1.7597204494163902E-3</v>
      </c>
      <c r="U316" s="404">
        <f>'D-Managementprämie_Bestand'!V7</f>
        <v>1.7337147284890546E-3</v>
      </c>
      <c r="V316" s="404">
        <f>'D-Managementprämie_Bestand'!W7</f>
        <v>1.708093328560645E-3</v>
      </c>
      <c r="W316" s="404">
        <f>'D-Managementprämie_Bestand'!X7</f>
        <v>1.6828505700104879E-3</v>
      </c>
      <c r="X316" s="404">
        <f>'D-Managementprämie_Bestand'!Y7</f>
        <v>1.6579808571531905E-3</v>
      </c>
      <c r="Y316" s="404">
        <f>'D-Managementprämie_Bestand'!Z7</f>
        <v>1.6334786769982175E-3</v>
      </c>
      <c r="Z316" s="404">
        <f>'D-Managementprämie_Bestand'!AA7</f>
        <v>1.6093385980278005E-3</v>
      </c>
      <c r="AA316" s="404">
        <f>'D-Managementprämie_Bestand'!AB7</f>
        <v>1.5855552689929072E-3</v>
      </c>
      <c r="AB316" s="404">
        <f>'D-Managementprämie_Bestand'!AC7</f>
        <v>1.5621234177270024E-3</v>
      </c>
      <c r="AC316" s="404">
        <f>'D-Managementprämie_Bestand'!AD7</f>
        <v>1.5390378499773422E-3</v>
      </c>
      <c r="AD316" s="404">
        <f>'D-Managementprämie_Bestand'!AE7</f>
        <v>1.5162934482535393E-3</v>
      </c>
      <c r="AE316" s="404">
        <f>'D-Managementprämie_Bestand'!AF7</f>
        <v>1.4938851706931423E-3</v>
      </c>
      <c r="AF316" s="940" t="s">
        <v>432</v>
      </c>
      <c r="AG316" s="940"/>
      <c r="AH316" s="940"/>
      <c r="AI316" s="940"/>
      <c r="AJ316" s="345" t="s">
        <v>643</v>
      </c>
    </row>
    <row r="317" spans="1:36" s="112" customFormat="1" ht="12.75" customHeight="1" outlineLevel="2">
      <c r="A317" s="561">
        <v>289</v>
      </c>
      <c r="C317" s="113"/>
      <c r="D317" s="114"/>
      <c r="E317" s="304" t="s">
        <v>13</v>
      </c>
      <c r="F317" s="332"/>
      <c r="G317" s="332"/>
      <c r="H317" s="332"/>
      <c r="I317" s="332"/>
      <c r="J317" s="332"/>
      <c r="K317" s="332"/>
      <c r="L317" s="404">
        <f>'D-Managementprämie_Bestand'!M8*L28</f>
        <v>0</v>
      </c>
      <c r="M317" s="404">
        <f>'D-Managementprämie_Bestand'!N8*M28</f>
        <v>0</v>
      </c>
      <c r="N317" s="404">
        <f>'D-Managementprämie_Bestand'!O8*N28</f>
        <v>0</v>
      </c>
      <c r="O317" s="404">
        <f>'D-Managementprämie_Bestand'!P8</f>
        <v>0</v>
      </c>
      <c r="P317" s="404">
        <f>'D-Managementprämie_Bestand'!Q8</f>
        <v>0</v>
      </c>
      <c r="Q317" s="404">
        <f>'D-Managementprämie_Bestand'!R8</f>
        <v>0</v>
      </c>
      <c r="R317" s="404">
        <f>'D-Managementprämie_Bestand'!S8</f>
        <v>0</v>
      </c>
      <c r="S317" s="404">
        <f>'D-Managementprämie_Bestand'!T8</f>
        <v>6.1487196059113312E-2</v>
      </c>
      <c r="T317" s="404">
        <f>'D-Managementprämie_Bestand'!U8</f>
        <v>6.0578518284840711E-2</v>
      </c>
      <c r="U317" s="404">
        <f>'D-Managementprämie_Bestand'!V8</f>
        <v>5.9683269246148488E-2</v>
      </c>
      <c r="V317" s="404">
        <f>'D-Managementprämie_Bestand'!W8</f>
        <v>5.8801250488816258E-2</v>
      </c>
      <c r="W317" s="404">
        <f>'D-Managementprämie_Bestand'!X8</f>
        <v>5.7932266491444596E-2</v>
      </c>
      <c r="X317" s="404">
        <f>'D-Managementprämie_Bestand'!Y8</f>
        <v>5.7076124622112909E-2</v>
      </c>
      <c r="Y317" s="404">
        <f>'D-Managementprämie_Bestand'!Z8</f>
        <v>5.6232635095677753E-2</v>
      </c>
      <c r="Z317" s="404">
        <f>'D-Managementprämie_Bestand'!AA8</f>
        <v>5.5401610931702226E-2</v>
      </c>
      <c r="AA317" s="404">
        <f>'D-Managementprämie_Bestand'!AB8</f>
        <v>5.4582867913007128E-2</v>
      </c>
      <c r="AB317" s="404">
        <f>'D-Managementprämie_Bestand'!AC8</f>
        <v>5.3776224544834612E-2</v>
      </c>
      <c r="AC317" s="404">
        <f>'D-Managementprämie_Bestand'!AD8</f>
        <v>5.2981502014615385E-2</v>
      </c>
      <c r="AD317" s="404">
        <f>'D-Managementprämie_Bestand'!AE8</f>
        <v>5.2198524152330436E-2</v>
      </c>
      <c r="AE317" s="404">
        <f>'D-Managementprämie_Bestand'!AF8</f>
        <v>5.1427117391458561E-2</v>
      </c>
      <c r="AF317" s="940" t="s">
        <v>432</v>
      </c>
      <c r="AG317" s="940"/>
      <c r="AH317" s="940"/>
      <c r="AI317" s="940"/>
      <c r="AJ317" s="345"/>
    </row>
    <row r="318" spans="1:36" s="112" customFormat="1" ht="12.75" customHeight="1" outlineLevel="2">
      <c r="A318" s="561">
        <v>290</v>
      </c>
      <c r="C318" s="113"/>
      <c r="D318" s="114"/>
      <c r="E318" s="304" t="s">
        <v>12</v>
      </c>
      <c r="F318" s="332"/>
      <c r="G318" s="332"/>
      <c r="H318" s="332"/>
      <c r="I318" s="332"/>
      <c r="J318" s="332"/>
      <c r="K318" s="332"/>
      <c r="L318" s="404">
        <f>'D-Managementprämie_Bestand'!M9*L29</f>
        <v>1.9669000000000002E-4</v>
      </c>
      <c r="M318" s="404">
        <f>'D-Managementprämie_Bestand'!N9*M29</f>
        <v>2.1216200000000001E-4</v>
      </c>
      <c r="N318" s="404">
        <f>'D-Managementprämie_Bestand'!O9*N29</f>
        <v>3.4630000000000001E-4</v>
      </c>
      <c r="O318" s="404">
        <f>'D-Managementprämie_Bestand'!P9</f>
        <v>0</v>
      </c>
      <c r="P318" s="404">
        <f>'D-Managementprämie_Bestand'!Q9</f>
        <v>0</v>
      </c>
      <c r="Q318" s="404">
        <f>'D-Managementprämie_Bestand'!R9</f>
        <v>0</v>
      </c>
      <c r="R318" s="404">
        <f>'D-Managementprämie_Bestand'!S9</f>
        <v>0</v>
      </c>
      <c r="S318" s="404">
        <f>'D-Managementprämie_Bestand'!T9</f>
        <v>3.4118226600985226E-4</v>
      </c>
      <c r="T318" s="404">
        <f>'D-Managementprämie_Bestand'!U9</f>
        <v>3.3614016355650473E-4</v>
      </c>
      <c r="U318" s="404">
        <f>'D-Managementprämie_Bestand'!V9</f>
        <v>3.3117257493251703E-4</v>
      </c>
      <c r="V318" s="404">
        <f>'D-Managementprämie_Bestand'!W9</f>
        <v>3.2627839894829269E-4</v>
      </c>
      <c r="W318" s="404">
        <f>'D-Managementprämie_Bestand'!X9</f>
        <v>3.2145655068797316E-4</v>
      </c>
      <c r="X318" s="404">
        <f>'D-Managementprämie_Bestand'!Y9</f>
        <v>3.1670596126893909E-4</v>
      </c>
      <c r="Y318" s="404">
        <f>'D-Managementprämie_Bestand'!Z9</f>
        <v>3.1202557760486618E-4</v>
      </c>
      <c r="Z318" s="404">
        <f>'D-Managementprämie_Bestand'!AA9</f>
        <v>3.0741436217228196E-4</v>
      </c>
      <c r="AA318" s="404">
        <f>'D-Managementprämie_Bestand'!AB9</f>
        <v>3.0287129278057341E-4</v>
      </c>
      <c r="AB318" s="404">
        <f>'D-Managementprämie_Bestand'!AC9</f>
        <v>2.9839536234539253E-4</v>
      </c>
      <c r="AC318" s="404">
        <f>'D-Managementprämie_Bestand'!AD9</f>
        <v>2.939855786654114E-4</v>
      </c>
      <c r="AD318" s="404">
        <f>'D-Managementprämie_Bestand'!AE9</f>
        <v>2.8964096420237579E-4</v>
      </c>
      <c r="AE318" s="404">
        <f>'D-Managementprämie_Bestand'!AF9</f>
        <v>2.8536055586440964E-4</v>
      </c>
      <c r="AF318" s="940" t="s">
        <v>432</v>
      </c>
      <c r="AG318" s="940"/>
      <c r="AH318" s="940"/>
      <c r="AI318" s="940"/>
      <c r="AJ318" s="345"/>
    </row>
    <row r="319" spans="1:36" s="112" customFormat="1" ht="12.75" customHeight="1" outlineLevel="2">
      <c r="A319" s="561">
        <v>291</v>
      </c>
      <c r="C319" s="113"/>
      <c r="D319" s="114"/>
      <c r="E319" s="304" t="s">
        <v>24</v>
      </c>
      <c r="F319" s="332"/>
      <c r="G319" s="332"/>
      <c r="H319" s="332"/>
      <c r="I319" s="332"/>
      <c r="J319" s="332"/>
      <c r="K319" s="332"/>
      <c r="L319" s="404">
        <f>'D-Managementprämie_Bestand'!M10*L30</f>
        <v>0.27028342599999999</v>
      </c>
      <c r="M319" s="404">
        <f>'D-Managementprämie_Bestand'!N10*M30</f>
        <v>0.30297696900000004</v>
      </c>
      <c r="N319" s="404">
        <f>'D-Managementprämie_Bestand'!O10*N30</f>
        <v>0.350982717</v>
      </c>
      <c r="O319" s="404">
        <f>'D-Managementprämie_Bestand'!P10</f>
        <v>0</v>
      </c>
      <c r="P319" s="404">
        <f>'D-Managementprämie_Bestand'!Q10</f>
        <v>0</v>
      </c>
      <c r="Q319" s="404">
        <f>'D-Managementprämie_Bestand'!R10</f>
        <v>0</v>
      </c>
      <c r="R319" s="404">
        <f>'D-Managementprämie_Bestand'!S10</f>
        <v>0</v>
      </c>
      <c r="S319" s="404">
        <f>'D-Managementprämie_Bestand'!T10</f>
        <v>0.34579578029556651</v>
      </c>
      <c r="T319" s="404">
        <f>'D-Managementprämie_Bestand'!U10</f>
        <v>0.34068549782814445</v>
      </c>
      <c r="U319" s="404">
        <f>'D-Managementprämie_Bestand'!V10</f>
        <v>0.33565073677649704</v>
      </c>
      <c r="V319" s="404">
        <f>'D-Managementprämie_Bestand'!W10</f>
        <v>0.33069038106058823</v>
      </c>
      <c r="W319" s="404">
        <f>'D-Managementprämie_Bestand'!X10</f>
        <v>0.32580333109417564</v>
      </c>
      <c r="X319" s="404">
        <f>'D-Managementprämie_Bestand'!Y10</f>
        <v>0.32098850354105979</v>
      </c>
      <c r="Y319" s="404">
        <f>'D-Managementprämie_Bestand'!Z10</f>
        <v>0.31624483107493584</v>
      </c>
      <c r="Z319" s="404">
        <f>'D-Managementprämie_Bestand'!AA10</f>
        <v>0.31157126214279396</v>
      </c>
      <c r="AA319" s="404">
        <f>'D-Managementprämie_Bestand'!AB10</f>
        <v>0.30696676073181672</v>
      </c>
      <c r="AB319" s="404">
        <f>'D-Managementprämie_Bestand'!AC10</f>
        <v>0.30243030613972094</v>
      </c>
      <c r="AC319" s="404">
        <f>'D-Managementprämie_Bestand'!AD10</f>
        <v>0.29796089274849358</v>
      </c>
      <c r="AD319" s="404">
        <f>'D-Managementprämie_Bestand'!AE10</f>
        <v>0.29355752980147154</v>
      </c>
      <c r="AE319" s="404">
        <f>'D-Managementprämie_Bestand'!AF10</f>
        <v>0.28921924118371578</v>
      </c>
      <c r="AF319" s="940" t="s">
        <v>432</v>
      </c>
      <c r="AG319" s="940"/>
      <c r="AH319" s="940"/>
      <c r="AI319" s="940"/>
      <c r="AJ319" s="345"/>
    </row>
    <row r="320" spans="1:36" s="112" customFormat="1" ht="12.75" customHeight="1" outlineLevel="2">
      <c r="A320" s="561">
        <v>292</v>
      </c>
      <c r="C320" s="113"/>
      <c r="D320" s="114"/>
      <c r="E320" s="304" t="s">
        <v>26</v>
      </c>
      <c r="F320" s="332"/>
      <c r="G320" s="332"/>
      <c r="H320" s="332"/>
      <c r="I320" s="332"/>
      <c r="J320" s="332"/>
      <c r="K320" s="332"/>
      <c r="L320" s="404">
        <f>'D-Managementprämie_Bestand'!M11*L31</f>
        <v>6.1518174000000002E-2</v>
      </c>
      <c r="M320" s="404">
        <f>'D-Managementprämie_Bestand'!N11*M31</f>
        <v>8.013342200000001E-2</v>
      </c>
      <c r="N320" s="404">
        <f>'D-Managementprämie_Bestand'!O11*N31</f>
        <v>9.025762200000001E-2</v>
      </c>
      <c r="O320" s="404">
        <f>'D-Managementprämie_Bestand'!P11</f>
        <v>0</v>
      </c>
      <c r="P320" s="404">
        <f>'D-Managementprämie_Bestand'!Q11</f>
        <v>0</v>
      </c>
      <c r="Q320" s="404">
        <f>'D-Managementprämie_Bestand'!R11</f>
        <v>0</v>
      </c>
      <c r="R320" s="404">
        <f>'D-Managementprämie_Bestand'!S11</f>
        <v>0</v>
      </c>
      <c r="S320" s="404">
        <f>'D-Managementprämie_Bestand'!T11</f>
        <v>8.892376551724139E-2</v>
      </c>
      <c r="T320" s="404">
        <f>'D-Managementprämie_Bestand'!U11</f>
        <v>8.7609621199252627E-2</v>
      </c>
      <c r="U320" s="404">
        <f>'D-Managementprämie_Bestand'!V11</f>
        <v>8.631489773325382E-2</v>
      </c>
      <c r="V320" s="404">
        <f>'D-Managementprämie_Bestand'!W11</f>
        <v>8.5039308111580142E-2</v>
      </c>
      <c r="W320" s="404">
        <f>'D-Managementprämie_Bestand'!X11</f>
        <v>8.3782569568059254E-2</v>
      </c>
      <c r="X320" s="404">
        <f>'D-Managementprämie_Bestand'!Y11</f>
        <v>8.2544403515329337E-2</v>
      </c>
      <c r="Y320" s="404">
        <f>'D-Managementprämie_Bestand'!Z11</f>
        <v>8.1324535483083105E-2</v>
      </c>
      <c r="Z320" s="404">
        <f>'D-Managementprämie_Bestand'!AA11</f>
        <v>8.0122695057224733E-2</v>
      </c>
      <c r="AA320" s="404">
        <f>'D-Managementprämie_Bestand'!AB11</f>
        <v>7.8938615819925853E-2</v>
      </c>
      <c r="AB320" s="404">
        <f>'D-Managementprämie_Bestand'!AC11</f>
        <v>7.7772035290567351E-2</v>
      </c>
      <c r="AC320" s="404">
        <f>'D-Managementprämie_Bestand'!AD11</f>
        <v>7.6622694867554061E-2</v>
      </c>
      <c r="AD320" s="404">
        <f>'D-Managementprämie_Bestand'!AE11</f>
        <v>7.549033977098922E-2</v>
      </c>
      <c r="AE320" s="404">
        <f>'D-Managementprämie_Bestand'!AF11</f>
        <v>7.4374718986196284E-2</v>
      </c>
      <c r="AF320" s="940" t="s">
        <v>432</v>
      </c>
      <c r="AG320" s="940"/>
      <c r="AH320" s="940"/>
      <c r="AI320" s="940"/>
      <c r="AJ320" s="345"/>
    </row>
    <row r="321" spans="1:36" s="112" customFormat="1" ht="12.75" customHeight="1" outlineLevel="2">
      <c r="A321" s="561">
        <v>293</v>
      </c>
      <c r="B321" s="301"/>
      <c r="C321" s="10"/>
      <c r="D321" s="33"/>
      <c r="E321" s="305" t="s">
        <v>74</v>
      </c>
      <c r="F321" s="309"/>
      <c r="G321" s="309"/>
      <c r="H321" s="309"/>
      <c r="I321" s="309"/>
      <c r="J321" s="309"/>
      <c r="K321" s="309"/>
      <c r="L321" s="404">
        <f>'D-Managementprämie_Bestand'!M12*L32</f>
        <v>2.7842141000000001E-2</v>
      </c>
      <c r="M321" s="404">
        <f>'D-Managementprämie_Bestand'!N12*M32</f>
        <v>3.2017428000000001E-2</v>
      </c>
      <c r="N321" s="404">
        <f>'D-Managementprämie_Bestand'!O12*N32</f>
        <v>3.6180617000000005E-2</v>
      </c>
      <c r="O321" s="404">
        <f>'D-Managementprämie_Bestand'!P12</f>
        <v>0</v>
      </c>
      <c r="P321" s="404">
        <f>'D-Managementprämie_Bestand'!Q12</f>
        <v>0</v>
      </c>
      <c r="Q321" s="404">
        <f>'D-Managementprämie_Bestand'!R12</f>
        <v>0</v>
      </c>
      <c r="R321" s="404">
        <f>'D-Managementprämie_Bestand'!S12</f>
        <v>0</v>
      </c>
      <c r="S321" s="404">
        <f>'D-Managementprämie_Bestand'!T12</f>
        <v>3.5645928078817744E-2</v>
      </c>
      <c r="T321" s="404">
        <f>'D-Managementprämie_Bestand'!U12</f>
        <v>3.5119140964352459E-2</v>
      </c>
      <c r="U321" s="404">
        <f>'D-Managementprämie_Bestand'!V12</f>
        <v>3.4600138881135431E-2</v>
      </c>
      <c r="V321" s="404">
        <f>'D-Managementprämie_Bestand'!W12</f>
        <v>3.408880677944378E-2</v>
      </c>
      <c r="W321" s="404">
        <f>'D-Managementprämie_Bestand'!X12</f>
        <v>3.3585031309796835E-2</v>
      </c>
      <c r="X321" s="404">
        <f>'D-Managementprämie_Bestand'!Y12</f>
        <v>3.3088700797829398E-2</v>
      </c>
      <c r="Y321" s="404">
        <f>'D-Managementprämie_Bestand'!Z12</f>
        <v>3.2599705219536361E-2</v>
      </c>
      <c r="Z321" s="404">
        <f>'D-Managementprämie_Bestand'!AA12</f>
        <v>3.2117936176883119E-2</v>
      </c>
      <c r="AA321" s="404">
        <f>'D-Managementprämie_Bestand'!AB12</f>
        <v>3.1643286873776474E-2</v>
      </c>
      <c r="AB321" s="404">
        <f>'D-Managementprämie_Bestand'!AC12</f>
        <v>3.1175652092390618E-2</v>
      </c>
      <c r="AC321" s="404">
        <f>'D-Managementprämie_Bestand'!AD12</f>
        <v>3.0714928169842975E-2</v>
      </c>
      <c r="AD321" s="404">
        <f>'D-Managementprämie_Bestand'!AE12</f>
        <v>3.0261012975214756E-2</v>
      </c>
      <c r="AE321" s="404">
        <f>'D-Managementprämie_Bestand'!AF12</f>
        <v>2.9813805886911092E-2</v>
      </c>
      <c r="AF321" s="940" t="s">
        <v>432</v>
      </c>
      <c r="AG321" s="940"/>
      <c r="AH321" s="940"/>
      <c r="AI321" s="940"/>
      <c r="AJ321" s="345"/>
    </row>
    <row r="322" spans="1:36" s="112" customFormat="1" ht="12.75" customHeight="1" outlineLevel="2">
      <c r="A322" s="561">
        <v>294</v>
      </c>
      <c r="B322" s="301"/>
      <c r="C322" s="10"/>
      <c r="D322" s="33"/>
      <c r="E322" s="27" t="s">
        <v>55</v>
      </c>
      <c r="F322" s="325">
        <f t="shared" ref="F322:J322" si="69">SUM(F315:F321)</f>
        <v>0</v>
      </c>
      <c r="G322" s="325">
        <f t="shared" si="69"/>
        <v>0</v>
      </c>
      <c r="H322" s="325">
        <f t="shared" si="69"/>
        <v>0</v>
      </c>
      <c r="I322" s="325">
        <f t="shared" si="69"/>
        <v>0</v>
      </c>
      <c r="J322" s="325">
        <f t="shared" si="69"/>
        <v>0</v>
      </c>
      <c r="K322" s="325">
        <f t="shared" ref="K322:M322" si="70">SUM(K315:K321)</f>
        <v>0</v>
      </c>
      <c r="L322" s="325">
        <f>SUM(L315:L321)</f>
        <v>0.36658512094127749</v>
      </c>
      <c r="M322" s="325">
        <f t="shared" si="70"/>
        <v>0.42067818753806324</v>
      </c>
      <c r="N322" s="326">
        <f t="shared" ref="N322" si="71">SUM(N315:N321)</f>
        <v>0.48342727813078451</v>
      </c>
      <c r="O322" s="623">
        <f t="shared" ref="O322:P322" si="72">SUM(O315:O321)</f>
        <v>0</v>
      </c>
      <c r="P322" s="624">
        <f t="shared" si="72"/>
        <v>0</v>
      </c>
      <c r="Q322" s="624">
        <f t="shared" ref="Q322:AE322" si="73">SUM(Q315:Q321)</f>
        <v>0</v>
      </c>
      <c r="R322" s="624">
        <f t="shared" si="73"/>
        <v>0</v>
      </c>
      <c r="S322" s="624">
        <f t="shared" si="73"/>
        <v>0.53991519802955668</v>
      </c>
      <c r="T322" s="624">
        <f t="shared" si="73"/>
        <v>0.53193615569414465</v>
      </c>
      <c r="U322" s="624">
        <f t="shared" si="73"/>
        <v>0.5240750302405367</v>
      </c>
      <c r="V322" s="624">
        <f t="shared" si="73"/>
        <v>0.51633007905471606</v>
      </c>
      <c r="W322" s="624">
        <f t="shared" si="73"/>
        <v>0.50869958527558223</v>
      </c>
      <c r="X322" s="624">
        <f t="shared" si="73"/>
        <v>0.50118185741436694</v>
      </c>
      <c r="Y322" s="624">
        <f t="shared" si="73"/>
        <v>0.49377522897967191</v>
      </c>
      <c r="Z322" s="624">
        <f t="shared" si="73"/>
        <v>0.48647805810805123</v>
      </c>
      <c r="AA322" s="624">
        <f t="shared" si="73"/>
        <v>0.4792887272000505</v>
      </c>
      <c r="AB322" s="624">
        <f t="shared" si="73"/>
        <v>0.47220564256162612</v>
      </c>
      <c r="AC322" s="624">
        <f t="shared" si="73"/>
        <v>0.4652272340508633</v>
      </c>
      <c r="AD322" s="624">
        <f t="shared" si="73"/>
        <v>0.45835195472991463</v>
      </c>
      <c r="AE322" s="625">
        <f t="shared" si="73"/>
        <v>0.45157828052208332</v>
      </c>
      <c r="AF322" s="940"/>
      <c r="AG322" s="940"/>
      <c r="AH322" s="940"/>
      <c r="AI322" s="940"/>
      <c r="AJ322" s="345"/>
    </row>
    <row r="323" spans="1:36" s="112" customFormat="1" ht="12.75" customHeight="1" outlineLevel="1">
      <c r="A323" s="561">
        <v>295</v>
      </c>
      <c r="B323" s="301"/>
      <c r="C323" s="10"/>
      <c r="D323" s="33"/>
      <c r="E323" s="115"/>
      <c r="F323" s="312"/>
      <c r="G323" s="312"/>
      <c r="H323" s="312"/>
      <c r="I323" s="312"/>
      <c r="J323" s="312"/>
      <c r="K323" s="312"/>
      <c r="L323" s="312"/>
      <c r="M323" s="312"/>
      <c r="N323" s="352"/>
      <c r="O323" s="299"/>
      <c r="P323" s="312"/>
      <c r="Q323" s="567"/>
      <c r="R323" s="312"/>
      <c r="S323" s="312"/>
      <c r="T323" s="312"/>
      <c r="U323" s="312"/>
      <c r="V323" s="312"/>
      <c r="W323" s="312"/>
      <c r="X323" s="312"/>
      <c r="Y323" s="312"/>
      <c r="Z323" s="312"/>
      <c r="AA323" s="312"/>
      <c r="AB323" s="312"/>
      <c r="AC323" s="312"/>
      <c r="AD323" s="312"/>
      <c r="AE323" s="312"/>
      <c r="AF323" s="940"/>
      <c r="AG323" s="940"/>
      <c r="AH323" s="940"/>
      <c r="AI323" s="940"/>
      <c r="AJ323" s="345"/>
    </row>
    <row r="324" spans="1:36" s="301" customFormat="1" ht="76.5" customHeight="1" outlineLevel="1">
      <c r="A324" s="561">
        <v>296</v>
      </c>
      <c r="C324" s="10"/>
      <c r="D324" s="33"/>
      <c r="E324" s="115" t="s">
        <v>435</v>
      </c>
      <c r="F324" s="312"/>
      <c r="G324" s="312"/>
      <c r="H324" s="312"/>
      <c r="I324" s="312"/>
      <c r="J324" s="312"/>
      <c r="K324" s="526"/>
      <c r="L324" s="526"/>
      <c r="M324" s="526"/>
      <c r="N324" s="526"/>
      <c r="O324" s="299"/>
      <c r="P324" s="312"/>
      <c r="Q324" s="312"/>
      <c r="R324" s="312"/>
      <c r="S324" s="312"/>
      <c r="T324" s="312"/>
      <c r="U324" s="312"/>
      <c r="V324" s="312"/>
      <c r="W324" s="312"/>
      <c r="X324" s="312"/>
      <c r="Y324" s="312"/>
      <c r="Z324" s="312"/>
      <c r="AA324" s="312"/>
      <c r="AB324" s="312"/>
      <c r="AC324" s="312"/>
      <c r="AD324" s="312"/>
      <c r="AE324" s="312"/>
      <c r="AF324" s="940" t="s">
        <v>432</v>
      </c>
      <c r="AG324" s="940"/>
      <c r="AH324" s="940"/>
      <c r="AI324" s="940"/>
      <c r="AJ324" s="345" t="s">
        <v>644</v>
      </c>
    </row>
    <row r="325" spans="1:36" s="301" customFormat="1" ht="12.75" customHeight="1" outlineLevel="1">
      <c r="A325" s="561">
        <v>297</v>
      </c>
      <c r="C325" s="10"/>
      <c r="D325" s="33"/>
      <c r="E325" s="116" t="s">
        <v>25</v>
      </c>
      <c r="F325" s="314"/>
      <c r="G325" s="314"/>
      <c r="H325" s="314"/>
      <c r="I325" s="314"/>
      <c r="J325" s="314"/>
      <c r="K325" s="314"/>
      <c r="L325" s="314">
        <f t="shared" ref="L325:AE325" si="74">(L238-L248-L258)*L$181*L29/1000</f>
        <v>0.19525664964</v>
      </c>
      <c r="M325" s="314">
        <f t="shared" si="74"/>
        <v>0.16801185474999999</v>
      </c>
      <c r="N325" s="117">
        <f t="shared" si="74"/>
        <v>0.19086470711999998</v>
      </c>
      <c r="O325" s="313">
        <f t="shared" si="74"/>
        <v>0.30149508636</v>
      </c>
      <c r="P325" s="314">
        <f t="shared" si="74"/>
        <v>0.30839162758000005</v>
      </c>
      <c r="Q325" s="1282">
        <f t="shared" si="74"/>
        <v>0.25985727893999999</v>
      </c>
      <c r="R325" s="314">
        <f t="shared" si="74"/>
        <v>0.48407546880000002</v>
      </c>
      <c r="S325" s="314">
        <f t="shared" si="74"/>
        <v>0.69300741612508332</v>
      </c>
      <c r="T325" s="314">
        <f t="shared" si="74"/>
        <v>0.5773186993489613</v>
      </c>
      <c r="U325" s="314">
        <f t="shared" si="74"/>
        <v>0.57288580288514579</v>
      </c>
      <c r="V325" s="314">
        <f t="shared" si="74"/>
        <v>0.56797557034811452</v>
      </c>
      <c r="W325" s="314">
        <f t="shared" si="74"/>
        <v>0.56872455087974894</v>
      </c>
      <c r="X325" s="314">
        <f t="shared" si="74"/>
        <v>0.56563202105015364</v>
      </c>
      <c r="Y325" s="314">
        <f t="shared" si="74"/>
        <v>0.56296808510241769</v>
      </c>
      <c r="Z325" s="314">
        <f t="shared" si="74"/>
        <v>0.52599319220834706</v>
      </c>
      <c r="AA325" s="314">
        <f t="shared" si="74"/>
        <v>0.49392946338006283</v>
      </c>
      <c r="AB325" s="314">
        <f t="shared" si="74"/>
        <v>0.4693600083514336</v>
      </c>
      <c r="AC325" s="314">
        <f t="shared" si="74"/>
        <v>0.45421874108433846</v>
      </c>
      <c r="AD325" s="314">
        <f t="shared" si="74"/>
        <v>0.41202463615005303</v>
      </c>
      <c r="AE325" s="117">
        <f t="shared" si="74"/>
        <v>0.40646762211848708</v>
      </c>
      <c r="AF325" s="940" t="s">
        <v>669</v>
      </c>
      <c r="AG325" s="940"/>
      <c r="AH325" s="940"/>
      <c r="AI325" s="940"/>
      <c r="AJ325" s="345" t="s">
        <v>670</v>
      </c>
    </row>
    <row r="326" spans="1:36" s="301" customFormat="1" ht="12.75" customHeight="1" outlineLevel="1">
      <c r="A326" s="561">
        <v>298</v>
      </c>
      <c r="C326" s="10"/>
      <c r="D326" s="33"/>
      <c r="E326" s="118" t="s">
        <v>50</v>
      </c>
      <c r="F326" s="316"/>
      <c r="G326" s="316"/>
      <c r="H326" s="316"/>
      <c r="I326" s="316"/>
      <c r="J326" s="316"/>
      <c r="K326" s="316"/>
      <c r="L326" s="316">
        <f t="shared" ref="L326:AE326" si="75">(L239-L249-L259)*L$181*L30/1000</f>
        <v>5.0254388760000004E-2</v>
      </c>
      <c r="M326" s="316">
        <f t="shared" si="75"/>
        <v>3.7130952750000001E-2</v>
      </c>
      <c r="N326" s="119">
        <f t="shared" si="75"/>
        <v>5.4056943899999994E-2</v>
      </c>
      <c r="O326" s="315">
        <f t="shared" si="75"/>
        <v>7.9039575680000002E-2</v>
      </c>
      <c r="P326" s="316">
        <f t="shared" si="75"/>
        <v>7.1036475560000006E-2</v>
      </c>
      <c r="Q326" s="1283">
        <f t="shared" si="75"/>
        <v>5.0956817940000003E-2</v>
      </c>
      <c r="R326" s="316">
        <f t="shared" si="75"/>
        <v>0.109829776</v>
      </c>
      <c r="S326" s="316">
        <f t="shared" si="75"/>
        <v>8.3030970052062281E-2</v>
      </c>
      <c r="T326" s="316">
        <f t="shared" si="75"/>
        <v>4.7362832442148173E-2</v>
      </c>
      <c r="U326" s="316">
        <f t="shared" si="75"/>
        <v>2.7012283058923912E-2</v>
      </c>
      <c r="V326" s="316">
        <f t="shared" si="75"/>
        <v>2.5091038487659048E-2</v>
      </c>
      <c r="W326" s="316">
        <f t="shared" si="75"/>
        <v>2.5128232596015342E-2</v>
      </c>
      <c r="X326" s="316">
        <f t="shared" si="75"/>
        <v>2.7738917728009151E-2</v>
      </c>
      <c r="Y326" s="316">
        <f t="shared" si="75"/>
        <v>3.0355501702939793E-2</v>
      </c>
      <c r="Z326" s="316">
        <f t="shared" si="75"/>
        <v>3.0646071374600556E-2</v>
      </c>
      <c r="AA326" s="316">
        <f t="shared" si="75"/>
        <v>3.3073535421286812E-2</v>
      </c>
      <c r="AB326" s="316">
        <f t="shared" si="75"/>
        <v>3.3482499870407856E-2</v>
      </c>
      <c r="AC326" s="316">
        <f t="shared" si="75"/>
        <v>3.5904344352896515E-2</v>
      </c>
      <c r="AD326" s="316">
        <f t="shared" si="75"/>
        <v>3.815984342414238E-2</v>
      </c>
      <c r="AE326" s="119">
        <f t="shared" si="75"/>
        <v>4.0098941709009697E-2</v>
      </c>
      <c r="AF326" s="940" t="s">
        <v>669</v>
      </c>
      <c r="AG326" s="940"/>
      <c r="AH326" s="940"/>
      <c r="AI326" s="940"/>
      <c r="AJ326" s="345" t="s">
        <v>670</v>
      </c>
    </row>
    <row r="327" spans="1:36" s="301" customFormat="1" ht="12.75" customHeight="1" outlineLevel="1">
      <c r="A327" s="561">
        <v>299</v>
      </c>
      <c r="C327" s="10"/>
      <c r="D327" s="33"/>
      <c r="E327" s="118" t="s">
        <v>13</v>
      </c>
      <c r="F327" s="316"/>
      <c r="G327" s="316"/>
      <c r="H327" s="316"/>
      <c r="I327" s="316"/>
      <c r="J327" s="316"/>
      <c r="K327" s="316"/>
      <c r="L327" s="316">
        <f t="shared" ref="L327:AE327" si="76">(L240-L250-L260)*L$181*L31/1000</f>
        <v>1.2578662947000001</v>
      </c>
      <c r="M327" s="316">
        <f t="shared" si="76"/>
        <v>1.09060801275</v>
      </c>
      <c r="N327" s="119">
        <f t="shared" si="76"/>
        <v>1.3388856355799998</v>
      </c>
      <c r="O327" s="315">
        <f t="shared" si="76"/>
        <v>1.9137529735999999</v>
      </c>
      <c r="P327" s="316">
        <f t="shared" si="76"/>
        <v>2.0597816845999999</v>
      </c>
      <c r="Q327" s="1283">
        <f t="shared" si="76"/>
        <v>1.63802071356</v>
      </c>
      <c r="R327" s="316">
        <f t="shared" si="76"/>
        <v>2.9622412960000002</v>
      </c>
      <c r="S327" s="316">
        <f t="shared" si="76"/>
        <v>3.9712103100787917</v>
      </c>
      <c r="T327" s="316">
        <f t="shared" si="76"/>
        <v>3.3063176373379481</v>
      </c>
      <c r="U327" s="316">
        <f t="shared" si="76"/>
        <v>3.1368176269697403</v>
      </c>
      <c r="V327" s="316">
        <f t="shared" si="76"/>
        <v>2.9145172553217931</v>
      </c>
      <c r="W327" s="316">
        <f t="shared" si="76"/>
        <v>2.6436877420737006</v>
      </c>
      <c r="X327" s="316">
        <f t="shared" si="76"/>
        <v>2.4216701197327999</v>
      </c>
      <c r="Y327" s="316">
        <f t="shared" si="76"/>
        <v>2.3151228393239403</v>
      </c>
      <c r="Z327" s="316">
        <f t="shared" si="76"/>
        <v>2.1832537241264398</v>
      </c>
      <c r="AA327" s="316">
        <f t="shared" si="76"/>
        <v>1.9813091726300005</v>
      </c>
      <c r="AB327" s="316">
        <f t="shared" si="76"/>
        <v>1.6133126921090217</v>
      </c>
      <c r="AC327" s="316">
        <f t="shared" si="76"/>
        <v>1.5230034824870675</v>
      </c>
      <c r="AD327" s="316">
        <f t="shared" si="76"/>
        <v>1.4629757204093352</v>
      </c>
      <c r="AE327" s="119">
        <f t="shared" si="76"/>
        <v>1.4208309466000002</v>
      </c>
      <c r="AF327" s="940" t="s">
        <v>669</v>
      </c>
      <c r="AG327" s="940"/>
      <c r="AH327" s="940"/>
      <c r="AI327" s="940"/>
      <c r="AJ327" s="345" t="s">
        <v>670</v>
      </c>
    </row>
    <row r="328" spans="1:36" s="301" customFormat="1" ht="12.75" customHeight="1" outlineLevel="1">
      <c r="A328" s="561">
        <v>300</v>
      </c>
      <c r="C328" s="10"/>
      <c r="D328" s="33"/>
      <c r="E328" s="118" t="s">
        <v>12</v>
      </c>
      <c r="F328" s="316"/>
      <c r="G328" s="316"/>
      <c r="H328" s="316"/>
      <c r="I328" s="316"/>
      <c r="J328" s="316"/>
      <c r="K328" s="316"/>
      <c r="L328" s="316">
        <f t="shared" ref="L328:AE328" si="77">(L241-L251-L261)*L$181*L32/1000</f>
        <v>5.6379285599999999E-3</v>
      </c>
      <c r="M328" s="316">
        <f t="shared" si="77"/>
        <v>5.0697669999999993E-3</v>
      </c>
      <c r="N328" s="119">
        <f t="shared" si="77"/>
        <v>8.2895616000000002E-3</v>
      </c>
      <c r="O328" s="315">
        <f t="shared" si="77"/>
        <v>1.3253944079999998E-2</v>
      </c>
      <c r="P328" s="316">
        <f t="shared" si="77"/>
        <v>1.0594728859999999E-2</v>
      </c>
      <c r="Q328" s="1283">
        <f t="shared" si="77"/>
        <v>1.0906668360000002E-2</v>
      </c>
      <c r="R328" s="316">
        <f t="shared" si="77"/>
        <v>2.7244783999999998E-2</v>
      </c>
      <c r="S328" s="316">
        <f t="shared" si="77"/>
        <v>4.6701358174630815E-2</v>
      </c>
      <c r="T328" s="316">
        <f t="shared" si="77"/>
        <v>5.0535991209976844E-2</v>
      </c>
      <c r="U328" s="316">
        <f t="shared" si="77"/>
        <v>6.2705406958587367E-2</v>
      </c>
      <c r="V328" s="316">
        <f t="shared" si="77"/>
        <v>7.5609291715187724E-2</v>
      </c>
      <c r="W328" s="316">
        <f t="shared" si="77"/>
        <v>8.4087936758332718E-2</v>
      </c>
      <c r="X328" s="316">
        <f t="shared" si="77"/>
        <v>8.6358154876581938E-2</v>
      </c>
      <c r="Y328" s="316">
        <f t="shared" si="77"/>
        <v>8.8638454585243415E-2</v>
      </c>
      <c r="Z328" s="316">
        <f t="shared" si="77"/>
        <v>9.0650676030572336E-2</v>
      </c>
      <c r="AA328" s="316">
        <f t="shared" si="77"/>
        <v>9.3198192673609154E-2</v>
      </c>
      <c r="AB328" s="316">
        <f t="shared" si="77"/>
        <v>9.516827951411326E-2</v>
      </c>
      <c r="AC328" s="316">
        <f t="shared" si="77"/>
        <v>9.3064903032444884E-2</v>
      </c>
      <c r="AD328" s="316">
        <f t="shared" si="77"/>
        <v>9.0762385965103526E-2</v>
      </c>
      <c r="AE328" s="119">
        <f t="shared" si="77"/>
        <v>9.1529814999999987E-2</v>
      </c>
      <c r="AF328" s="940" t="s">
        <v>669</v>
      </c>
      <c r="AG328" s="940"/>
      <c r="AH328" s="940"/>
      <c r="AI328" s="940"/>
      <c r="AJ328" s="345" t="s">
        <v>670</v>
      </c>
    </row>
    <row r="329" spans="1:36" s="301" customFormat="1" ht="12.75" customHeight="1" outlineLevel="1">
      <c r="A329" s="561">
        <v>301</v>
      </c>
      <c r="C329" s="10"/>
      <c r="D329" s="33"/>
      <c r="E329" s="118" t="s">
        <v>24</v>
      </c>
      <c r="F329" s="316"/>
      <c r="G329" s="316"/>
      <c r="H329" s="316"/>
      <c r="I329" s="316"/>
      <c r="J329" s="316"/>
      <c r="K329" s="316"/>
      <c r="L329" s="316">
        <f t="shared" ref="L329:AE329" si="78">(L242-L252-L262)*L$181*L33/1000</f>
        <v>2.0892627151967997</v>
      </c>
      <c r="M329" s="316">
        <f t="shared" si="78"/>
        <v>1.9149699402832501</v>
      </c>
      <c r="N329" s="119">
        <f t="shared" si="78"/>
        <v>2.4707201656514393</v>
      </c>
      <c r="O329" s="315">
        <f t="shared" si="78"/>
        <v>3.5847821323641602</v>
      </c>
      <c r="P329" s="316">
        <f t="shared" si="78"/>
        <v>4.493032530941119</v>
      </c>
      <c r="Q329" s="1283">
        <f t="shared" si="78"/>
        <v>3.5822847889613398</v>
      </c>
      <c r="R329" s="316">
        <f t="shared" si="78"/>
        <v>7.4399890801205997</v>
      </c>
      <c r="S329" s="316">
        <f t="shared" si="78"/>
        <v>7.8544308134469443</v>
      </c>
      <c r="T329" s="316">
        <f t="shared" si="78"/>
        <v>6.5759586655901616</v>
      </c>
      <c r="U329" s="316">
        <f t="shared" si="78"/>
        <v>6.2270572132952839</v>
      </c>
      <c r="V329" s="316">
        <f t="shared" si="78"/>
        <v>6.4230705925351232</v>
      </c>
      <c r="W329" s="316">
        <f t="shared" si="78"/>
        <v>6.3526003570882086</v>
      </c>
      <c r="X329" s="316">
        <f t="shared" si="78"/>
        <v>6.2883630148964071</v>
      </c>
      <c r="Y329" s="316">
        <f t="shared" si="78"/>
        <v>6.3028453104810778</v>
      </c>
      <c r="Z329" s="316">
        <f t="shared" si="78"/>
        <v>6.1709053325628993</v>
      </c>
      <c r="AA329" s="316">
        <f t="shared" si="78"/>
        <v>6.1345955256946256</v>
      </c>
      <c r="AB329" s="316">
        <f t="shared" si="78"/>
        <v>6.018217679280184</v>
      </c>
      <c r="AC329" s="316">
        <f t="shared" si="78"/>
        <v>5.853771868703797</v>
      </c>
      <c r="AD329" s="316">
        <f t="shared" si="78"/>
        <v>5.6420928074038175</v>
      </c>
      <c r="AE329" s="119">
        <f t="shared" si="78"/>
        <v>5.0260056969053961</v>
      </c>
      <c r="AF329" s="940" t="s">
        <v>669</v>
      </c>
      <c r="AG329" s="940"/>
      <c r="AH329" s="940"/>
      <c r="AI329" s="940"/>
      <c r="AJ329" s="345" t="s">
        <v>670</v>
      </c>
    </row>
    <row r="330" spans="1:36" s="301" customFormat="1" ht="12.75" customHeight="1" outlineLevel="1">
      <c r="A330" s="561">
        <v>302</v>
      </c>
      <c r="C330" s="10"/>
      <c r="D330" s="33"/>
      <c r="E330" s="118" t="s">
        <v>26</v>
      </c>
      <c r="F330" s="316"/>
      <c r="G330" s="316"/>
      <c r="H330" s="316"/>
      <c r="I330" s="316"/>
      <c r="J330" s="316"/>
      <c r="K330" s="316"/>
      <c r="L330" s="316">
        <f t="shared" ref="L330:AE330" si="79">(L243-L253-L263)*L$181*L34/1000</f>
        <v>0.47114925453119999</v>
      </c>
      <c r="M330" s="316">
        <f t="shared" si="79"/>
        <v>0.49355675879624999</v>
      </c>
      <c r="N330" s="119">
        <f t="shared" si="79"/>
        <v>0.6586847961559199</v>
      </c>
      <c r="O330" s="315">
        <f t="shared" si="79"/>
        <v>1.11829163907604</v>
      </c>
      <c r="P330" s="316">
        <f t="shared" si="79"/>
        <v>1.36201836855248</v>
      </c>
      <c r="Q330" s="1283">
        <f t="shared" si="79"/>
        <v>1.0722514890528001</v>
      </c>
      <c r="R330" s="316">
        <f t="shared" si="79"/>
        <v>2.2323642881571928</v>
      </c>
      <c r="S330" s="316">
        <f t="shared" si="79"/>
        <v>2.515394327628163</v>
      </c>
      <c r="T330" s="316">
        <f t="shared" si="79"/>
        <v>2.3471583358207697</v>
      </c>
      <c r="U330" s="316">
        <f t="shared" si="79"/>
        <v>2.4915373928982438</v>
      </c>
      <c r="V330" s="316">
        <f t="shared" si="79"/>
        <v>2.7270708338133312</v>
      </c>
      <c r="W330" s="316">
        <f t="shared" si="79"/>
        <v>2.9190867784762728</v>
      </c>
      <c r="X330" s="316">
        <f t="shared" si="79"/>
        <v>3.0805737065969958</v>
      </c>
      <c r="Y330" s="316">
        <f t="shared" si="79"/>
        <v>3.2316839462847433</v>
      </c>
      <c r="Z330" s="316">
        <f t="shared" si="79"/>
        <v>3.3797102552505449</v>
      </c>
      <c r="AA330" s="316">
        <f t="shared" si="79"/>
        <v>3.5107081377971445</v>
      </c>
      <c r="AB330" s="316">
        <f t="shared" si="79"/>
        <v>3.5980497620170859</v>
      </c>
      <c r="AC330" s="316">
        <f t="shared" si="79"/>
        <v>3.6779669089691862</v>
      </c>
      <c r="AD330" s="316">
        <f t="shared" si="79"/>
        <v>3.7183927728630932</v>
      </c>
      <c r="AE330" s="119">
        <f t="shared" si="79"/>
        <v>3.6028192192909083</v>
      </c>
      <c r="AF330" s="940" t="s">
        <v>669</v>
      </c>
      <c r="AG330" s="940"/>
      <c r="AH330" s="940"/>
      <c r="AI330" s="940"/>
      <c r="AJ330" s="345" t="s">
        <v>670</v>
      </c>
    </row>
    <row r="331" spans="1:36" s="301" customFormat="1" ht="12.75" customHeight="1" outlineLevel="1">
      <c r="A331" s="561">
        <v>303</v>
      </c>
      <c r="D331" s="33"/>
      <c r="E331" s="120" t="s">
        <v>74</v>
      </c>
      <c r="F331" s="318"/>
      <c r="G331" s="318"/>
      <c r="H331" s="318"/>
      <c r="I331" s="318"/>
      <c r="J331" s="318"/>
      <c r="K331" s="318"/>
      <c r="L331" s="318">
        <f t="shared" ref="L331:AE331" si="80">(L244-L254-L264)*L$181*L35/1000</f>
        <v>1.04344538533368</v>
      </c>
      <c r="M331" s="318">
        <f t="shared" si="80"/>
        <v>0.91949544143563988</v>
      </c>
      <c r="N331" s="121">
        <f t="shared" si="80"/>
        <v>1.1228679273851152</v>
      </c>
      <c r="O331" s="317">
        <f t="shared" si="80"/>
        <v>1.7887471982318153</v>
      </c>
      <c r="P331" s="318">
        <f t="shared" si="80"/>
        <v>1.9134887460380088</v>
      </c>
      <c r="Q331" s="1284">
        <f t="shared" si="80"/>
        <v>1.6769904503332611</v>
      </c>
      <c r="R331" s="318">
        <f t="shared" si="80"/>
        <v>3.7066668718189906</v>
      </c>
      <c r="S331" s="318">
        <f t="shared" si="80"/>
        <v>4.752145200943974</v>
      </c>
      <c r="T331" s="318">
        <f t="shared" si="80"/>
        <v>4.2185712382898473</v>
      </c>
      <c r="U331" s="318">
        <f t="shared" si="80"/>
        <v>4.3063627879004009</v>
      </c>
      <c r="V331" s="318">
        <f t="shared" si="80"/>
        <v>4.3830914566384456</v>
      </c>
      <c r="W331" s="318">
        <f t="shared" si="80"/>
        <v>4.4329965493988688</v>
      </c>
      <c r="X331" s="318">
        <f t="shared" si="80"/>
        <v>4.3197446980947287</v>
      </c>
      <c r="Y331" s="318">
        <f t="shared" si="80"/>
        <v>4.1802235657591584</v>
      </c>
      <c r="Z331" s="318">
        <f t="shared" si="80"/>
        <v>3.9565686811500074</v>
      </c>
      <c r="AA331" s="318">
        <f t="shared" si="80"/>
        <v>3.6002938750269582</v>
      </c>
      <c r="AB331" s="318">
        <f t="shared" si="80"/>
        <v>3.2278132301381031</v>
      </c>
      <c r="AC331" s="318">
        <f t="shared" si="80"/>
        <v>2.914455055160226</v>
      </c>
      <c r="AD331" s="318">
        <f t="shared" si="80"/>
        <v>2.7552620267458106</v>
      </c>
      <c r="AE331" s="121">
        <f t="shared" si="80"/>
        <v>2.8067411578326298</v>
      </c>
      <c r="AF331" s="940" t="s">
        <v>669</v>
      </c>
      <c r="AG331" s="940"/>
      <c r="AH331" s="1048"/>
      <c r="AI331" s="1048"/>
      <c r="AJ331" s="345" t="s">
        <v>670</v>
      </c>
    </row>
    <row r="332" spans="1:36" s="301" customFormat="1" ht="12.75" customHeight="1" outlineLevel="1">
      <c r="A332" s="561">
        <v>304</v>
      </c>
      <c r="D332" s="33"/>
      <c r="E332" s="122" t="s">
        <v>55</v>
      </c>
      <c r="F332" s="319"/>
      <c r="G332" s="319"/>
      <c r="H332" s="319"/>
      <c r="I332" s="319"/>
      <c r="J332" s="319"/>
      <c r="K332" s="319"/>
      <c r="L332" s="319">
        <f t="shared" ref="L332:N332" si="81">SUM(L325:L331)</f>
        <v>5.1128726167216794</v>
      </c>
      <c r="M332" s="319">
        <f t="shared" si="81"/>
        <v>4.6288427277651403</v>
      </c>
      <c r="N332" s="123">
        <f t="shared" si="81"/>
        <v>5.8443697373924746</v>
      </c>
      <c r="O332" s="297">
        <f t="shared" ref="O332:P332" si="82">SUM(O325:O331)</f>
        <v>8.7993625493920149</v>
      </c>
      <c r="P332" s="319">
        <f t="shared" si="82"/>
        <v>10.218344162131608</v>
      </c>
      <c r="Q332" s="319">
        <f t="shared" ref="Q332:AE332" si="83">SUM(Q325:Q331)</f>
        <v>8.2912682071474002</v>
      </c>
      <c r="R332" s="319">
        <f t="shared" si="83"/>
        <v>16.962411564896783</v>
      </c>
      <c r="S332" s="319">
        <f t="shared" si="83"/>
        <v>19.91592039644965</v>
      </c>
      <c r="T332" s="319">
        <f t="shared" si="83"/>
        <v>17.123223400039812</v>
      </c>
      <c r="U332" s="319">
        <f t="shared" si="83"/>
        <v>16.824378513966327</v>
      </c>
      <c r="V332" s="319">
        <f t="shared" si="83"/>
        <v>17.116426038859654</v>
      </c>
      <c r="W332" s="319">
        <f t="shared" si="83"/>
        <v>17.026312147271149</v>
      </c>
      <c r="X332" s="319">
        <f t="shared" si="83"/>
        <v>16.790080632975677</v>
      </c>
      <c r="Y332" s="319">
        <f t="shared" si="83"/>
        <v>16.711837703239521</v>
      </c>
      <c r="Z332" s="319">
        <f t="shared" si="83"/>
        <v>16.337727932703412</v>
      </c>
      <c r="AA332" s="319">
        <f t="shared" si="83"/>
        <v>15.847107902623689</v>
      </c>
      <c r="AB332" s="319">
        <f t="shared" si="83"/>
        <v>15.055404151280349</v>
      </c>
      <c r="AC332" s="319">
        <f t="shared" si="83"/>
        <v>14.552385303789958</v>
      </c>
      <c r="AD332" s="319">
        <f t="shared" si="83"/>
        <v>14.119670192961355</v>
      </c>
      <c r="AE332" s="123">
        <f t="shared" si="83"/>
        <v>13.394493399456429</v>
      </c>
      <c r="AF332" s="940"/>
      <c r="AG332" s="940"/>
      <c r="AH332" s="940"/>
      <c r="AI332" s="940"/>
      <c r="AJ332" s="345"/>
    </row>
    <row r="333" spans="1:36" s="301" customFormat="1" ht="12.75" customHeight="1" outlineLevel="1">
      <c r="A333" s="561">
        <v>305</v>
      </c>
      <c r="C333" s="10"/>
      <c r="D333" s="33"/>
      <c r="E333" s="112"/>
      <c r="F333" s="312"/>
      <c r="G333" s="312"/>
      <c r="H333" s="312"/>
      <c r="I333" s="312"/>
      <c r="J333" s="312"/>
      <c r="K333" s="312"/>
      <c r="L333" s="312"/>
      <c r="M333" s="312"/>
      <c r="N333" s="352"/>
      <c r="O333" s="299"/>
      <c r="P333" s="312"/>
      <c r="Q333" s="312"/>
      <c r="R333" s="312"/>
      <c r="S333" s="312"/>
      <c r="T333" s="312"/>
      <c r="U333" s="312"/>
      <c r="V333" s="312"/>
      <c r="W333" s="312"/>
      <c r="X333" s="312"/>
      <c r="Y333" s="312"/>
      <c r="Z333" s="312"/>
      <c r="AA333" s="312"/>
      <c r="AB333" s="312"/>
      <c r="AC333" s="312"/>
      <c r="AD333" s="312"/>
      <c r="AE333" s="312"/>
      <c r="AF333" s="940"/>
      <c r="AG333" s="940"/>
      <c r="AH333" s="940"/>
      <c r="AI333" s="940"/>
      <c r="AJ333" s="345"/>
    </row>
    <row r="334" spans="1:36" s="301" customFormat="1" ht="51" outlineLevel="1">
      <c r="A334" s="561">
        <v>306</v>
      </c>
      <c r="C334" s="10"/>
      <c r="D334" s="33"/>
      <c r="E334" s="115" t="s">
        <v>415</v>
      </c>
      <c r="F334" s="312"/>
      <c r="G334" s="312"/>
      <c r="H334" s="312"/>
      <c r="I334" s="312"/>
      <c r="J334" s="312"/>
      <c r="K334" s="526"/>
      <c r="L334" s="526"/>
      <c r="M334" s="526"/>
      <c r="N334" s="526"/>
      <c r="O334" s="299"/>
      <c r="P334" s="312"/>
      <c r="Q334" s="312"/>
      <c r="R334" s="312"/>
      <c r="S334" s="312"/>
      <c r="T334" s="312"/>
      <c r="U334" s="312"/>
      <c r="V334" s="312"/>
      <c r="W334" s="312"/>
      <c r="X334" s="312"/>
      <c r="Y334" s="312"/>
      <c r="Z334" s="312"/>
      <c r="AA334" s="312"/>
      <c r="AB334" s="312"/>
      <c r="AC334" s="312"/>
      <c r="AD334" s="312"/>
      <c r="AE334" s="312"/>
      <c r="AF334" s="940"/>
      <c r="AG334" s="940"/>
      <c r="AH334" s="940"/>
      <c r="AI334" s="940"/>
      <c r="AJ334" s="345" t="s">
        <v>793</v>
      </c>
    </row>
    <row r="335" spans="1:36" s="301" customFormat="1" ht="12.75" customHeight="1" outlineLevel="1">
      <c r="A335" s="561">
        <v>307</v>
      </c>
      <c r="C335" s="10"/>
      <c r="D335" s="33"/>
      <c r="E335" s="116" t="s">
        <v>25</v>
      </c>
      <c r="F335" s="314">
        <f t="shared" ref="F335:AE335" si="84">(F111*F29+F121*F38)*F$181/1000</f>
        <v>0.29207321312000001</v>
      </c>
      <c r="G335" s="314">
        <f t="shared" si="84"/>
        <v>0.10501383200846999</v>
      </c>
      <c r="H335" s="314">
        <f t="shared" si="84"/>
        <v>0.26600449367425993</v>
      </c>
      <c r="I335" s="314">
        <f t="shared" si="84"/>
        <v>0.2920044195007499</v>
      </c>
      <c r="J335" s="314">
        <f t="shared" si="84"/>
        <v>0.2261362852952</v>
      </c>
      <c r="K335" s="314">
        <f t="shared" si="84"/>
        <v>0.21487972800999999</v>
      </c>
      <c r="L335" s="314">
        <f t="shared" si="84"/>
        <v>0.19205411863999999</v>
      </c>
      <c r="M335" s="314">
        <f t="shared" si="84"/>
        <v>0.16630889274999999</v>
      </c>
      <c r="N335" s="314">
        <f t="shared" si="84"/>
        <v>0.17315490799999997</v>
      </c>
      <c r="O335" s="314">
        <f t="shared" si="84"/>
        <v>0.25396844524000001</v>
      </c>
      <c r="P335" s="314">
        <f t="shared" si="84"/>
        <v>0.2561051131</v>
      </c>
      <c r="Q335" s="1282">
        <f t="shared" si="84"/>
        <v>0.21013767752000001</v>
      </c>
      <c r="R335" s="314">
        <f t="shared" si="84"/>
        <v>0.38756376720000002</v>
      </c>
      <c r="S335" s="314">
        <f t="shared" si="84"/>
        <v>0</v>
      </c>
      <c r="T335" s="314">
        <f t="shared" si="84"/>
        <v>0</v>
      </c>
      <c r="U335" s="314">
        <f t="shared" si="84"/>
        <v>0</v>
      </c>
      <c r="V335" s="314">
        <f t="shared" si="84"/>
        <v>0</v>
      </c>
      <c r="W335" s="314">
        <f t="shared" si="84"/>
        <v>0</v>
      </c>
      <c r="X335" s="314">
        <f t="shared" si="84"/>
        <v>0</v>
      </c>
      <c r="Y335" s="314">
        <f t="shared" si="84"/>
        <v>0</v>
      </c>
      <c r="Z335" s="314">
        <f t="shared" si="84"/>
        <v>0</v>
      </c>
      <c r="AA335" s="314">
        <f t="shared" si="84"/>
        <v>0</v>
      </c>
      <c r="AB335" s="314">
        <f t="shared" si="84"/>
        <v>0</v>
      </c>
      <c r="AC335" s="314">
        <f t="shared" si="84"/>
        <v>0</v>
      </c>
      <c r="AD335" s="314">
        <f t="shared" si="84"/>
        <v>0</v>
      </c>
      <c r="AE335" s="314">
        <f t="shared" si="84"/>
        <v>0</v>
      </c>
      <c r="AF335" s="940" t="s">
        <v>576</v>
      </c>
      <c r="AG335" s="940"/>
      <c r="AH335" s="940"/>
      <c r="AI335" s="940"/>
      <c r="AJ335" s="345"/>
    </row>
    <row r="336" spans="1:36" s="301" customFormat="1" ht="12.75" customHeight="1" outlineLevel="1">
      <c r="A336" s="561">
        <v>308</v>
      </c>
      <c r="C336" s="10"/>
      <c r="D336" s="33"/>
      <c r="E336" s="118" t="s">
        <v>50</v>
      </c>
      <c r="F336" s="316">
        <f t="shared" ref="F336:AE336" si="85">(F112*F30+F122*F39)*F$181/1000</f>
        <v>9.8448630800000006E-2</v>
      </c>
      <c r="G336" s="316">
        <f t="shared" si="85"/>
        <v>1.0112351376089998E-2</v>
      </c>
      <c r="H336" s="316">
        <f t="shared" si="85"/>
        <v>4.000291416E-2</v>
      </c>
      <c r="I336" s="316">
        <f t="shared" si="85"/>
        <v>7.3559837999999989E-2</v>
      </c>
      <c r="J336" s="316">
        <f t="shared" si="85"/>
        <v>3.2998406843399997E-2</v>
      </c>
      <c r="K336" s="316">
        <f t="shared" si="85"/>
        <v>5.9097831299999994E-2</v>
      </c>
      <c r="L336" s="316">
        <f t="shared" si="85"/>
        <v>5.0229127780000001E-2</v>
      </c>
      <c r="M336" s="316">
        <f t="shared" si="85"/>
        <v>3.6937294750000002E-2</v>
      </c>
      <c r="N336" s="316">
        <f t="shared" si="85"/>
        <v>4.1243785060000003E-2</v>
      </c>
      <c r="O336" s="316">
        <f t="shared" si="85"/>
        <v>5.1176493279999999E-2</v>
      </c>
      <c r="P336" s="316">
        <f t="shared" si="85"/>
        <v>4.5519695120000002E-2</v>
      </c>
      <c r="Q336" s="1283">
        <f t="shared" si="85"/>
        <v>3.0488240739999999E-2</v>
      </c>
      <c r="R336" s="316">
        <f t="shared" si="85"/>
        <v>5.6777348399999997E-2</v>
      </c>
      <c r="S336" s="316">
        <f t="shared" si="85"/>
        <v>0</v>
      </c>
      <c r="T336" s="316">
        <f t="shared" si="85"/>
        <v>0</v>
      </c>
      <c r="U336" s="316">
        <f t="shared" si="85"/>
        <v>0</v>
      </c>
      <c r="V336" s="316">
        <f t="shared" si="85"/>
        <v>0</v>
      </c>
      <c r="W336" s="316">
        <f t="shared" si="85"/>
        <v>0</v>
      </c>
      <c r="X336" s="316">
        <f t="shared" si="85"/>
        <v>0</v>
      </c>
      <c r="Y336" s="316">
        <f t="shared" si="85"/>
        <v>0</v>
      </c>
      <c r="Z336" s="316">
        <f t="shared" si="85"/>
        <v>0</v>
      </c>
      <c r="AA336" s="316">
        <f t="shared" si="85"/>
        <v>0</v>
      </c>
      <c r="AB336" s="316">
        <f t="shared" si="85"/>
        <v>0</v>
      </c>
      <c r="AC336" s="316">
        <f t="shared" si="85"/>
        <v>0</v>
      </c>
      <c r="AD336" s="316">
        <f t="shared" si="85"/>
        <v>0</v>
      </c>
      <c r="AE336" s="316">
        <f t="shared" si="85"/>
        <v>0</v>
      </c>
      <c r="AF336" s="940" t="s">
        <v>576</v>
      </c>
      <c r="AG336" s="940"/>
      <c r="AH336" s="940"/>
      <c r="AI336" s="940"/>
      <c r="AJ336" s="345"/>
    </row>
    <row r="337" spans="1:44" s="301" customFormat="1" ht="12.75" customHeight="1" outlineLevel="1">
      <c r="A337" s="561">
        <v>309</v>
      </c>
      <c r="C337" s="10"/>
      <c r="D337" s="33"/>
      <c r="E337" s="118" t="s">
        <v>13</v>
      </c>
      <c r="F337" s="316">
        <f t="shared" ref="F337:AE337" si="86">(F113*F31+F123*F40)*F$181/1000</f>
        <v>1.4089689057600001</v>
      </c>
      <c r="G337" s="316">
        <f t="shared" si="86"/>
        <v>1.2336995107149298</v>
      </c>
      <c r="H337" s="316">
        <f t="shared" si="86"/>
        <v>1.6367263219999997</v>
      </c>
      <c r="I337" s="316">
        <f t="shared" si="86"/>
        <v>1.6963967063999998</v>
      </c>
      <c r="J337" s="316">
        <f t="shared" si="86"/>
        <v>1.44751619535</v>
      </c>
      <c r="K337" s="316">
        <f t="shared" si="86"/>
        <v>1.3450249499200002</v>
      </c>
      <c r="L337" s="316">
        <f t="shared" si="86"/>
        <v>1.2575831384799998</v>
      </c>
      <c r="M337" s="316">
        <f t="shared" si="86"/>
        <v>1.0957814199999998</v>
      </c>
      <c r="N337" s="316">
        <f t="shared" si="86"/>
        <v>1.3087707847599999</v>
      </c>
      <c r="O337" s="316">
        <f t="shared" si="86"/>
        <v>1.71355489128</v>
      </c>
      <c r="P337" s="316">
        <f t="shared" si="86"/>
        <v>1.89561312136</v>
      </c>
      <c r="Q337" s="1283">
        <f t="shared" si="86"/>
        <v>1.4399539238400001</v>
      </c>
      <c r="R337" s="316">
        <f t="shared" si="86"/>
        <v>2.4018454749999996</v>
      </c>
      <c r="S337" s="316">
        <f t="shared" si="86"/>
        <v>0</v>
      </c>
      <c r="T337" s="316">
        <f t="shared" si="86"/>
        <v>0</v>
      </c>
      <c r="U337" s="316">
        <f t="shared" si="86"/>
        <v>0</v>
      </c>
      <c r="V337" s="316">
        <f t="shared" si="86"/>
        <v>0</v>
      </c>
      <c r="W337" s="316">
        <f t="shared" si="86"/>
        <v>0</v>
      </c>
      <c r="X337" s="316">
        <f t="shared" si="86"/>
        <v>0</v>
      </c>
      <c r="Y337" s="316">
        <f t="shared" si="86"/>
        <v>0</v>
      </c>
      <c r="Z337" s="316">
        <f t="shared" si="86"/>
        <v>0</v>
      </c>
      <c r="AA337" s="316">
        <f t="shared" si="86"/>
        <v>0</v>
      </c>
      <c r="AB337" s="316">
        <f t="shared" si="86"/>
        <v>0</v>
      </c>
      <c r="AC337" s="316">
        <f t="shared" si="86"/>
        <v>0</v>
      </c>
      <c r="AD337" s="316">
        <f t="shared" si="86"/>
        <v>0</v>
      </c>
      <c r="AE337" s="316">
        <f t="shared" si="86"/>
        <v>0</v>
      </c>
      <c r="AF337" s="940" t="s">
        <v>576</v>
      </c>
      <c r="AG337" s="940"/>
      <c r="AH337" s="940"/>
      <c r="AI337" s="940"/>
      <c r="AJ337" s="345"/>
    </row>
    <row r="338" spans="1:44" s="301" customFormat="1" ht="12.75" customHeight="1" outlineLevel="1">
      <c r="A338" s="561">
        <v>310</v>
      </c>
      <c r="C338" s="10"/>
      <c r="D338" s="33"/>
      <c r="E338" s="118" t="s">
        <v>12</v>
      </c>
      <c r="F338" s="316">
        <f t="shared" ref="F338:AE338" si="87">(F114*F32+F124*F41)*F$181/1000</f>
        <v>1.9314172799999999E-3</v>
      </c>
      <c r="G338" s="316">
        <f t="shared" si="87"/>
        <v>3.1261368130799999E-3</v>
      </c>
      <c r="H338" s="316">
        <f t="shared" si="87"/>
        <v>5.9217927999999998E-3</v>
      </c>
      <c r="I338" s="316">
        <f t="shared" si="87"/>
        <v>3.9321562499999999E-3</v>
      </c>
      <c r="J338" s="316">
        <f t="shared" si="87"/>
        <v>5.4060665100000007E-3</v>
      </c>
      <c r="K338" s="316">
        <f t="shared" si="87"/>
        <v>5.5775611600000002E-3</v>
      </c>
      <c r="L338" s="316">
        <f t="shared" si="87"/>
        <v>5.6387328600000005E-3</v>
      </c>
      <c r="M338" s="316">
        <f t="shared" si="87"/>
        <v>5.0720392499999994E-3</v>
      </c>
      <c r="N338" s="316">
        <f t="shared" si="87"/>
        <v>6.3954142800000001E-3</v>
      </c>
      <c r="O338" s="316">
        <f t="shared" si="87"/>
        <v>9.5174142399999991E-3</v>
      </c>
      <c r="P338" s="316">
        <f t="shared" si="87"/>
        <v>7.6872786000000016E-3</v>
      </c>
      <c r="Q338" s="1283">
        <f t="shared" si="87"/>
        <v>7.5227703000000012E-3</v>
      </c>
      <c r="R338" s="316">
        <f t="shared" si="87"/>
        <v>2.2051409999999997E-2</v>
      </c>
      <c r="S338" s="316">
        <f t="shared" si="87"/>
        <v>0</v>
      </c>
      <c r="T338" s="316">
        <f t="shared" si="87"/>
        <v>0</v>
      </c>
      <c r="U338" s="316">
        <f t="shared" si="87"/>
        <v>0</v>
      </c>
      <c r="V338" s="316">
        <f t="shared" si="87"/>
        <v>0</v>
      </c>
      <c r="W338" s="316">
        <f t="shared" si="87"/>
        <v>0</v>
      </c>
      <c r="X338" s="316">
        <f t="shared" si="87"/>
        <v>0</v>
      </c>
      <c r="Y338" s="316">
        <f t="shared" si="87"/>
        <v>0</v>
      </c>
      <c r="Z338" s="316">
        <f t="shared" si="87"/>
        <v>0</v>
      </c>
      <c r="AA338" s="316">
        <f t="shared" si="87"/>
        <v>0</v>
      </c>
      <c r="AB338" s="316">
        <f t="shared" si="87"/>
        <v>0</v>
      </c>
      <c r="AC338" s="316">
        <f t="shared" si="87"/>
        <v>0</v>
      </c>
      <c r="AD338" s="316">
        <f t="shared" si="87"/>
        <v>0</v>
      </c>
      <c r="AE338" s="316">
        <f t="shared" si="87"/>
        <v>0</v>
      </c>
      <c r="AF338" s="940" t="s">
        <v>576</v>
      </c>
      <c r="AG338" s="940"/>
      <c r="AH338" s="940"/>
      <c r="AI338" s="940"/>
      <c r="AJ338" s="345"/>
    </row>
    <row r="339" spans="1:44" s="301" customFormat="1" ht="12.75" customHeight="1" outlineLevel="1">
      <c r="A339" s="561">
        <v>311</v>
      </c>
      <c r="C339" s="10"/>
      <c r="D339" s="33"/>
      <c r="E339" s="118" t="s">
        <v>24</v>
      </c>
      <c r="F339" s="316">
        <f t="shared" ref="F339:AE339" si="88">(F115*F33+F125*F42)*F$181/1000</f>
        <v>2.1178559170288001</v>
      </c>
      <c r="G339" s="316">
        <f t="shared" si="88"/>
        <v>2.1137477995592371</v>
      </c>
      <c r="H339" s="316">
        <f t="shared" si="88"/>
        <v>2.4286296678346999</v>
      </c>
      <c r="I339" s="316">
        <f t="shared" si="88"/>
        <v>2.4982296734125504</v>
      </c>
      <c r="J339" s="316">
        <f t="shared" si="88"/>
        <v>2.1370692271902998</v>
      </c>
      <c r="K339" s="316">
        <f t="shared" si="88"/>
        <v>2.0847258126408099</v>
      </c>
      <c r="L339" s="316">
        <f t="shared" si="88"/>
        <v>2.0939042314399998</v>
      </c>
      <c r="M339" s="316">
        <f t="shared" si="88"/>
        <v>1.9391266764967501</v>
      </c>
      <c r="N339" s="316">
        <f t="shared" si="88"/>
        <v>2.3916418348726998</v>
      </c>
      <c r="O339" s="316">
        <f t="shared" si="88"/>
        <v>3.1178115079337601</v>
      </c>
      <c r="P339" s="316">
        <f t="shared" si="88"/>
        <v>3.8547571148388795</v>
      </c>
      <c r="Q339" s="1283">
        <f t="shared" si="88"/>
        <v>3.0320963474287397</v>
      </c>
      <c r="R339" s="316">
        <f t="shared" si="88"/>
        <v>5.5858060100552756</v>
      </c>
      <c r="S339" s="316">
        <f t="shared" si="88"/>
        <v>0</v>
      </c>
      <c r="T339" s="316">
        <f t="shared" si="88"/>
        <v>0</v>
      </c>
      <c r="U339" s="316">
        <f t="shared" si="88"/>
        <v>0</v>
      </c>
      <c r="V339" s="316">
        <f t="shared" si="88"/>
        <v>0</v>
      </c>
      <c r="W339" s="316">
        <f t="shared" si="88"/>
        <v>0</v>
      </c>
      <c r="X339" s="316">
        <f t="shared" si="88"/>
        <v>0</v>
      </c>
      <c r="Y339" s="316">
        <f t="shared" si="88"/>
        <v>0</v>
      </c>
      <c r="Z339" s="316">
        <f t="shared" si="88"/>
        <v>0</v>
      </c>
      <c r="AA339" s="316">
        <f t="shared" si="88"/>
        <v>0</v>
      </c>
      <c r="AB339" s="316">
        <f t="shared" si="88"/>
        <v>0</v>
      </c>
      <c r="AC339" s="316">
        <f t="shared" si="88"/>
        <v>0</v>
      </c>
      <c r="AD339" s="316">
        <f t="shared" si="88"/>
        <v>0</v>
      </c>
      <c r="AE339" s="316">
        <f t="shared" si="88"/>
        <v>0</v>
      </c>
      <c r="AF339" s="940" t="s">
        <v>576</v>
      </c>
      <c r="AG339" s="940"/>
      <c r="AH339" s="940"/>
      <c r="AI339" s="940"/>
      <c r="AJ339" s="345"/>
    </row>
    <row r="340" spans="1:44" s="301" customFormat="1" ht="12.75" customHeight="1" outlineLevel="1">
      <c r="A340" s="561">
        <v>312</v>
      </c>
      <c r="C340" s="10"/>
      <c r="D340" s="33"/>
      <c r="E340" s="118" t="s">
        <v>26</v>
      </c>
      <c r="F340" s="316">
        <f t="shared" ref="F340:AE340" si="89">(F116*F34+F126*F43)*F$181/1000</f>
        <v>2.9034835018800002E-2</v>
      </c>
      <c r="G340" s="316">
        <f t="shared" si="89"/>
        <v>4.771344804335579E-2</v>
      </c>
      <c r="H340" s="316">
        <f t="shared" si="89"/>
        <v>7.6680883025999999E-2</v>
      </c>
      <c r="I340" s="316">
        <f t="shared" si="89"/>
        <v>0.12718753755509998</v>
      </c>
      <c r="J340" s="316">
        <f t="shared" si="89"/>
        <v>0.28150043965380001</v>
      </c>
      <c r="K340" s="316">
        <f t="shared" si="89"/>
        <v>0.37479973</v>
      </c>
      <c r="L340" s="316">
        <f t="shared" si="89"/>
        <v>0.47237686600000001</v>
      </c>
      <c r="M340" s="316">
        <f t="shared" si="89"/>
        <v>0.49372291699999998</v>
      </c>
      <c r="N340" s="316">
        <f t="shared" si="89"/>
        <v>0.64209140899999995</v>
      </c>
      <c r="O340" s="316">
        <f t="shared" si="89"/>
        <v>0.96796362800000002</v>
      </c>
      <c r="P340" s="316">
        <f t="shared" si="89"/>
        <v>1.165232292</v>
      </c>
      <c r="Q340" s="1283">
        <f t="shared" si="89"/>
        <v>0.91908276599999983</v>
      </c>
      <c r="R340" s="316">
        <f t="shared" si="89"/>
        <v>1.8006780360000001</v>
      </c>
      <c r="S340" s="316">
        <f t="shared" si="89"/>
        <v>0</v>
      </c>
      <c r="T340" s="316">
        <f t="shared" si="89"/>
        <v>0</v>
      </c>
      <c r="U340" s="316">
        <f t="shared" si="89"/>
        <v>0</v>
      </c>
      <c r="V340" s="316">
        <f t="shared" si="89"/>
        <v>0</v>
      </c>
      <c r="W340" s="316">
        <f t="shared" si="89"/>
        <v>0</v>
      </c>
      <c r="X340" s="316">
        <f t="shared" si="89"/>
        <v>0</v>
      </c>
      <c r="Y340" s="316">
        <f t="shared" si="89"/>
        <v>0</v>
      </c>
      <c r="Z340" s="316">
        <f t="shared" si="89"/>
        <v>0</v>
      </c>
      <c r="AA340" s="316">
        <f t="shared" si="89"/>
        <v>0</v>
      </c>
      <c r="AB340" s="316">
        <f t="shared" si="89"/>
        <v>0</v>
      </c>
      <c r="AC340" s="316">
        <f t="shared" si="89"/>
        <v>0</v>
      </c>
      <c r="AD340" s="316">
        <f t="shared" si="89"/>
        <v>0</v>
      </c>
      <c r="AE340" s="316">
        <f t="shared" si="89"/>
        <v>0</v>
      </c>
      <c r="AF340" s="940" t="s">
        <v>576</v>
      </c>
      <c r="AG340" s="940"/>
      <c r="AH340" s="940"/>
      <c r="AI340" s="940"/>
      <c r="AJ340" s="345"/>
    </row>
    <row r="341" spans="1:44" s="301" customFormat="1" ht="12.75" customHeight="1" outlineLevel="1">
      <c r="A341" s="561">
        <v>313</v>
      </c>
      <c r="C341" s="10"/>
      <c r="D341" s="33"/>
      <c r="E341" s="120" t="s">
        <v>74</v>
      </c>
      <c r="F341" s="318">
        <f t="shared" ref="F341:AE341" si="90">(F117*F35+F127*F44)*F$181/1000</f>
        <v>0.53410125849599999</v>
      </c>
      <c r="G341" s="318">
        <f t="shared" si="90"/>
        <v>1.1811626028345956</v>
      </c>
      <c r="H341" s="318">
        <f t="shared" si="90"/>
        <v>1.3573761625877201</v>
      </c>
      <c r="I341" s="318">
        <f t="shared" si="90"/>
        <v>1.6225724000870998</v>
      </c>
      <c r="J341" s="318">
        <f t="shared" si="90"/>
        <v>1.4166823516922997</v>
      </c>
      <c r="K341" s="318">
        <f t="shared" si="90"/>
        <v>1.05277772906055</v>
      </c>
      <c r="L341" s="318">
        <f t="shared" si="90"/>
        <v>1.058441826388</v>
      </c>
      <c r="M341" s="318">
        <f t="shared" si="90"/>
        <v>0.91974929968274977</v>
      </c>
      <c r="N341" s="318">
        <f t="shared" si="90"/>
        <v>1.1142166543900001</v>
      </c>
      <c r="O341" s="318">
        <f t="shared" si="90"/>
        <v>1.6898639748521196</v>
      </c>
      <c r="P341" s="318">
        <f t="shared" si="90"/>
        <v>1.81153974393616</v>
      </c>
      <c r="Q341" s="1284">
        <f t="shared" si="90"/>
        <v>1.5664986330043003</v>
      </c>
      <c r="R341" s="318">
        <f t="shared" si="90"/>
        <v>3.3516383603677102</v>
      </c>
      <c r="S341" s="318">
        <f t="shared" si="90"/>
        <v>0</v>
      </c>
      <c r="T341" s="318">
        <f t="shared" si="90"/>
        <v>0</v>
      </c>
      <c r="U341" s="318">
        <f t="shared" si="90"/>
        <v>0</v>
      </c>
      <c r="V341" s="318">
        <f t="shared" si="90"/>
        <v>0</v>
      </c>
      <c r="W341" s="318">
        <f t="shared" si="90"/>
        <v>0</v>
      </c>
      <c r="X341" s="318">
        <f t="shared" si="90"/>
        <v>0</v>
      </c>
      <c r="Y341" s="318">
        <f t="shared" si="90"/>
        <v>0</v>
      </c>
      <c r="Z341" s="318">
        <f t="shared" si="90"/>
        <v>0</v>
      </c>
      <c r="AA341" s="318">
        <f t="shared" si="90"/>
        <v>0</v>
      </c>
      <c r="AB341" s="318">
        <f t="shared" si="90"/>
        <v>0</v>
      </c>
      <c r="AC341" s="318">
        <f t="shared" si="90"/>
        <v>0</v>
      </c>
      <c r="AD341" s="318">
        <f t="shared" si="90"/>
        <v>0</v>
      </c>
      <c r="AE341" s="318">
        <f t="shared" si="90"/>
        <v>0</v>
      </c>
      <c r="AF341" s="940" t="s">
        <v>576</v>
      </c>
      <c r="AG341" s="940"/>
      <c r="AH341" s="940"/>
      <c r="AI341" s="940"/>
      <c r="AJ341" s="345"/>
    </row>
    <row r="342" spans="1:44" s="301" customFormat="1" ht="12.75" customHeight="1" outlineLevel="1">
      <c r="A342" s="561">
        <v>314</v>
      </c>
      <c r="C342" s="10"/>
      <c r="D342" s="33"/>
      <c r="E342" s="122" t="s">
        <v>55</v>
      </c>
      <c r="F342" s="319">
        <f t="shared" ref="F342:J342" si="91">SUM(F335:F341)</f>
        <v>4.4824141775036006</v>
      </c>
      <c r="G342" s="319">
        <f t="shared" si="91"/>
        <v>4.6945756813497583</v>
      </c>
      <c r="H342" s="319">
        <f t="shared" si="91"/>
        <v>5.8113422360826803</v>
      </c>
      <c r="I342" s="319">
        <f t="shared" si="91"/>
        <v>6.3138827312054993</v>
      </c>
      <c r="J342" s="319">
        <f t="shared" si="91"/>
        <v>5.5473089725349993</v>
      </c>
      <c r="K342" s="319">
        <f t="shared" ref="K342:L342" si="92">SUM(K335:K341)</f>
        <v>5.1368833420913607</v>
      </c>
      <c r="L342" s="319">
        <f t="shared" si="92"/>
        <v>5.1302280415879995</v>
      </c>
      <c r="M342" s="319">
        <f t="shared" ref="M342:AE342" si="93">SUM(M335:M341)</f>
        <v>4.6566985399294998</v>
      </c>
      <c r="N342" s="319">
        <f t="shared" si="93"/>
        <v>5.6775147903626992</v>
      </c>
      <c r="O342" s="319">
        <f t="shared" si="93"/>
        <v>7.8038563548258795</v>
      </c>
      <c r="P342" s="319">
        <f t="shared" si="93"/>
        <v>9.036454358955039</v>
      </c>
      <c r="Q342" s="319">
        <f t="shared" si="93"/>
        <v>7.2057803588330405</v>
      </c>
      <c r="R342" s="319">
        <f t="shared" si="93"/>
        <v>13.606360407022986</v>
      </c>
      <c r="S342" s="319">
        <f t="shared" si="93"/>
        <v>0</v>
      </c>
      <c r="T342" s="319">
        <f t="shared" si="93"/>
        <v>0</v>
      </c>
      <c r="U342" s="319">
        <f t="shared" si="93"/>
        <v>0</v>
      </c>
      <c r="V342" s="319">
        <f t="shared" si="93"/>
        <v>0</v>
      </c>
      <c r="W342" s="319">
        <f t="shared" si="93"/>
        <v>0</v>
      </c>
      <c r="X342" s="319">
        <f t="shared" si="93"/>
        <v>0</v>
      </c>
      <c r="Y342" s="319">
        <f t="shared" si="93"/>
        <v>0</v>
      </c>
      <c r="Z342" s="319">
        <f t="shared" si="93"/>
        <v>0</v>
      </c>
      <c r="AA342" s="319">
        <f t="shared" si="93"/>
        <v>0</v>
      </c>
      <c r="AB342" s="319">
        <f t="shared" si="93"/>
        <v>0</v>
      </c>
      <c r="AC342" s="319">
        <f t="shared" si="93"/>
        <v>0</v>
      </c>
      <c r="AD342" s="319">
        <f t="shared" si="93"/>
        <v>0</v>
      </c>
      <c r="AE342" s="319">
        <f t="shared" si="93"/>
        <v>0</v>
      </c>
      <c r="AF342" s="940"/>
      <c r="AG342" s="940"/>
      <c r="AH342" s="940"/>
      <c r="AI342" s="940"/>
      <c r="AJ342" s="345"/>
    </row>
    <row r="343" spans="1:44" s="301" customFormat="1" ht="12.75" customHeight="1" outlineLevel="1">
      <c r="A343" s="561">
        <v>315</v>
      </c>
      <c r="C343" s="10"/>
      <c r="D343" s="33"/>
      <c r="F343" s="331"/>
      <c r="G343" s="331"/>
      <c r="H343" s="331"/>
      <c r="I343" s="331"/>
      <c r="J343" s="331"/>
      <c r="K343" s="331"/>
      <c r="L343" s="331"/>
      <c r="M343" s="331"/>
      <c r="N343" s="349"/>
      <c r="O343" s="296"/>
      <c r="P343" s="331"/>
      <c r="Q343" s="331"/>
      <c r="R343" s="331"/>
      <c r="S343" s="331"/>
      <c r="T343" s="331"/>
      <c r="U343" s="331"/>
      <c r="V343" s="331"/>
      <c r="W343" s="331"/>
      <c r="X343" s="331"/>
      <c r="Y343" s="331"/>
      <c r="Z343" s="331"/>
      <c r="AA343" s="331"/>
      <c r="AB343" s="331"/>
      <c r="AC343" s="331"/>
      <c r="AD343" s="331"/>
      <c r="AE343" s="331"/>
      <c r="AF343" s="940"/>
      <c r="AG343" s="940"/>
      <c r="AH343" s="940"/>
      <c r="AI343" s="940"/>
      <c r="AJ343" s="345"/>
    </row>
    <row r="344" spans="1:44" s="301" customFormat="1" ht="12.75" customHeight="1" outlineLevel="1">
      <c r="A344" s="561">
        <v>316</v>
      </c>
      <c r="C344" s="10"/>
      <c r="D344" s="33"/>
      <c r="E344" s="322" t="s">
        <v>436</v>
      </c>
      <c r="F344" s="331"/>
      <c r="G344" s="331"/>
      <c r="H344" s="331"/>
      <c r="I344" s="331"/>
      <c r="J344" s="331"/>
      <c r="K344" s="331"/>
      <c r="L344" s="331"/>
      <c r="M344" s="331"/>
      <c r="N344" s="349"/>
      <c r="O344" s="296"/>
      <c r="P344" s="331"/>
      <c r="Q344" s="331"/>
      <c r="R344" s="331"/>
      <c r="S344" s="331"/>
      <c r="T344" s="331"/>
      <c r="U344" s="331"/>
      <c r="V344" s="331"/>
      <c r="W344" s="331"/>
      <c r="X344" s="331"/>
      <c r="Y344" s="331"/>
      <c r="Z344" s="331"/>
      <c r="AA344" s="331"/>
      <c r="AB344" s="331"/>
      <c r="AC344" s="331"/>
      <c r="AD344" s="331"/>
      <c r="AE344" s="331"/>
      <c r="AF344" s="940"/>
      <c r="AG344" s="940"/>
      <c r="AH344" s="940"/>
      <c r="AI344" s="940"/>
      <c r="AJ344" s="345"/>
    </row>
    <row r="345" spans="1:44" s="301" customFormat="1" ht="12.75" customHeight="1" outlineLevel="2">
      <c r="A345" s="561">
        <v>317</v>
      </c>
      <c r="C345" s="10"/>
      <c r="D345" s="33"/>
      <c r="E345" s="302" t="s">
        <v>25</v>
      </c>
      <c r="F345" s="327">
        <f>IF(F$5&lt;ControlPanel!$D$59,F335,F325)</f>
        <v>0.29207321312000001</v>
      </c>
      <c r="G345" s="323">
        <f>IF(G$5&lt;ControlPanel!$D$59,G335,G325)</f>
        <v>0.10501383200846999</v>
      </c>
      <c r="H345" s="323">
        <f>IF(H$5&lt;ControlPanel!$D$59,H335,H325)</f>
        <v>0.26600449367425993</v>
      </c>
      <c r="I345" s="323">
        <f>IF(I$5&lt;ControlPanel!$D$59,I335,I325)</f>
        <v>0.2920044195007499</v>
      </c>
      <c r="J345" s="323">
        <f>IF(J$5&lt;ControlPanel!$D$59,J335,J325)</f>
        <v>0.2261362852952</v>
      </c>
      <c r="K345" s="323">
        <f>IF(K$5&lt;ControlPanel!$D$59,K335,K325)</f>
        <v>0.21487972800999999</v>
      </c>
      <c r="L345" s="323">
        <f>IF(L$5&lt;ControlPanel!$D$59,L335,L325)</f>
        <v>0.19205411863999999</v>
      </c>
      <c r="M345" s="323">
        <f>IF(M$5&lt;ControlPanel!$D$59,M335,M325)</f>
        <v>0.16630889274999999</v>
      </c>
      <c r="N345" s="323">
        <f>IF(N$5&lt;ControlPanel!$D$59,N335,N325)</f>
        <v>0.17315490799999997</v>
      </c>
      <c r="O345" s="323">
        <f>IF(O$5&lt;ControlPanel!$D$59,O335,O325)</f>
        <v>0.25396844524000001</v>
      </c>
      <c r="P345" s="323">
        <f>IF(P$5&lt;ControlPanel!$D$59,P335,P325)</f>
        <v>0.2561051131</v>
      </c>
      <c r="Q345" s="323">
        <f>IF(Q$5&lt;ControlPanel!$D$59,Q335,Q325)</f>
        <v>0.21013767752000001</v>
      </c>
      <c r="R345" s="323">
        <f>IF(R$5&lt;ControlPanel!$D$59,R335,R325)</f>
        <v>0.38756376720000002</v>
      </c>
      <c r="S345" s="323">
        <f>IF(S$5&lt;ControlPanel!$D$59,S335,S325)</f>
        <v>0.69300741612508332</v>
      </c>
      <c r="T345" s="323">
        <f>IF(T$5&lt;ControlPanel!$D$59,T335,T325)</f>
        <v>0.5773186993489613</v>
      </c>
      <c r="U345" s="323">
        <f>IF(U$5&lt;ControlPanel!$D$59,U335,U325)</f>
        <v>0.57288580288514579</v>
      </c>
      <c r="V345" s="324">
        <f>IF(V$5&lt;ControlPanel!$D$59,V335,V325)</f>
        <v>0.56797557034811452</v>
      </c>
      <c r="W345" s="323">
        <f>IF(W$5&lt;ControlPanel!$D$59,W335,W325)</f>
        <v>0.56872455087974894</v>
      </c>
      <c r="X345" s="323">
        <f>IF(X$5&lt;ControlPanel!$D$59,X335,X325)</f>
        <v>0.56563202105015364</v>
      </c>
      <c r="Y345" s="323">
        <f>IF(Y$5&lt;ControlPanel!$D$59,Y335,Y325)</f>
        <v>0.56296808510241769</v>
      </c>
      <c r="Z345" s="323">
        <f>IF(Z$5&lt;ControlPanel!$D$59,Z335,Z325)</f>
        <v>0.52599319220834706</v>
      </c>
      <c r="AA345" s="323">
        <f>IF(AA$5&lt;ControlPanel!$D$59,AA335,AA325)</f>
        <v>0.49392946338006283</v>
      </c>
      <c r="AB345" s="323">
        <f>IF(AB$5&lt;ControlPanel!$D$59,AB335,AB325)</f>
        <v>0.4693600083514336</v>
      </c>
      <c r="AC345" s="323">
        <f>IF(AC$5&lt;ControlPanel!$D$59,AC335,AC325)</f>
        <v>0.45421874108433846</v>
      </c>
      <c r="AD345" s="323">
        <f>IF(AD$5&lt;ControlPanel!$D$59,AD335,AD325)</f>
        <v>0.41202463615005303</v>
      </c>
      <c r="AE345" s="323">
        <f>IF(AE$5&lt;ControlPanel!$D$59,AE335,AE325)</f>
        <v>0.40646762211848708</v>
      </c>
      <c r="AF345" s="940"/>
      <c r="AG345" s="940"/>
      <c r="AH345" s="940"/>
      <c r="AI345" s="940"/>
      <c r="AJ345" s="345" t="s">
        <v>254</v>
      </c>
    </row>
    <row r="346" spans="1:44" s="301" customFormat="1" ht="12.75" customHeight="1" outlineLevel="2">
      <c r="A346" s="561">
        <v>318</v>
      </c>
      <c r="C346" s="10"/>
      <c r="D346" s="33"/>
      <c r="E346" s="304" t="s">
        <v>50</v>
      </c>
      <c r="F346" s="334">
        <f>IF(F$5&lt;ControlPanel!$D$59,F336,F326)</f>
        <v>9.8448630800000006E-2</v>
      </c>
      <c r="G346" s="332">
        <f>IF(G$5&lt;ControlPanel!$D$59,G336,G326)</f>
        <v>1.0112351376089998E-2</v>
      </c>
      <c r="H346" s="332">
        <f>IF(H$5&lt;ControlPanel!$D$59,H336,H326)</f>
        <v>4.000291416E-2</v>
      </c>
      <c r="I346" s="332">
        <f>IF(I$5&lt;ControlPanel!$D$59,I336,I326)</f>
        <v>7.3559837999999989E-2</v>
      </c>
      <c r="J346" s="332">
        <f>IF(J$5&lt;ControlPanel!$D$59,J336,J326)</f>
        <v>3.2998406843399997E-2</v>
      </c>
      <c r="K346" s="332">
        <f>IF(K$5&lt;ControlPanel!$D$59,K336,K326)</f>
        <v>5.9097831299999994E-2</v>
      </c>
      <c r="L346" s="332">
        <f>IF(L$5&lt;ControlPanel!$D$59,L336,L326)</f>
        <v>5.0229127780000001E-2</v>
      </c>
      <c r="M346" s="332">
        <f>IF(M$5&lt;ControlPanel!$D$59,M336,M326)</f>
        <v>3.6937294750000002E-2</v>
      </c>
      <c r="N346" s="332">
        <f>IF(N$5&lt;ControlPanel!$D$59,N336,N326)</f>
        <v>4.1243785060000003E-2</v>
      </c>
      <c r="O346" s="332">
        <f>IF(O$5&lt;ControlPanel!$D$59,O336,O326)</f>
        <v>5.1176493279999999E-2</v>
      </c>
      <c r="P346" s="332">
        <f>IF(P$5&lt;ControlPanel!$D$59,P336,P326)</f>
        <v>4.5519695120000002E-2</v>
      </c>
      <c r="Q346" s="332">
        <f>IF(Q$5&lt;ControlPanel!$D$59,Q336,Q326)</f>
        <v>3.0488240739999999E-2</v>
      </c>
      <c r="R346" s="332">
        <f>IF(R$5&lt;ControlPanel!$D$59,R336,R326)</f>
        <v>5.6777348399999997E-2</v>
      </c>
      <c r="S346" s="332">
        <f>IF(S$5&lt;ControlPanel!$D$59,S336,S326)</f>
        <v>8.3030970052062281E-2</v>
      </c>
      <c r="T346" s="332">
        <f>IF(T$5&lt;ControlPanel!$D$59,T336,T326)</f>
        <v>4.7362832442148173E-2</v>
      </c>
      <c r="U346" s="332">
        <f>IF(U$5&lt;ControlPanel!$D$59,U336,U326)</f>
        <v>2.7012283058923912E-2</v>
      </c>
      <c r="V346" s="333">
        <f>IF(V$5&lt;ControlPanel!$D$59,V336,V326)</f>
        <v>2.5091038487659048E-2</v>
      </c>
      <c r="W346" s="332">
        <f>IF(W$5&lt;ControlPanel!$D$59,W336,W326)</f>
        <v>2.5128232596015342E-2</v>
      </c>
      <c r="X346" s="332">
        <f>IF(X$5&lt;ControlPanel!$D$59,X336,X326)</f>
        <v>2.7738917728009151E-2</v>
      </c>
      <c r="Y346" s="332">
        <f>IF(Y$5&lt;ControlPanel!$D$59,Y336,Y326)</f>
        <v>3.0355501702939793E-2</v>
      </c>
      <c r="Z346" s="332">
        <f>IF(Z$5&lt;ControlPanel!$D$59,Z336,Z326)</f>
        <v>3.0646071374600556E-2</v>
      </c>
      <c r="AA346" s="332">
        <f>IF(AA$5&lt;ControlPanel!$D$59,AA336,AA326)</f>
        <v>3.3073535421286812E-2</v>
      </c>
      <c r="AB346" s="332">
        <f>IF(AB$5&lt;ControlPanel!$D$59,AB336,AB326)</f>
        <v>3.3482499870407856E-2</v>
      </c>
      <c r="AC346" s="332">
        <f>IF(AC$5&lt;ControlPanel!$D$59,AC336,AC326)</f>
        <v>3.5904344352896515E-2</v>
      </c>
      <c r="AD346" s="332">
        <f>IF(AD$5&lt;ControlPanel!$D$59,AD336,AD326)</f>
        <v>3.815984342414238E-2</v>
      </c>
      <c r="AE346" s="333">
        <f>IF(AE$5&lt;ControlPanel!$D$59,AE336,AE326)</f>
        <v>4.0098941709009697E-2</v>
      </c>
      <c r="AF346" s="940"/>
      <c r="AG346" s="940"/>
      <c r="AH346" s="940"/>
      <c r="AI346" s="940"/>
      <c r="AJ346" s="345"/>
    </row>
    <row r="347" spans="1:44" s="301" customFormat="1" ht="12.75" customHeight="1" outlineLevel="2">
      <c r="A347" s="561">
        <v>319</v>
      </c>
      <c r="C347" s="10"/>
      <c r="D347" s="33"/>
      <c r="E347" s="304" t="s">
        <v>13</v>
      </c>
      <c r="F347" s="334">
        <f>IF(F$5&lt;ControlPanel!$D$59,F337,F327)</f>
        <v>1.4089689057600001</v>
      </c>
      <c r="G347" s="332">
        <f>IF(G$5&lt;ControlPanel!$D$59,G337,G327)</f>
        <v>1.2336995107149298</v>
      </c>
      <c r="H347" s="332">
        <f>IF(H$5&lt;ControlPanel!$D$59,H337,H327)</f>
        <v>1.6367263219999997</v>
      </c>
      <c r="I347" s="332">
        <f>IF(I$5&lt;ControlPanel!$D$59,I337,I327)</f>
        <v>1.6963967063999998</v>
      </c>
      <c r="J347" s="332">
        <f>IF(J$5&lt;ControlPanel!$D$59,J337,J327)</f>
        <v>1.44751619535</v>
      </c>
      <c r="K347" s="332">
        <f>IF(K$5&lt;ControlPanel!$D$59,K337,K327)</f>
        <v>1.3450249499200002</v>
      </c>
      <c r="L347" s="332">
        <f>IF(L$5&lt;ControlPanel!$D$59,L337,L327)</f>
        <v>1.2575831384799998</v>
      </c>
      <c r="M347" s="332">
        <f>IF(M$5&lt;ControlPanel!$D$59,M337,M327)</f>
        <v>1.0957814199999998</v>
      </c>
      <c r="N347" s="332">
        <f>IF(N$5&lt;ControlPanel!$D$59,N337,N327)</f>
        <v>1.3087707847599999</v>
      </c>
      <c r="O347" s="332">
        <f>IF(O$5&lt;ControlPanel!$D$59,O337,O327)</f>
        <v>1.71355489128</v>
      </c>
      <c r="P347" s="332">
        <f>IF(P$5&lt;ControlPanel!$D$59,P337,P327)</f>
        <v>1.89561312136</v>
      </c>
      <c r="Q347" s="332">
        <f>IF(Q$5&lt;ControlPanel!$D$59,Q337,Q327)</f>
        <v>1.4399539238400001</v>
      </c>
      <c r="R347" s="332">
        <f>IF(R$5&lt;ControlPanel!$D$59,R337,R327)</f>
        <v>2.4018454749999996</v>
      </c>
      <c r="S347" s="332">
        <f>IF(S$5&lt;ControlPanel!$D$59,S337,S327)</f>
        <v>3.9712103100787917</v>
      </c>
      <c r="T347" s="332">
        <f>IF(T$5&lt;ControlPanel!$D$59,T337,T327)</f>
        <v>3.3063176373379481</v>
      </c>
      <c r="U347" s="332">
        <f>IF(U$5&lt;ControlPanel!$D$59,U337,U327)</f>
        <v>3.1368176269697403</v>
      </c>
      <c r="V347" s="333">
        <f>IF(V$5&lt;ControlPanel!$D$59,V337,V327)</f>
        <v>2.9145172553217931</v>
      </c>
      <c r="W347" s="332">
        <f>IF(W$5&lt;ControlPanel!$D$59,W337,W327)</f>
        <v>2.6436877420737006</v>
      </c>
      <c r="X347" s="332">
        <f>IF(X$5&lt;ControlPanel!$D$59,X337,X327)</f>
        <v>2.4216701197327999</v>
      </c>
      <c r="Y347" s="332">
        <f>IF(Y$5&lt;ControlPanel!$D$59,Y337,Y327)</f>
        <v>2.3151228393239403</v>
      </c>
      <c r="Z347" s="332">
        <f>IF(Z$5&lt;ControlPanel!$D$59,Z337,Z327)</f>
        <v>2.1832537241264398</v>
      </c>
      <c r="AA347" s="332">
        <f>IF(AA$5&lt;ControlPanel!$D$59,AA337,AA327)</f>
        <v>1.9813091726300005</v>
      </c>
      <c r="AB347" s="332">
        <f>IF(AB$5&lt;ControlPanel!$D$59,AB337,AB327)</f>
        <v>1.6133126921090217</v>
      </c>
      <c r="AC347" s="332">
        <f>IF(AC$5&lt;ControlPanel!$D$59,AC337,AC327)</f>
        <v>1.5230034824870675</v>
      </c>
      <c r="AD347" s="332">
        <f>IF(AD$5&lt;ControlPanel!$D$59,AD337,AD327)</f>
        <v>1.4629757204093352</v>
      </c>
      <c r="AE347" s="333">
        <f>IF(AE$5&lt;ControlPanel!$D$59,AE337,AE327)</f>
        <v>1.4208309466000002</v>
      </c>
      <c r="AF347" s="940"/>
      <c r="AG347" s="940"/>
      <c r="AH347" s="940"/>
      <c r="AI347" s="940"/>
      <c r="AJ347" s="345"/>
      <c r="AK347" s="60"/>
      <c r="AL347" s="60"/>
      <c r="AM347" s="60"/>
      <c r="AN347" s="60"/>
      <c r="AO347" s="60"/>
      <c r="AP347" s="60"/>
      <c r="AQ347" s="60"/>
      <c r="AR347" s="60"/>
    </row>
    <row r="348" spans="1:44" s="301" customFormat="1" ht="12.75" customHeight="1" outlineLevel="2">
      <c r="A348" s="561">
        <v>320</v>
      </c>
      <c r="C348" s="10"/>
      <c r="D348" s="33"/>
      <c r="E348" s="304" t="s">
        <v>12</v>
      </c>
      <c r="F348" s="334">
        <f>IF(F$5&lt;ControlPanel!$D$59,F338,F328)</f>
        <v>1.9314172799999999E-3</v>
      </c>
      <c r="G348" s="332">
        <f>IF(G$5&lt;ControlPanel!$D$59,G338,G328)</f>
        <v>3.1261368130799999E-3</v>
      </c>
      <c r="H348" s="332">
        <f>IF(H$5&lt;ControlPanel!$D$59,H338,H328)</f>
        <v>5.9217927999999998E-3</v>
      </c>
      <c r="I348" s="332">
        <f>IF(I$5&lt;ControlPanel!$D$59,I338,I328)</f>
        <v>3.9321562499999999E-3</v>
      </c>
      <c r="J348" s="332">
        <f>IF(J$5&lt;ControlPanel!$D$59,J338,J328)</f>
        <v>5.4060665100000007E-3</v>
      </c>
      <c r="K348" s="332">
        <f>IF(K$5&lt;ControlPanel!$D$59,K338,K328)</f>
        <v>5.5775611600000002E-3</v>
      </c>
      <c r="L348" s="332">
        <f>IF(L$5&lt;ControlPanel!$D$59,L338,L328)</f>
        <v>5.6387328600000005E-3</v>
      </c>
      <c r="M348" s="332">
        <f>IF(M$5&lt;ControlPanel!$D$59,M338,M328)</f>
        <v>5.0720392499999994E-3</v>
      </c>
      <c r="N348" s="332">
        <f>IF(N$5&lt;ControlPanel!$D$59,N338,N328)</f>
        <v>6.3954142800000001E-3</v>
      </c>
      <c r="O348" s="332">
        <f>IF(O$5&lt;ControlPanel!$D$59,O338,O328)</f>
        <v>9.5174142399999991E-3</v>
      </c>
      <c r="P348" s="332">
        <f>IF(P$5&lt;ControlPanel!$D$59,P338,P328)</f>
        <v>7.6872786000000016E-3</v>
      </c>
      <c r="Q348" s="332">
        <f>IF(Q$5&lt;ControlPanel!$D$59,Q338,Q328)</f>
        <v>7.5227703000000012E-3</v>
      </c>
      <c r="R348" s="332">
        <f>IF(R$5&lt;ControlPanel!$D$59,R338,R328)</f>
        <v>2.2051409999999997E-2</v>
      </c>
      <c r="S348" s="332">
        <f>IF(S$5&lt;ControlPanel!$D$59,S338,S328)</f>
        <v>4.6701358174630815E-2</v>
      </c>
      <c r="T348" s="332">
        <f>IF(T$5&lt;ControlPanel!$D$59,T338,T328)</f>
        <v>5.0535991209976844E-2</v>
      </c>
      <c r="U348" s="332">
        <f>IF(U$5&lt;ControlPanel!$D$59,U338,U328)</f>
        <v>6.2705406958587367E-2</v>
      </c>
      <c r="V348" s="333">
        <f>IF(V$5&lt;ControlPanel!$D$59,V338,V328)</f>
        <v>7.5609291715187724E-2</v>
      </c>
      <c r="W348" s="332">
        <f>IF(W$5&lt;ControlPanel!$D$59,W338,W328)</f>
        <v>8.4087936758332718E-2</v>
      </c>
      <c r="X348" s="332">
        <f>IF(X$5&lt;ControlPanel!$D$59,X338,X328)</f>
        <v>8.6358154876581938E-2</v>
      </c>
      <c r="Y348" s="332">
        <f>IF(Y$5&lt;ControlPanel!$D$59,Y338,Y328)</f>
        <v>8.8638454585243415E-2</v>
      </c>
      <c r="Z348" s="332">
        <f>IF(Z$5&lt;ControlPanel!$D$59,Z338,Z328)</f>
        <v>9.0650676030572336E-2</v>
      </c>
      <c r="AA348" s="332">
        <f>IF(AA$5&lt;ControlPanel!$D$59,AA338,AA328)</f>
        <v>9.3198192673609154E-2</v>
      </c>
      <c r="AB348" s="332">
        <f>IF(AB$5&lt;ControlPanel!$D$59,AB338,AB328)</f>
        <v>9.516827951411326E-2</v>
      </c>
      <c r="AC348" s="332">
        <f>IF(AC$5&lt;ControlPanel!$D$59,AC338,AC328)</f>
        <v>9.3064903032444884E-2</v>
      </c>
      <c r="AD348" s="332">
        <f>IF(AD$5&lt;ControlPanel!$D$59,AD338,AD328)</f>
        <v>9.0762385965103526E-2</v>
      </c>
      <c r="AE348" s="333">
        <f>IF(AE$5&lt;ControlPanel!$D$59,AE338,AE328)</f>
        <v>9.1529814999999987E-2</v>
      </c>
      <c r="AF348" s="940"/>
      <c r="AG348" s="940"/>
      <c r="AH348" s="940"/>
      <c r="AI348" s="940"/>
      <c r="AJ348" s="340"/>
      <c r="AK348" s="75"/>
      <c r="AL348" s="75"/>
      <c r="AM348" s="75"/>
      <c r="AN348" s="75"/>
      <c r="AO348" s="75"/>
      <c r="AP348" s="75"/>
      <c r="AQ348" s="75"/>
      <c r="AR348" s="75"/>
    </row>
    <row r="349" spans="1:44" s="301" customFormat="1" ht="12.75" customHeight="1" outlineLevel="2">
      <c r="A349" s="561">
        <v>321</v>
      </c>
      <c r="C349" s="10"/>
      <c r="D349" s="33"/>
      <c r="E349" s="304" t="s">
        <v>24</v>
      </c>
      <c r="F349" s="334">
        <f>IF(F$5&lt;ControlPanel!$D$59,F339,F329)</f>
        <v>2.1178559170288001</v>
      </c>
      <c r="G349" s="332">
        <f>IF(G$5&lt;ControlPanel!$D$59,G339,G329)</f>
        <v>2.1137477995592371</v>
      </c>
      <c r="H349" s="332">
        <f>IF(H$5&lt;ControlPanel!$D$59,H339,H329)</f>
        <v>2.4286296678346999</v>
      </c>
      <c r="I349" s="332">
        <f>IF(I$5&lt;ControlPanel!$D$59,I339,I329)</f>
        <v>2.4982296734125504</v>
      </c>
      <c r="J349" s="332">
        <f>IF(J$5&lt;ControlPanel!$D$59,J339,J329)</f>
        <v>2.1370692271902998</v>
      </c>
      <c r="K349" s="332">
        <f>IF(K$5&lt;ControlPanel!$D$59,K339,K329)</f>
        <v>2.0847258126408099</v>
      </c>
      <c r="L349" s="332">
        <f>IF(L$5&lt;ControlPanel!$D$59,L339,L329)</f>
        <v>2.0939042314399998</v>
      </c>
      <c r="M349" s="332">
        <f>IF(M$5&lt;ControlPanel!$D$59,M339,M329)</f>
        <v>1.9391266764967501</v>
      </c>
      <c r="N349" s="332">
        <f>IF(N$5&lt;ControlPanel!$D$59,N339,N329)</f>
        <v>2.3916418348726998</v>
      </c>
      <c r="O349" s="332">
        <f>IF(O$5&lt;ControlPanel!$D$59,O339,O329)</f>
        <v>3.1178115079337601</v>
      </c>
      <c r="P349" s="332">
        <f>IF(P$5&lt;ControlPanel!$D$59,P339,P329)</f>
        <v>3.8547571148388795</v>
      </c>
      <c r="Q349" s="332">
        <f>IF(Q$5&lt;ControlPanel!$D$59,Q339,Q329)</f>
        <v>3.0320963474287397</v>
      </c>
      <c r="R349" s="332">
        <f>IF(R$5&lt;ControlPanel!$D$59,R339,R329)</f>
        <v>5.5858060100552756</v>
      </c>
      <c r="S349" s="332">
        <f>IF(S$5&lt;ControlPanel!$D$59,S339,S329)</f>
        <v>7.8544308134469443</v>
      </c>
      <c r="T349" s="332">
        <f>IF(T$5&lt;ControlPanel!$D$59,T339,T329)</f>
        <v>6.5759586655901616</v>
      </c>
      <c r="U349" s="332">
        <f>IF(U$5&lt;ControlPanel!$D$59,U339,U329)</f>
        <v>6.2270572132952839</v>
      </c>
      <c r="V349" s="333">
        <f>IF(V$5&lt;ControlPanel!$D$59,V339,V329)</f>
        <v>6.4230705925351232</v>
      </c>
      <c r="W349" s="332">
        <f>IF(W$5&lt;ControlPanel!$D$59,W339,W329)</f>
        <v>6.3526003570882086</v>
      </c>
      <c r="X349" s="332">
        <f>IF(X$5&lt;ControlPanel!$D$59,X339,X329)</f>
        <v>6.2883630148964071</v>
      </c>
      <c r="Y349" s="332">
        <f>IF(Y$5&lt;ControlPanel!$D$59,Y339,Y329)</f>
        <v>6.3028453104810778</v>
      </c>
      <c r="Z349" s="332">
        <f>IF(Z$5&lt;ControlPanel!$D$59,Z339,Z329)</f>
        <v>6.1709053325628993</v>
      </c>
      <c r="AA349" s="332">
        <f>IF(AA$5&lt;ControlPanel!$D$59,AA339,AA329)</f>
        <v>6.1345955256946256</v>
      </c>
      <c r="AB349" s="332">
        <f>IF(AB$5&lt;ControlPanel!$D$59,AB339,AB329)</f>
        <v>6.018217679280184</v>
      </c>
      <c r="AC349" s="332">
        <f>IF(AC$5&lt;ControlPanel!$D$59,AC339,AC329)</f>
        <v>5.853771868703797</v>
      </c>
      <c r="AD349" s="332">
        <f>IF(AD$5&lt;ControlPanel!$D$59,AD339,AD329)</f>
        <v>5.6420928074038175</v>
      </c>
      <c r="AE349" s="333">
        <f>IF(AE$5&lt;ControlPanel!$D$59,AE339,AE329)</f>
        <v>5.0260056969053961</v>
      </c>
      <c r="AF349" s="940"/>
      <c r="AG349" s="940"/>
      <c r="AH349" s="940"/>
      <c r="AI349" s="940"/>
      <c r="AJ349" s="345"/>
      <c r="AK349" s="75"/>
      <c r="AL349" s="75"/>
      <c r="AM349" s="75"/>
      <c r="AN349" s="75"/>
      <c r="AO349" s="75"/>
      <c r="AP349" s="75"/>
      <c r="AQ349" s="75"/>
      <c r="AR349" s="75"/>
    </row>
    <row r="350" spans="1:44" s="301" customFormat="1" ht="12.75" customHeight="1" outlineLevel="2">
      <c r="A350" s="561">
        <v>322</v>
      </c>
      <c r="C350" s="10"/>
      <c r="D350" s="33"/>
      <c r="E350" s="304" t="s">
        <v>26</v>
      </c>
      <c r="F350" s="334">
        <f>IF(F$5&lt;ControlPanel!$D$59,F340,F330)</f>
        <v>2.9034835018800002E-2</v>
      </c>
      <c r="G350" s="332">
        <f>IF(G$5&lt;ControlPanel!$D$59,G340,G330)</f>
        <v>4.771344804335579E-2</v>
      </c>
      <c r="H350" s="332">
        <f>IF(H$5&lt;ControlPanel!$D$59,H340,H330)</f>
        <v>7.6680883025999999E-2</v>
      </c>
      <c r="I350" s="332">
        <f>IF(I$5&lt;ControlPanel!$D$59,I340,I330)</f>
        <v>0.12718753755509998</v>
      </c>
      <c r="J350" s="332">
        <f>IF(J$5&lt;ControlPanel!$D$59,J340,J330)</f>
        <v>0.28150043965380001</v>
      </c>
      <c r="K350" s="332">
        <f>IF(K$5&lt;ControlPanel!$D$59,K340,K330)</f>
        <v>0.37479973</v>
      </c>
      <c r="L350" s="332">
        <f>IF(L$5&lt;ControlPanel!$D$59,L340,L330)</f>
        <v>0.47237686600000001</v>
      </c>
      <c r="M350" s="332">
        <f>IF(M$5&lt;ControlPanel!$D$59,M340,M330)</f>
        <v>0.49372291699999998</v>
      </c>
      <c r="N350" s="332">
        <f>IF(N$5&lt;ControlPanel!$D$59,N340,N330)</f>
        <v>0.64209140899999995</v>
      </c>
      <c r="O350" s="332">
        <f>IF(O$5&lt;ControlPanel!$D$59,O340,O330)</f>
        <v>0.96796362800000002</v>
      </c>
      <c r="P350" s="332">
        <f>IF(P$5&lt;ControlPanel!$D$59,P340,P330)</f>
        <v>1.165232292</v>
      </c>
      <c r="Q350" s="332">
        <f>IF(Q$5&lt;ControlPanel!$D$59,Q340,Q330)</f>
        <v>0.91908276599999983</v>
      </c>
      <c r="R350" s="332">
        <f>IF(R$5&lt;ControlPanel!$D$59,R340,R330)</f>
        <v>1.8006780360000001</v>
      </c>
      <c r="S350" s="332">
        <f>IF(S$5&lt;ControlPanel!$D$59,S340,S330)</f>
        <v>2.515394327628163</v>
      </c>
      <c r="T350" s="332">
        <f>IF(T$5&lt;ControlPanel!$D$59,T340,T330)</f>
        <v>2.3471583358207697</v>
      </c>
      <c r="U350" s="332">
        <f>IF(U$5&lt;ControlPanel!$D$59,U340,U330)</f>
        <v>2.4915373928982438</v>
      </c>
      <c r="V350" s="333">
        <f>IF(V$5&lt;ControlPanel!$D$59,V340,V330)</f>
        <v>2.7270708338133312</v>
      </c>
      <c r="W350" s="332">
        <f>IF(W$5&lt;ControlPanel!$D$59,W340,W330)</f>
        <v>2.9190867784762728</v>
      </c>
      <c r="X350" s="332">
        <f>IF(X$5&lt;ControlPanel!$D$59,X340,X330)</f>
        <v>3.0805737065969958</v>
      </c>
      <c r="Y350" s="332">
        <f>IF(Y$5&lt;ControlPanel!$D$59,Y340,Y330)</f>
        <v>3.2316839462847433</v>
      </c>
      <c r="Z350" s="332">
        <f>IF(Z$5&lt;ControlPanel!$D$59,Z340,Z330)</f>
        <v>3.3797102552505449</v>
      </c>
      <c r="AA350" s="332">
        <f>IF(AA$5&lt;ControlPanel!$D$59,AA340,AA330)</f>
        <v>3.5107081377971445</v>
      </c>
      <c r="AB350" s="332">
        <f>IF(AB$5&lt;ControlPanel!$D$59,AB340,AB330)</f>
        <v>3.5980497620170859</v>
      </c>
      <c r="AC350" s="332">
        <f>IF(AC$5&lt;ControlPanel!$D$59,AC340,AC330)</f>
        <v>3.6779669089691862</v>
      </c>
      <c r="AD350" s="332">
        <f>IF(AD$5&lt;ControlPanel!$D$59,AD340,AD330)</f>
        <v>3.7183927728630932</v>
      </c>
      <c r="AE350" s="333">
        <f>IF(AE$5&lt;ControlPanel!$D$59,AE340,AE330)</f>
        <v>3.6028192192909083</v>
      </c>
      <c r="AF350" s="940"/>
      <c r="AG350" s="940"/>
      <c r="AH350" s="940"/>
      <c r="AI350" s="940"/>
      <c r="AJ350" s="345"/>
      <c r="AK350" s="75"/>
      <c r="AL350" s="75"/>
      <c r="AM350" s="75"/>
      <c r="AN350" s="75"/>
      <c r="AO350" s="75"/>
      <c r="AP350" s="75"/>
      <c r="AQ350" s="75"/>
      <c r="AR350" s="75"/>
    </row>
    <row r="351" spans="1:44" s="301" customFormat="1" ht="12.75" customHeight="1" outlineLevel="2">
      <c r="A351" s="561">
        <v>323</v>
      </c>
      <c r="C351" s="10"/>
      <c r="D351" s="33"/>
      <c r="E351" s="305" t="s">
        <v>74</v>
      </c>
      <c r="F351" s="310">
        <f>IF(F$5&lt;ControlPanel!$D$59,F341,F331)</f>
        <v>0.53410125849599999</v>
      </c>
      <c r="G351" s="309">
        <f>IF(G$5&lt;ControlPanel!$D$59,G341,G331)</f>
        <v>1.1811626028345956</v>
      </c>
      <c r="H351" s="309">
        <f>IF(H$5&lt;ControlPanel!$D$59,H341,H331)</f>
        <v>1.3573761625877201</v>
      </c>
      <c r="I351" s="309">
        <f>IF(I$5&lt;ControlPanel!$D$59,I341,I331)</f>
        <v>1.6225724000870998</v>
      </c>
      <c r="J351" s="309">
        <f>IF(J$5&lt;ControlPanel!$D$59,J341,J331)</f>
        <v>1.4166823516922997</v>
      </c>
      <c r="K351" s="309">
        <f>IF(K$5&lt;ControlPanel!$D$59,K341,K331)</f>
        <v>1.05277772906055</v>
      </c>
      <c r="L351" s="309">
        <f>IF(L$5&lt;ControlPanel!$D$59,L341,L331)</f>
        <v>1.058441826388</v>
      </c>
      <c r="M351" s="309">
        <f>IF(M$5&lt;ControlPanel!$D$59,M341,M331)</f>
        <v>0.91974929968274977</v>
      </c>
      <c r="N351" s="309">
        <f>IF(N$5&lt;ControlPanel!$D$59,N341,N331)</f>
        <v>1.1142166543900001</v>
      </c>
      <c r="O351" s="309">
        <f>IF(O$5&lt;ControlPanel!$D$59,O341,O331)</f>
        <v>1.6898639748521196</v>
      </c>
      <c r="P351" s="309">
        <f>IF(P$5&lt;ControlPanel!$D$59,P341,P331)</f>
        <v>1.81153974393616</v>
      </c>
      <c r="Q351" s="309">
        <f>IF(Q$5&lt;ControlPanel!$D$59,Q341,Q331)</f>
        <v>1.5664986330043003</v>
      </c>
      <c r="R351" s="309">
        <f>IF(R$5&lt;ControlPanel!$D$59,R341,R331)</f>
        <v>3.3516383603677102</v>
      </c>
      <c r="S351" s="309">
        <f>IF(S$5&lt;ControlPanel!$D$59,S341,S331)</f>
        <v>4.752145200943974</v>
      </c>
      <c r="T351" s="309">
        <f>IF(T$5&lt;ControlPanel!$D$59,T341,T331)</f>
        <v>4.2185712382898473</v>
      </c>
      <c r="U351" s="309">
        <f>IF(U$5&lt;ControlPanel!$D$59,U341,U331)</f>
        <v>4.3063627879004009</v>
      </c>
      <c r="V351" s="56">
        <f>IF(V$5&lt;ControlPanel!$D$59,V341,V331)</f>
        <v>4.3830914566384456</v>
      </c>
      <c r="W351" s="309">
        <f>IF(W$5&lt;ControlPanel!$D$59,W341,W331)</f>
        <v>4.4329965493988688</v>
      </c>
      <c r="X351" s="309">
        <f>IF(X$5&lt;ControlPanel!$D$59,X341,X331)</f>
        <v>4.3197446980947287</v>
      </c>
      <c r="Y351" s="309">
        <f>IF(Y$5&lt;ControlPanel!$D$59,Y341,Y331)</f>
        <v>4.1802235657591584</v>
      </c>
      <c r="Z351" s="309">
        <f>IF(Z$5&lt;ControlPanel!$D$59,Z341,Z331)</f>
        <v>3.9565686811500074</v>
      </c>
      <c r="AA351" s="309">
        <f>IF(AA$5&lt;ControlPanel!$D$59,AA341,AA331)</f>
        <v>3.6002938750269582</v>
      </c>
      <c r="AB351" s="309">
        <f>IF(AB$5&lt;ControlPanel!$D$59,AB341,AB331)</f>
        <v>3.2278132301381031</v>
      </c>
      <c r="AC351" s="309">
        <f>IF(AC$5&lt;ControlPanel!$D$59,AC341,AC331)</f>
        <v>2.914455055160226</v>
      </c>
      <c r="AD351" s="309">
        <f>IF(AD$5&lt;ControlPanel!$D$59,AD341,AD331)</f>
        <v>2.7552620267458106</v>
      </c>
      <c r="AE351" s="56">
        <f>IF(AE$5&lt;ControlPanel!$D$59,AE341,AE331)</f>
        <v>2.8067411578326298</v>
      </c>
      <c r="AF351" s="940"/>
      <c r="AG351" s="940"/>
      <c r="AH351" s="940"/>
      <c r="AI351" s="940"/>
      <c r="AJ351" s="345"/>
      <c r="AK351" s="75"/>
      <c r="AL351" s="75"/>
      <c r="AM351" s="75"/>
      <c r="AN351" s="75"/>
      <c r="AO351" s="75"/>
      <c r="AP351" s="75"/>
      <c r="AQ351" s="75"/>
      <c r="AR351" s="75"/>
    </row>
    <row r="352" spans="1:44" s="301" customFormat="1" ht="12.75" customHeight="1" outlineLevel="1">
      <c r="A352" s="561">
        <v>324</v>
      </c>
      <c r="C352" s="10"/>
      <c r="D352" s="33"/>
      <c r="E352" s="27" t="s">
        <v>55</v>
      </c>
      <c r="F352" s="325">
        <f t="shared" ref="F352:M352" si="94">SUM(F345:F351)</f>
        <v>4.4824141775036006</v>
      </c>
      <c r="G352" s="325">
        <f t="shared" si="94"/>
        <v>4.6945756813497583</v>
      </c>
      <c r="H352" s="325">
        <f t="shared" si="94"/>
        <v>5.8113422360826803</v>
      </c>
      <c r="I352" s="325">
        <f t="shared" si="94"/>
        <v>6.3138827312054993</v>
      </c>
      <c r="J352" s="325">
        <f t="shared" si="94"/>
        <v>5.5473089725349993</v>
      </c>
      <c r="K352" s="325">
        <f t="shared" si="94"/>
        <v>5.1368833420913607</v>
      </c>
      <c r="L352" s="325">
        <f>SUM(L345:L351)</f>
        <v>5.1302280415879995</v>
      </c>
      <c r="M352" s="325">
        <f t="shared" si="94"/>
        <v>4.6566985399294998</v>
      </c>
      <c r="N352" s="326">
        <f t="shared" ref="N352" si="95">SUM(N345:N351)</f>
        <v>5.6775147903626992</v>
      </c>
      <c r="O352" s="300">
        <f t="shared" ref="O352:P352" si="96">SUM(O345:O351)</f>
        <v>7.8038563548258795</v>
      </c>
      <c r="P352" s="325">
        <f t="shared" si="96"/>
        <v>9.036454358955039</v>
      </c>
      <c r="Q352" s="325">
        <f t="shared" ref="Q352:AE352" si="97">SUM(Q345:Q351)</f>
        <v>7.2057803588330405</v>
      </c>
      <c r="R352" s="325">
        <f t="shared" si="97"/>
        <v>13.606360407022986</v>
      </c>
      <c r="S352" s="325">
        <f t="shared" si="97"/>
        <v>19.91592039644965</v>
      </c>
      <c r="T352" s="325">
        <f t="shared" si="97"/>
        <v>17.123223400039812</v>
      </c>
      <c r="U352" s="325">
        <f t="shared" si="97"/>
        <v>16.824378513966327</v>
      </c>
      <c r="V352" s="325">
        <f t="shared" si="97"/>
        <v>17.116426038859654</v>
      </c>
      <c r="W352" s="325">
        <f t="shared" si="97"/>
        <v>17.026312147271149</v>
      </c>
      <c r="X352" s="325">
        <f t="shared" si="97"/>
        <v>16.790080632975677</v>
      </c>
      <c r="Y352" s="325">
        <f t="shared" si="97"/>
        <v>16.711837703239521</v>
      </c>
      <c r="Z352" s="325">
        <f t="shared" si="97"/>
        <v>16.337727932703412</v>
      </c>
      <c r="AA352" s="325">
        <f t="shared" si="97"/>
        <v>15.847107902623689</v>
      </c>
      <c r="AB352" s="325">
        <f t="shared" si="97"/>
        <v>15.055404151280349</v>
      </c>
      <c r="AC352" s="325">
        <f t="shared" si="97"/>
        <v>14.552385303789958</v>
      </c>
      <c r="AD352" s="325">
        <f t="shared" si="97"/>
        <v>14.119670192961355</v>
      </c>
      <c r="AE352" s="326">
        <f t="shared" si="97"/>
        <v>13.394493399456429</v>
      </c>
      <c r="AF352" s="940"/>
      <c r="AG352" s="940"/>
      <c r="AH352" s="940"/>
      <c r="AI352" s="940"/>
      <c r="AJ352" s="345"/>
    </row>
    <row r="353" spans="1:47" s="301" customFormat="1" ht="12.75" customHeight="1" outlineLevel="1">
      <c r="A353" s="561">
        <v>325</v>
      </c>
      <c r="C353" s="10"/>
      <c r="D353" s="29"/>
      <c r="E353" s="322"/>
      <c r="F353" s="331"/>
      <c r="G353" s="331"/>
      <c r="H353" s="331"/>
      <c r="I353" s="331"/>
      <c r="J353" s="331"/>
      <c r="K353" s="331"/>
      <c r="L353" s="331"/>
      <c r="M353" s="331"/>
      <c r="N353" s="349"/>
      <c r="O353" s="296"/>
      <c r="P353" s="331"/>
      <c r="Q353" s="331"/>
      <c r="R353" s="331"/>
      <c r="S353" s="331"/>
      <c r="T353" s="331"/>
      <c r="U353" s="331"/>
      <c r="V353" s="331"/>
      <c r="W353" s="331"/>
      <c r="X353" s="331"/>
      <c r="Y353" s="331"/>
      <c r="Z353" s="331"/>
      <c r="AA353" s="331"/>
      <c r="AB353" s="331"/>
      <c r="AC353" s="331"/>
      <c r="AD353" s="331"/>
      <c r="AE353" s="331"/>
      <c r="AF353" s="940"/>
      <c r="AG353" s="940"/>
      <c r="AH353" s="940"/>
      <c r="AI353" s="940"/>
      <c r="AJ353" s="345"/>
    </row>
    <row r="354" spans="1:47" s="301" customFormat="1" ht="63.75" outlineLevel="1">
      <c r="A354" s="561">
        <v>326</v>
      </c>
      <c r="C354" s="10"/>
      <c r="D354" s="29"/>
      <c r="E354" s="322" t="s">
        <v>437</v>
      </c>
      <c r="F354" s="331"/>
      <c r="G354" s="331"/>
      <c r="H354" s="331"/>
      <c r="I354" s="331"/>
      <c r="J354" s="331"/>
      <c r="K354" s="331"/>
      <c r="L354" s="331"/>
      <c r="M354" s="331"/>
      <c r="N354" s="349"/>
      <c r="O354" s="296"/>
      <c r="P354" s="331"/>
      <c r="Q354" s="331"/>
      <c r="R354" s="331"/>
      <c r="S354" s="331"/>
      <c r="T354" s="331"/>
      <c r="U354" s="331"/>
      <c r="V354" s="331"/>
      <c r="W354" s="331"/>
      <c r="X354" s="331"/>
      <c r="Y354" s="331"/>
      <c r="Z354" s="331"/>
      <c r="AA354" s="331"/>
      <c r="AB354" s="331"/>
      <c r="AC354" s="331"/>
      <c r="AD354" s="331"/>
      <c r="AE354" s="331"/>
      <c r="AF354" s="940" t="s">
        <v>432</v>
      </c>
      <c r="AG354" s="940"/>
      <c r="AH354" s="940"/>
      <c r="AI354" s="940"/>
      <c r="AJ354" s="345" t="s">
        <v>405</v>
      </c>
    </row>
    <row r="355" spans="1:47" s="301" customFormat="1" ht="12.75" customHeight="1" outlineLevel="2">
      <c r="A355" s="561">
        <v>327</v>
      </c>
      <c r="C355" s="10"/>
      <c r="D355" s="29"/>
      <c r="E355" s="302" t="s">
        <v>25</v>
      </c>
      <c r="F355" s="323">
        <f t="shared" ref="F355:AE355" si="98">F83*F47</f>
        <v>0</v>
      </c>
      <c r="G355" s="323">
        <f t="shared" si="98"/>
        <v>0</v>
      </c>
      <c r="H355" s="323">
        <f t="shared" si="98"/>
        <v>0</v>
      </c>
      <c r="I355" s="323">
        <f t="shared" si="98"/>
        <v>0</v>
      </c>
      <c r="J355" s="323">
        <f t="shared" si="98"/>
        <v>0.59286870539361292</v>
      </c>
      <c r="K355" s="323">
        <f t="shared" si="98"/>
        <v>0.59589834152286625</v>
      </c>
      <c r="L355" s="323">
        <f t="shared" si="98"/>
        <v>0.59589834152286625</v>
      </c>
      <c r="M355" s="323">
        <f t="shared" si="98"/>
        <v>0.59589834152286625</v>
      </c>
      <c r="N355" s="324">
        <f t="shared" si="98"/>
        <v>0.59589834152286625</v>
      </c>
      <c r="O355" s="327">
        <f t="shared" si="98"/>
        <v>0.59589834152286625</v>
      </c>
      <c r="P355" s="323">
        <f t="shared" si="98"/>
        <v>0.59589834152286625</v>
      </c>
      <c r="Q355" s="323">
        <f t="shared" si="98"/>
        <v>0.59589834152286625</v>
      </c>
      <c r="R355" s="323">
        <f t="shared" si="98"/>
        <v>0.59589834152286625</v>
      </c>
      <c r="S355" s="323">
        <f t="shared" si="98"/>
        <v>0.59589834152286625</v>
      </c>
      <c r="T355" s="323">
        <f t="shared" si="98"/>
        <v>0.59589834152286625</v>
      </c>
      <c r="U355" s="323">
        <f t="shared" si="98"/>
        <v>0.59589834152286625</v>
      </c>
      <c r="V355" s="323">
        <f t="shared" si="98"/>
        <v>0.59589834152286625</v>
      </c>
      <c r="W355" s="323">
        <f t="shared" si="98"/>
        <v>0.59589834152286625</v>
      </c>
      <c r="X355" s="323">
        <f t="shared" si="98"/>
        <v>0.59589834152286625</v>
      </c>
      <c r="Y355" s="323">
        <f t="shared" si="98"/>
        <v>0.59589834152286625</v>
      </c>
      <c r="Z355" s="323">
        <f t="shared" si="98"/>
        <v>0.54195695216777517</v>
      </c>
      <c r="AA355" s="323">
        <f t="shared" si="98"/>
        <v>0.50533948832503828</v>
      </c>
      <c r="AB355" s="323">
        <f t="shared" si="98"/>
        <v>0.47262537548595118</v>
      </c>
      <c r="AC355" s="323">
        <f t="shared" si="98"/>
        <v>0.45094447604902621</v>
      </c>
      <c r="AD355" s="323">
        <f t="shared" si="98"/>
        <v>0.40388984807890255</v>
      </c>
      <c r="AE355" s="324">
        <f t="shared" si="98"/>
        <v>0.39783057582039583</v>
      </c>
      <c r="AF355" s="940" t="s">
        <v>432</v>
      </c>
      <c r="AG355" s="940"/>
      <c r="AH355" s="940"/>
      <c r="AI355" s="940"/>
      <c r="AJ355" s="345" t="s">
        <v>467</v>
      </c>
    </row>
    <row r="356" spans="1:47" s="301" customFormat="1" ht="12.75" customHeight="1" outlineLevel="2">
      <c r="A356" s="561">
        <v>328</v>
      </c>
      <c r="C356" s="10"/>
      <c r="D356" s="29"/>
      <c r="E356" s="304" t="s">
        <v>50</v>
      </c>
      <c r="F356" s="332">
        <f t="shared" ref="F356:AE356" si="99">F84*F48</f>
        <v>0</v>
      </c>
      <c r="G356" s="332">
        <f t="shared" si="99"/>
        <v>0</v>
      </c>
      <c r="H356" s="332">
        <f t="shared" si="99"/>
        <v>0</v>
      </c>
      <c r="I356" s="332">
        <f t="shared" si="99"/>
        <v>0</v>
      </c>
      <c r="J356" s="332">
        <f t="shared" si="99"/>
        <v>0.10088070045763399</v>
      </c>
      <c r="K356" s="332">
        <f t="shared" si="99"/>
        <v>0.10116121574165485</v>
      </c>
      <c r="L356" s="332">
        <f t="shared" si="99"/>
        <v>0.10116121574165485</v>
      </c>
      <c r="M356" s="332">
        <f t="shared" si="99"/>
        <v>0.10116121574165485</v>
      </c>
      <c r="N356" s="333">
        <f t="shared" si="99"/>
        <v>0.10116121574165485</v>
      </c>
      <c r="O356" s="334">
        <f t="shared" si="99"/>
        <v>0.10116121574165485</v>
      </c>
      <c r="P356" s="332">
        <f t="shared" si="99"/>
        <v>0.10116121574165485</v>
      </c>
      <c r="Q356" s="332">
        <f t="shared" si="99"/>
        <v>7.9133545585612253E-2</v>
      </c>
      <c r="R356" s="332">
        <f t="shared" si="99"/>
        <v>7.1727150881228011E-2</v>
      </c>
      <c r="S356" s="332">
        <f t="shared" si="99"/>
        <v>5.2864086060311559E-2</v>
      </c>
      <c r="T356" s="332">
        <f t="shared" si="99"/>
        <v>3.1357929537542545E-2</v>
      </c>
      <c r="U356" s="332">
        <f t="shared" si="99"/>
        <v>1.1322285335139877E-2</v>
      </c>
      <c r="V356" s="332">
        <f t="shared" si="99"/>
        <v>9.0650761329917826E-3</v>
      </c>
      <c r="W356" s="332">
        <f t="shared" si="99"/>
        <v>7.244575089586645E-3</v>
      </c>
      <c r="X356" s="332">
        <f t="shared" si="99"/>
        <v>6.9699990613540114E-3</v>
      </c>
      <c r="Y356" s="332">
        <f t="shared" si="99"/>
        <v>6.741430146899088E-3</v>
      </c>
      <c r="Z356" s="332">
        <f t="shared" si="99"/>
        <v>3.8404013457238352E-3</v>
      </c>
      <c r="AA356" s="332">
        <f t="shared" si="99"/>
        <v>3.1931576106920341E-3</v>
      </c>
      <c r="AB356" s="332">
        <f t="shared" si="99"/>
        <v>1.0846120363654757E-3</v>
      </c>
      <c r="AC356" s="332">
        <f t="shared" si="99"/>
        <v>8.5736373947492236E-4</v>
      </c>
      <c r="AD356" s="332">
        <f t="shared" si="99"/>
        <v>5.6103056804173075E-4</v>
      </c>
      <c r="AE356" s="333">
        <f t="shared" si="99"/>
        <v>0</v>
      </c>
      <c r="AF356" s="940" t="s">
        <v>432</v>
      </c>
      <c r="AG356" s="940"/>
      <c r="AH356" s="940"/>
      <c r="AI356" s="940"/>
      <c r="AJ356" s="345"/>
    </row>
    <row r="357" spans="1:47" s="301" customFormat="1" ht="12.75" customHeight="1" outlineLevel="2">
      <c r="A357" s="561">
        <v>329</v>
      </c>
      <c r="C357" s="10"/>
      <c r="D357" s="29"/>
      <c r="E357" s="304" t="s">
        <v>13</v>
      </c>
      <c r="F357" s="332">
        <f t="shared" ref="F357:AE357" si="100">F85*F49</f>
        <v>0</v>
      </c>
      <c r="G357" s="332">
        <f t="shared" si="100"/>
        <v>0</v>
      </c>
      <c r="H357" s="332">
        <f t="shared" si="100"/>
        <v>0</v>
      </c>
      <c r="I357" s="332">
        <f t="shared" si="100"/>
        <v>0</v>
      </c>
      <c r="J357" s="332">
        <f t="shared" si="100"/>
        <v>7.2799949454380881</v>
      </c>
      <c r="K357" s="332">
        <f t="shared" si="100"/>
        <v>7.2822097617115737</v>
      </c>
      <c r="L357" s="332">
        <f t="shared" si="100"/>
        <v>7.2822097617115737</v>
      </c>
      <c r="M357" s="332">
        <f t="shared" si="100"/>
        <v>7.2822097617115737</v>
      </c>
      <c r="N357" s="333">
        <f t="shared" si="100"/>
        <v>7.2822097617115737</v>
      </c>
      <c r="O357" s="334">
        <f t="shared" si="100"/>
        <v>7.2822097617115737</v>
      </c>
      <c r="P357" s="332">
        <f t="shared" si="100"/>
        <v>7.2822097617115737</v>
      </c>
      <c r="Q357" s="332">
        <f t="shared" si="100"/>
        <v>7.1835599193497597</v>
      </c>
      <c r="R357" s="332">
        <f t="shared" si="100"/>
        <v>7.0063821479103723</v>
      </c>
      <c r="S357" s="332">
        <f t="shared" si="100"/>
        <v>6.8884682715222976</v>
      </c>
      <c r="T357" s="332">
        <f t="shared" si="100"/>
        <v>6.7127656435478675</v>
      </c>
      <c r="U357" s="332">
        <f t="shared" si="100"/>
        <v>6.2423181166542427</v>
      </c>
      <c r="V357" s="332">
        <f t="shared" si="100"/>
        <v>5.4761455165830508</v>
      </c>
      <c r="W357" s="332">
        <f t="shared" si="100"/>
        <v>4.5511637155272862</v>
      </c>
      <c r="X357" s="332">
        <f t="shared" si="100"/>
        <v>3.8293232180234993</v>
      </c>
      <c r="Y357" s="332">
        <f t="shared" si="100"/>
        <v>3.4436416618349535</v>
      </c>
      <c r="Z357" s="332">
        <f t="shared" si="100"/>
        <v>2.9305329049374462</v>
      </c>
      <c r="AA357" s="332">
        <f t="shared" si="100"/>
        <v>2.1644259699180277</v>
      </c>
      <c r="AB357" s="332">
        <f t="shared" si="100"/>
        <v>0.89513810954450024</v>
      </c>
      <c r="AC357" s="332">
        <f t="shared" si="100"/>
        <v>0.51884364039180542</v>
      </c>
      <c r="AD357" s="332">
        <f t="shared" si="100"/>
        <v>0.23001388790139352</v>
      </c>
      <c r="AE357" s="333">
        <f t="shared" si="100"/>
        <v>0</v>
      </c>
      <c r="AF357" s="940" t="s">
        <v>432</v>
      </c>
      <c r="AG357" s="940"/>
      <c r="AH357" s="940"/>
      <c r="AI357" s="940"/>
      <c r="AJ357" s="345"/>
    </row>
    <row r="358" spans="1:47" s="301" customFormat="1" ht="12.75" customHeight="1" outlineLevel="2">
      <c r="A358" s="561">
        <v>330</v>
      </c>
      <c r="C358" s="10"/>
      <c r="D358" s="29"/>
      <c r="E358" s="304" t="s">
        <v>12</v>
      </c>
      <c r="F358" s="332">
        <f t="shared" ref="F358:AE358" si="101">F86*F50</f>
        <v>0</v>
      </c>
      <c r="G358" s="332">
        <f t="shared" si="101"/>
        <v>0</v>
      </c>
      <c r="H358" s="332">
        <f t="shared" si="101"/>
        <v>0</v>
      </c>
      <c r="I358" s="332">
        <f t="shared" si="101"/>
        <v>0</v>
      </c>
      <c r="J358" s="332">
        <f t="shared" si="101"/>
        <v>3.5347562923361824E-2</v>
      </c>
      <c r="K358" s="332">
        <f t="shared" si="101"/>
        <v>3.7412390998028656E-2</v>
      </c>
      <c r="L358" s="332">
        <f t="shared" si="101"/>
        <v>3.7412390998028656E-2</v>
      </c>
      <c r="M358" s="332">
        <f t="shared" si="101"/>
        <v>3.7412390998028656E-2</v>
      </c>
      <c r="N358" s="333">
        <f t="shared" si="101"/>
        <v>3.7412390998028656E-2</v>
      </c>
      <c r="O358" s="334">
        <f t="shared" si="101"/>
        <v>3.7412390998028656E-2</v>
      </c>
      <c r="P358" s="332">
        <f t="shared" si="101"/>
        <v>3.7412390998028656E-2</v>
      </c>
      <c r="Q358" s="332">
        <f t="shared" si="101"/>
        <v>3.7412390998028656E-2</v>
      </c>
      <c r="R358" s="332">
        <f t="shared" si="101"/>
        <v>3.7412390998028656E-2</v>
      </c>
      <c r="S358" s="332">
        <f t="shared" si="101"/>
        <v>3.7412390998028656E-2</v>
      </c>
      <c r="T358" s="332">
        <f t="shared" si="101"/>
        <v>3.7412390998028656E-2</v>
      </c>
      <c r="U358" s="332">
        <f t="shared" si="101"/>
        <v>3.7412390998028656E-2</v>
      </c>
      <c r="V358" s="332">
        <f t="shared" si="101"/>
        <v>3.7412390998028656E-2</v>
      </c>
      <c r="W358" s="332">
        <f t="shared" si="101"/>
        <v>3.7412390998028656E-2</v>
      </c>
      <c r="X358" s="332">
        <f t="shared" si="101"/>
        <v>3.7412390998028656E-2</v>
      </c>
      <c r="Y358" s="332">
        <f t="shared" si="101"/>
        <v>3.7412390998028656E-2</v>
      </c>
      <c r="Z358" s="332">
        <f t="shared" si="101"/>
        <v>3.5255721675931898E-2</v>
      </c>
      <c r="AA358" s="332">
        <f t="shared" si="101"/>
        <v>3.5255721675931898E-2</v>
      </c>
      <c r="AB358" s="332">
        <f t="shared" si="101"/>
        <v>3.5255721675931898E-2</v>
      </c>
      <c r="AC358" s="332">
        <f t="shared" si="101"/>
        <v>2.0118844946834122E-2</v>
      </c>
      <c r="AD358" s="332">
        <f t="shared" si="101"/>
        <v>4.1296561493336659E-3</v>
      </c>
      <c r="AE358" s="333">
        <f t="shared" si="101"/>
        <v>0</v>
      </c>
      <c r="AF358" s="940" t="s">
        <v>432</v>
      </c>
      <c r="AG358" s="940"/>
      <c r="AH358" s="940"/>
      <c r="AI358" s="940"/>
      <c r="AJ358" s="345"/>
    </row>
    <row r="359" spans="1:47" s="301" customFormat="1" ht="12.75" customHeight="1" outlineLevel="2">
      <c r="A359" s="561">
        <v>331</v>
      </c>
      <c r="C359" s="10"/>
      <c r="D359" s="33"/>
      <c r="E359" s="304" t="s">
        <v>24</v>
      </c>
      <c r="F359" s="332">
        <f t="shared" ref="F359:AE359" si="102">F87*F51</f>
        <v>0</v>
      </c>
      <c r="G359" s="332">
        <f t="shared" si="102"/>
        <v>0</v>
      </c>
      <c r="H359" s="332">
        <f t="shared" si="102"/>
        <v>0</v>
      </c>
      <c r="I359" s="332">
        <f t="shared" si="102"/>
        <v>0</v>
      </c>
      <c r="J359" s="332">
        <f t="shared" si="102"/>
        <v>5.913608732102106</v>
      </c>
      <c r="K359" s="332">
        <f t="shared" si="102"/>
        <v>5.9080181485994006</v>
      </c>
      <c r="L359" s="332">
        <f t="shared" si="102"/>
        <v>5.8559783800617975</v>
      </c>
      <c r="M359" s="332">
        <f t="shared" si="102"/>
        <v>5.7958207532086137</v>
      </c>
      <c r="N359" s="333">
        <f t="shared" si="102"/>
        <v>5.7206040650143537</v>
      </c>
      <c r="O359" s="334">
        <f t="shared" si="102"/>
        <v>5.5391983038891324</v>
      </c>
      <c r="P359" s="332">
        <f t="shared" si="102"/>
        <v>5.3450702699699582</v>
      </c>
      <c r="Q359" s="332">
        <f t="shared" si="102"/>
        <v>5.0040482709215501</v>
      </c>
      <c r="R359" s="332">
        <f t="shared" si="102"/>
        <v>4.5933769461465612</v>
      </c>
      <c r="S359" s="332">
        <f t="shared" si="102"/>
        <v>4.1397134228611003</v>
      </c>
      <c r="T359" s="332">
        <f t="shared" si="102"/>
        <v>3.7472829262103087</v>
      </c>
      <c r="U359" s="332">
        <f t="shared" si="102"/>
        <v>3.4352475905939217</v>
      </c>
      <c r="V359" s="332">
        <f t="shared" si="102"/>
        <v>3.1723216082086347</v>
      </c>
      <c r="W359" s="332">
        <f t="shared" si="102"/>
        <v>2.9186027412083968</v>
      </c>
      <c r="X359" s="332">
        <f t="shared" si="102"/>
        <v>2.5442182293103834</v>
      </c>
      <c r="Y359" s="332">
        <f t="shared" si="102"/>
        <v>2.3488502345062381</v>
      </c>
      <c r="Z359" s="332">
        <f t="shared" si="102"/>
        <v>1.9616616738554147</v>
      </c>
      <c r="AA359" s="332">
        <f t="shared" si="102"/>
        <v>1.6397653312195617</v>
      </c>
      <c r="AB359" s="332">
        <f t="shared" si="102"/>
        <v>1.212221907437363</v>
      </c>
      <c r="AC359" s="332">
        <f t="shared" si="102"/>
        <v>0.62948449664969264</v>
      </c>
      <c r="AD359" s="332">
        <f t="shared" si="102"/>
        <v>0.38775441579484493</v>
      </c>
      <c r="AE359" s="333">
        <f t="shared" si="102"/>
        <v>0</v>
      </c>
      <c r="AF359" s="940" t="s">
        <v>432</v>
      </c>
      <c r="AG359" s="940"/>
      <c r="AH359" s="940"/>
      <c r="AI359" s="940"/>
      <c r="AJ359" s="345"/>
    </row>
    <row r="360" spans="1:47" s="301" customFormat="1" ht="12.75" customHeight="1" outlineLevel="2">
      <c r="A360" s="561">
        <v>332</v>
      </c>
      <c r="C360" s="10"/>
      <c r="D360" s="29"/>
      <c r="E360" s="304" t="s">
        <v>26</v>
      </c>
      <c r="F360" s="332">
        <f t="shared" ref="F360:AE360" si="103">F88*F52</f>
        <v>0</v>
      </c>
      <c r="G360" s="332">
        <f t="shared" si="103"/>
        <v>0</v>
      </c>
      <c r="H360" s="332">
        <f t="shared" si="103"/>
        <v>0</v>
      </c>
      <c r="I360" s="332">
        <f t="shared" si="103"/>
        <v>0</v>
      </c>
      <c r="J360" s="332">
        <f t="shared" si="103"/>
        <v>0.60716545563098923</v>
      </c>
      <c r="K360" s="332">
        <f t="shared" si="103"/>
        <v>0.60356357547678685</v>
      </c>
      <c r="L360" s="332">
        <f t="shared" si="103"/>
        <v>0.60356357547678685</v>
      </c>
      <c r="M360" s="332">
        <f t="shared" si="103"/>
        <v>0.60356357547678685</v>
      </c>
      <c r="N360" s="333">
        <f t="shared" si="103"/>
        <v>0.60356357547678685</v>
      </c>
      <c r="O360" s="334">
        <f t="shared" si="103"/>
        <v>0.60356357547678685</v>
      </c>
      <c r="P360" s="332">
        <f t="shared" si="103"/>
        <v>0.60356357547678685</v>
      </c>
      <c r="Q360" s="332">
        <f t="shared" si="103"/>
        <v>0.59254805064153393</v>
      </c>
      <c r="R360" s="332">
        <f t="shared" si="103"/>
        <v>0.56103308229646875</v>
      </c>
      <c r="S360" s="332">
        <f t="shared" si="103"/>
        <v>0.49277975552190662</v>
      </c>
      <c r="T360" s="332">
        <f t="shared" si="103"/>
        <v>0.46000856913702937</v>
      </c>
      <c r="U360" s="332">
        <f t="shared" si="103"/>
        <v>0.35126853272283842</v>
      </c>
      <c r="V360" s="332">
        <f t="shared" si="103"/>
        <v>0.15540393694483204</v>
      </c>
      <c r="W360" s="332">
        <f t="shared" si="103"/>
        <v>0.10890415353008552</v>
      </c>
      <c r="X360" s="332">
        <f t="shared" si="103"/>
        <v>0.10880177353992368</v>
      </c>
      <c r="Y360" s="332">
        <f t="shared" si="103"/>
        <v>0.10865322218164962</v>
      </c>
      <c r="Z360" s="332">
        <f t="shared" si="103"/>
        <v>0.1045481204783134</v>
      </c>
      <c r="AA360" s="332">
        <f t="shared" si="103"/>
        <v>9.8851901663614142E-2</v>
      </c>
      <c r="AB360" s="332">
        <f t="shared" si="103"/>
        <v>8.5362751275515861E-2</v>
      </c>
      <c r="AC360" s="332">
        <f t="shared" si="103"/>
        <v>7.5324521014464643E-2</v>
      </c>
      <c r="AD360" s="332">
        <f t="shared" si="103"/>
        <v>4.6121585919529411E-2</v>
      </c>
      <c r="AE360" s="333">
        <f t="shared" si="103"/>
        <v>0</v>
      </c>
      <c r="AF360" s="940" t="s">
        <v>432</v>
      </c>
      <c r="AG360" s="940"/>
      <c r="AH360" s="940"/>
      <c r="AI360" s="940"/>
      <c r="AJ360" s="345"/>
    </row>
    <row r="361" spans="1:47" s="301" customFormat="1" ht="12.75" customHeight="1" outlineLevel="2">
      <c r="A361" s="561">
        <v>333</v>
      </c>
      <c r="C361" s="10"/>
      <c r="D361" s="29"/>
      <c r="E361" s="305" t="s">
        <v>74</v>
      </c>
      <c r="F361" s="309">
        <f t="shared" ref="F361:AE361" si="104">F89*F53</f>
        <v>0</v>
      </c>
      <c r="G361" s="309">
        <f t="shared" si="104"/>
        <v>0</v>
      </c>
      <c r="H361" s="309">
        <f t="shared" si="104"/>
        <v>0</v>
      </c>
      <c r="I361" s="309">
        <f t="shared" si="104"/>
        <v>0</v>
      </c>
      <c r="J361" s="309">
        <f t="shared" si="104"/>
        <v>11.066647591016324</v>
      </c>
      <c r="K361" s="309">
        <f t="shared" si="104"/>
        <v>10.908026153270542</v>
      </c>
      <c r="L361" s="309">
        <f t="shared" si="104"/>
        <v>10.908026153270542</v>
      </c>
      <c r="M361" s="309">
        <f t="shared" si="104"/>
        <v>10.908026153270542</v>
      </c>
      <c r="N361" s="56">
        <f t="shared" si="104"/>
        <v>10.908026153270542</v>
      </c>
      <c r="O361" s="310">
        <f t="shared" si="104"/>
        <v>10.908026153270542</v>
      </c>
      <c r="P361" s="309">
        <f t="shared" si="104"/>
        <v>10.908026153270542</v>
      </c>
      <c r="Q361" s="309">
        <f t="shared" si="104"/>
        <v>10.86119713155138</v>
      </c>
      <c r="R361" s="309">
        <f t="shared" si="104"/>
        <v>10.811821691314007</v>
      </c>
      <c r="S361" s="309">
        <f t="shared" si="104"/>
        <v>10.762723491319454</v>
      </c>
      <c r="T361" s="309">
        <f t="shared" si="104"/>
        <v>10.700911781188493</v>
      </c>
      <c r="U361" s="309">
        <f t="shared" si="104"/>
        <v>10.350049468665192</v>
      </c>
      <c r="V361" s="309">
        <f t="shared" si="104"/>
        <v>9.8807645450106261</v>
      </c>
      <c r="W361" s="309">
        <f t="shared" si="104"/>
        <v>9.4713339193349313</v>
      </c>
      <c r="X361" s="309">
        <f t="shared" si="104"/>
        <v>8.8991898717387148</v>
      </c>
      <c r="Y361" s="309">
        <f t="shared" si="104"/>
        <v>8.0374772613756083</v>
      </c>
      <c r="Z361" s="309">
        <f t="shared" si="104"/>
        <v>6.2929346397361767</v>
      </c>
      <c r="AA361" s="309">
        <f t="shared" si="104"/>
        <v>3.7425659024949911</v>
      </c>
      <c r="AB361" s="309">
        <f t="shared" si="104"/>
        <v>1.7293195011654334</v>
      </c>
      <c r="AC361" s="309">
        <f t="shared" si="104"/>
        <v>0.49607269647010133</v>
      </c>
      <c r="AD361" s="309">
        <f t="shared" si="104"/>
        <v>0.15176649063590028</v>
      </c>
      <c r="AE361" s="56">
        <f t="shared" si="104"/>
        <v>0</v>
      </c>
      <c r="AF361" s="940" t="s">
        <v>432</v>
      </c>
      <c r="AG361" s="940"/>
      <c r="AH361" s="940"/>
      <c r="AI361" s="940"/>
      <c r="AJ361" s="345"/>
    </row>
    <row r="362" spans="1:47" s="301" customFormat="1" ht="12.75" customHeight="1" outlineLevel="1">
      <c r="A362" s="561">
        <v>334</v>
      </c>
      <c r="C362" s="10"/>
      <c r="D362" s="29"/>
      <c r="E362" s="27" t="s">
        <v>55</v>
      </c>
      <c r="F362" s="325">
        <f t="shared" ref="F362:M362" si="105">SUM(F355:F361)</f>
        <v>0</v>
      </c>
      <c r="G362" s="325">
        <f t="shared" si="105"/>
        <v>0</v>
      </c>
      <c r="H362" s="325">
        <f t="shared" si="105"/>
        <v>0</v>
      </c>
      <c r="I362" s="325">
        <f t="shared" si="105"/>
        <v>0</v>
      </c>
      <c r="J362" s="325">
        <f t="shared" si="105"/>
        <v>25.596513692962112</v>
      </c>
      <c r="K362" s="325">
        <f t="shared" si="105"/>
        <v>25.436289587320857</v>
      </c>
      <c r="L362" s="325">
        <f t="shared" si="105"/>
        <v>25.384249818783253</v>
      </c>
      <c r="M362" s="325">
        <f t="shared" si="105"/>
        <v>25.32409219193007</v>
      </c>
      <c r="N362" s="326">
        <f t="shared" ref="N362" si="106">SUM(N355:N361)</f>
        <v>25.24887550373581</v>
      </c>
      <c r="O362" s="300">
        <f t="shared" ref="O362:P362" si="107">SUM(O355:O361)</f>
        <v>25.067469742610584</v>
      </c>
      <c r="P362" s="325">
        <f t="shared" si="107"/>
        <v>24.873341708691413</v>
      </c>
      <c r="Q362" s="325">
        <f t="shared" ref="Q362:AE362" si="108">SUM(Q355:Q361)</f>
        <v>24.353797650570733</v>
      </c>
      <c r="R362" s="325">
        <f t="shared" si="108"/>
        <v>23.677651751069533</v>
      </c>
      <c r="S362" s="325">
        <f t="shared" si="108"/>
        <v>22.969859759805964</v>
      </c>
      <c r="T362" s="325">
        <f t="shared" si="108"/>
        <v>22.285637582142137</v>
      </c>
      <c r="U362" s="325">
        <f t="shared" si="108"/>
        <v>21.023516726492232</v>
      </c>
      <c r="V362" s="325">
        <f t="shared" si="108"/>
        <v>19.327011415401032</v>
      </c>
      <c r="W362" s="325">
        <f t="shared" si="108"/>
        <v>17.690559837211183</v>
      </c>
      <c r="X362" s="325">
        <f t="shared" si="108"/>
        <v>16.021813824194769</v>
      </c>
      <c r="Y362" s="325">
        <f t="shared" si="108"/>
        <v>14.578674542566244</v>
      </c>
      <c r="Z362" s="325">
        <f t="shared" si="108"/>
        <v>11.870730414196782</v>
      </c>
      <c r="AA362" s="325">
        <f t="shared" si="108"/>
        <v>8.1893974729078565</v>
      </c>
      <c r="AB362" s="325">
        <f t="shared" si="108"/>
        <v>4.4310079786210608</v>
      </c>
      <c r="AC362" s="325">
        <f t="shared" si="108"/>
        <v>2.1916460392613994</v>
      </c>
      <c r="AD362" s="325">
        <f t="shared" si="108"/>
        <v>1.224236915047946</v>
      </c>
      <c r="AE362" s="326">
        <f t="shared" si="108"/>
        <v>0.39783057582039583</v>
      </c>
      <c r="AF362" s="940"/>
      <c r="AG362" s="940"/>
      <c r="AH362" s="940"/>
      <c r="AI362" s="940"/>
      <c r="AJ362" s="345"/>
    </row>
    <row r="363" spans="1:47" s="301" customFormat="1" ht="12" customHeight="1" outlineLevel="1">
      <c r="A363" s="561">
        <v>335</v>
      </c>
      <c r="C363" s="10"/>
      <c r="D363" s="29"/>
      <c r="E363" s="322"/>
      <c r="F363" s="331"/>
      <c r="G363" s="331"/>
      <c r="H363" s="331"/>
      <c r="I363" s="331"/>
      <c r="J363" s="331"/>
      <c r="K363" s="331"/>
      <c r="L363" s="1101"/>
      <c r="M363" s="1106"/>
      <c r="N363" s="331"/>
      <c r="O363" s="331"/>
      <c r="P363" s="331"/>
      <c r="Q363" s="331"/>
      <c r="R363" s="331"/>
      <c r="S363" s="331"/>
      <c r="T363" s="331"/>
      <c r="U363" s="331"/>
      <c r="V363" s="331"/>
      <c r="W363" s="331"/>
      <c r="X363" s="331"/>
      <c r="Y363" s="331"/>
      <c r="Z363" s="331"/>
      <c r="AA363" s="331"/>
      <c r="AB363" s="331"/>
      <c r="AC363" s="331"/>
      <c r="AD363" s="331"/>
      <c r="AE363" s="331"/>
      <c r="AF363" s="940"/>
      <c r="AG363" s="940"/>
      <c r="AH363" s="940"/>
      <c r="AI363" s="940"/>
      <c r="AJ363" s="345"/>
    </row>
    <row r="364" spans="1:47" s="301" customFormat="1" ht="12.75" customHeight="1" outlineLevel="2">
      <c r="A364" s="561">
        <v>336</v>
      </c>
      <c r="C364" s="10"/>
      <c r="D364" s="29"/>
      <c r="E364" s="295" t="s">
        <v>438</v>
      </c>
      <c r="F364" s="331"/>
      <c r="G364" s="331"/>
      <c r="H364" s="331"/>
      <c r="I364" s="331"/>
      <c r="J364" s="331"/>
      <c r="K364" s="331"/>
      <c r="L364" s="355"/>
      <c r="M364" s="1106"/>
      <c r="N364" s="349"/>
      <c r="O364" s="296"/>
      <c r="P364" s="331"/>
      <c r="Q364" s="331"/>
      <c r="R364" s="331"/>
      <c r="S364" s="331"/>
      <c r="T364" s="331"/>
      <c r="U364" s="331"/>
      <c r="V364" s="331"/>
      <c r="W364" s="331"/>
      <c r="X364" s="331"/>
      <c r="Y364" s="331"/>
      <c r="Z364" s="331"/>
      <c r="AA364" s="331"/>
      <c r="AB364" s="331"/>
      <c r="AC364" s="331"/>
      <c r="AD364" s="331"/>
      <c r="AE364" s="331"/>
      <c r="AF364" s="940"/>
      <c r="AG364" s="942"/>
      <c r="AH364" s="942"/>
      <c r="AI364" s="942"/>
      <c r="AJ364" s="345"/>
    </row>
    <row r="365" spans="1:47" s="301" customFormat="1" ht="25.5" outlineLevel="2">
      <c r="A365" s="561">
        <v>337</v>
      </c>
      <c r="C365" s="10"/>
      <c r="D365" s="29"/>
      <c r="E365" s="521" t="s">
        <v>439</v>
      </c>
      <c r="F365" s="327">
        <f t="shared" ref="F365:J365" si="109">F302</f>
        <v>0</v>
      </c>
      <c r="G365" s="1141">
        <f t="shared" si="109"/>
        <v>0</v>
      </c>
      <c r="H365" s="1141">
        <f t="shared" si="109"/>
        <v>0</v>
      </c>
      <c r="I365" s="1141">
        <f t="shared" si="109"/>
        <v>0</v>
      </c>
      <c r="J365" s="1141">
        <f t="shared" si="109"/>
        <v>0</v>
      </c>
      <c r="K365" s="1141">
        <f>K302</f>
        <v>1.2431681581503069</v>
      </c>
      <c r="L365" s="1141">
        <f>L302</f>
        <v>3.2947753274868026</v>
      </c>
      <c r="M365" s="1141">
        <f>M302</f>
        <v>5.1963190068284595</v>
      </c>
      <c r="N365" s="324">
        <f t="shared" ref="N365:AE365" si="110">N302</f>
        <v>6.9630679101348623</v>
      </c>
      <c r="O365" s="1141">
        <f t="shared" si="110"/>
        <v>8.3974690064798505</v>
      </c>
      <c r="P365" s="1141">
        <f t="shared" si="110"/>
        <v>9.5252277656341295</v>
      </c>
      <c r="Q365" s="1141">
        <f t="shared" si="110"/>
        <v>10.264253214242899</v>
      </c>
      <c r="R365" s="1141">
        <f t="shared" si="110"/>
        <v>11.050157717923824</v>
      </c>
      <c r="S365" s="1141">
        <f t="shared" si="110"/>
        <v>12.557831541609524</v>
      </c>
      <c r="T365" s="1141">
        <f t="shared" si="110"/>
        <v>13.105828343612913</v>
      </c>
      <c r="U365" s="1141">
        <f t="shared" si="110"/>
        <v>14.185925261467728</v>
      </c>
      <c r="V365" s="1141">
        <f t="shared" si="110"/>
        <v>15.032538037212747</v>
      </c>
      <c r="W365" s="1141">
        <f t="shared" si="110"/>
        <v>15.134727429443998</v>
      </c>
      <c r="X365" s="1141">
        <f t="shared" si="110"/>
        <v>15.64596256132122</v>
      </c>
      <c r="Y365" s="1141">
        <f t="shared" si="110"/>
        <v>16.043572754383995</v>
      </c>
      <c r="Z365" s="1141">
        <f t="shared" si="110"/>
        <v>16.822754400972968</v>
      </c>
      <c r="AA365" s="1141">
        <f t="shared" si="110"/>
        <v>17.675764692516594</v>
      </c>
      <c r="AB365" s="1141">
        <f t="shared" si="110"/>
        <v>18.54118427871564</v>
      </c>
      <c r="AC365" s="1141">
        <f t="shared" si="110"/>
        <v>19.393463426205145</v>
      </c>
      <c r="AD365" s="1141">
        <f t="shared" si="110"/>
        <v>19.909950943576831</v>
      </c>
      <c r="AE365" s="324">
        <f t="shared" si="110"/>
        <v>20.4816278481571</v>
      </c>
      <c r="AF365" s="940" t="s">
        <v>673</v>
      </c>
      <c r="AG365" s="942"/>
      <c r="AH365" s="956"/>
      <c r="AI365" s="942"/>
      <c r="AJ365" s="1041" t="s">
        <v>675</v>
      </c>
      <c r="AK365" s="75"/>
      <c r="AL365" s="75"/>
      <c r="AM365" s="75"/>
      <c r="AN365" s="75"/>
      <c r="AO365" s="75"/>
      <c r="AP365" s="75"/>
      <c r="AQ365" s="75"/>
      <c r="AR365" s="75"/>
      <c r="AT365" s="75"/>
      <c r="AU365" s="75"/>
    </row>
    <row r="366" spans="1:47" s="301" customFormat="1" ht="12.75" customHeight="1" outlineLevel="2">
      <c r="A366" s="561">
        <v>338</v>
      </c>
      <c r="C366" s="10"/>
      <c r="D366" s="29"/>
      <c r="E366" s="16" t="s">
        <v>440</v>
      </c>
      <c r="F366" s="334">
        <f t="shared" ref="F366:N366" si="111">F352</f>
        <v>4.4824141775036006</v>
      </c>
      <c r="G366" s="332">
        <f t="shared" si="111"/>
        <v>4.6945756813497583</v>
      </c>
      <c r="H366" s="332">
        <f t="shared" si="111"/>
        <v>5.8113422360826803</v>
      </c>
      <c r="I366" s="332">
        <f t="shared" si="111"/>
        <v>6.3138827312054993</v>
      </c>
      <c r="J366" s="332">
        <f t="shared" si="111"/>
        <v>5.5473089725349993</v>
      </c>
      <c r="K366" s="332">
        <f>K352</f>
        <v>5.1368833420913607</v>
      </c>
      <c r="L366" s="332">
        <f>L352</f>
        <v>5.1302280415879995</v>
      </c>
      <c r="M366" s="332">
        <f>M352</f>
        <v>4.6566985399294998</v>
      </c>
      <c r="N366" s="333">
        <f t="shared" si="111"/>
        <v>5.6775147903626992</v>
      </c>
      <c r="O366" s="332">
        <f t="shared" ref="O366:P366" si="112">O352</f>
        <v>7.8038563548258795</v>
      </c>
      <c r="P366" s="332">
        <f t="shared" si="112"/>
        <v>9.036454358955039</v>
      </c>
      <c r="Q366" s="332">
        <f t="shared" ref="Q366:AE366" si="113">Q352</f>
        <v>7.2057803588330405</v>
      </c>
      <c r="R366" s="332">
        <f t="shared" si="113"/>
        <v>13.606360407022986</v>
      </c>
      <c r="S366" s="332">
        <f t="shared" si="113"/>
        <v>19.91592039644965</v>
      </c>
      <c r="T366" s="332">
        <f t="shared" si="113"/>
        <v>17.123223400039812</v>
      </c>
      <c r="U366" s="332">
        <f t="shared" si="113"/>
        <v>16.824378513966327</v>
      </c>
      <c r="V366" s="332">
        <f t="shared" si="113"/>
        <v>17.116426038859654</v>
      </c>
      <c r="W366" s="332">
        <f t="shared" si="113"/>
        <v>17.026312147271149</v>
      </c>
      <c r="X366" s="332">
        <f t="shared" si="113"/>
        <v>16.790080632975677</v>
      </c>
      <c r="Y366" s="332">
        <f t="shared" si="113"/>
        <v>16.711837703239521</v>
      </c>
      <c r="Z366" s="332">
        <f t="shared" si="113"/>
        <v>16.337727932703412</v>
      </c>
      <c r="AA366" s="332">
        <f t="shared" si="113"/>
        <v>15.847107902623689</v>
      </c>
      <c r="AB366" s="332">
        <f t="shared" si="113"/>
        <v>15.055404151280349</v>
      </c>
      <c r="AC366" s="332">
        <f t="shared" si="113"/>
        <v>14.552385303789958</v>
      </c>
      <c r="AD366" s="332">
        <f t="shared" si="113"/>
        <v>14.119670192961355</v>
      </c>
      <c r="AE366" s="333">
        <f t="shared" si="113"/>
        <v>13.394493399456429</v>
      </c>
      <c r="AF366" s="940"/>
      <c r="AG366" s="942"/>
      <c r="AH366" s="942"/>
      <c r="AI366" s="942"/>
      <c r="AJ366" s="1041" t="s">
        <v>646</v>
      </c>
      <c r="AK366" s="75"/>
      <c r="AL366" s="75"/>
      <c r="AM366" s="75"/>
      <c r="AN366" s="75"/>
      <c r="AO366" s="75"/>
      <c r="AP366" s="75"/>
      <c r="AQ366" s="75"/>
      <c r="AR366" s="75"/>
      <c r="AT366" s="75"/>
      <c r="AU366" s="75"/>
    </row>
    <row r="367" spans="1:47" s="301" customFormat="1" ht="12.75" customHeight="1" outlineLevel="2">
      <c r="A367" s="561">
        <v>339</v>
      </c>
      <c r="C367" s="10"/>
      <c r="D367" s="29"/>
      <c r="E367" s="16" t="s">
        <v>441</v>
      </c>
      <c r="F367" s="334">
        <f t="shared" ref="F367:AE367" si="114">F16*F22/1000</f>
        <v>0</v>
      </c>
      <c r="G367" s="332">
        <f t="shared" si="114"/>
        <v>0.87088794588839991</v>
      </c>
      <c r="H367" s="332">
        <f t="shared" si="114"/>
        <v>0.12637701999999998</v>
      </c>
      <c r="I367" s="332">
        <f t="shared" si="114"/>
        <v>5.1966859999999997E-2</v>
      </c>
      <c r="J367" s="332">
        <f t="shared" si="114"/>
        <v>0.11954480000000001</v>
      </c>
      <c r="K367" s="332">
        <f t="shared" si="114"/>
        <v>0</v>
      </c>
      <c r="L367" s="332">
        <f t="shared" si="114"/>
        <v>0</v>
      </c>
      <c r="M367" s="332">
        <f t="shared" si="114"/>
        <v>0</v>
      </c>
      <c r="N367" s="333">
        <f t="shared" si="114"/>
        <v>0</v>
      </c>
      <c r="O367" s="332">
        <f t="shared" si="114"/>
        <v>0</v>
      </c>
      <c r="P367" s="332">
        <f t="shared" si="114"/>
        <v>0</v>
      </c>
      <c r="Q367" s="332">
        <f t="shared" si="114"/>
        <v>0</v>
      </c>
      <c r="R367" s="332">
        <f t="shared" si="114"/>
        <v>0</v>
      </c>
      <c r="S367" s="332">
        <f t="shared" si="114"/>
        <v>0</v>
      </c>
      <c r="T367" s="332">
        <f t="shared" si="114"/>
        <v>0</v>
      </c>
      <c r="U367" s="332">
        <f t="shared" si="114"/>
        <v>0</v>
      </c>
      <c r="V367" s="332">
        <f t="shared" si="114"/>
        <v>0</v>
      </c>
      <c r="W367" s="332">
        <f t="shared" si="114"/>
        <v>0</v>
      </c>
      <c r="X367" s="332">
        <f t="shared" si="114"/>
        <v>0</v>
      </c>
      <c r="Y367" s="332">
        <f t="shared" si="114"/>
        <v>0</v>
      </c>
      <c r="Z367" s="332">
        <f t="shared" si="114"/>
        <v>0</v>
      </c>
      <c r="AA367" s="332">
        <f t="shared" si="114"/>
        <v>0</v>
      </c>
      <c r="AB367" s="332">
        <f t="shared" si="114"/>
        <v>0</v>
      </c>
      <c r="AC367" s="332">
        <f t="shared" si="114"/>
        <v>0</v>
      </c>
      <c r="AD367" s="332">
        <f t="shared" si="114"/>
        <v>0</v>
      </c>
      <c r="AE367" s="333">
        <f t="shared" si="114"/>
        <v>0</v>
      </c>
      <c r="AF367" s="940"/>
      <c r="AG367" s="940"/>
      <c r="AH367" s="940"/>
      <c r="AI367" s="940"/>
      <c r="AJ367" s="345"/>
      <c r="AK367" s="75"/>
      <c r="AL367" s="75"/>
      <c r="AM367" s="75"/>
      <c r="AN367" s="75"/>
      <c r="AO367" s="75"/>
      <c r="AP367" s="75"/>
      <c r="AQ367" s="75"/>
      <c r="AR367" s="75"/>
      <c r="AT367" s="75"/>
      <c r="AU367" s="75"/>
    </row>
    <row r="368" spans="1:47" s="301" customFormat="1" ht="52.5" customHeight="1" outlineLevel="2">
      <c r="A368" s="561">
        <v>340</v>
      </c>
      <c r="C368" s="10"/>
      <c r="D368" s="29"/>
      <c r="E368" s="16" t="s">
        <v>442</v>
      </c>
      <c r="F368" s="334">
        <f>F182*'D-vermiedene Netzentgelte'!F32*SUM('MOD-Berechnungen'!F242:F244)/1000
+F182*SUM('MOD-Berechnungen'!F238:F241)/1000</f>
        <v>0.33373085000000002</v>
      </c>
      <c r="G368" s="332">
        <f>G182*'D-vermiedene Netzentgelte'!G32*SUM('MOD-Berechnungen'!G242:G244)/1000
+G182*SUM('MOD-Berechnungen'!G238:G241)/1000</f>
        <v>0.40558795999999997</v>
      </c>
      <c r="H368" s="332">
        <f>H182*'D-vermiedene Netzentgelte'!H32*SUM('MOD-Berechnungen'!H242:H244)/1000
+H182*SUM('MOD-Berechnungen'!H238:H241)/1000</f>
        <v>0.43666439499999993</v>
      </c>
      <c r="I368" s="332">
        <f>I182*'D-vermiedene Netzentgelte'!I32*SUM('MOD-Berechnungen'!I242:I244)/1000
+I182*SUM('MOD-Berechnungen'!I238:I241)/1000</f>
        <v>0.50111063699999991</v>
      </c>
      <c r="J368" s="332">
        <f>J182*'D-vermiedene Netzentgelte'!J32*SUM('MOD-Berechnungen'!J242:J244)/1000
+J182*SUM('MOD-Berechnungen'!J238:J241)/1000</f>
        <v>0.69335669199999983</v>
      </c>
      <c r="K368" s="332">
        <f>K182*'D-vermiedene Netzentgelte'!K32*SUM('MOD-Berechnungen'!K242:K244)/1000
+K182*SUM('MOD-Berechnungen'!K238:K241)/1000</f>
        <v>0.74838364323231099</v>
      </c>
      <c r="L368" s="332">
        <f>L182*'D-vermiedene Netzentgelte'!L32*SUM('MOD-Berechnungen'!L242:L244)/1000
+L182*SUM('MOD-Berechnungen'!L238:L241)/1000</f>
        <v>0.85023012181916047</v>
      </c>
      <c r="M368" s="332">
        <f>M182*'D-vermiedene Netzentgelte'!M32*SUM('MOD-Berechnungen'!M242:M244)/1000
+M182*SUM('MOD-Berechnungen'!M238:M241)/1000</f>
        <v>0.95970784794646691</v>
      </c>
      <c r="N368" s="333">
        <f>N182*'D-vermiedene Netzentgelte'!N32*SUM(N242,N244)/1000
+N182*SUM('MOD-Berechnungen'!N238:N241)/1000</f>
        <v>0.67580048700000006</v>
      </c>
      <c r="O368" s="332">
        <f>O182*'D-vermiedene Netzentgelte'!O32*SUM(O242,O244)/1000
+O182*SUM('MOD-Berechnungen'!O238:O241)/1000</f>
        <v>0.54611158999999998</v>
      </c>
      <c r="P368" s="332">
        <f>P182*'D-vermiedene Netzentgelte'!P32*SUM(P242,P244)/1000
+P182*SUM('MOD-Berechnungen'!P238:P241)/1000</f>
        <v>0.35041700299999995</v>
      </c>
      <c r="Q368" s="332">
        <f>Q182*'D-vermiedene Netzentgelte'!Q32*SUM(Q242,Q244)/1000
+Q182*SUM('MOD-Berechnungen'!Q238:Q241)/1000</f>
        <v>0.34503326899999998</v>
      </c>
      <c r="R368" s="332">
        <f>R182*'D-vermiedene Netzentgelte'!R32*SUM(R242,R244)/1000
+R182*SUM('MOD-Berechnungen'!R238:R241)/1000</f>
        <v>0.28660418399999998</v>
      </c>
      <c r="S368" s="332">
        <f>S182*'D-vermiedene Netzentgelte'!S32*SUM(S242,S244)/1000
+S182*SUM('MOD-Berechnungen'!S238:S241)/1000</f>
        <v>0.34862344423947794</v>
      </c>
      <c r="T368" s="332">
        <f>T182*'D-vermiedene Netzentgelte'!T32*SUM(T242,T244)/1000
+T182*SUM('MOD-Berechnungen'!T238:T241)/1000</f>
        <v>0.35462497093329676</v>
      </c>
      <c r="U368" s="332">
        <f>U182*'D-vermiedene Netzentgelte'!U32*SUM(U242,U244)/1000
+U182*SUM('MOD-Berechnungen'!U238:U241)/1000</f>
        <v>0.34794202592082185</v>
      </c>
      <c r="V368" s="332">
        <f>V182*'D-vermiedene Netzentgelte'!V32*SUM(V242,V244)/1000
+V182*SUM('MOD-Berechnungen'!V238:V241)/1000</f>
        <v>0.3376844222178963</v>
      </c>
      <c r="W368" s="332">
        <f>W182*'D-vermiedene Netzentgelte'!W32*SUM(W242,W244)/1000
+W182*SUM('MOD-Berechnungen'!W238:W241)/1000</f>
        <v>0.31894919737475513</v>
      </c>
      <c r="X368" s="332">
        <f>X182*'D-vermiedene Netzentgelte'!X32*SUM(X242,X244)/1000
+X182*SUM('MOD-Berechnungen'!X238:X241)/1000</f>
        <v>0.30548271589003367</v>
      </c>
      <c r="Y368" s="332">
        <f>Y182*'D-vermiedene Netzentgelte'!Y32*SUM(Y242,Y244)/1000
+Y182*SUM('MOD-Berechnungen'!Y238:Y241)/1000</f>
        <v>0.30259197847667496</v>
      </c>
      <c r="Z368" s="332">
        <f>Z182*'D-vermiedene Netzentgelte'!Z32*SUM(Z242,Z244)/1000
+Z182*SUM('MOD-Berechnungen'!Z238:Z241)/1000</f>
        <v>0.29154464361348131</v>
      </c>
      <c r="AA368" s="332">
        <f>AA182*'D-vermiedene Netzentgelte'!AA32*SUM(AA242,AA244)/1000
+AA182*SUM('MOD-Berechnungen'!AA238:AA241)/1000</f>
        <v>0.27360938981347838</v>
      </c>
      <c r="AB368" s="332">
        <f>AB182*'D-vermiedene Netzentgelte'!AB32*SUM(AB242,AB244)/1000
+AB182*SUM('MOD-Berechnungen'!AB238:AB241)/1000</f>
        <v>0.23883730276113269</v>
      </c>
      <c r="AC368" s="332">
        <f>AC182*'D-vermiedene Netzentgelte'!AC32*SUM(AC242,AC244)/1000
+AC182*SUM('MOD-Berechnungen'!AC238:AC241)/1000</f>
        <v>0.23364272419186277</v>
      </c>
      <c r="AD368" s="332">
        <f>AD182*'D-vermiedene Netzentgelte'!AD32*SUM(AD242,AD244)/1000
+AD182*SUM('MOD-Berechnungen'!AD238:AD241)/1000</f>
        <v>0.2283502066295377</v>
      </c>
      <c r="AE368" s="333">
        <f>AE182*'D-vermiedene Netzentgelte'!AE32*SUM(AE242,AE244)/1000
+AE182*SUM('MOD-Berechnungen'!AE238:AE241)/1000</f>
        <v>0.22933369469168047</v>
      </c>
      <c r="AF368" s="940" t="s">
        <v>432</v>
      </c>
      <c r="AG368" s="942"/>
      <c r="AH368" s="942"/>
      <c r="AI368" s="942"/>
      <c r="AJ368" s="345" t="s">
        <v>760</v>
      </c>
      <c r="AK368" s="75"/>
      <c r="AL368" s="75"/>
      <c r="AM368" s="75"/>
      <c r="AN368" s="75"/>
      <c r="AO368" s="75"/>
      <c r="AP368" s="75"/>
      <c r="AQ368" s="75"/>
      <c r="AR368" s="75"/>
      <c r="AT368" s="75"/>
      <c r="AU368" s="75"/>
    </row>
    <row r="369" spans="1:47" s="301" customFormat="1" ht="12.75" customHeight="1" outlineLevel="2">
      <c r="A369" s="561">
        <v>341</v>
      </c>
      <c r="C369" s="10"/>
      <c r="D369" s="29"/>
      <c r="E369" s="16" t="s">
        <v>443</v>
      </c>
      <c r="F369" s="334">
        <f t="shared" ref="F369:AE369" si="115">F183</f>
        <v>0.38450000000000001</v>
      </c>
      <c r="G369" s="332">
        <f t="shared" si="115"/>
        <v>0.42218865985000004</v>
      </c>
      <c r="H369" s="332">
        <f t="shared" si="115"/>
        <v>0.23028867101000003</v>
      </c>
      <c r="I369" s="332">
        <f t="shared" si="115"/>
        <v>0.15466122681000002</v>
      </c>
      <c r="J369" s="332">
        <f t="shared" si="115"/>
        <v>0.29887697133000007</v>
      </c>
      <c r="K369" s="332">
        <f t="shared" si="115"/>
        <v>0.19595140036000003</v>
      </c>
      <c r="L369" s="332">
        <f t="shared" si="115"/>
        <v>0.13908307713999998</v>
      </c>
      <c r="M369" s="332">
        <f t="shared" si="115"/>
        <v>0.14340741743000002</v>
      </c>
      <c r="N369" s="333">
        <f t="shared" si="115"/>
        <v>6.8122188890000004E-2</v>
      </c>
      <c r="O369" s="332">
        <f t="shared" si="115"/>
        <v>7.0404653730000002E-2</v>
      </c>
      <c r="P369" s="332">
        <f t="shared" si="115"/>
        <v>6.4167895450000012E-2</v>
      </c>
      <c r="Q369" s="332">
        <f t="shared" si="115"/>
        <v>5.9920528000000001E-2</v>
      </c>
      <c r="R369" s="332">
        <f t="shared" si="115"/>
        <v>0.10050276386000001</v>
      </c>
      <c r="S369" s="332">
        <f t="shared" si="115"/>
        <v>0.10201030531790001</v>
      </c>
      <c r="T369" s="332">
        <f t="shared" si="115"/>
        <v>0.10354045989766848</v>
      </c>
      <c r="U369" s="332">
        <f t="shared" si="115"/>
        <v>0.10509356679613351</v>
      </c>
      <c r="V369" s="332">
        <f t="shared" si="115"/>
        <v>0.10666997029807548</v>
      </c>
      <c r="W369" s="332">
        <f t="shared" si="115"/>
        <v>0.1082700198525466</v>
      </c>
      <c r="X369" s="332">
        <f t="shared" si="115"/>
        <v>0.10989407015033478</v>
      </c>
      <c r="Y369" s="332">
        <f t="shared" si="115"/>
        <v>0.11154248120258979</v>
      </c>
      <c r="Z369" s="332">
        <f t="shared" si="115"/>
        <v>0.11321561842062862</v>
      </c>
      <c r="AA369" s="332">
        <f t="shared" si="115"/>
        <v>0.11491385269693803</v>
      </c>
      <c r="AB369" s="332">
        <f t="shared" si="115"/>
        <v>0.1166375604873921</v>
      </c>
      <c r="AC369" s="332">
        <f t="shared" si="115"/>
        <v>0.11838712389470296</v>
      </c>
      <c r="AD369" s="332">
        <f t="shared" si="115"/>
        <v>0.12016293075312351</v>
      </c>
      <c r="AE369" s="333">
        <f t="shared" si="115"/>
        <v>0.12196537471442034</v>
      </c>
      <c r="AF369" s="940" t="s">
        <v>432</v>
      </c>
      <c r="AG369" s="943"/>
      <c r="AH369" s="943"/>
      <c r="AI369" s="943"/>
      <c r="AJ369" s="345"/>
      <c r="AK369" s="75"/>
      <c r="AL369" s="75"/>
      <c r="AM369" s="75"/>
      <c r="AN369" s="75"/>
      <c r="AO369" s="75"/>
      <c r="AP369" s="75"/>
      <c r="AQ369" s="75"/>
      <c r="AR369" s="75"/>
      <c r="AT369" s="75"/>
      <c r="AU369" s="75"/>
    </row>
    <row r="370" spans="1:47" s="301" customFormat="1" ht="29.25" customHeight="1" outlineLevel="2">
      <c r="A370" s="561">
        <v>342</v>
      </c>
      <c r="C370" s="10"/>
      <c r="D370" s="29"/>
      <c r="E370" s="16" t="s">
        <v>444</v>
      </c>
      <c r="F370" s="334">
        <f>IF(ControlPanel!$D$59&gt;F$5,F312-F302,F362)+F322</f>
        <v>12.667440729999999</v>
      </c>
      <c r="G370" s="332">
        <f>IF(ControlPanel!$D$59&gt;G$5,G312-G302,G362)+G322</f>
        <v>17.126834930000001</v>
      </c>
      <c r="H370" s="332">
        <f>IF(ControlPanel!$D$59&gt;H$5,H312-H302,H362)+H322</f>
        <v>18.937664991119739</v>
      </c>
      <c r="I370" s="332">
        <f>IF(ControlPanel!$D$59&gt;I$5,I312-I302,I362)+I322</f>
        <v>22.796891415220745</v>
      </c>
      <c r="J370" s="332">
        <f>IF(ControlPanel!$D$59&gt;J$5,J312-J302,J362)+J322</f>
        <v>25.293093383584349</v>
      </c>
      <c r="K370" s="332">
        <f>IF(ControlPanel!$D$59&gt;K$5,K312-K302,K362)+K322</f>
        <v>25.77350582015934</v>
      </c>
      <c r="L370" s="332">
        <f>IF(ControlPanel!$D$59&gt;L$5,L312-L302,L362)+L322</f>
        <v>25.827039519277065</v>
      </c>
      <c r="M370" s="332">
        <f>IF(ControlPanel!$D$59&gt;M$5,M312-M302,M362)+M322</f>
        <v>24.820086220622226</v>
      </c>
      <c r="N370" s="333">
        <f>IF(ControlPanel!$D$59&gt;N$5,N312-N302,N362)+N322</f>
        <v>24.997874334453797</v>
      </c>
      <c r="O370" s="332">
        <f>IF(ControlPanel!$D$59&gt;O$5,O312-O302,O362)+O322</f>
        <v>24.763116605802466</v>
      </c>
      <c r="P370" s="332">
        <f>IF(ControlPanel!$D$59&gt;P$5,P312-P302,P362)+P322</f>
        <v>24.113530005021225</v>
      </c>
      <c r="Q370" s="332">
        <f>IF(ControlPanel!$D$59&gt;Q$5,Q312-Q302,Q362)+Q322</f>
        <v>23.690678078460977</v>
      </c>
      <c r="R370" s="332">
        <f>IF(ControlPanel!$D$59&gt;R$5,R312-R302,R362)+R322</f>
        <v>22.747539983975614</v>
      </c>
      <c r="S370" s="332">
        <f>IF(ControlPanel!$D$59&gt;S$5,S312-S302,S362)+S322</f>
        <v>23.509774957835521</v>
      </c>
      <c r="T370" s="332">
        <f>IF(ControlPanel!$D$59&gt;T$5,T312-T302,T362)+T322</f>
        <v>22.81757373783628</v>
      </c>
      <c r="U370" s="332">
        <f>IF(ControlPanel!$D$59&gt;U$5,U312-U302,U362)+U322</f>
        <v>21.547591756732768</v>
      </c>
      <c r="V370" s="332">
        <f>IF(ControlPanel!$D$59&gt;V$5,V312-V302,V362)+V322</f>
        <v>19.843341494455746</v>
      </c>
      <c r="W370" s="332">
        <f>IF(ControlPanel!$D$59&gt;W$5,W312-W302,W362)+W322</f>
        <v>18.199259422486765</v>
      </c>
      <c r="X370" s="332">
        <f>IF(ControlPanel!$D$59&gt;X$5,X312-X302,X362)+X322</f>
        <v>16.522995681609135</v>
      </c>
      <c r="Y370" s="332">
        <f>IF(ControlPanel!$D$59&gt;Y$5,Y312-Y302,Y362)+Y322</f>
        <v>15.072449771545916</v>
      </c>
      <c r="Z370" s="332">
        <f>IF(ControlPanel!$D$59&gt;Z$5,Z312-Z302,Z362)+Z322</f>
        <v>12.357208472304833</v>
      </c>
      <c r="AA370" s="332">
        <f>IF(ControlPanel!$D$59&gt;AA$5,AA312-AA302,AA362)+AA322</f>
        <v>8.6686862001079064</v>
      </c>
      <c r="AB370" s="332">
        <f>IF(ControlPanel!$D$59&gt;AB$5,AB312-AB302,AB362)+AB322</f>
        <v>4.9032136211826867</v>
      </c>
      <c r="AC370" s="332">
        <f>IF(ControlPanel!$D$59&gt;AC$5,AC312-AC302,AC362)+AC322</f>
        <v>2.6568732733122626</v>
      </c>
      <c r="AD370" s="332">
        <f>IF(ControlPanel!$D$59&gt;AD$5,AD312-AD302,AD362)+AD322</f>
        <v>1.6825888697778606</v>
      </c>
      <c r="AE370" s="333">
        <f>IF(ControlPanel!$D$59&gt;AE$5,AE312-AE302,AE362)+AE322</f>
        <v>0.84940885634247909</v>
      </c>
      <c r="AF370" s="940" t="s">
        <v>673</v>
      </c>
      <c r="AG370" s="940"/>
      <c r="AH370" s="956"/>
      <c r="AI370" s="1053"/>
      <c r="AJ370" s="345" t="s">
        <v>679</v>
      </c>
    </row>
    <row r="371" spans="1:47" s="301" customFormat="1" ht="29.25" customHeight="1" outlineLevel="2">
      <c r="A371" s="561" t="s">
        <v>783</v>
      </c>
      <c r="C371" s="10"/>
      <c r="D371" s="29"/>
      <c r="E371" s="303" t="s">
        <v>784</v>
      </c>
      <c r="F371" s="227">
        <v>-1.6799763492082525E-3</v>
      </c>
      <c r="G371" s="77">
        <v>-2.8624077349064143E-3</v>
      </c>
      <c r="H371" s="77">
        <v>3.6533487268301935E-3</v>
      </c>
      <c r="I371" s="77">
        <v>-1.7381631811784334E-3</v>
      </c>
      <c r="J371" s="77">
        <v>7.8679211882863532E-4</v>
      </c>
      <c r="K371" s="77">
        <v>3.674879619599624E-2</v>
      </c>
      <c r="L371" s="77">
        <v>-1.53525312683006E-2</v>
      </c>
      <c r="M371" s="77">
        <v>5.8973858480582605E-3</v>
      </c>
      <c r="N371" s="367">
        <v>1.2673943492223994E-2</v>
      </c>
      <c r="O371" s="77"/>
      <c r="P371" s="309">
        <v>-2.1220285848020475E-2</v>
      </c>
      <c r="Q371" s="309">
        <v>6.0000000000000001E-3</v>
      </c>
      <c r="R371" s="309">
        <v>-0.154</v>
      </c>
      <c r="S371" s="309"/>
      <c r="T371" s="309"/>
      <c r="U371" s="309"/>
      <c r="V371" s="309"/>
      <c r="W371" s="309"/>
      <c r="X371" s="309"/>
      <c r="Y371" s="309"/>
      <c r="Z371" s="309"/>
      <c r="AA371" s="309"/>
      <c r="AB371" s="309"/>
      <c r="AC371" s="309"/>
      <c r="AD371" s="309"/>
      <c r="AE371" s="56"/>
      <c r="AF371" s="940"/>
      <c r="AG371" s="940"/>
      <c r="AH371" s="956"/>
      <c r="AI371" s="1053"/>
      <c r="AJ371" s="340" t="s">
        <v>799</v>
      </c>
    </row>
    <row r="372" spans="1:47" s="301" customFormat="1" ht="127.5" outlineLevel="1">
      <c r="A372" s="561">
        <v>343</v>
      </c>
      <c r="C372" s="10"/>
      <c r="D372" s="29"/>
      <c r="E372" s="306" t="s">
        <v>438</v>
      </c>
      <c r="F372" s="1142">
        <f t="shared" ref="F372:M372" si="116">F365-F366+F367-F368+F369+F370+F371</f>
        <v>8.2341157261471896</v>
      </c>
      <c r="G372" s="1112">
        <f t="shared" si="116"/>
        <v>13.316885486653737</v>
      </c>
      <c r="H372" s="1112">
        <f t="shared" si="116"/>
        <v>13.049977399773889</v>
      </c>
      <c r="I372" s="1112">
        <f t="shared" si="116"/>
        <v>16.186787970644065</v>
      </c>
      <c r="J372" s="1112">
        <f t="shared" si="116"/>
        <v>19.471636282498178</v>
      </c>
      <c r="K372" s="1140">
        <f t="shared" si="116"/>
        <v>21.364107189541972</v>
      </c>
      <c r="L372" s="1112">
        <f t="shared" si="116"/>
        <v>23.265087229228406</v>
      </c>
      <c r="M372" s="1112">
        <f t="shared" si="116"/>
        <v>24.549303642852777</v>
      </c>
      <c r="N372" s="1143">
        <f>N365-N366+N367-N368+N369+N370+N371</f>
        <v>25.688423099608183</v>
      </c>
      <c r="O372" s="1112">
        <f t="shared" ref="O372:AE372" si="117">O365-O366+O367-O368+O369+O370+O371</f>
        <v>24.881022321186435</v>
      </c>
      <c r="P372" s="1112">
        <f t="shared" si="117"/>
        <v>24.294834018302296</v>
      </c>
      <c r="Q372" s="1112">
        <f>Q365-Q366+Q367-Q368+Q369+Q370+Q371</f>
        <v>26.470038192870835</v>
      </c>
      <c r="R372" s="1112">
        <f t="shared" si="117"/>
        <v>19.851235874736449</v>
      </c>
      <c r="S372" s="1112">
        <f t="shared" si="117"/>
        <v>15.905072964073817</v>
      </c>
      <c r="T372" s="1112">
        <f t="shared" si="117"/>
        <v>18.549094170373753</v>
      </c>
      <c r="U372" s="1112">
        <f t="shared" si="117"/>
        <v>18.666290045109481</v>
      </c>
      <c r="V372" s="1112">
        <f t="shared" si="117"/>
        <v>17.528439040889019</v>
      </c>
      <c r="W372" s="1112">
        <f t="shared" si="117"/>
        <v>16.096995527137405</v>
      </c>
      <c r="X372" s="1112">
        <f t="shared" si="117"/>
        <v>15.183288964214979</v>
      </c>
      <c r="Y372" s="1112">
        <f t="shared" si="117"/>
        <v>14.213135325416305</v>
      </c>
      <c r="Z372" s="1112">
        <f t="shared" si="117"/>
        <v>12.663905915381537</v>
      </c>
      <c r="AA372" s="1112">
        <f t="shared" si="117"/>
        <v>10.33864745288427</v>
      </c>
      <c r="AB372" s="1112">
        <f t="shared" si="117"/>
        <v>8.2667940063442362</v>
      </c>
      <c r="AC372" s="1112">
        <f t="shared" si="117"/>
        <v>7.3826957954302896</v>
      </c>
      <c r="AD372" s="1112">
        <f t="shared" si="117"/>
        <v>7.3646823445169227</v>
      </c>
      <c r="AE372" s="1112">
        <f t="shared" si="117"/>
        <v>7.8291749850658894</v>
      </c>
      <c r="AF372" s="940" t="s">
        <v>482</v>
      </c>
      <c r="AG372" s="940"/>
      <c r="AH372" s="940"/>
      <c r="AI372" s="940"/>
      <c r="AJ372" s="345" t="s">
        <v>785</v>
      </c>
      <c r="AK372" s="75"/>
      <c r="AL372" s="75"/>
      <c r="AM372" s="75"/>
      <c r="AN372" s="75"/>
      <c r="AO372" s="75"/>
      <c r="AP372" s="75"/>
      <c r="AQ372" s="75"/>
      <c r="AR372" s="75"/>
      <c r="AT372" s="75"/>
      <c r="AU372" s="75"/>
    </row>
    <row r="373" spans="1:47" s="301" customFormat="1" outlineLevel="1">
      <c r="A373" s="561">
        <v>344</v>
      </c>
      <c r="C373" s="10"/>
      <c r="D373" s="29"/>
      <c r="F373" s="331"/>
      <c r="G373" s="331"/>
      <c r="H373" s="331"/>
      <c r="I373" s="331"/>
      <c r="J373" s="331"/>
      <c r="K373" s="331"/>
      <c r="L373" s="524"/>
      <c r="M373" s="1058"/>
      <c r="N373" s="349"/>
      <c r="O373" s="296"/>
      <c r="P373" s="331"/>
      <c r="Q373" s="331"/>
      <c r="R373" s="331"/>
      <c r="S373" s="331"/>
      <c r="T373" s="331"/>
      <c r="U373" s="331"/>
      <c r="V373" s="331"/>
      <c r="W373" s="331"/>
      <c r="X373" s="331"/>
      <c r="Y373" s="331"/>
      <c r="Z373" s="331"/>
      <c r="AA373" s="331"/>
      <c r="AB373" s="331"/>
      <c r="AC373" s="331"/>
      <c r="AD373" s="331"/>
      <c r="AE373" s="331"/>
      <c r="AF373" s="940"/>
      <c r="AG373" s="940"/>
      <c r="AH373" s="940"/>
      <c r="AI373" s="940"/>
      <c r="AJ373" s="345"/>
      <c r="AK373" s="75"/>
      <c r="AL373" s="75"/>
      <c r="AM373" s="75"/>
      <c r="AN373" s="75"/>
      <c r="AO373" s="75"/>
      <c r="AP373" s="75"/>
      <c r="AQ373" s="75"/>
      <c r="AR373" s="75"/>
      <c r="AT373" s="75"/>
      <c r="AU373" s="75"/>
    </row>
    <row r="374" spans="1:47" s="301" customFormat="1" outlineLevel="1">
      <c r="A374" s="561">
        <v>345</v>
      </c>
      <c r="C374" s="10"/>
      <c r="D374" s="29"/>
      <c r="E374" s="322" t="s">
        <v>146</v>
      </c>
      <c r="F374" s="331"/>
      <c r="G374" s="331"/>
      <c r="H374" s="331"/>
      <c r="I374" s="331"/>
      <c r="J374" s="331"/>
      <c r="K374" s="331"/>
      <c r="L374" s="331"/>
      <c r="M374" s="1101"/>
      <c r="N374" s="349"/>
      <c r="O374" s="296"/>
      <c r="P374" s="331"/>
      <c r="Q374" s="331"/>
      <c r="R374" s="331"/>
      <c r="S374" s="331"/>
      <c r="T374" s="331"/>
      <c r="U374" s="331"/>
      <c r="V374" s="331"/>
      <c r="W374" s="331"/>
      <c r="X374" s="331"/>
      <c r="Y374" s="331"/>
      <c r="Z374" s="331"/>
      <c r="AA374" s="331"/>
      <c r="AB374" s="331"/>
      <c r="AC374" s="331"/>
      <c r="AD374" s="331"/>
      <c r="AE374" s="331"/>
      <c r="AF374" s="940"/>
      <c r="AG374" s="940"/>
      <c r="AH374" s="940"/>
      <c r="AI374" s="940"/>
      <c r="AJ374" s="345"/>
      <c r="AK374" s="75"/>
      <c r="AL374" s="75"/>
      <c r="AM374" s="75"/>
      <c r="AN374" s="75"/>
      <c r="AO374" s="75"/>
      <c r="AP374" s="75"/>
      <c r="AQ374" s="75"/>
      <c r="AR374" s="75"/>
      <c r="AT374" s="75"/>
      <c r="AU374" s="75"/>
    </row>
    <row r="375" spans="1:47" s="301" customFormat="1" ht="38.25" outlineLevel="1">
      <c r="A375" s="561">
        <v>346</v>
      </c>
      <c r="C375" s="10"/>
      <c r="D375" s="29"/>
      <c r="E375" s="302" t="s">
        <v>445</v>
      </c>
      <c r="F375" s="323"/>
      <c r="G375" s="323"/>
      <c r="H375" s="323"/>
      <c r="I375" s="323"/>
      <c r="J375" s="323"/>
      <c r="K375" s="323">
        <f t="shared" ref="K375:AE375" si="118">K352*(1-K8)</f>
        <v>0.51368833420913595</v>
      </c>
      <c r="L375" s="323">
        <f t="shared" si="118"/>
        <v>0.51302280415879986</v>
      </c>
      <c r="M375" s="323">
        <f t="shared" si="118"/>
        <v>0.46566985399294986</v>
      </c>
      <c r="N375" s="1141">
        <f t="shared" si="118"/>
        <v>0.56775147903626977</v>
      </c>
      <c r="O375" s="327">
        <f t="shared" si="118"/>
        <v>0.78038563548258777</v>
      </c>
      <c r="P375" s="1141">
        <f t="shared" si="118"/>
        <v>0.90364543589550372</v>
      </c>
      <c r="Q375" s="1141">
        <f t="shared" si="118"/>
        <v>-4.6924239793775291</v>
      </c>
      <c r="R375" s="1141">
        <f t="shared" si="118"/>
        <v>0</v>
      </c>
      <c r="S375" s="1141">
        <f t="shared" si="118"/>
        <v>0</v>
      </c>
      <c r="T375" s="1141">
        <f t="shared" si="118"/>
        <v>0</v>
      </c>
      <c r="U375" s="1141">
        <f t="shared" si="118"/>
        <v>0</v>
      </c>
      <c r="V375" s="1141">
        <f t="shared" si="118"/>
        <v>0</v>
      </c>
      <c r="W375" s="1141">
        <f t="shared" si="118"/>
        <v>0</v>
      </c>
      <c r="X375" s="1141">
        <f t="shared" si="118"/>
        <v>0</v>
      </c>
      <c r="Y375" s="1141">
        <f t="shared" si="118"/>
        <v>0</v>
      </c>
      <c r="Z375" s="1141">
        <f t="shared" si="118"/>
        <v>0</v>
      </c>
      <c r="AA375" s="1141">
        <f t="shared" si="118"/>
        <v>0</v>
      </c>
      <c r="AB375" s="1141">
        <f t="shared" si="118"/>
        <v>0</v>
      </c>
      <c r="AC375" s="1141">
        <f t="shared" si="118"/>
        <v>0</v>
      </c>
      <c r="AD375" s="1141">
        <f t="shared" si="118"/>
        <v>0</v>
      </c>
      <c r="AE375" s="324">
        <f t="shared" si="118"/>
        <v>0</v>
      </c>
      <c r="AF375" s="940"/>
      <c r="AG375" s="940"/>
      <c r="AH375" s="940"/>
      <c r="AI375" s="940"/>
      <c r="AJ375" s="345" t="s">
        <v>311</v>
      </c>
      <c r="AK375" s="75"/>
      <c r="AL375" s="75"/>
      <c r="AM375" s="75"/>
      <c r="AN375" s="75"/>
      <c r="AO375" s="75"/>
      <c r="AP375" s="75"/>
      <c r="AQ375" s="75"/>
      <c r="AR375" s="75"/>
      <c r="AT375" s="75"/>
      <c r="AU375" s="75"/>
    </row>
    <row r="376" spans="1:47" s="301" customFormat="1" ht="38.25" outlineLevel="1">
      <c r="A376" s="561">
        <v>347</v>
      </c>
      <c r="C376" s="10"/>
      <c r="D376" s="29"/>
      <c r="E376" s="304" t="s">
        <v>446</v>
      </c>
      <c r="F376" s="332"/>
      <c r="G376" s="332"/>
      <c r="H376" s="332"/>
      <c r="I376" s="332"/>
      <c r="J376" s="332"/>
      <c r="K376" s="332">
        <f>J372+J375</f>
        <v>19.471636282498178</v>
      </c>
      <c r="L376" s="332">
        <f>K372+K375</f>
        <v>21.877795523751107</v>
      </c>
      <c r="M376" s="332">
        <f>L372+L375</f>
        <v>23.778110033387208</v>
      </c>
      <c r="N376" s="332">
        <f>M372+M375</f>
        <v>25.014973496845727</v>
      </c>
      <c r="O376" s="334">
        <f t="shared" ref="O376:P376" si="119">N372+N375</f>
        <v>26.256174578644455</v>
      </c>
      <c r="P376" s="332">
        <f t="shared" si="119"/>
        <v>25.661407956669024</v>
      </c>
      <c r="Q376" s="332">
        <f t="shared" ref="Q376" si="120">P372+P375</f>
        <v>25.198479454197802</v>
      </c>
      <c r="R376" s="332">
        <f t="shared" ref="R376" si="121">Q372+Q375</f>
        <v>21.777614213493305</v>
      </c>
      <c r="S376" s="332">
        <f t="shared" ref="S376" si="122">R372+R375</f>
        <v>19.851235874736449</v>
      </c>
      <c r="T376" s="332">
        <f t="shared" ref="T376" si="123">S372+S375</f>
        <v>15.905072964073817</v>
      </c>
      <c r="U376" s="332">
        <f t="shared" ref="U376" si="124">T372+T375</f>
        <v>18.549094170373753</v>
      </c>
      <c r="V376" s="332">
        <f t="shared" ref="V376" si="125">U372+U375</f>
        <v>18.666290045109481</v>
      </c>
      <c r="W376" s="332">
        <f t="shared" ref="W376" si="126">V372+V375</f>
        <v>17.528439040889019</v>
      </c>
      <c r="X376" s="332">
        <f t="shared" ref="X376" si="127">W372+W375</f>
        <v>16.096995527137405</v>
      </c>
      <c r="Y376" s="332">
        <f t="shared" ref="Y376" si="128">X372+X375</f>
        <v>15.183288964214979</v>
      </c>
      <c r="Z376" s="332">
        <f t="shared" ref="Z376" si="129">Y372+Y375</f>
        <v>14.213135325416305</v>
      </c>
      <c r="AA376" s="332">
        <f t="shared" ref="AA376" si="130">Z372+Z375</f>
        <v>12.663905915381537</v>
      </c>
      <c r="AB376" s="332">
        <f t="shared" ref="AB376" si="131">AA372+AA375</f>
        <v>10.33864745288427</v>
      </c>
      <c r="AC376" s="332">
        <f t="shared" ref="AC376" si="132">AB372+AB375</f>
        <v>8.2667940063442362</v>
      </c>
      <c r="AD376" s="332">
        <f t="shared" ref="AD376" si="133">AC372+AC375</f>
        <v>7.3826957954302896</v>
      </c>
      <c r="AE376" s="333">
        <f t="shared" ref="AE376" si="134">AD372+AD375</f>
        <v>7.3646823445169227</v>
      </c>
      <c r="AF376" s="940"/>
      <c r="AG376" s="940"/>
      <c r="AH376" s="940"/>
      <c r="AI376" s="940"/>
      <c r="AJ376" s="345" t="s">
        <v>312</v>
      </c>
      <c r="AK376" s="75"/>
      <c r="AL376" s="75"/>
      <c r="AM376" s="75"/>
      <c r="AN376" s="75"/>
      <c r="AO376" s="75"/>
      <c r="AP376" s="75"/>
      <c r="AQ376" s="75"/>
      <c r="AR376" s="75"/>
      <c r="AT376" s="75"/>
      <c r="AU376" s="75"/>
    </row>
    <row r="377" spans="1:47" s="301" customFormat="1" outlineLevel="1">
      <c r="A377" s="561">
        <v>348</v>
      </c>
      <c r="B377" s="84"/>
      <c r="C377" s="322"/>
      <c r="D377" s="359"/>
      <c r="E377" s="304" t="s">
        <v>447</v>
      </c>
      <c r="F377" s="332"/>
      <c r="G377" s="332"/>
      <c r="H377" s="332"/>
      <c r="I377" s="332"/>
      <c r="J377" s="332"/>
      <c r="K377" s="332">
        <f t="shared" ref="K377:N377" si="135">J384</f>
        <v>23.615724916227997</v>
      </c>
      <c r="L377" s="332">
        <f>K384</f>
        <v>22.119772971286171</v>
      </c>
      <c r="M377" s="332">
        <f t="shared" si="135"/>
        <v>23.070405952151248</v>
      </c>
      <c r="N377" s="332">
        <f t="shared" si="135"/>
        <v>24.074451712553941</v>
      </c>
      <c r="O377" s="310">
        <f t="shared" ref="O377" si="136">N384</f>
        <v>23.900498342514673</v>
      </c>
      <c r="P377" s="309">
        <f t="shared" ref="P377" si="137">O384</f>
        <v>22.722048305737623</v>
      </c>
      <c r="Q377" s="309">
        <f t="shared" ref="Q377" si="138">P384</f>
        <v>24.048015322436477</v>
      </c>
      <c r="R377" s="309">
        <f t="shared" ref="R377" si="139">Q384</f>
        <v>22.397436289207914</v>
      </c>
      <c r="S377" s="309">
        <f t="shared" ref="S377:AE377" si="140">R384</f>
        <v>13.04684402483327</v>
      </c>
      <c r="T377" s="309">
        <f t="shared" ca="1" si="140"/>
        <v>7.8322193144477446</v>
      </c>
      <c r="U377" s="309">
        <f t="shared" ca="1" si="140"/>
        <v>13.907735442751747</v>
      </c>
      <c r="V377" s="309">
        <f t="shared" ca="1" si="140"/>
        <v>12.173321797593623</v>
      </c>
      <c r="W377" s="309">
        <f t="shared" ca="1" si="140"/>
        <v>11.460167980635791</v>
      </c>
      <c r="X377" s="309">
        <f t="shared" ca="1" si="140"/>
        <v>10.01110891631231</v>
      </c>
      <c r="Y377" s="309">
        <f t="shared" ca="1" si="140"/>
        <v>9.1284665704396346</v>
      </c>
      <c r="Z377" s="309">
        <f t="shared" ca="1" si="140"/>
        <v>8.1549261070883841</v>
      </c>
      <c r="AA377" s="309">
        <f t="shared" ca="1" si="140"/>
        <v>6.5709521507794513</v>
      </c>
      <c r="AB377" s="309">
        <f t="shared" ca="1" si="140"/>
        <v>4.1991319451344342</v>
      </c>
      <c r="AC377" s="309">
        <f t="shared" ca="1" si="140"/>
        <v>2.1424827995518338</v>
      </c>
      <c r="AD377" s="309">
        <f t="shared" ca="1" si="140"/>
        <v>1.3296499027754534</v>
      </c>
      <c r="AE377" s="56">
        <f t="shared" ca="1" si="140"/>
        <v>1.3636015374621202</v>
      </c>
      <c r="AF377" s="940"/>
      <c r="AG377" s="940"/>
      <c r="AH377" s="940"/>
      <c r="AI377" s="940"/>
      <c r="AJ377" s="345" t="s">
        <v>313</v>
      </c>
      <c r="AK377" s="75"/>
      <c r="AL377" s="75"/>
      <c r="AM377" s="75"/>
      <c r="AN377" s="75"/>
      <c r="AO377" s="75"/>
      <c r="AP377" s="75"/>
      <c r="AQ377" s="75"/>
      <c r="AR377" s="75"/>
      <c r="AT377" s="75"/>
      <c r="AU377" s="75"/>
    </row>
    <row r="378" spans="1:47" s="301" customFormat="1" ht="25.5" outlineLevel="1">
      <c r="A378" s="561">
        <v>349</v>
      </c>
      <c r="C378" s="10"/>
      <c r="D378" s="29"/>
      <c r="E378" s="306" t="s">
        <v>448</v>
      </c>
      <c r="F378" s="325"/>
      <c r="G378" s="325"/>
      <c r="H378" s="325"/>
      <c r="I378" s="325"/>
      <c r="J378" s="325"/>
      <c r="K378" s="325">
        <f>K377-K376</f>
        <v>4.1440886337298188</v>
      </c>
      <c r="L378" s="325">
        <f>L377-L376</f>
        <v>0.24197744753506356</v>
      </c>
      <c r="M378" s="325">
        <f>M377-M376</f>
        <v>-0.70770408123595985</v>
      </c>
      <c r="N378" s="326">
        <f>N377-N376</f>
        <v>-0.94052178429178568</v>
      </c>
      <c r="O378" s="1142">
        <f t="shared" ref="O378:P378" si="141">O377-O376</f>
        <v>-2.3556762361297814</v>
      </c>
      <c r="P378" s="1112">
        <f t="shared" si="141"/>
        <v>-2.9393596509314008</v>
      </c>
      <c r="Q378" s="1112">
        <f t="shared" ref="Q378:R378" si="142">Q377-Q376</f>
        <v>-1.1504641317613249</v>
      </c>
      <c r="R378" s="1112">
        <f t="shared" si="142"/>
        <v>0.6198220757146089</v>
      </c>
      <c r="S378" s="1112">
        <f t="shared" ref="S378:AE378" si="143">S377-S376</f>
        <v>-6.8043918499031797</v>
      </c>
      <c r="T378" s="1112">
        <f t="shared" ca="1" si="143"/>
        <v>-8.0728536496260723</v>
      </c>
      <c r="U378" s="1112">
        <f t="shared" ca="1" si="143"/>
        <v>-4.6413587276220056</v>
      </c>
      <c r="V378" s="1112">
        <f t="shared" ca="1" si="143"/>
        <v>-6.4929682475158579</v>
      </c>
      <c r="W378" s="1112">
        <f t="shared" ca="1" si="143"/>
        <v>-6.0682710602532275</v>
      </c>
      <c r="X378" s="1112">
        <f t="shared" ca="1" si="143"/>
        <v>-6.0858866108250957</v>
      </c>
      <c r="Y378" s="1112">
        <f t="shared" ca="1" si="143"/>
        <v>-6.0548223937753445</v>
      </c>
      <c r="Z378" s="1112">
        <f t="shared" ca="1" si="143"/>
        <v>-6.0582092183279208</v>
      </c>
      <c r="AA378" s="1112">
        <f t="shared" ca="1" si="143"/>
        <v>-6.0929537646020862</v>
      </c>
      <c r="AB378" s="1112">
        <f t="shared" ca="1" si="143"/>
        <v>-6.1395155077498362</v>
      </c>
      <c r="AC378" s="1112">
        <f t="shared" ca="1" si="143"/>
        <v>-6.1243112067924024</v>
      </c>
      <c r="AD378" s="1112">
        <f t="shared" ca="1" si="143"/>
        <v>-6.0530458926548363</v>
      </c>
      <c r="AE378" s="1143">
        <f t="shared" ca="1" si="143"/>
        <v>-6.0010808070548025</v>
      </c>
      <c r="AF378" s="940"/>
      <c r="AG378" s="940"/>
      <c r="AH378" s="940"/>
      <c r="AI378" s="940"/>
      <c r="AJ378" s="345" t="s">
        <v>314</v>
      </c>
      <c r="AK378" s="75"/>
      <c r="AL378" s="75"/>
      <c r="AM378" s="75"/>
      <c r="AN378" s="75"/>
      <c r="AO378" s="75"/>
      <c r="AP378" s="75"/>
      <c r="AQ378" s="75"/>
      <c r="AR378" s="75"/>
      <c r="AT378" s="75"/>
      <c r="AU378" s="75"/>
    </row>
    <row r="379" spans="1:47" s="301" customFormat="1" outlineLevel="1">
      <c r="A379" s="561">
        <v>350</v>
      </c>
      <c r="C379" s="10"/>
      <c r="D379" s="29"/>
      <c r="L379" s="75"/>
      <c r="N379" s="36"/>
      <c r="O379" s="320"/>
      <c r="AF379" s="940"/>
      <c r="AG379" s="940"/>
      <c r="AH379" s="940"/>
      <c r="AI379" s="940"/>
      <c r="AJ379" s="345"/>
      <c r="AK379" s="75"/>
      <c r="AL379" s="75"/>
      <c r="AM379" s="75"/>
      <c r="AN379" s="75"/>
      <c r="AO379" s="75"/>
      <c r="AP379" s="75"/>
      <c r="AQ379" s="75"/>
      <c r="AR379" s="75"/>
      <c r="AT379" s="75"/>
      <c r="AU379" s="75"/>
    </row>
    <row r="380" spans="1:47" s="301" customFormat="1" outlineLevel="1">
      <c r="A380" s="561">
        <v>351</v>
      </c>
      <c r="C380" s="10"/>
      <c r="D380" s="29"/>
      <c r="E380" s="322" t="s">
        <v>223</v>
      </c>
      <c r="L380" s="75"/>
      <c r="N380" s="36"/>
      <c r="O380" s="320"/>
      <c r="AF380" s="940"/>
      <c r="AG380" s="940"/>
      <c r="AH380" s="940"/>
      <c r="AI380" s="940"/>
      <c r="AJ380" s="345"/>
      <c r="AK380" s="75"/>
      <c r="AL380" s="75"/>
      <c r="AM380" s="75"/>
      <c r="AN380" s="75"/>
      <c r="AO380" s="75"/>
      <c r="AP380" s="75"/>
      <c r="AQ380" s="75"/>
      <c r="AR380" s="75"/>
      <c r="AT380" s="75"/>
      <c r="AU380" s="75"/>
    </row>
    <row r="381" spans="1:47" s="301" customFormat="1" ht="25.5" outlineLevel="1">
      <c r="A381" s="561">
        <v>352</v>
      </c>
      <c r="C381" s="10"/>
      <c r="D381" s="29"/>
      <c r="E381" s="302" t="s">
        <v>449</v>
      </c>
      <c r="F381" s="327">
        <f t="shared" ref="F381:AE381" si="144">F9*(F372)</f>
        <v>0</v>
      </c>
      <c r="G381" s="1141">
        <f t="shared" si="144"/>
        <v>0</v>
      </c>
      <c r="H381" s="1141">
        <f t="shared" si="144"/>
        <v>0.39149932199321663</v>
      </c>
      <c r="I381" s="1141">
        <f t="shared" si="144"/>
        <v>1.6186787970644065</v>
      </c>
      <c r="J381" s="1141">
        <f t="shared" si="144"/>
        <v>1.9471636282498179</v>
      </c>
      <c r="K381" s="1141">
        <f t="shared" si="144"/>
        <v>2.1364107189541972</v>
      </c>
      <c r="L381" s="1141">
        <f t="shared" si="144"/>
        <v>2.3265087229228407</v>
      </c>
      <c r="M381" s="1141">
        <f t="shared" si="144"/>
        <v>1.4729582185711665</v>
      </c>
      <c r="N381" s="324">
        <f t="shared" si="144"/>
        <v>1.5413053859764909</v>
      </c>
      <c r="O381" s="327">
        <f t="shared" si="144"/>
        <v>1.492861339271186</v>
      </c>
      <c r="P381" s="1141">
        <f t="shared" si="144"/>
        <v>1.9435867214641838</v>
      </c>
      <c r="Q381" s="1141">
        <f t="shared" si="144"/>
        <v>2.6470038192870837</v>
      </c>
      <c r="R381" s="1141">
        <f t="shared" si="144"/>
        <v>0.99256179373682252</v>
      </c>
      <c r="S381" s="1141">
        <f t="shared" si="144"/>
        <v>0.95430437784442901</v>
      </c>
      <c r="T381" s="1141">
        <f t="shared" si="144"/>
        <v>1.1129456502224251</v>
      </c>
      <c r="U381" s="1141">
        <f t="shared" si="144"/>
        <v>1.1199774027065688</v>
      </c>
      <c r="V381" s="1141">
        <f t="shared" si="144"/>
        <v>1.051706342453341</v>
      </c>
      <c r="W381" s="1141">
        <f t="shared" si="144"/>
        <v>0.9658197316282443</v>
      </c>
      <c r="X381" s="1141">
        <f t="shared" si="144"/>
        <v>0.91099733785289871</v>
      </c>
      <c r="Y381" s="1141">
        <f t="shared" si="144"/>
        <v>0.85278811952497824</v>
      </c>
      <c r="Z381" s="1141">
        <f t="shared" si="144"/>
        <v>0.7598343549228922</v>
      </c>
      <c r="AA381" s="1141">
        <f t="shared" si="144"/>
        <v>0.62031884717305619</v>
      </c>
      <c r="AB381" s="1141">
        <f t="shared" si="144"/>
        <v>0.49600764038065415</v>
      </c>
      <c r="AC381" s="1141">
        <f t="shared" si="144"/>
        <v>0.44296174772581737</v>
      </c>
      <c r="AD381" s="1141">
        <f t="shared" si="144"/>
        <v>0.44188094067101535</v>
      </c>
      <c r="AE381" s="324">
        <f t="shared" si="144"/>
        <v>0.46975049910395333</v>
      </c>
      <c r="AF381" s="940" t="s">
        <v>482</v>
      </c>
      <c r="AG381" s="940"/>
      <c r="AH381" s="940"/>
      <c r="AI381" s="940"/>
      <c r="AJ381" s="345" t="s">
        <v>649</v>
      </c>
      <c r="AK381" s="75"/>
      <c r="AL381" s="75"/>
      <c r="AM381" s="75"/>
      <c r="AN381" s="75"/>
      <c r="AO381" s="75"/>
      <c r="AP381" s="75"/>
      <c r="AQ381" s="75"/>
      <c r="AR381" s="75"/>
      <c r="AT381" s="75"/>
      <c r="AU381" s="75"/>
    </row>
    <row r="382" spans="1:47" s="301" customFormat="1" ht="38.25" outlineLevel="1">
      <c r="A382" s="561">
        <v>353</v>
      </c>
      <c r="B382" s="363"/>
      <c r="C382" s="361"/>
      <c r="D382" s="362"/>
      <c r="E382" s="304" t="s">
        <v>450</v>
      </c>
      <c r="F382" s="310">
        <f>IF(ControlPanel!$D$59&gt;F$5,F10,
  IF(ControlPanel!$D$59&lt;F$5,E382+F378+E383,
     IF('D-Kontostand aktuelles Jahr'!$B$6="endogen",'MOD-Jahresgang'!$Q$9+'D-Prognosefehler Kontostand'!$F$6,
                    'D-Kontostand aktuelles Jahr'!$F$6+'D-Prognosefehler Kontostand'!$F$6)))</f>
        <v>0</v>
      </c>
      <c r="G382" s="309">
        <f>IF(ControlPanel!$D$59&gt;G$5,G10,
  IF(ControlPanel!$D$59&lt;G$5,F382+G378+F383,
     IF('D-Kontostand aktuelles Jahr'!$B$6="endogen",'MOD-Jahresgang'!$Q$9+'D-Prognosefehler Kontostand'!$F$6,
                    'D-Kontostand aktuelles Jahr'!$F$6+'D-Prognosefehler Kontostand'!$F$6)))</f>
        <v>-1.11629894236</v>
      </c>
      <c r="H382" s="309">
        <f>IF(ControlPanel!$D$59&gt;H$5,H10,
  IF(ControlPanel!$D$59&lt;H$5,G382+H378+G383,
     IF('D-Kontostand aktuelles Jahr'!$B$6="endogen",'MOD-Jahresgang'!$Q$9+'D-Prognosefehler Kontostand'!$F$6,
                    'D-Kontostand aktuelles Jahr'!$F$6+'D-Prognosefehler Kontostand'!$F$6)))</f>
        <v>-0.71124112144000007</v>
      </c>
      <c r="I382" s="332">
        <f>IF(ControlPanel!$D$59&gt;I$5,I10,
  IF(ControlPanel!$D$59&lt;I$5,H382+I378+H383,
     IF('D-Kontostand aktuelles Jahr'!$B$6="endogen",'MOD-Jahresgang'!$Q$9+'D-Prognosefehler Kontostand'!$F$6,
                    'D-Kontostand aktuelles Jahr'!$F$6+'D-Prognosefehler Kontostand'!$F$6)))</f>
        <v>-2.5889139132900003</v>
      </c>
      <c r="J382" s="332">
        <f>IF(ControlPanel!$D$59&gt;J$5,J10,
  IF(ControlPanel!$D$59&lt;J$5,I382+J378+I383,
     IF('D-Kontostand aktuelles Jahr'!$B$6="endogen",'MOD-Jahresgang'!$Q$9+'D-Prognosefehler Kontostand'!$F$6,
                    'D-Kontostand aktuelles Jahr'!$F$6+'D-Prognosefehler Kontostand'!$F$6)))</f>
        <v>-2.1969250054800002</v>
      </c>
      <c r="K382" s="332">
        <f>IF(ControlPanel!$D$59&gt;K$5,K10,
  IF(ControlPanel!$D$59&lt;K$5,J382+K378+J383,
     IF('D-Kontostand aktuelles Jahr'!$B$6="endogen",'MOD-Jahresgang'!$Q$9+'D-Prognosefehler Kontostand'!$F$6,
                    'D-Kontostand aktuelles Jahr'!$F$6+'D-Prognosefehler Kontostand'!$F$6)))</f>
        <v>1.38074493721</v>
      </c>
      <c r="L382" s="332">
        <f>IF(ControlPanel!$D$59&gt;L$5,L10,
  IF(ControlPanel!$D$59&lt;L$5,K382+L378+K383,
     IF('D-Kontostand aktuelles Jahr'!$B$6="endogen",'MOD-Jahresgang'!$Q$9+'D-Prognosefehler Kontostand'!$F$6,
                    'D-Kontostand aktuelles Jahr'!$F$6+'D-Prognosefehler Kontostand'!$F$6)))</f>
        <v>2.5211899999999998</v>
      </c>
      <c r="M382" s="332">
        <f>IF(ControlPanel!$D$59&gt;M$5,M10,
  IF(ControlPanel!$D$59&lt;M$5,L382+M378+L383,
     IF('D-Kontostand aktuelles Jahr'!$B$6="endogen",'MOD-Jahresgang'!$Q$9+'D-Prognosefehler Kontostand'!$F$6,
                    'D-Kontostand aktuelles Jahr'!$F$6+'D-Prognosefehler Kontostand'!$F$6)))</f>
        <v>1.9478101488699999</v>
      </c>
      <c r="N382" s="332">
        <f>IF(ControlPanel!$D$59&gt;N$5,N10,
  IF(ControlPanel!$D$59&lt;N$5,M382+N378+M383,
     IF('D-Kontostand aktuelles Jahr'!$B$6="endogen",'MOD-Jahresgang'!$Q$9+'D-Prognosefehler Kontostand'!$F$6,
                    'D-Kontostand aktuelles Jahr'!$F$6+'D-Prognosefehler Kontostand'!$F$6)))</f>
        <v>3.3292301430700002</v>
      </c>
      <c r="O382" s="334">
        <f>IF(ControlPanel!$D$59&gt;O$5,O10,
  IF(ControlPanel!$D$59&lt;O$5,N382+O378+N383,
     IF('D-Kontostand aktuelles Jahr'!$B$6="endogen",'MOD-Jahresgang'!$Q$9+'D-Prognosefehler Kontostand'!$F$6,
                    'D-Kontostand aktuelles Jahr'!$F$6+'D-Prognosefehler Kontostand'!$F$6)))</f>
        <v>3.6518353547200002</v>
      </c>
      <c r="P382" s="332">
        <f>IF(ControlPanel!$D$59&gt;P$5,P10,
  IF(ControlPanel!$D$59&lt;P$5,O382+P378+O383,
     IF('D-Kontostand aktuelles Jahr'!$B$6="endogen",'MOD-Jahresgang'!$Q$9+'D-Prognosefehler Kontostand'!$F$6,
                    'D-Kontostand aktuelles Jahr'!$F$6+'D-Prognosefehler Kontostand'!$F$6)))</f>
        <v>2.19040541733</v>
      </c>
      <c r="Q382" s="332">
        <f>IF(ControlPanel!$D$59&gt;Q$5,Q10,
  IF(ControlPanel!$D$59&lt;Q$5,P382+Q378+P383,
     IF('D-Kontostand aktuelles Jahr'!$B$6="endogen",'MOD-Jahresgang'!$Q$9+'D-Prognosefehler Kontostand'!$F$6,
                    'D-Kontostand aktuelles Jahr'!$F$6+'D-Prognosefehler Kontostand'!$F$6)))</f>
        <v>-4.0803942770500008</v>
      </c>
      <c r="R382" s="332">
        <f>IF(ControlPanel!$D$59&gt;R$5,R10,
  IF(ControlPanel!$D$59&lt;R$5,Q382+R378+Q383,
     IF('D-Kontostand aktuelles Jahr'!$B$6="endogen",'MOD-Jahresgang'!$Q$9+'D-Prognosefehler Kontostand'!$F$6,
                    'D-Kontostand aktuelles Jahr'!$F$6+'D-Prognosefehler Kontostand'!$F$6)))</f>
        <v>4.5469536436400002</v>
      </c>
      <c r="S382" s="332">
        <f ca="1">IF(ControlPanel!$D$59&gt;S$5,S10,
  IF(ControlPanel!$D$59&lt;S$5,R382+S378+R383,
     IF('D-Kontostand aktuelles Jahr'!$B$6="endogen",'MOD-Jahresgang'!$Q$9+'D-Prognosefehler Kontostand'!$F$6,
                    'D-Kontostand aktuelles Jahr'!$F$6+'D-Prognosefehler Kontostand'!$F$6)))</f>
        <v>5.9271580274705027</v>
      </c>
      <c r="T382" s="332">
        <f ca="1">IF(ControlPanel!$D$59&gt;T$5,T10,
  IF(ControlPanel!$D$59&lt;T$5,S382+T378+S383,
     IF('D-Kontostand aktuelles Jahr'!$B$6="endogen",'MOD-Jahresgang'!$Q$9+'D-Prognosefehler Kontostand'!$F$6,
                    'D-Kontostand aktuelles Jahr'!$F$6+'D-Prognosefehler Kontostand'!$F$6)))</f>
        <v>0.95430437784443045</v>
      </c>
      <c r="U382" s="332">
        <f ca="1">IF(ControlPanel!$D$59&gt;U$5,U10,
  IF(ControlPanel!$D$59&lt;U$5,T382+U378+T383,
     IF('D-Kontostand aktuelles Jahr'!$B$6="endogen",'MOD-Jahresgang'!$Q$9+'D-Prognosefehler Kontostand'!$F$6,
                    'D-Kontostand aktuelles Jahr'!$F$6+'D-Prognosefehler Kontostand'!$F$6)))</f>
        <v>1.1129456502224246</v>
      </c>
      <c r="V382" s="332">
        <f ca="1">IF(ControlPanel!$D$59&gt;V$5,V10,
  IF(ControlPanel!$D$59&lt;V$5,U382+V378+U383,
     IF('D-Kontostand aktuelles Jahr'!$B$6="endogen",'MOD-Jahresgang'!$Q$9+'D-Prognosefehler Kontostand'!$F$6,
                    'D-Kontostand aktuelles Jahr'!$F$6+'D-Prognosefehler Kontostand'!$F$6)))</f>
        <v>1.1199774027065672</v>
      </c>
      <c r="W382" s="332">
        <f ca="1">IF(ControlPanel!$D$59&gt;W$5,W10,
  IF(ControlPanel!$D$59&lt;W$5,V382+W378+V383,
     IF('D-Kontostand aktuelles Jahr'!$B$6="endogen",'MOD-Jahresgang'!$Q$9+'D-Prognosefehler Kontostand'!$F$6,
                    'D-Kontostand aktuelles Jahr'!$F$6+'D-Prognosefehler Kontostand'!$F$6)))</f>
        <v>1.0517063424533397</v>
      </c>
      <c r="X382" s="332">
        <f ca="1">IF(ControlPanel!$D$59&gt;X$5,X10,
  IF(ControlPanel!$D$59&lt;X$5,W382+X378+W383,
     IF('D-Kontostand aktuelles Jahr'!$B$6="endogen",'MOD-Jahresgang'!$Q$9+'D-Prognosefehler Kontostand'!$F$6,
                    'D-Kontostand aktuelles Jahr'!$F$6+'D-Prognosefehler Kontostand'!$F$6)))</f>
        <v>0.96581973162824397</v>
      </c>
      <c r="Y382" s="332">
        <f ca="1">IF(ControlPanel!$D$59&gt;Y$5,Y10,
  IF(ControlPanel!$D$59&lt;Y$5,X382+Y378+X383,
     IF('D-Kontostand aktuelles Jahr'!$B$6="endogen",'MOD-Jahresgang'!$Q$9+'D-Prognosefehler Kontostand'!$F$6,
                    'D-Kontostand aktuelles Jahr'!$F$6+'D-Prognosefehler Kontostand'!$F$6)))</f>
        <v>0.91099733785289949</v>
      </c>
      <c r="Z382" s="332">
        <f ca="1">IF(ControlPanel!$D$59&gt;Z$5,Z10,
  IF(ControlPanel!$D$59&lt;Z$5,Y382+Z378+Y383,
     IF('D-Kontostand aktuelles Jahr'!$B$6="endogen",'MOD-Jahresgang'!$Q$9+'D-Prognosefehler Kontostand'!$F$6,
                    'D-Kontostand aktuelles Jahr'!$F$6+'D-Prognosefehler Kontostand'!$F$6)))</f>
        <v>0.85278811952497868</v>
      </c>
      <c r="AA382" s="332">
        <f ca="1">IF(ControlPanel!$D$59&gt;AA$5,AA10,
  IF(ControlPanel!$D$59&lt;AA$5,Z382+AA378+Z383,
     IF('D-Kontostand aktuelles Jahr'!$B$6="endogen",'MOD-Jahresgang'!$Q$9+'D-Prognosefehler Kontostand'!$F$6,
                    'D-Kontostand aktuelles Jahr'!$F$6+'D-Prognosefehler Kontostand'!$F$6)))</f>
        <v>0.75983435492289253</v>
      </c>
      <c r="AB382" s="332">
        <f ca="1">IF(ControlPanel!$D$59&gt;AB$5,AB10,
  IF(ControlPanel!$D$59&lt;AB$5,AA382+AB378+AA383,
     IF('D-Kontostand aktuelles Jahr'!$B$6="endogen",'MOD-Jahresgang'!$Q$9+'D-Prognosefehler Kontostand'!$F$6,
                    'D-Kontostand aktuelles Jahr'!$F$6+'D-Prognosefehler Kontostand'!$F$6)))</f>
        <v>0.6203188471730563</v>
      </c>
      <c r="AC382" s="332">
        <f ca="1">IF(ControlPanel!$D$59&gt;AC$5,AC10,
  IF(ControlPanel!$D$59&lt;AC$5,AB382+AC378+AB383,
     IF('D-Kontostand aktuelles Jahr'!$B$6="endogen",'MOD-Jahresgang'!$Q$9+'D-Prognosefehler Kontostand'!$F$6,
                    'D-Kontostand aktuelles Jahr'!$F$6+'D-Prognosefehler Kontostand'!$F$6)))</f>
        <v>0.49600764038065392</v>
      </c>
      <c r="AD382" s="332">
        <f ca="1">IF(ControlPanel!$D$59&gt;AD$5,AD10,
  IF(ControlPanel!$D$59&lt;AD$5,AC382+AD378+AC383,
     IF('D-Kontostand aktuelles Jahr'!$B$6="endogen",'MOD-Jahresgang'!$Q$9+'D-Prognosefehler Kontostand'!$F$6,
                    'D-Kontostand aktuelles Jahr'!$F$6+'D-Prognosefehler Kontostand'!$F$6)))</f>
        <v>0.44296174772581765</v>
      </c>
      <c r="AE382" s="333">
        <f ca="1">IF(ControlPanel!$D$59&gt;AE$5,AE10,
  IF(ControlPanel!$D$59&lt;AE$5,AD382+AE378+AD383,
     IF('D-Kontostand aktuelles Jahr'!$B$6="endogen",'MOD-Jahresgang'!$Q$9+'D-Prognosefehler Kontostand'!$F$6,
                    'D-Kontostand aktuelles Jahr'!$F$6+'D-Prognosefehler Kontostand'!$F$6)))</f>
        <v>0.44188094067101513</v>
      </c>
      <c r="AF382" s="940" t="s">
        <v>485</v>
      </c>
      <c r="AG382" s="940"/>
      <c r="AH382" s="940"/>
      <c r="AI382" s="940"/>
      <c r="AJ382" s="345" t="s">
        <v>315</v>
      </c>
      <c r="AK382" s="75"/>
      <c r="AL382" s="75"/>
      <c r="AM382" s="75"/>
      <c r="AN382" s="75"/>
      <c r="AO382" s="75"/>
      <c r="AP382" s="75"/>
      <c r="AQ382" s="75"/>
      <c r="AR382" s="75"/>
      <c r="AT382" s="75"/>
      <c r="AU382" s="75"/>
    </row>
    <row r="383" spans="1:47" s="301" customFormat="1" outlineLevel="1">
      <c r="A383" s="1227" t="s">
        <v>869</v>
      </c>
      <c r="B383" s="363"/>
      <c r="C383" s="361"/>
      <c r="D383" s="362"/>
      <c r="E383" s="304" t="s">
        <v>868</v>
      </c>
      <c r="F383" s="310">
        <f>'D-Zuschuss'!F$6</f>
        <v>0</v>
      </c>
      <c r="G383" s="309">
        <f>'D-Zuschuss'!G$6</f>
        <v>0</v>
      </c>
      <c r="H383" s="309">
        <f>'D-Zuschuss'!H$6</f>
        <v>0</v>
      </c>
      <c r="I383" s="332">
        <f>'D-Zuschuss'!I$6</f>
        <v>0</v>
      </c>
      <c r="J383" s="332">
        <f>'D-Zuschuss'!J$6</f>
        <v>0</v>
      </c>
      <c r="K383" s="332">
        <f>'D-Zuschuss'!K$6</f>
        <v>0</v>
      </c>
      <c r="L383" s="332">
        <f>'D-Zuschuss'!L$6</f>
        <v>0</v>
      </c>
      <c r="M383" s="332">
        <f>'D-Zuschuss'!M$6</f>
        <v>0</v>
      </c>
      <c r="N383" s="332">
        <f>'D-Zuschuss'!N$6</f>
        <v>0</v>
      </c>
      <c r="O383" s="310">
        <f>'D-Zuschuss'!O$6</f>
        <v>0</v>
      </c>
      <c r="P383" s="309">
        <f>'D-Zuschuss'!P$6</f>
        <v>0</v>
      </c>
      <c r="Q383" s="309">
        <f>'D-Zuschuss'!Q$6</f>
        <v>10.8</v>
      </c>
      <c r="R383" s="309">
        <f>'D-Zuschuss'!R$6</f>
        <v>3.25</v>
      </c>
      <c r="S383" s="309">
        <f>'D-Zuschuss'!S$6</f>
        <v>3.1</v>
      </c>
      <c r="T383" s="309">
        <f>'D-Zuschuss'!T$6</f>
        <v>4.8</v>
      </c>
      <c r="U383" s="309">
        <f>'D-Zuschuss'!U$6</f>
        <v>6.5</v>
      </c>
      <c r="V383" s="309">
        <f>'D-Zuschuss'!V$6</f>
        <v>6</v>
      </c>
      <c r="W383" s="309">
        <f>'D-Zuschuss'!W$6</f>
        <v>6</v>
      </c>
      <c r="X383" s="309">
        <f>'D-Zuschuss'!X$6</f>
        <v>6</v>
      </c>
      <c r="Y383" s="309">
        <f>'D-Zuschuss'!Y$6</f>
        <v>6</v>
      </c>
      <c r="Z383" s="309">
        <f>'D-Zuschuss'!Z$6</f>
        <v>6</v>
      </c>
      <c r="AA383" s="309">
        <f>'D-Zuschuss'!AA$6</f>
        <v>6</v>
      </c>
      <c r="AB383" s="309">
        <f>'D-Zuschuss'!AB$6</f>
        <v>6</v>
      </c>
      <c r="AC383" s="309">
        <f>'D-Zuschuss'!AC$6</f>
        <v>6</v>
      </c>
      <c r="AD383" s="309">
        <f>'D-Zuschuss'!AD$6</f>
        <v>6</v>
      </c>
      <c r="AE383" s="56">
        <f>'D-Zuschuss'!AE$6</f>
        <v>6</v>
      </c>
      <c r="AF383" s="940" t="s">
        <v>485</v>
      </c>
      <c r="AG383" s="940"/>
      <c r="AH383" s="940"/>
      <c r="AI383" s="940"/>
      <c r="AJ383" s="345"/>
      <c r="AK383" s="75"/>
      <c r="AL383" s="75"/>
      <c r="AM383" s="75"/>
      <c r="AN383" s="75"/>
      <c r="AO383" s="75"/>
      <c r="AP383" s="75"/>
      <c r="AQ383" s="75"/>
      <c r="AR383" s="75"/>
      <c r="AT383" s="75"/>
      <c r="AU383" s="75"/>
    </row>
    <row r="384" spans="1:47" s="301" customFormat="1" ht="38.25" outlineLevel="1">
      <c r="A384" s="561">
        <v>354</v>
      </c>
      <c r="B384" s="363"/>
      <c r="C384" s="361"/>
      <c r="D384" s="362"/>
      <c r="E384" s="306" t="s">
        <v>451</v>
      </c>
      <c r="F384" s="325">
        <f>F372+F381-F382</f>
        <v>8.2341157261471896</v>
      </c>
      <c r="G384" s="325">
        <f t="shared" ref="G384:H384" si="145">G372+G381-G382</f>
        <v>14.433184429013737</v>
      </c>
      <c r="H384" s="325">
        <f t="shared" si="145"/>
        <v>14.152717843207107</v>
      </c>
      <c r="I384" s="325">
        <f>I372+I381-I382-I383</f>
        <v>20.394380680998474</v>
      </c>
      <c r="J384" s="325">
        <f t="shared" ref="J384:Q384" si="146">J372+J381-J382-J383</f>
        <v>23.615724916227997</v>
      </c>
      <c r="K384" s="325">
        <f t="shared" si="146"/>
        <v>22.119772971286171</v>
      </c>
      <c r="L384" s="325">
        <f t="shared" si="146"/>
        <v>23.070405952151248</v>
      </c>
      <c r="M384" s="325">
        <f t="shared" si="146"/>
        <v>24.074451712553941</v>
      </c>
      <c r="N384" s="326">
        <f t="shared" si="146"/>
        <v>23.900498342514673</v>
      </c>
      <c r="O384" s="300">
        <f t="shared" si="146"/>
        <v>22.722048305737623</v>
      </c>
      <c r="P384" s="325">
        <f t="shared" si="146"/>
        <v>24.048015322436477</v>
      </c>
      <c r="Q384" s="325">
        <f t="shared" si="146"/>
        <v>22.397436289207914</v>
      </c>
      <c r="R384" s="325">
        <f t="shared" ref="R384:AE384" si="147">R372+R381-R382-R383</f>
        <v>13.04684402483327</v>
      </c>
      <c r="S384" s="325">
        <f t="shared" ca="1" si="147"/>
        <v>7.8322193144477446</v>
      </c>
      <c r="T384" s="325">
        <f t="shared" ca="1" si="147"/>
        <v>13.907735442751747</v>
      </c>
      <c r="U384" s="325">
        <f t="shared" ca="1" si="147"/>
        <v>12.173321797593623</v>
      </c>
      <c r="V384" s="325">
        <f t="shared" ca="1" si="147"/>
        <v>11.460167980635791</v>
      </c>
      <c r="W384" s="325">
        <f t="shared" ca="1" si="147"/>
        <v>10.01110891631231</v>
      </c>
      <c r="X384" s="325">
        <f t="shared" ca="1" si="147"/>
        <v>9.1284665704396346</v>
      </c>
      <c r="Y384" s="325">
        <f t="shared" ca="1" si="147"/>
        <v>8.1549261070883841</v>
      </c>
      <c r="Z384" s="325">
        <f t="shared" ca="1" si="147"/>
        <v>6.5709521507794513</v>
      </c>
      <c r="AA384" s="325">
        <f t="shared" ca="1" si="147"/>
        <v>4.1991319451344342</v>
      </c>
      <c r="AB384" s="325">
        <f t="shared" ca="1" si="147"/>
        <v>2.1424827995518338</v>
      </c>
      <c r="AC384" s="325">
        <f t="shared" ca="1" si="147"/>
        <v>1.3296499027754534</v>
      </c>
      <c r="AD384" s="325">
        <f t="shared" ca="1" si="147"/>
        <v>1.3636015374621202</v>
      </c>
      <c r="AE384" s="326">
        <f t="shared" ca="1" si="147"/>
        <v>1.8570445434988274</v>
      </c>
      <c r="AF384" s="940"/>
      <c r="AG384" s="940"/>
      <c r="AH384" s="940"/>
      <c r="AI384" s="940"/>
      <c r="AJ384" s="345" t="s">
        <v>870</v>
      </c>
      <c r="AK384" s="75"/>
      <c r="AL384" s="75"/>
      <c r="AM384" s="75"/>
      <c r="AN384" s="75"/>
      <c r="AO384" s="75"/>
      <c r="AP384" s="75"/>
      <c r="AQ384" s="75"/>
      <c r="AR384" s="75"/>
      <c r="AT384" s="75"/>
      <c r="AU384" s="75"/>
    </row>
    <row r="385" spans="1:47" s="301" customFormat="1" outlineLevel="1">
      <c r="A385" s="561">
        <v>355</v>
      </c>
      <c r="B385" s="364"/>
      <c r="C385" s="361"/>
      <c r="D385" s="362"/>
      <c r="F385" s="331"/>
      <c r="G385" s="331"/>
      <c r="H385" s="331"/>
      <c r="I385" s="331"/>
      <c r="J385" s="331"/>
      <c r="K385" s="331"/>
      <c r="L385" s="331"/>
      <c r="M385" s="331"/>
      <c r="N385" s="349"/>
      <c r="O385" s="296"/>
      <c r="P385" s="331"/>
      <c r="Q385" s="331"/>
      <c r="R385" s="331"/>
      <c r="S385" s="331"/>
      <c r="T385" s="331"/>
      <c r="U385" s="331"/>
      <c r="V385" s="331"/>
      <c r="W385" s="331"/>
      <c r="X385" s="331"/>
      <c r="Y385" s="331"/>
      <c r="Z385" s="331"/>
      <c r="AA385" s="331"/>
      <c r="AB385" s="331"/>
      <c r="AC385" s="331"/>
      <c r="AD385" s="331"/>
      <c r="AE385" s="331"/>
      <c r="AF385" s="940"/>
      <c r="AG385" s="940"/>
      <c r="AH385" s="940"/>
      <c r="AI385" s="940"/>
      <c r="AJ385" s="345"/>
      <c r="AK385" s="75"/>
      <c r="AL385" s="75"/>
      <c r="AM385" s="75"/>
      <c r="AN385" s="75"/>
      <c r="AO385" s="75"/>
      <c r="AP385" s="75"/>
      <c r="AQ385" s="75"/>
      <c r="AR385" s="75"/>
      <c r="AT385" s="75"/>
      <c r="AU385" s="75"/>
    </row>
    <row r="386" spans="1:47" s="301" customFormat="1" outlineLevel="1">
      <c r="A386" s="561">
        <v>356</v>
      </c>
      <c r="B386" s="363"/>
      <c r="C386" s="363"/>
      <c r="D386" s="363"/>
      <c r="E386" s="322" t="s">
        <v>224</v>
      </c>
      <c r="L386" s="75"/>
      <c r="N386" s="36"/>
      <c r="O386" s="320"/>
      <c r="AF386" s="940"/>
      <c r="AG386" s="940"/>
      <c r="AH386" s="940"/>
      <c r="AI386" s="940"/>
      <c r="AJ386" s="345"/>
      <c r="AK386" s="75"/>
      <c r="AL386" s="75"/>
      <c r="AM386" s="75"/>
      <c r="AN386" s="75"/>
      <c r="AO386" s="75"/>
      <c r="AP386" s="75"/>
      <c r="AQ386" s="75"/>
      <c r="AR386" s="75"/>
      <c r="AT386" s="75"/>
      <c r="AU386" s="75"/>
    </row>
    <row r="387" spans="1:47" s="301" customFormat="1" ht="25.5" outlineLevel="1">
      <c r="A387" s="561">
        <v>357</v>
      </c>
      <c r="B387" s="363"/>
      <c r="C387" s="363"/>
      <c r="D387" s="363"/>
      <c r="E387" s="302" t="s">
        <v>452</v>
      </c>
      <c r="F387" s="323">
        <f t="shared" ref="F387:AE387" si="148">F372/F186*100</f>
        <v>2.0469999999999997</v>
      </c>
      <c r="G387" s="323">
        <f t="shared" si="148"/>
        <v>3.2569808831230973</v>
      </c>
      <c r="H387" s="323">
        <f t="shared" si="148"/>
        <v>3.3121213422965754</v>
      </c>
      <c r="I387" s="323">
        <f t="shared" si="148"/>
        <v>4.1882948767683201</v>
      </c>
      <c r="J387" s="323">
        <f t="shared" si="148"/>
        <v>5.1450044762037139</v>
      </c>
      <c r="K387" s="323">
        <f t="shared" si="148"/>
        <v>5.9588029975693937</v>
      </c>
      <c r="L387" s="76">
        <f t="shared" si="148"/>
        <v>6.3917545747264608</v>
      </c>
      <c r="M387" s="323">
        <f t="shared" si="148"/>
        <v>6.9955396645496517</v>
      </c>
      <c r="N387" s="324">
        <f t="shared" si="148"/>
        <v>7.2859069400823318</v>
      </c>
      <c r="O387" s="327">
        <f t="shared" si="148"/>
        <v>7.0153140806712573</v>
      </c>
      <c r="P387" s="323">
        <f t="shared" si="148"/>
        <v>6.8274787719158541</v>
      </c>
      <c r="Q387" s="323">
        <f t="shared" si="148"/>
        <v>7.6861898320156605</v>
      </c>
      <c r="R387" s="323">
        <f t="shared" si="148"/>
        <v>5.6648024725664641</v>
      </c>
      <c r="S387" s="323">
        <f t="shared" si="148"/>
        <v>4.5228976356218702</v>
      </c>
      <c r="T387" s="323">
        <f t="shared" si="148"/>
        <v>5.3318554897945019</v>
      </c>
      <c r="U387" s="323">
        <f t="shared" si="148"/>
        <v>5.41704745803146</v>
      </c>
      <c r="V387" s="323">
        <f t="shared" si="148"/>
        <v>5.1172209866222467</v>
      </c>
      <c r="W387" s="323">
        <f t="shared" si="148"/>
        <v>4.4181104287296371</v>
      </c>
      <c r="X387" s="323">
        <f t="shared" si="148"/>
        <v>3.9306693781924604</v>
      </c>
      <c r="Y387" s="323">
        <f t="shared" si="148"/>
        <v>3.4806224812435116</v>
      </c>
      <c r="Z387" s="323">
        <f t="shared" si="148"/>
        <v>2.9410998449451777</v>
      </c>
      <c r="AA387" s="323">
        <f t="shared" si="148"/>
        <v>2.2831550254328734</v>
      </c>
      <c r="AB387" s="323">
        <f t="shared" si="148"/>
        <v>1.7401303582443794</v>
      </c>
      <c r="AC387" s="323">
        <f t="shared" si="148"/>
        <v>1.4852283462916154</v>
      </c>
      <c r="AD387" s="323">
        <f t="shared" si="148"/>
        <v>1.41900107056254</v>
      </c>
      <c r="AE387" s="324">
        <f t="shared" si="148"/>
        <v>1.447623554251612</v>
      </c>
      <c r="AF387" s="940"/>
      <c r="AG387" s="940"/>
      <c r="AH387" s="940"/>
      <c r="AI387" s="940"/>
      <c r="AJ387" s="345" t="s">
        <v>316</v>
      </c>
      <c r="AK387" s="75"/>
      <c r="AL387" s="75"/>
      <c r="AM387" s="75"/>
      <c r="AN387" s="75"/>
      <c r="AO387" s="75"/>
      <c r="AP387" s="75"/>
      <c r="AQ387" s="75"/>
      <c r="AR387" s="75"/>
      <c r="AT387" s="75"/>
      <c r="AU387" s="75"/>
    </row>
    <row r="388" spans="1:47" s="301" customFormat="1" ht="25.5" outlineLevel="1">
      <c r="A388" s="561">
        <v>358</v>
      </c>
      <c r="B388" s="363"/>
      <c r="C388" s="363"/>
      <c r="D388" s="363"/>
      <c r="E388" s="304" t="s">
        <v>453</v>
      </c>
      <c r="F388" s="332">
        <f t="shared" ref="F388:M388" si="149">F381/F$186*100</f>
        <v>0</v>
      </c>
      <c r="G388" s="332">
        <f t="shared" si="149"/>
        <v>0</v>
      </c>
      <c r="H388" s="332">
        <f t="shared" si="149"/>
        <v>9.9363640268897269E-2</v>
      </c>
      <c r="I388" s="332">
        <f t="shared" si="149"/>
        <v>0.41882948767683209</v>
      </c>
      <c r="J388" s="332">
        <f t="shared" si="149"/>
        <v>0.51450044762037139</v>
      </c>
      <c r="K388" s="332">
        <f t="shared" si="149"/>
        <v>0.59588029975693935</v>
      </c>
      <c r="L388" s="332">
        <f t="shared" si="149"/>
        <v>0.63917545747264604</v>
      </c>
      <c r="M388" s="332">
        <f t="shared" si="149"/>
        <v>0.41973237987297907</v>
      </c>
      <c r="N388" s="333">
        <f>N381/N$186*100</f>
        <v>0.43715441640493991</v>
      </c>
      <c r="O388" s="334">
        <f t="shared" ref="O388:P388" si="150">O381/O$186*100</f>
        <v>0.42091884484027542</v>
      </c>
      <c r="P388" s="332">
        <f t="shared" si="150"/>
        <v>0.54619830175326833</v>
      </c>
      <c r="Q388" s="332">
        <f t="shared" ref="Q388:AE388" si="151">Q381/Q$186*100</f>
        <v>0.76861898320156619</v>
      </c>
      <c r="R388" s="332">
        <f t="shared" si="151"/>
        <v>0.28324012362832324</v>
      </c>
      <c r="S388" s="332">
        <f t="shared" si="151"/>
        <v>0.27137385813731224</v>
      </c>
      <c r="T388" s="332">
        <f t="shared" si="151"/>
        <v>0.31991132938767008</v>
      </c>
      <c r="U388" s="332">
        <f t="shared" si="151"/>
        <v>0.32502284748188753</v>
      </c>
      <c r="V388" s="332">
        <f t="shared" si="151"/>
        <v>0.30703325919733476</v>
      </c>
      <c r="W388" s="332">
        <f t="shared" si="151"/>
        <v>0.26508662572377822</v>
      </c>
      <c r="X388" s="332">
        <f t="shared" si="151"/>
        <v>0.23584016269154762</v>
      </c>
      <c r="Y388" s="332">
        <f t="shared" si="151"/>
        <v>0.20883734887461067</v>
      </c>
      <c r="Z388" s="332">
        <f t="shared" si="151"/>
        <v>0.17646599069671065</v>
      </c>
      <c r="AA388" s="332">
        <f t="shared" si="151"/>
        <v>0.13698930152597238</v>
      </c>
      <c r="AB388" s="332">
        <f t="shared" si="151"/>
        <v>0.10440782149466275</v>
      </c>
      <c r="AC388" s="332">
        <f t="shared" si="151"/>
        <v>8.9113700777496918E-2</v>
      </c>
      <c r="AD388" s="332">
        <f t="shared" si="151"/>
        <v>8.5140064233752394E-2</v>
      </c>
      <c r="AE388" s="333">
        <f t="shared" si="151"/>
        <v>8.6857413255096716E-2</v>
      </c>
      <c r="AF388" s="940"/>
      <c r="AG388" s="940"/>
      <c r="AH388" s="940"/>
      <c r="AI388" s="940"/>
      <c r="AJ388" s="345" t="s">
        <v>317</v>
      </c>
      <c r="AK388" s="75"/>
      <c r="AL388" s="75"/>
      <c r="AM388" s="75"/>
      <c r="AN388" s="75"/>
      <c r="AO388" s="75"/>
      <c r="AP388" s="75"/>
      <c r="AQ388" s="75"/>
      <c r="AR388" s="75"/>
      <c r="AT388" s="75"/>
      <c r="AU388" s="75"/>
    </row>
    <row r="389" spans="1:47" s="301" customFormat="1" ht="38.25" outlineLevel="1">
      <c r="A389" s="561">
        <v>359</v>
      </c>
      <c r="E389" s="304" t="s">
        <v>454</v>
      </c>
      <c r="F389" s="332">
        <f t="shared" ref="F389:I389" si="152">-F382/F$186*100</f>
        <v>0</v>
      </c>
      <c r="G389" s="332">
        <f t="shared" si="152"/>
        <v>0.27301911687690317</v>
      </c>
      <c r="H389" s="332">
        <f t="shared" si="152"/>
        <v>0.18051501743452761</v>
      </c>
      <c r="I389" s="332">
        <f t="shared" si="152"/>
        <v>0.66987563555484619</v>
      </c>
      <c r="J389" s="332">
        <f>-J382/J$186*100</f>
        <v>0.580495076175914</v>
      </c>
      <c r="K389" s="332">
        <f t="shared" ref="K389:Q389" si="153">-K382/K$186*100</f>
        <v>-0.38511260956194937</v>
      </c>
      <c r="L389" s="332">
        <f t="shared" si="153"/>
        <v>-0.69266139247521119</v>
      </c>
      <c r="M389" s="332">
        <f t="shared" si="153"/>
        <v>-0.55504560755227295</v>
      </c>
      <c r="N389" s="333">
        <f t="shared" si="153"/>
        <v>-0.94425652016355122</v>
      </c>
      <c r="O389" s="334">
        <f t="shared" si="153"/>
        <v>-1.0296510992816279</v>
      </c>
      <c r="P389" s="332">
        <f t="shared" si="153"/>
        <v>-0.61556075984894099</v>
      </c>
      <c r="Q389" s="332">
        <f t="shared" si="153"/>
        <v>1.184837164735316</v>
      </c>
      <c r="R389" s="332">
        <f t="shared" ref="R389:AE389" si="154">-R382/R$186*100</f>
        <v>-1.2975310154828803</v>
      </c>
      <c r="S389" s="332">
        <f t="shared" ca="1" si="154"/>
        <v>-1.6854955075627092</v>
      </c>
      <c r="T389" s="332">
        <f t="shared" ca="1" si="154"/>
        <v>-0.27431059377937422</v>
      </c>
      <c r="U389" s="332">
        <f t="shared" ca="1" si="154"/>
        <v>-0.32298219897446123</v>
      </c>
      <c r="V389" s="332">
        <f t="shared" ca="1" si="154"/>
        <v>-0.32696418981196645</v>
      </c>
      <c r="W389" s="332">
        <f t="shared" ca="1" si="154"/>
        <v>-0.28865975341303451</v>
      </c>
      <c r="X389" s="332">
        <f t="shared" ca="1" si="154"/>
        <v>-0.25003265451330225</v>
      </c>
      <c r="Y389" s="332">
        <f t="shared" ca="1" si="154"/>
        <v>-0.22309207236024953</v>
      </c>
      <c r="Z389" s="332">
        <f t="shared" ca="1" si="154"/>
        <v>-0.19805382500983618</v>
      </c>
      <c r="AA389" s="332">
        <f t="shared" ca="1" si="154"/>
        <v>-0.1677994760769958</v>
      </c>
      <c r="AB389" s="332">
        <f t="shared" ca="1" si="154"/>
        <v>-0.1305748827088945</v>
      </c>
      <c r="AC389" s="332">
        <f t="shared" ca="1" si="154"/>
        <v>-9.9785312558395664E-2</v>
      </c>
      <c r="AD389" s="332">
        <f t="shared" ca="1" si="154"/>
        <v>-8.5348310332645963E-2</v>
      </c>
      <c r="AE389" s="333">
        <f t="shared" ca="1" si="154"/>
        <v>-8.1704299509258851E-2</v>
      </c>
      <c r="AF389" s="940"/>
      <c r="AG389" s="940"/>
      <c r="AH389" s="940"/>
      <c r="AI389" s="940"/>
      <c r="AJ389" s="345" t="s">
        <v>651</v>
      </c>
      <c r="AK389" s="75"/>
      <c r="AL389" s="75"/>
      <c r="AM389" s="75"/>
      <c r="AN389" s="75"/>
      <c r="AO389" s="75"/>
      <c r="AP389" s="75"/>
      <c r="AQ389" s="75"/>
      <c r="AR389" s="75"/>
      <c r="AT389" s="75"/>
      <c r="AU389" s="75"/>
    </row>
    <row r="390" spans="1:47" s="84" customFormat="1" ht="25.5" outlineLevel="1">
      <c r="A390" s="561">
        <v>360</v>
      </c>
      <c r="B390" s="301"/>
      <c r="C390" s="301"/>
      <c r="D390" s="301"/>
      <c r="E390" s="306" t="s">
        <v>455</v>
      </c>
      <c r="F390" s="1056">
        <f t="shared" ref="F390:H390" si="155">F384/F$186*100</f>
        <v>2.0469999999999997</v>
      </c>
      <c r="G390" s="1056">
        <f t="shared" si="155"/>
        <v>3.5300000000000007</v>
      </c>
      <c r="H390" s="1056">
        <f t="shared" si="155"/>
        <v>3.5920000000000005</v>
      </c>
      <c r="I390" s="1056">
        <f t="shared" ref="I390:N390" si="156">I384/I$186*100</f>
        <v>5.2769999999999992</v>
      </c>
      <c r="J390" s="1056">
        <f t="shared" si="156"/>
        <v>6.2399999999999993</v>
      </c>
      <c r="K390" s="1056">
        <f t="shared" si="156"/>
        <v>6.1695706877643843</v>
      </c>
      <c r="L390" s="1056">
        <f t="shared" si="156"/>
        <v>6.3382686397238945</v>
      </c>
      <c r="M390" s="1056">
        <f>M384/M$186*100</f>
        <v>6.8602264368703567</v>
      </c>
      <c r="N390" s="1139">
        <f t="shared" si="156"/>
        <v>6.7788048363237206</v>
      </c>
      <c r="O390" s="1152">
        <f>O384/O$186*100</f>
        <v>6.406581826229905</v>
      </c>
      <c r="P390" s="1056">
        <f t="shared" ref="P390" si="157">P384/P$186*100</f>
        <v>6.7581163138201807</v>
      </c>
      <c r="Q390" s="1056">
        <f t="shared" ref="Q390" si="158">Q384/Q$186*100</f>
        <v>6.5036153637169205</v>
      </c>
      <c r="R390" s="1056">
        <f t="shared" ref="R390:AE390" si="159">R384/R$186*100</f>
        <v>3.7230827721473405</v>
      </c>
      <c r="S390" s="1056">
        <f t="shared" ca="1" si="159"/>
        <v>2.2272344363967198</v>
      </c>
      <c r="T390" s="1056">
        <f t="shared" ca="1" si="159"/>
        <v>3.997717348887194</v>
      </c>
      <c r="U390" s="1056">
        <f t="shared" ca="1" si="159"/>
        <v>3.5327567363462515</v>
      </c>
      <c r="V390" s="1056">
        <f t="shared" ca="1" si="159"/>
        <v>3.3456608408726511</v>
      </c>
      <c r="W390" s="1056">
        <f t="shared" ca="1" si="159"/>
        <v>2.7477292039835279</v>
      </c>
      <c r="X390" s="1056">
        <f t="shared" ca="1" si="159"/>
        <v>2.3631891682261594</v>
      </c>
      <c r="Y390" s="1056">
        <f t="shared" ca="1" si="159"/>
        <v>1.9970413628901464</v>
      </c>
      <c r="Z390" s="1056">
        <f t="shared" ca="1" si="159"/>
        <v>1.5260557430647477</v>
      </c>
      <c r="AA390" s="1056">
        <f t="shared" ca="1" si="159"/>
        <v>0.92732335121019616</v>
      </c>
      <c r="AB390" s="1056">
        <f t="shared" ca="1" si="159"/>
        <v>0.45098491127943902</v>
      </c>
      <c r="AC390" s="1056">
        <f t="shared" ca="1" si="159"/>
        <v>0.26749493423098486</v>
      </c>
      <c r="AD390" s="1056">
        <f t="shared" ca="1" si="159"/>
        <v>0.26273394437983666</v>
      </c>
      <c r="AE390" s="1139">
        <f t="shared" ca="1" si="159"/>
        <v>0.34336969445583421</v>
      </c>
      <c r="AF390" s="940"/>
      <c r="AG390" s="944"/>
      <c r="AH390" s="944"/>
      <c r="AI390" s="944"/>
      <c r="AJ390" s="345" t="s">
        <v>318</v>
      </c>
      <c r="AK390" s="360"/>
      <c r="AL390" s="360"/>
      <c r="AM390" s="360"/>
      <c r="AN390" s="360"/>
      <c r="AO390" s="360"/>
      <c r="AP390" s="360"/>
      <c r="AQ390" s="360"/>
      <c r="AR390" s="360"/>
      <c r="AT390" s="360"/>
      <c r="AU390" s="360"/>
    </row>
    <row r="391" spans="1:47" s="301" customFormat="1" outlineLevel="1">
      <c r="A391" s="561">
        <v>361</v>
      </c>
      <c r="B391" s="364"/>
      <c r="C391" s="361"/>
      <c r="D391" s="362"/>
      <c r="F391" s="355"/>
      <c r="G391" s="355"/>
      <c r="H391" s="355"/>
      <c r="I391" s="355"/>
      <c r="J391" s="355"/>
      <c r="K391" s="355"/>
      <c r="L391" s="331"/>
      <c r="M391" s="355"/>
      <c r="N391" s="357"/>
      <c r="O391" s="296"/>
      <c r="P391" s="331"/>
      <c r="Q391" s="331"/>
      <c r="R391" s="331"/>
      <c r="S391" s="331"/>
      <c r="T391" s="331"/>
      <c r="U391" s="331"/>
      <c r="V391" s="331"/>
      <c r="W391" s="331"/>
      <c r="X391" s="331"/>
      <c r="Y391" s="331"/>
      <c r="Z391" s="331"/>
      <c r="AA391" s="331"/>
      <c r="AB391" s="331"/>
      <c r="AC391" s="331"/>
      <c r="AD391" s="331"/>
      <c r="AE391" s="331"/>
      <c r="AF391" s="940"/>
      <c r="AG391" s="940"/>
      <c r="AH391" s="940"/>
      <c r="AI391" s="940"/>
      <c r="AJ391" s="345"/>
    </row>
    <row r="392" spans="1:47" s="301" customFormat="1" outlineLevel="1">
      <c r="A392" s="561">
        <v>362</v>
      </c>
      <c r="B392" s="363"/>
      <c r="C392" s="363"/>
      <c r="D392" s="363"/>
      <c r="E392" s="172" t="s">
        <v>456</v>
      </c>
      <c r="F392" s="1144">
        <v>2.0470000000000002</v>
      </c>
      <c r="G392" s="1144">
        <v>3.53</v>
      </c>
      <c r="H392" s="1144">
        <v>3.5920000000000001</v>
      </c>
      <c r="I392" s="1144">
        <v>5.2770000000000001</v>
      </c>
      <c r="J392" s="1144">
        <v>6.24</v>
      </c>
      <c r="K392" s="1144">
        <v>6.17</v>
      </c>
      <c r="L392" s="1144">
        <v>6.3540000000000001</v>
      </c>
      <c r="M392" s="1144">
        <v>6.88</v>
      </c>
      <c r="N392" s="365">
        <v>6.7919999999999998</v>
      </c>
      <c r="O392" s="86">
        <v>6.4050000000000002</v>
      </c>
      <c r="P392" s="1144">
        <v>6.7560000000000002</v>
      </c>
      <c r="Q392" s="1141">
        <v>6.5</v>
      </c>
      <c r="R392" s="1141">
        <v>3.7229999999999999</v>
      </c>
      <c r="S392" s="1141"/>
      <c r="T392" s="1141"/>
      <c r="U392" s="1141"/>
      <c r="V392" s="1141"/>
      <c r="W392" s="1141"/>
      <c r="X392" s="1141"/>
      <c r="Y392" s="1141"/>
      <c r="Z392" s="1141"/>
      <c r="AA392" s="1141"/>
      <c r="AB392" s="1141"/>
      <c r="AC392" s="1141"/>
      <c r="AD392" s="1141"/>
      <c r="AE392" s="324"/>
      <c r="AF392" s="940"/>
      <c r="AG392" s="940"/>
      <c r="AH392" s="940"/>
      <c r="AI392" s="940"/>
      <c r="AJ392" s="345"/>
    </row>
    <row r="393" spans="1:47" s="301" customFormat="1" outlineLevel="1">
      <c r="A393" s="561">
        <v>363</v>
      </c>
      <c r="B393" s="363"/>
      <c r="C393" s="363"/>
      <c r="D393" s="363"/>
      <c r="E393" s="1145" t="s">
        <v>218</v>
      </c>
      <c r="F393" s="336">
        <f t="shared" ref="F393:L393" si="160">(-F392+F390)/F392*100</f>
        <v>-2.1694636533955185E-14</v>
      </c>
      <c r="G393" s="336">
        <f t="shared" si="160"/>
        <v>2.5160861747878903E-14</v>
      </c>
      <c r="H393" s="336">
        <f t="shared" si="160"/>
        <v>1.2363285352173235E-14</v>
      </c>
      <c r="I393" s="336">
        <f t="shared" si="160"/>
        <v>-1.6831124117872375E-14</v>
      </c>
      <c r="J393" s="336">
        <f t="shared" si="160"/>
        <v>-1.423362852083534E-14</v>
      </c>
      <c r="K393" s="336">
        <f t="shared" si="160"/>
        <v>-6.9580589240777575E-3</v>
      </c>
      <c r="L393" s="336">
        <f t="shared" si="160"/>
        <v>-0.24758199993870877</v>
      </c>
      <c r="M393" s="336">
        <f>(-M392+M390)/M392*100</f>
        <v>-0.28740644083783695</v>
      </c>
      <c r="N393" s="366">
        <f>(-N392+N390)/N392*100</f>
        <v>-0.19427508357301626</v>
      </c>
      <c r="O393" s="1150">
        <f>(-O392+O390)/O392*100</f>
        <v>2.4696740513735677E-2</v>
      </c>
      <c r="P393" s="1150">
        <f>(-P392+P390)/P392*100</f>
        <v>3.1324952933400166E-2</v>
      </c>
      <c r="Q393" s="1150">
        <f t="shared" ref="Q393:R393" si="161">(-Q392+Q390)/Q392*100</f>
        <v>5.5620980260315471E-2</v>
      </c>
      <c r="R393" s="1150">
        <f t="shared" si="161"/>
        <v>2.2232647687523079E-3</v>
      </c>
      <c r="S393" s="332"/>
      <c r="T393" s="332"/>
      <c r="U393" s="332"/>
      <c r="V393" s="332"/>
      <c r="W393" s="332"/>
      <c r="X393" s="332"/>
      <c r="Y393" s="332"/>
      <c r="Z393" s="332"/>
      <c r="AA393" s="332"/>
      <c r="AB393" s="332"/>
      <c r="AC393" s="332"/>
      <c r="AD393" s="332"/>
      <c r="AE393" s="333"/>
      <c r="AF393" s="940"/>
      <c r="AG393" s="940"/>
      <c r="AH393" s="940"/>
      <c r="AI393" s="940"/>
      <c r="AJ393" s="345"/>
    </row>
    <row r="394" spans="1:47" s="301" customFormat="1" ht="38.25" outlineLevel="1">
      <c r="A394" s="561">
        <v>364</v>
      </c>
      <c r="B394" s="363"/>
      <c r="C394" s="363"/>
      <c r="D394" s="363"/>
      <c r="E394" s="173" t="s">
        <v>781</v>
      </c>
      <c r="F394" s="77">
        <f t="shared" ref="F394:P394" si="162">F186*(F392-F390)/(1+F9)/100</f>
        <v>1.7863614785728775E-15</v>
      </c>
      <c r="G394" s="77">
        <f t="shared" si="162"/>
        <v>-3.6315135800005308E-15</v>
      </c>
      <c r="H394" s="77">
        <f t="shared" si="162"/>
        <v>-1.6987775650909044E-15</v>
      </c>
      <c r="I394" s="77">
        <f t="shared" si="162"/>
        <v>3.1205486595365809E-15</v>
      </c>
      <c r="J394" s="77">
        <f t="shared" si="162"/>
        <v>3.0557950518893146E-15</v>
      </c>
      <c r="K394" s="77">
        <f t="shared" si="162"/>
        <v>1.3992853969336319E-3</v>
      </c>
      <c r="L394" s="77">
        <f t="shared" si="162"/>
        <v>5.2054488863053167E-2</v>
      </c>
      <c r="M394" s="77">
        <f t="shared" si="162"/>
        <v>6.5463168776908318E-2</v>
      </c>
      <c r="N394" s="367">
        <f t="shared" si="162"/>
        <v>4.3889713125238677E-2</v>
      </c>
      <c r="O394" s="1151">
        <f t="shared" si="162"/>
        <v>-5.2926601585427625E-3</v>
      </c>
      <c r="P394" s="1151">
        <f t="shared" si="162"/>
        <v>-6.9728430575738045E-3</v>
      </c>
      <c r="Q394" s="1333">
        <f t="shared" ref="Q394:R394" si="163">Q186*(Q392-Q390)/(1+Q9)/100</f>
        <v>-1.1318862171757633E-2</v>
      </c>
      <c r="R394" s="1151">
        <f t="shared" si="163"/>
        <v>-2.7624708366561293E-4</v>
      </c>
      <c r="S394" s="309"/>
      <c r="T394" s="309"/>
      <c r="U394" s="309"/>
      <c r="V394" s="309"/>
      <c r="W394" s="309"/>
      <c r="X394" s="309"/>
      <c r="Y394" s="309"/>
      <c r="Z394" s="309"/>
      <c r="AA394" s="309"/>
      <c r="AB394" s="309"/>
      <c r="AC394" s="309"/>
      <c r="AD394" s="309"/>
      <c r="AE394" s="56"/>
      <c r="AF394" s="940"/>
      <c r="AG394" s="940"/>
      <c r="AH394" s="940"/>
      <c r="AI394" s="940"/>
      <c r="AJ394" s="340" t="s">
        <v>782</v>
      </c>
    </row>
    <row r="396" spans="1:47" ht="12.75" customHeight="1">
      <c r="L396" s="1058"/>
    </row>
    <row r="397" spans="1:47" ht="12.75" customHeight="1">
      <c r="E397" s="1292" t="s">
        <v>981</v>
      </c>
      <c r="R397" s="1058"/>
    </row>
    <row r="398" spans="1:47" ht="12.75" customHeight="1">
      <c r="E398" s="321" t="s">
        <v>25</v>
      </c>
      <c r="F398" s="1296">
        <f t="shared" ref="F398:AE398" si="164">F56*F92</f>
        <v>0</v>
      </c>
      <c r="G398" s="1296">
        <f t="shared" si="164"/>
        <v>0</v>
      </c>
      <c r="H398" s="1296">
        <f t="shared" si="164"/>
        <v>0</v>
      </c>
      <c r="I398" s="1296">
        <f t="shared" si="164"/>
        <v>0</v>
      </c>
      <c r="J398" s="1296">
        <f t="shared" si="164"/>
        <v>0</v>
      </c>
      <c r="K398" s="1296">
        <f t="shared" si="164"/>
        <v>1150.5028494599987</v>
      </c>
      <c r="L398" s="1296">
        <f t="shared" si="164"/>
        <v>85.583213899999294</v>
      </c>
      <c r="M398" s="1296">
        <f t="shared" si="164"/>
        <v>21.362400000000001</v>
      </c>
      <c r="N398" s="1296">
        <f t="shared" si="164"/>
        <v>59.339999999999996</v>
      </c>
      <c r="O398" s="1296">
        <f t="shared" si="164"/>
        <v>67.25200000000001</v>
      </c>
      <c r="P398" s="1296">
        <f t="shared" si="164"/>
        <v>51.427999999999997</v>
      </c>
      <c r="Q398" s="1296">
        <f t="shared" si="164"/>
        <v>55.300000000000004</v>
      </c>
      <c r="R398" s="1296">
        <f>R56*R92</f>
        <v>41.403999999999996</v>
      </c>
      <c r="S398" s="1296">
        <f t="shared" si="164"/>
        <v>41.436999999999998</v>
      </c>
      <c r="T398" s="1296">
        <f t="shared" si="164"/>
        <v>41.458999999999996</v>
      </c>
      <c r="U398" s="1296">
        <f t="shared" si="164"/>
        <v>41.491999999999997</v>
      </c>
      <c r="V398" s="1296">
        <f t="shared" si="164"/>
        <v>41.513999999999996</v>
      </c>
      <c r="W398" s="1296">
        <f t="shared" si="164"/>
        <v>41.513999999999996</v>
      </c>
      <c r="X398" s="1296">
        <f t="shared" si="164"/>
        <v>41.513999999999996</v>
      </c>
      <c r="Y398" s="1296">
        <f t="shared" si="164"/>
        <v>41.513999999999996</v>
      </c>
      <c r="Z398" s="1296">
        <f t="shared" si="164"/>
        <v>41.513999999999996</v>
      </c>
      <c r="AA398" s="1296">
        <f t="shared" si="164"/>
        <v>41.513999999999996</v>
      </c>
      <c r="AB398" s="1296">
        <f t="shared" si="164"/>
        <v>41.513999999999996</v>
      </c>
      <c r="AC398" s="1296">
        <f t="shared" si="164"/>
        <v>41.513999999999996</v>
      </c>
      <c r="AD398" s="1296">
        <f t="shared" si="164"/>
        <v>41.513999999999996</v>
      </c>
      <c r="AE398" s="1297">
        <f t="shared" si="164"/>
        <v>41.513999999999996</v>
      </c>
    </row>
    <row r="399" spans="1:47" ht="12.75" customHeight="1">
      <c r="E399" s="16" t="s">
        <v>50</v>
      </c>
      <c r="F399" s="1298">
        <f t="shared" ref="F399:AE399" si="165">F57*F93</f>
        <v>0</v>
      </c>
      <c r="G399" s="1298">
        <f t="shared" si="165"/>
        <v>0</v>
      </c>
      <c r="H399" s="1298">
        <f t="shared" si="165"/>
        <v>0</v>
      </c>
      <c r="I399" s="1298">
        <f t="shared" si="165"/>
        <v>0</v>
      </c>
      <c r="J399" s="1298">
        <f t="shared" si="165"/>
        <v>0</v>
      </c>
      <c r="K399" s="1298">
        <f t="shared" si="165"/>
        <v>132.81358199999949</v>
      </c>
      <c r="L399" s="1298">
        <f t="shared" si="165"/>
        <v>11.847683999999932</v>
      </c>
      <c r="M399" s="1298">
        <f t="shared" si="165"/>
        <v>6.7047999999999996</v>
      </c>
      <c r="N399" s="1298">
        <f t="shared" si="165"/>
        <v>22.602</v>
      </c>
      <c r="O399" s="1298">
        <f t="shared" si="165"/>
        <v>7.37</v>
      </c>
      <c r="P399" s="1298">
        <f t="shared" si="165"/>
        <v>6.744730679156909</v>
      </c>
      <c r="Q399" s="1298">
        <f t="shared" si="165"/>
        <v>7.8445544554455457</v>
      </c>
      <c r="R399" s="1298">
        <f t="shared" si="165"/>
        <v>7.2960000000000012</v>
      </c>
      <c r="S399" s="1298">
        <f t="shared" si="165"/>
        <v>7.0149560117302059</v>
      </c>
      <c r="T399" s="1298">
        <f t="shared" si="165"/>
        <v>6.9901234567901245</v>
      </c>
      <c r="U399" s="1298">
        <f t="shared" si="165"/>
        <v>8.4184615384615409</v>
      </c>
      <c r="V399" s="1298">
        <f t="shared" si="165"/>
        <v>8.5545893719806756</v>
      </c>
      <c r="W399" s="1298">
        <f t="shared" si="165"/>
        <v>45.024154589371975</v>
      </c>
      <c r="X399" s="1298">
        <f t="shared" si="165"/>
        <v>45.024154589371975</v>
      </c>
      <c r="Y399" s="1298">
        <f t="shared" si="165"/>
        <v>45.024154589371975</v>
      </c>
      <c r="Z399" s="1298">
        <f t="shared" si="165"/>
        <v>45.024154589371975</v>
      </c>
      <c r="AA399" s="1298">
        <f t="shared" si="165"/>
        <v>45.024154589371975</v>
      </c>
      <c r="AB399" s="1298">
        <f t="shared" si="165"/>
        <v>45.024154589371975</v>
      </c>
      <c r="AC399" s="1298">
        <f t="shared" si="165"/>
        <v>45.024154589371975</v>
      </c>
      <c r="AD399" s="1298">
        <f t="shared" si="165"/>
        <v>45.024154589371975</v>
      </c>
      <c r="AE399" s="1299">
        <f t="shared" si="165"/>
        <v>45.024154589371975</v>
      </c>
      <c r="AF399" s="331">
        <f>AF74*AF47+(SUMPRODUCT($K56:AF56,$K92:AF92))*AF47/1000</f>
        <v>0</v>
      </c>
      <c r="AG399" s="331" t="e">
        <f>AG74*AG47+(SUMPRODUCT($K56:AG56,$K92:AG92))*AG47/1000</f>
        <v>#VALUE!</v>
      </c>
      <c r="AH399" s="331">
        <f>AH74*AH47+(SUMPRODUCT($K56:AH56,$K92:AH92))*AH47/1000</f>
        <v>0</v>
      </c>
      <c r="AI399" s="331">
        <f>AI74*AI47+(SUMPRODUCT($K56:AI56,$K92:AI92))*AI47/1000</f>
        <v>0</v>
      </c>
    </row>
    <row r="400" spans="1:47" ht="12.75" customHeight="1">
      <c r="E400" s="16" t="s">
        <v>13</v>
      </c>
      <c r="F400" s="1298">
        <f t="shared" ref="F400:AE400" si="166">F58*F94</f>
        <v>0</v>
      </c>
      <c r="G400" s="1298">
        <f t="shared" si="166"/>
        <v>0</v>
      </c>
      <c r="H400" s="1298">
        <f t="shared" si="166"/>
        <v>0</v>
      </c>
      <c r="I400" s="1298">
        <f t="shared" si="166"/>
        <v>0</v>
      </c>
      <c r="J400" s="1298">
        <f t="shared" si="166"/>
        <v>0</v>
      </c>
      <c r="K400" s="1298">
        <f t="shared" si="166"/>
        <v>1315.02268</v>
      </c>
      <c r="L400" s="1298">
        <f t="shared" si="166"/>
        <v>899.88800000000003</v>
      </c>
      <c r="M400" s="1298">
        <f t="shared" si="166"/>
        <v>1227.1479999999999</v>
      </c>
      <c r="N400" s="1298">
        <f t="shared" si="166"/>
        <v>1710.0443240000041</v>
      </c>
      <c r="O400" s="1298">
        <f t="shared" si="166"/>
        <v>1330.134636</v>
      </c>
      <c r="P400" s="1298">
        <f t="shared" si="166"/>
        <v>704</v>
      </c>
      <c r="Q400" s="1298">
        <f t="shared" si="166"/>
        <v>496</v>
      </c>
      <c r="R400" s="1298">
        <f t="shared" si="166"/>
        <v>1635.7190000000001</v>
      </c>
      <c r="S400" s="1298">
        <f t="shared" si="166"/>
        <v>1550.2080000000001</v>
      </c>
      <c r="T400" s="1298">
        <f t="shared" si="166"/>
        <v>1471.3029999999999</v>
      </c>
      <c r="U400" s="1298">
        <f t="shared" si="166"/>
        <v>1396.068</v>
      </c>
      <c r="V400" s="1298">
        <f t="shared" si="166"/>
        <v>1323.402</v>
      </c>
      <c r="W400" s="1298">
        <f t="shared" si="166"/>
        <v>800</v>
      </c>
      <c r="X400" s="1298">
        <f t="shared" si="166"/>
        <v>800</v>
      </c>
      <c r="Y400" s="1298">
        <f t="shared" si="166"/>
        <v>800</v>
      </c>
      <c r="Z400" s="1298">
        <f t="shared" si="166"/>
        <v>800</v>
      </c>
      <c r="AA400" s="1298">
        <f t="shared" si="166"/>
        <v>800</v>
      </c>
      <c r="AB400" s="1298">
        <f t="shared" si="166"/>
        <v>800</v>
      </c>
      <c r="AC400" s="1298">
        <f t="shared" si="166"/>
        <v>800</v>
      </c>
      <c r="AD400" s="1298">
        <f t="shared" si="166"/>
        <v>800</v>
      </c>
      <c r="AE400" s="1299">
        <f t="shared" si="166"/>
        <v>800</v>
      </c>
      <c r="AF400" s="331">
        <f>AF75*AF48+(SUMPRODUCT($K57:AF57,$K93:AF93))*AF48/1000</f>
        <v>0</v>
      </c>
      <c r="AG400" s="331" t="e">
        <f>AG75*AG48+(SUMPRODUCT($K57:AG57,$K93:AG93))*AG48/1000</f>
        <v>#VALUE!</v>
      </c>
      <c r="AH400" s="331">
        <f>AH75*AH48+(SUMPRODUCT($K57:AH57,$K93:AH93))*AH48/1000</f>
        <v>0</v>
      </c>
      <c r="AI400" s="331">
        <f>AI75*AI48+(SUMPRODUCT($K57:AI57,$K93:AI93))*AI48/1000</f>
        <v>0</v>
      </c>
    </row>
    <row r="401" spans="1:36" ht="12.75" customHeight="1">
      <c r="A401" s="9"/>
      <c r="B401" s="9"/>
      <c r="C401" s="9"/>
      <c r="D401" s="9"/>
      <c r="E401" s="16" t="s">
        <v>12</v>
      </c>
      <c r="F401" s="1298">
        <f t="shared" ref="F401:AE401" si="167">F59*F95</f>
        <v>0</v>
      </c>
      <c r="G401" s="1298">
        <f t="shared" si="167"/>
        <v>0</v>
      </c>
      <c r="H401" s="1298">
        <f t="shared" si="167"/>
        <v>0</v>
      </c>
      <c r="I401" s="1298">
        <f t="shared" si="167"/>
        <v>0</v>
      </c>
      <c r="J401" s="1298">
        <f t="shared" si="167"/>
        <v>0</v>
      </c>
      <c r="K401" s="1298">
        <f t="shared" si="167"/>
        <v>0</v>
      </c>
      <c r="L401" s="1298">
        <f t="shared" si="167"/>
        <v>21.704999999999991</v>
      </c>
      <c r="M401" s="1298">
        <f t="shared" si="167"/>
        <v>12.608000000000001</v>
      </c>
      <c r="N401" s="1298">
        <f t="shared" si="167"/>
        <v>31.52</v>
      </c>
      <c r="O401" s="1298">
        <f t="shared" si="167"/>
        <v>25.623999999999999</v>
      </c>
      <c r="P401" s="1298">
        <f t="shared" si="167"/>
        <v>27.285</v>
      </c>
      <c r="Q401" s="1298">
        <f t="shared" si="167"/>
        <v>52.172999999999995</v>
      </c>
      <c r="R401" s="1298">
        <f t="shared" si="167"/>
        <v>135.96</v>
      </c>
      <c r="S401" s="1298">
        <f t="shared" si="167"/>
        <v>154.08800000000002</v>
      </c>
      <c r="T401" s="1298">
        <f t="shared" si="167"/>
        <v>172.21600000000001</v>
      </c>
      <c r="U401" s="1298">
        <f t="shared" si="167"/>
        <v>185.81200000000001</v>
      </c>
      <c r="V401" s="1298">
        <f t="shared" si="167"/>
        <v>203.94</v>
      </c>
      <c r="W401" s="1298">
        <f t="shared" si="167"/>
        <v>45.32</v>
      </c>
      <c r="X401" s="1298">
        <f t="shared" si="167"/>
        <v>45.32</v>
      </c>
      <c r="Y401" s="1298">
        <f t="shared" si="167"/>
        <v>45.32</v>
      </c>
      <c r="Z401" s="1298">
        <f t="shared" si="167"/>
        <v>45.32</v>
      </c>
      <c r="AA401" s="1298">
        <f t="shared" si="167"/>
        <v>45.32</v>
      </c>
      <c r="AB401" s="1298">
        <f t="shared" si="167"/>
        <v>45.32</v>
      </c>
      <c r="AC401" s="1298">
        <f t="shared" si="167"/>
        <v>45.32</v>
      </c>
      <c r="AD401" s="1298">
        <f t="shared" si="167"/>
        <v>45.32</v>
      </c>
      <c r="AE401" s="1299">
        <f t="shared" si="167"/>
        <v>45.32</v>
      </c>
      <c r="AF401" s="331">
        <f>AF76*AF49+(SUMPRODUCT($K58:AF58,$K94:AF94))*AF49/1000</f>
        <v>0</v>
      </c>
      <c r="AG401" s="331" t="e">
        <f>AG76*AG49+(SUMPRODUCT($K58:AG58,$K94:AG94))*AG49/1000</f>
        <v>#VALUE!</v>
      </c>
      <c r="AH401" s="331">
        <f>AH76*AH49+(SUMPRODUCT($K58:AH58,$K94:AH94))*AH49/1000</f>
        <v>0</v>
      </c>
      <c r="AI401" s="331">
        <f>AI76*AI49+(SUMPRODUCT($K58:AI58,$K94:AI94))*AI49/1000</f>
        <v>0</v>
      </c>
      <c r="AJ401" s="9"/>
    </row>
    <row r="402" spans="1:36" ht="12.75" customHeight="1">
      <c r="A402" s="9"/>
      <c r="B402" s="9"/>
      <c r="C402" s="9"/>
      <c r="D402" s="9"/>
      <c r="E402" s="16" t="s">
        <v>24</v>
      </c>
      <c r="F402" s="1300">
        <f t="shared" ref="F402:AE402" si="168">F60*F96</f>
        <v>0</v>
      </c>
      <c r="G402" s="1300">
        <f t="shared" si="168"/>
        <v>0</v>
      </c>
      <c r="H402" s="1300">
        <f t="shared" si="168"/>
        <v>0</v>
      </c>
      <c r="I402" s="1300">
        <f t="shared" si="168"/>
        <v>0</v>
      </c>
      <c r="J402" s="1300">
        <f t="shared" si="168"/>
        <v>0</v>
      </c>
      <c r="K402" s="1300">
        <f t="shared" si="168"/>
        <v>8552.8520806151701</v>
      </c>
      <c r="L402" s="1300">
        <f t="shared" si="168"/>
        <v>10298.660463980061</v>
      </c>
      <c r="M402" s="1300">
        <f t="shared" si="168"/>
        <v>13066.892086789445</v>
      </c>
      <c r="N402" s="1300">
        <f t="shared" si="168"/>
        <v>5847.80381738704</v>
      </c>
      <c r="O402" s="1300">
        <f t="shared" si="168"/>
        <v>3737.605757951751</v>
      </c>
      <c r="P402" s="1300">
        <f t="shared" si="168"/>
        <v>3737.605757951751</v>
      </c>
      <c r="Q402" s="1300">
        <f t="shared" si="168"/>
        <v>3737.605757951751</v>
      </c>
      <c r="R402" s="1300">
        <f t="shared" si="168"/>
        <v>4374</v>
      </c>
      <c r="S402" s="1300">
        <f t="shared" si="168"/>
        <v>5580</v>
      </c>
      <c r="T402" s="1300">
        <f t="shared" si="168"/>
        <v>5685</v>
      </c>
      <c r="U402" s="1300">
        <f t="shared" si="168"/>
        <v>5767.5</v>
      </c>
      <c r="V402" s="1300">
        <f t="shared" si="168"/>
        <v>5857.5</v>
      </c>
      <c r="W402" s="1300">
        <f t="shared" si="168"/>
        <v>5986</v>
      </c>
      <c r="X402" s="1300">
        <f t="shared" si="168"/>
        <v>6071.6666666666679</v>
      </c>
      <c r="Y402" s="1300">
        <f t="shared" si="168"/>
        <v>6132.8571428571431</v>
      </c>
      <c r="Z402" s="1300">
        <f t="shared" si="168"/>
        <v>6178.75</v>
      </c>
      <c r="AA402" s="1298">
        <f t="shared" si="168"/>
        <v>6214.4444444444443</v>
      </c>
      <c r="AB402" s="1298">
        <f t="shared" si="168"/>
        <v>6243</v>
      </c>
      <c r="AC402" s="1298">
        <f t="shared" si="168"/>
        <v>6266.363636363636</v>
      </c>
      <c r="AD402" s="1298">
        <f t="shared" si="168"/>
        <v>6285.8333333333339</v>
      </c>
      <c r="AE402" s="1299">
        <f t="shared" si="168"/>
        <v>6500</v>
      </c>
      <c r="AF402" s="331">
        <f>AF77*AF50+(SUMPRODUCT($K59:AF59,$K95:AF95))*AF50/1000</f>
        <v>0</v>
      </c>
      <c r="AG402" s="331" t="e">
        <f>AG77*AG50+(SUMPRODUCT($K59:AG59,$K95:AG95))*AG50/1000</f>
        <v>#VALUE!</v>
      </c>
      <c r="AH402" s="331">
        <f>AH77*AH50+(SUMPRODUCT($K59:AH59,$K95:AH95))*AH50/1000</f>
        <v>0</v>
      </c>
      <c r="AI402" s="331">
        <f>AI77*AI50+(SUMPRODUCT($K59:AI59,$K95:AI95))*AI50/1000</f>
        <v>0</v>
      </c>
      <c r="AJ402" s="9"/>
    </row>
    <row r="403" spans="1:36" ht="12.75" customHeight="1">
      <c r="E403" s="16" t="s">
        <v>26</v>
      </c>
      <c r="F403" s="1298">
        <f t="shared" ref="F403:AE403" si="169">F61*F97</f>
        <v>0</v>
      </c>
      <c r="G403" s="1298">
        <f t="shared" si="169"/>
        <v>0</v>
      </c>
      <c r="H403" s="1298">
        <f t="shared" si="169"/>
        <v>0</v>
      </c>
      <c r="I403" s="1298">
        <f t="shared" si="169"/>
        <v>0</v>
      </c>
      <c r="J403" s="1298">
        <f t="shared" si="169"/>
        <v>0</v>
      </c>
      <c r="K403" s="1298">
        <f t="shared" si="169"/>
        <v>7924.5180000000009</v>
      </c>
      <c r="L403" s="1298">
        <f t="shared" si="169"/>
        <v>3095.3780000000002</v>
      </c>
      <c r="M403" s="1298">
        <f t="shared" si="169"/>
        <v>4592.1480000000001</v>
      </c>
      <c r="N403" s="1298">
        <f t="shared" si="169"/>
        <v>3713.0940000000001</v>
      </c>
      <c r="O403" s="1298">
        <f t="shared" si="169"/>
        <v>4383.37</v>
      </c>
      <c r="P403" s="1298">
        <f t="shared" si="169"/>
        <v>867.678</v>
      </c>
      <c r="Q403" s="1298">
        <f t="shared" si="169"/>
        <v>0</v>
      </c>
      <c r="R403" s="1298">
        <f t="shared" si="169"/>
        <v>1454.1840000000002</v>
      </c>
      <c r="S403" s="1298">
        <f t="shared" si="169"/>
        <v>3189.2420000000002</v>
      </c>
      <c r="T403" s="1298">
        <f t="shared" si="169"/>
        <v>4814.7759999999998</v>
      </c>
      <c r="U403" s="1298">
        <f t="shared" si="169"/>
        <v>3862.8</v>
      </c>
      <c r="V403" s="1298">
        <f t="shared" si="169"/>
        <v>4209.4520000000002</v>
      </c>
      <c r="W403" s="1298">
        <f t="shared" si="169"/>
        <v>4268.0815999999995</v>
      </c>
      <c r="X403" s="1298">
        <f t="shared" si="169"/>
        <v>4307.1679999999997</v>
      </c>
      <c r="Y403" s="1298">
        <f t="shared" si="169"/>
        <v>4335.0868571428564</v>
      </c>
      <c r="Z403" s="1298">
        <f t="shared" si="169"/>
        <v>4356.0259999999998</v>
      </c>
      <c r="AA403" s="1298">
        <f t="shared" si="169"/>
        <v>4372.3119999999999</v>
      </c>
      <c r="AB403" s="1298">
        <f t="shared" si="169"/>
        <v>4385.3407999999999</v>
      </c>
      <c r="AC403" s="1298">
        <f t="shared" si="169"/>
        <v>4396.0007272727271</v>
      </c>
      <c r="AD403" s="1298">
        <f t="shared" si="169"/>
        <v>4404.884</v>
      </c>
      <c r="AE403" s="1299">
        <f t="shared" si="169"/>
        <v>4502.5999999999995</v>
      </c>
    </row>
    <row r="404" spans="1:36" ht="12.75" customHeight="1">
      <c r="E404" s="303" t="s">
        <v>74</v>
      </c>
      <c r="F404" s="1301">
        <f t="shared" ref="F404:AE404" si="170">F62*F98</f>
        <v>0</v>
      </c>
      <c r="G404" s="1301">
        <f t="shared" si="170"/>
        <v>0</v>
      </c>
      <c r="H404" s="1301">
        <f t="shared" si="170"/>
        <v>0</v>
      </c>
      <c r="I404" s="1301">
        <f t="shared" si="170"/>
        <v>0</v>
      </c>
      <c r="J404" s="1301">
        <f t="shared" si="170"/>
        <v>0</v>
      </c>
      <c r="K404" s="1301">
        <f t="shared" si="170"/>
        <v>1271.04</v>
      </c>
      <c r="L404" s="1301">
        <f t="shared" si="170"/>
        <v>1396.8000000000002</v>
      </c>
      <c r="M404" s="1301">
        <f t="shared" si="170"/>
        <v>1549.44</v>
      </c>
      <c r="N404" s="1301">
        <f t="shared" si="170"/>
        <v>2764.7250000000004</v>
      </c>
      <c r="O404" s="1301">
        <f t="shared" si="170"/>
        <v>3752.8849999999998</v>
      </c>
      <c r="P404" s="1301">
        <f t="shared" si="170"/>
        <v>4632.9650000000001</v>
      </c>
      <c r="Q404" s="1301">
        <f t="shared" si="170"/>
        <v>5224.5099999999993</v>
      </c>
      <c r="R404" s="1301">
        <f t="shared" si="170"/>
        <v>5613.2119018330686</v>
      </c>
      <c r="S404" s="1301">
        <f t="shared" si="170"/>
        <v>7380.2776835838895</v>
      </c>
      <c r="T404" s="1301">
        <f t="shared" si="170"/>
        <v>7324.0299480804115</v>
      </c>
      <c r="U404" s="1301">
        <f t="shared" si="170"/>
        <v>7102.2863931345082</v>
      </c>
      <c r="V404" s="1301">
        <f t="shared" si="170"/>
        <v>7154.4548286604359</v>
      </c>
      <c r="W404" s="1301">
        <f t="shared" si="170"/>
        <v>2756.4735107081706</v>
      </c>
      <c r="X404" s="1301">
        <f t="shared" si="170"/>
        <v>2772.4765814289422</v>
      </c>
      <c r="Y404" s="1301">
        <f t="shared" si="170"/>
        <v>2788.4796521497137</v>
      </c>
      <c r="Z404" s="1301">
        <f t="shared" si="170"/>
        <v>2804.4827228704853</v>
      </c>
      <c r="AA404" s="1301">
        <f t="shared" si="170"/>
        <v>2820.4857935912569</v>
      </c>
      <c r="AB404" s="1301">
        <f t="shared" si="170"/>
        <v>2836.4888643120285</v>
      </c>
      <c r="AC404" s="1301">
        <f t="shared" si="170"/>
        <v>2852.4919350328</v>
      </c>
      <c r="AD404" s="1301">
        <f t="shared" si="170"/>
        <v>2868.4950057535716</v>
      </c>
      <c r="AE404" s="1302">
        <f t="shared" si="170"/>
        <v>2850</v>
      </c>
    </row>
    <row r="405" spans="1:36" ht="12.75" customHeight="1">
      <c r="A405" s="9"/>
      <c r="B405" s="9"/>
      <c r="C405" s="9"/>
      <c r="D405" s="9"/>
      <c r="J405" s="1238"/>
      <c r="K405" s="1238"/>
      <c r="L405" s="1238"/>
      <c r="M405" s="1238"/>
      <c r="N405" s="1238"/>
      <c r="O405" s="1238"/>
      <c r="P405" s="1238"/>
      <c r="Q405" s="1238"/>
      <c r="AJ405" s="9"/>
    </row>
    <row r="406" spans="1:36" ht="12.75" customHeight="1">
      <c r="E406" s="1292" t="s">
        <v>982</v>
      </c>
    </row>
    <row r="407" spans="1:36" ht="12.75" customHeight="1">
      <c r="E407" s="321" t="s">
        <v>25</v>
      </c>
      <c r="F407" s="1306">
        <f t="shared" ref="F407:AE407" si="171">F149*F398*1000/10^9</f>
        <v>0</v>
      </c>
      <c r="G407" s="1306">
        <f t="shared" si="171"/>
        <v>0</v>
      </c>
      <c r="H407" s="1306">
        <f t="shared" si="171"/>
        <v>0</v>
      </c>
      <c r="I407" s="1306">
        <f t="shared" si="171"/>
        <v>0</v>
      </c>
      <c r="J407" s="1306">
        <f t="shared" si="171"/>
        <v>0</v>
      </c>
      <c r="K407" s="1306">
        <f t="shared" si="171"/>
        <v>0.13307994431892675</v>
      </c>
      <c r="L407" s="1306">
        <f t="shared" si="171"/>
        <v>1.0147724511984198E-2</v>
      </c>
      <c r="M407" s="1306">
        <f t="shared" si="171"/>
        <v>2.5435972515027673E-3</v>
      </c>
      <c r="N407" s="1306">
        <f t="shared" si="171"/>
        <v>6.9263253017111462E-3</v>
      </c>
      <c r="O407" s="1306">
        <f t="shared" si="171"/>
        <v>7.6951587834774432E-3</v>
      </c>
      <c r="P407" s="1306">
        <f t="shared" si="171"/>
        <v>5.7685817945106197E-3</v>
      </c>
      <c r="Q407" s="1306">
        <f t="shared" si="171"/>
        <v>6.0806721678182468E-3</v>
      </c>
      <c r="R407" s="1306">
        <f t="shared" si="171"/>
        <v>4.4629887970526185E-3</v>
      </c>
      <c r="S407" s="1306">
        <f t="shared" si="171"/>
        <v>4.3785351513966212E-3</v>
      </c>
      <c r="T407" s="1306">
        <f t="shared" si="171"/>
        <v>4.2945374703801352E-3</v>
      </c>
      <c r="U407" s="1306">
        <f t="shared" si="171"/>
        <v>4.2132669970559675E-3</v>
      </c>
      <c r="V407" s="1306">
        <f t="shared" si="171"/>
        <v>4.1324369083719746E-3</v>
      </c>
      <c r="W407" s="1306">
        <f t="shared" si="171"/>
        <v>4.0510095801281924E-3</v>
      </c>
      <c r="X407" s="1306">
        <f t="shared" si="171"/>
        <v>3.9711867312586715E-3</v>
      </c>
      <c r="Y407" s="1306">
        <f t="shared" si="171"/>
        <v>3.8929367464062841E-3</v>
      </c>
      <c r="Z407" s="1306">
        <f t="shared" si="171"/>
        <v>3.8162286331766037E-3</v>
      </c>
      <c r="AA407" s="1306">
        <f t="shared" si="171"/>
        <v>3.7410320098627795E-3</v>
      </c>
      <c r="AB407" s="1306">
        <f t="shared" si="171"/>
        <v>3.667317093412282E-3</v>
      </c>
      <c r="AC407" s="1306">
        <f t="shared" si="171"/>
        <v>3.5950546876307595E-3</v>
      </c>
      <c r="AD407" s="1306">
        <f t="shared" si="171"/>
        <v>3.5242161716183308E-3</v>
      </c>
      <c r="AE407" s="1307">
        <f t="shared" si="171"/>
        <v>3.4547734884337331E-3</v>
      </c>
    </row>
    <row r="408" spans="1:36" ht="12.75" customHeight="1">
      <c r="E408" s="16" t="s">
        <v>50</v>
      </c>
      <c r="F408" s="1308">
        <f t="shared" ref="F408:AE408" si="172">F150*F399*1000/10^9</f>
        <v>0</v>
      </c>
      <c r="G408" s="1308">
        <f t="shared" si="172"/>
        <v>0</v>
      </c>
      <c r="H408" s="1308">
        <f t="shared" si="172"/>
        <v>0</v>
      </c>
      <c r="I408" s="1308">
        <f t="shared" si="172"/>
        <v>0</v>
      </c>
      <c r="J408" s="1308">
        <f t="shared" si="172"/>
        <v>0</v>
      </c>
      <c r="K408" s="1308">
        <f t="shared" si="172"/>
        <v>1.0754335732958503E-2</v>
      </c>
      <c r="L408" s="1308">
        <f t="shared" si="172"/>
        <v>9.735155158995209E-4</v>
      </c>
      <c r="M408" s="1308">
        <f t="shared" si="172"/>
        <v>4.4758289933117271E-4</v>
      </c>
      <c r="N408" s="1308">
        <f t="shared" si="172"/>
        <v>1.4642145440870711E-3</v>
      </c>
      <c r="O408" s="1308">
        <f t="shared" si="172"/>
        <v>4.6333544187304976E-4</v>
      </c>
      <c r="P408" s="1308">
        <f t="shared" si="172"/>
        <v>4.1149336318836889E-4</v>
      </c>
      <c r="Q408" s="1308">
        <f t="shared" si="172"/>
        <v>4.6444756756048916E-4</v>
      </c>
      <c r="R408" s="1308">
        <f t="shared" si="172"/>
        <v>4.1920207542408302E-4</v>
      </c>
      <c r="S408" s="1308">
        <f t="shared" si="172"/>
        <v>3.9114135788542758E-4</v>
      </c>
      <c r="T408" s="1308">
        <f t="shared" si="172"/>
        <v>3.7823683556618807E-4</v>
      </c>
      <c r="U408" s="1308">
        <f t="shared" si="172"/>
        <v>4.4206068836256967E-4</v>
      </c>
      <c r="V408" s="1308">
        <f t="shared" si="172"/>
        <v>4.3593176879631271E-4</v>
      </c>
      <c r="W408" s="1308">
        <f t="shared" si="172"/>
        <v>2.2265636103934046E-3</v>
      </c>
      <c r="X408" s="1308">
        <f t="shared" si="172"/>
        <v>2.1607538485098558E-3</v>
      </c>
      <c r="Y408" s="1308">
        <f t="shared" si="172"/>
        <v>2.0968892027410911E-3</v>
      </c>
      <c r="Z408" s="1308">
        <f t="shared" si="172"/>
        <v>2.0349121819704186E-3</v>
      </c>
      <c r="AA408" s="1308">
        <f t="shared" si="172"/>
        <v>1.9747669943259729E-3</v>
      </c>
      <c r="AB408" s="1308">
        <f t="shared" si="172"/>
        <v>1.9163994969567328E-3</v>
      </c>
      <c r="AC408" s="1308">
        <f t="shared" si="172"/>
        <v>1.8597571472929871E-3</v>
      </c>
      <c r="AD408" s="1308">
        <f t="shared" si="172"/>
        <v>1.8047889557473815E-3</v>
      </c>
      <c r="AE408" s="1309">
        <f t="shared" si="172"/>
        <v>1.7514454398139616E-3</v>
      </c>
    </row>
    <row r="409" spans="1:36" ht="12.75" customHeight="1">
      <c r="E409" s="16" t="s">
        <v>13</v>
      </c>
      <c r="F409" s="1308">
        <f t="shared" ref="F409:AE409" si="173">F151*F400*1000/10^9</f>
        <v>0</v>
      </c>
      <c r="G409" s="1308">
        <f t="shared" si="173"/>
        <v>0</v>
      </c>
      <c r="H409" s="1308">
        <f t="shared" si="173"/>
        <v>0</v>
      </c>
      <c r="I409" s="1308">
        <f t="shared" si="173"/>
        <v>0</v>
      </c>
      <c r="J409" s="1308">
        <f t="shared" si="173"/>
        <v>0</v>
      </c>
      <c r="K409" s="1308">
        <f t="shared" si="173"/>
        <v>0.22981586836190482</v>
      </c>
      <c r="L409" s="1308">
        <f t="shared" si="173"/>
        <v>0.16039931496204005</v>
      </c>
      <c r="M409" s="1308">
        <f t="shared" si="173"/>
        <v>0.18869854796000002</v>
      </c>
      <c r="N409" s="1308">
        <f t="shared" si="173"/>
        <v>0.25649210325500804</v>
      </c>
      <c r="O409" s="1308">
        <f t="shared" si="173"/>
        <v>0.19459369036425844</v>
      </c>
      <c r="P409" s="1308">
        <f t="shared" si="173"/>
        <v>9.7854212717857034E-2</v>
      </c>
      <c r="Q409" s="1308">
        <f t="shared" si="173"/>
        <v>7.0659688239357296E-2</v>
      </c>
      <c r="R409" s="1308">
        <f>R151*R400*1000/10^9</f>
        <v>0.22558148195557354</v>
      </c>
      <c r="S409" s="1308">
        <f t="shared" si="173"/>
        <v>0.20578812124750853</v>
      </c>
      <c r="T409" s="1308">
        <f t="shared" si="173"/>
        <v>0.18924799213380203</v>
      </c>
      <c r="U409" s="1308">
        <f t="shared" si="173"/>
        <v>0.18084660490376606</v>
      </c>
      <c r="V409" s="1308">
        <f t="shared" si="173"/>
        <v>0.16718598228639955</v>
      </c>
      <c r="W409" s="1308">
        <f t="shared" si="173"/>
        <v>9.8558064908118623E-2</v>
      </c>
      <c r="X409" s="1308">
        <f t="shared" si="173"/>
        <v>9.6111618297635787E-2</v>
      </c>
      <c r="Y409" s="1308">
        <f t="shared" si="173"/>
        <v>9.372361242656882E-2</v>
      </c>
      <c r="Z409" s="1308">
        <f t="shared" si="173"/>
        <v>9.139266575224067E-2</v>
      </c>
      <c r="AA409" s="1308">
        <f t="shared" si="173"/>
        <v>8.9117429444428825E-2</v>
      </c>
      <c r="AB409" s="1308">
        <f t="shared" si="173"/>
        <v>8.689658660592367E-2</v>
      </c>
      <c r="AC409" s="1308">
        <f t="shared" si="173"/>
        <v>8.4728851511794392E-2</v>
      </c>
      <c r="AD409" s="1308">
        <f t="shared" si="173"/>
        <v>8.261296886691058E-2</v>
      </c>
      <c r="AE409" s="1309">
        <f t="shared" si="173"/>
        <v>8.2561424860549334E-2</v>
      </c>
    </row>
    <row r="410" spans="1:36" ht="12.75" customHeight="1">
      <c r="E410" s="16" t="s">
        <v>12</v>
      </c>
      <c r="F410" s="1308">
        <f t="shared" ref="F410:AE410" si="174">F152*F401*1000/10^9</f>
        <v>0</v>
      </c>
      <c r="G410" s="1308">
        <f t="shared" si="174"/>
        <v>0</v>
      </c>
      <c r="H410" s="1308">
        <f t="shared" si="174"/>
        <v>0</v>
      </c>
      <c r="I410" s="1308">
        <f t="shared" si="174"/>
        <v>0</v>
      </c>
      <c r="J410" s="1308">
        <f t="shared" si="174"/>
        <v>0</v>
      </c>
      <c r="K410" s="1308">
        <f t="shared" si="174"/>
        <v>0</v>
      </c>
      <c r="L410" s="1308">
        <f t="shared" si="174"/>
        <v>5.4129122774999967E-3</v>
      </c>
      <c r="M410" s="1308">
        <f t="shared" si="174"/>
        <v>3.1772160000000005E-3</v>
      </c>
      <c r="N410" s="1308">
        <f t="shared" si="174"/>
        <v>7.8256551724137941E-3</v>
      </c>
      <c r="O410" s="1308">
        <f t="shared" si="174"/>
        <v>6.2678036351282501E-3</v>
      </c>
      <c r="P410" s="1308">
        <f t="shared" si="174"/>
        <v>6.5754635119044157E-3</v>
      </c>
      <c r="Q410" s="1308">
        <f t="shared" si="174"/>
        <v>1.1768084736511773E-2</v>
      </c>
      <c r="R410" s="1308">
        <f t="shared" si="174"/>
        <v>2.8703092859920357E-2</v>
      </c>
      <c r="S410" s="1308">
        <f t="shared" si="174"/>
        <v>3.0446958928585476E-2</v>
      </c>
      <c r="T410" s="1308">
        <f t="shared" si="174"/>
        <v>3.1849759991942506E-2</v>
      </c>
      <c r="U410" s="1308">
        <f t="shared" si="174"/>
        <v>3.2163550730779381E-2</v>
      </c>
      <c r="V410" s="1308">
        <f t="shared" si="174"/>
        <v>3.3040773609054871E-2</v>
      </c>
      <c r="W410" s="1308">
        <f t="shared" si="174"/>
        <v>6.8721915552495075E-3</v>
      </c>
      <c r="X410" s="1308">
        <f t="shared" si="174"/>
        <v>6.4321004704305743E-3</v>
      </c>
      <c r="Y410" s="1308">
        <f t="shared" si="174"/>
        <v>6.0201925585310805E-3</v>
      </c>
      <c r="Z410" s="1308">
        <f t="shared" si="174"/>
        <v>5.6346629858172676E-3</v>
      </c>
      <c r="AA410" s="1308">
        <f t="shared" si="174"/>
        <v>5.2738224990407931E-3</v>
      </c>
      <c r="AB410" s="1308">
        <f t="shared" si="174"/>
        <v>4.9360900237327612E-3</v>
      </c>
      <c r="AC410" s="1308">
        <f t="shared" si="174"/>
        <v>4.6199857364986434E-3</v>
      </c>
      <c r="AD410" s="1308">
        <f t="shared" si="174"/>
        <v>4.3241245809593218E-3</v>
      </c>
      <c r="AE410" s="1309">
        <f t="shared" si="174"/>
        <v>4.0472101989274447E-3</v>
      </c>
    </row>
    <row r="411" spans="1:36" ht="12.75" customHeight="1">
      <c r="E411" s="16" t="s">
        <v>24</v>
      </c>
      <c r="F411" s="1308">
        <f t="shared" ref="F411:AE411" si="175">F153*F402*1000/10^9</f>
        <v>0</v>
      </c>
      <c r="G411" s="1308">
        <f t="shared" si="175"/>
        <v>0</v>
      </c>
      <c r="H411" s="1308">
        <f t="shared" si="175"/>
        <v>0</v>
      </c>
      <c r="I411" s="1308">
        <f t="shared" si="175"/>
        <v>0</v>
      </c>
      <c r="J411" s="1308">
        <f t="shared" si="175"/>
        <v>0</v>
      </c>
      <c r="K411" s="1308">
        <f t="shared" si="175"/>
        <v>0.74995451741354724</v>
      </c>
      <c r="L411" s="1308">
        <f t="shared" si="175"/>
        <v>0.90913561217747918</v>
      </c>
      <c r="M411" s="1308">
        <f t="shared" si="175"/>
        <v>1.0538448467995687</v>
      </c>
      <c r="N411" s="1308">
        <f t="shared" si="175"/>
        <v>0.43570459476836937</v>
      </c>
      <c r="O411" s="1308">
        <f t="shared" si="175"/>
        <v>0.23230495463919684</v>
      </c>
      <c r="P411" s="1308">
        <f t="shared" si="175"/>
        <v>0.22493295832755819</v>
      </c>
      <c r="Q411" s="1308">
        <f t="shared" si="175"/>
        <v>0.21772811838748457</v>
      </c>
      <c r="R411" s="1308">
        <f t="shared" si="175"/>
        <v>0.24656035274102955</v>
      </c>
      <c r="S411" s="1308">
        <f t="shared" si="175"/>
        <v>0.30426994337170565</v>
      </c>
      <c r="T411" s="1308">
        <f t="shared" si="175"/>
        <v>0.29976942375681603</v>
      </c>
      <c r="U411" s="1308">
        <f t="shared" si="175"/>
        <v>0.29398315971250444</v>
      </c>
      <c r="V411" s="1308">
        <f t="shared" si="175"/>
        <v>0.28851283647668691</v>
      </c>
      <c r="W411" s="1308">
        <f t="shared" si="175"/>
        <v>0.28480081775049804</v>
      </c>
      <c r="X411" s="1308">
        <f t="shared" si="175"/>
        <v>0.27892734529313684</v>
      </c>
      <c r="Y411" s="1308">
        <f t="shared" si="175"/>
        <v>0.27192211578694858</v>
      </c>
      <c r="Z411" s="1308">
        <f t="shared" si="175"/>
        <v>0.26429752918956467</v>
      </c>
      <c r="AA411" s="1308">
        <f t="shared" si="175"/>
        <v>0.25633612693276997</v>
      </c>
      <c r="AB411" s="1308">
        <f t="shared" si="175"/>
        <v>0.24820556621172313</v>
      </c>
      <c r="AC411" s="1308">
        <f t="shared" si="175"/>
        <v>0.24001088014346561</v>
      </c>
      <c r="AD411" s="1308">
        <f t="shared" si="175"/>
        <v>0.23182060705404317</v>
      </c>
      <c r="AE411" s="1309">
        <f t="shared" si="175"/>
        <v>0.23069733452295918</v>
      </c>
    </row>
    <row r="412" spans="1:36" ht="12.75" customHeight="1">
      <c r="E412" s="16" t="s">
        <v>26</v>
      </c>
      <c r="F412" s="1308">
        <f t="shared" ref="F412:AE412" si="176">F154*F403*1000/10^9</f>
        <v>0</v>
      </c>
      <c r="G412" s="1308">
        <f t="shared" si="176"/>
        <v>0</v>
      </c>
      <c r="H412" s="1308">
        <f t="shared" si="176"/>
        <v>0</v>
      </c>
      <c r="I412" s="1308">
        <f t="shared" si="176"/>
        <v>0</v>
      </c>
      <c r="J412" s="1308">
        <f t="shared" si="176"/>
        <v>0</v>
      </c>
      <c r="K412" s="1308">
        <f t="shared" si="176"/>
        <v>1.5146369379310347</v>
      </c>
      <c r="L412" s="1308">
        <f t="shared" si="176"/>
        <v>0.59348765776300005</v>
      </c>
      <c r="M412" s="1308">
        <f t="shared" si="176"/>
        <v>0.89087671199999996</v>
      </c>
      <c r="N412" s="1308">
        <f t="shared" si="176"/>
        <v>0.54507488275862059</v>
      </c>
      <c r="O412" s="1308">
        <f t="shared" si="176"/>
        <v>0.63396066878594493</v>
      </c>
      <c r="P412" s="1308">
        <f t="shared" si="176"/>
        <v>0.11948763117531243</v>
      </c>
      <c r="Q412" s="1308">
        <f t="shared" si="176"/>
        <v>0</v>
      </c>
      <c r="R412" s="1308">
        <f t="shared" si="176"/>
        <v>9.4521960000000002E-2</v>
      </c>
      <c r="S412" s="1308">
        <f t="shared" si="176"/>
        <v>0.19666992333333333</v>
      </c>
      <c r="T412" s="1308">
        <f t="shared" si="176"/>
        <v>0.28086193333333331</v>
      </c>
      <c r="U412" s="1308">
        <f t="shared" si="176"/>
        <v>0.212454</v>
      </c>
      <c r="V412" s="1308">
        <f t="shared" si="176"/>
        <v>0.22731040800000002</v>
      </c>
      <c r="W412" s="1308">
        <f t="shared" si="176"/>
        <v>0.22620832479999997</v>
      </c>
      <c r="X412" s="1308">
        <f t="shared" si="176"/>
        <v>0.22397273599999998</v>
      </c>
      <c r="Y412" s="1308">
        <f t="shared" si="176"/>
        <v>0.22108942971428566</v>
      </c>
      <c r="Z412" s="1308">
        <f t="shared" si="176"/>
        <v>0.2178013</v>
      </c>
      <c r="AA412" s="1308">
        <f t="shared" si="176"/>
        <v>0.214243288</v>
      </c>
      <c r="AB412" s="1308">
        <f t="shared" si="176"/>
        <v>0.2104963584</v>
      </c>
      <c r="AC412" s="1308">
        <f t="shared" si="176"/>
        <v>0.20661203418181814</v>
      </c>
      <c r="AD412" s="1308">
        <f t="shared" si="176"/>
        <v>0.20262466400000001</v>
      </c>
      <c r="AE412" s="1309">
        <f t="shared" si="176"/>
        <v>0.20261699999999996</v>
      </c>
    </row>
    <row r="413" spans="1:36" ht="12.75" customHeight="1">
      <c r="E413" s="303" t="s">
        <v>74</v>
      </c>
      <c r="F413" s="1310">
        <f t="shared" ref="F413:AE413" si="177">F155*F404*1000/10^9</f>
        <v>0</v>
      </c>
      <c r="G413" s="1310">
        <f t="shared" si="177"/>
        <v>0</v>
      </c>
      <c r="H413" s="1310">
        <f t="shared" si="177"/>
        <v>0</v>
      </c>
      <c r="I413" s="1310">
        <f t="shared" si="177"/>
        <v>0</v>
      </c>
      <c r="J413" s="1310">
        <f t="shared" si="177"/>
        <v>0</v>
      </c>
      <c r="K413" s="1310">
        <f t="shared" si="177"/>
        <v>0.13730782479850587</v>
      </c>
      <c r="L413" s="1310">
        <f t="shared" si="177"/>
        <v>0.15428730683338224</v>
      </c>
      <c r="M413" s="1310">
        <f t="shared" si="177"/>
        <v>0.1570494034862312</v>
      </c>
      <c r="N413" s="1310">
        <f t="shared" si="177"/>
        <v>0.30148308152585546</v>
      </c>
      <c r="O413" s="1310">
        <f t="shared" si="177"/>
        <v>0.40132422127195655</v>
      </c>
      <c r="P413" s="1310">
        <f t="shared" si="177"/>
        <v>0.41288289135250006</v>
      </c>
      <c r="Q413" s="1310">
        <f t="shared" si="177"/>
        <v>0.44316906074999995</v>
      </c>
      <c r="R413" s="1310">
        <f t="shared" si="177"/>
        <v>0.43984309869361571</v>
      </c>
      <c r="S413" s="1310">
        <f t="shared" si="177"/>
        <v>0.54768425666735743</v>
      </c>
      <c r="T413" s="1310">
        <f t="shared" si="177"/>
        <v>0.51823523690584639</v>
      </c>
      <c r="U413" s="1310">
        <f t="shared" si="177"/>
        <v>0.47851477016583926</v>
      </c>
      <c r="V413" s="1310">
        <f t="shared" si="177"/>
        <v>0.45930705693146417</v>
      </c>
      <c r="W413" s="1310">
        <f t="shared" si="177"/>
        <v>0.16854032324892207</v>
      </c>
      <c r="X413" s="1310">
        <f t="shared" si="177"/>
        <v>0.16152494771348036</v>
      </c>
      <c r="Y413" s="1310">
        <f t="shared" si="177"/>
        <v>0.15465396134761436</v>
      </c>
      <c r="Z413" s="1310">
        <f t="shared" si="177"/>
        <v>0.14819050302473147</v>
      </c>
      <c r="AA413" s="1310">
        <f t="shared" si="177"/>
        <v>0.14208737778326391</v>
      </c>
      <c r="AB413" s="1310">
        <f t="shared" si="177"/>
        <v>0.1359139095445912</v>
      </c>
      <c r="AC413" s="1310">
        <f t="shared" si="177"/>
        <v>0.12980478487261879</v>
      </c>
      <c r="AD413" s="1310">
        <f t="shared" si="177"/>
        <v>0.12416328440654428</v>
      </c>
      <c r="AE413" s="1311">
        <f t="shared" si="177"/>
        <v>0.117239025</v>
      </c>
    </row>
    <row r="414" spans="1:36" ht="12.75" customHeight="1">
      <c r="E414" s="1303" t="s">
        <v>964</v>
      </c>
      <c r="F414" s="1312">
        <f t="shared" ref="F414:AE414" si="178">SUM(F407:F413)</f>
        <v>0</v>
      </c>
      <c r="G414" s="1312">
        <f t="shared" si="178"/>
        <v>0</v>
      </c>
      <c r="H414" s="1312">
        <f t="shared" si="178"/>
        <v>0</v>
      </c>
      <c r="I414" s="1312">
        <f t="shared" si="178"/>
        <v>0</v>
      </c>
      <c r="J414" s="1312">
        <f t="shared" si="178"/>
        <v>0</v>
      </c>
      <c r="K414" s="1312">
        <f t="shared" si="178"/>
        <v>2.7755494285568778</v>
      </c>
      <c r="L414" s="1312">
        <f t="shared" si="178"/>
        <v>1.8338440440412853</v>
      </c>
      <c r="M414" s="1312">
        <f t="shared" si="178"/>
        <v>2.2966379063966338</v>
      </c>
      <c r="N414" s="1312">
        <f t="shared" si="178"/>
        <v>1.5549708573260657</v>
      </c>
      <c r="O414" s="1312">
        <f t="shared" si="178"/>
        <v>1.4766098329218356</v>
      </c>
      <c r="P414" s="1312">
        <f t="shared" si="178"/>
        <v>0.86791323224283112</v>
      </c>
      <c r="Q414" s="1312">
        <f t="shared" si="178"/>
        <v>0.74987007184873233</v>
      </c>
      <c r="R414" s="1312">
        <f t="shared" si="178"/>
        <v>1.0400921771226159</v>
      </c>
      <c r="S414" s="1312">
        <f t="shared" si="178"/>
        <v>1.2896288800577724</v>
      </c>
      <c r="T414" s="1312">
        <f t="shared" si="178"/>
        <v>1.3246371204276866</v>
      </c>
      <c r="U414" s="1312">
        <f t="shared" si="178"/>
        <v>1.2026174131983078</v>
      </c>
      <c r="V414" s="1312">
        <f t="shared" si="178"/>
        <v>1.1799254259807739</v>
      </c>
      <c r="W414" s="1312">
        <f t="shared" si="178"/>
        <v>0.79125729545330981</v>
      </c>
      <c r="X414" s="1312">
        <f t="shared" si="178"/>
        <v>0.77310068835445211</v>
      </c>
      <c r="Y414" s="1312">
        <f t="shared" si="178"/>
        <v>0.75339913778309586</v>
      </c>
      <c r="Z414" s="1312">
        <f t="shared" si="178"/>
        <v>0.73316780176750107</v>
      </c>
      <c r="AA414" s="1312">
        <f t="shared" si="178"/>
        <v>0.71277384366369234</v>
      </c>
      <c r="AB414" s="1312">
        <f t="shared" si="178"/>
        <v>0.69203222737633974</v>
      </c>
      <c r="AC414" s="1312">
        <f t="shared" si="178"/>
        <v>0.67123134828111941</v>
      </c>
      <c r="AD414" s="1312">
        <f t="shared" si="178"/>
        <v>0.65087465403582301</v>
      </c>
      <c r="AE414" s="1313">
        <f t="shared" si="178"/>
        <v>0.64236821351068363</v>
      </c>
    </row>
    <row r="416" spans="1:36" ht="12.75" customHeight="1">
      <c r="E416" s="1292" t="s">
        <v>984</v>
      </c>
      <c r="AJ416" s="1332" t="s">
        <v>993</v>
      </c>
    </row>
    <row r="417" spans="5:36" ht="12.75" customHeight="1">
      <c r="E417" s="321" t="s">
        <v>25</v>
      </c>
      <c r="F417" s="1306">
        <f t="shared" ref="F417:AE417" si="179">(F398*1000*F29)*F$181/10^9</f>
        <v>0</v>
      </c>
      <c r="G417" s="1306">
        <f t="shared" si="179"/>
        <v>0</v>
      </c>
      <c r="H417" s="1306">
        <f t="shared" si="179"/>
        <v>0</v>
      </c>
      <c r="I417" s="1306">
        <f t="shared" si="179"/>
        <v>0</v>
      </c>
      <c r="J417" s="1306">
        <f t="shared" si="179"/>
        <v>0</v>
      </c>
      <c r="K417" s="1306">
        <f t="shared" si="179"/>
        <v>4.1038436640238159E-2</v>
      </c>
      <c r="L417" s="1306">
        <f t="shared" si="179"/>
        <v>2.675331266513978E-3</v>
      </c>
      <c r="M417" s="1306">
        <f t="shared" si="179"/>
        <v>5.7144420000000012E-4</v>
      </c>
      <c r="N417" s="1306">
        <f t="shared" si="179"/>
        <v>1.9119347999999997E-3</v>
      </c>
      <c r="O417" s="1306">
        <f t="shared" si="179"/>
        <v>3.1124225600000005E-3</v>
      </c>
      <c r="P417" s="1306">
        <f t="shared" si="179"/>
        <v>2.53745752E-3</v>
      </c>
      <c r="Q417" s="1306">
        <f t="shared" si="179"/>
        <v>2.2529220000000005E-3</v>
      </c>
      <c r="R417" s="1306">
        <f t="shared" si="179"/>
        <v>3.2460736000000001E-3</v>
      </c>
      <c r="S417" s="1306">
        <f t="shared" si="179"/>
        <v>3.6265662399999998E-3</v>
      </c>
      <c r="T417" s="1306">
        <f t="shared" si="179"/>
        <v>3.0070212699999997E-3</v>
      </c>
      <c r="U417" s="1306">
        <f t="shared" si="179"/>
        <v>2.9708271999999997E-3</v>
      </c>
      <c r="V417" s="1306">
        <f t="shared" si="179"/>
        <v>2.9317186799999997E-3</v>
      </c>
      <c r="W417" s="1306">
        <f t="shared" si="179"/>
        <v>2.9205098999999998E-3</v>
      </c>
      <c r="X417" s="1306">
        <f t="shared" si="179"/>
        <v>2.8897895399999994E-3</v>
      </c>
      <c r="Y417" s="1306">
        <f t="shared" si="179"/>
        <v>2.8615600199999995E-3</v>
      </c>
      <c r="Z417" s="1306">
        <f t="shared" si="179"/>
        <v>2.8470301199999995E-3</v>
      </c>
      <c r="AA417" s="1306">
        <f t="shared" si="179"/>
        <v>2.8300093799999994E-3</v>
      </c>
      <c r="AB417" s="1306">
        <f t="shared" si="179"/>
        <v>2.797109534999999E-3</v>
      </c>
      <c r="AC417" s="1306">
        <f t="shared" si="179"/>
        <v>2.76420969E-3</v>
      </c>
      <c r="AD417" s="1306">
        <f t="shared" si="179"/>
        <v>2.7313098449999996E-3</v>
      </c>
      <c r="AE417" s="1307">
        <f t="shared" si="179"/>
        <v>2.6984099999999996E-3</v>
      </c>
    </row>
    <row r="418" spans="5:36" ht="12.75" customHeight="1">
      <c r="E418" s="16" t="s">
        <v>50</v>
      </c>
      <c r="F418" s="1308">
        <f t="shared" ref="F418:AE418" si="180">(F399*1000*F30)*F$181/10^9</f>
        <v>0</v>
      </c>
      <c r="G418" s="1308">
        <f t="shared" si="180"/>
        <v>0</v>
      </c>
      <c r="H418" s="1308">
        <f t="shared" si="180"/>
        <v>0</v>
      </c>
      <c r="I418" s="1308">
        <f t="shared" si="180"/>
        <v>0</v>
      </c>
      <c r="J418" s="1308">
        <f t="shared" si="180"/>
        <v>0</v>
      </c>
      <c r="K418" s="1308">
        <f t="shared" si="180"/>
        <v>4.7374604699399817E-3</v>
      </c>
      <c r="L418" s="1308">
        <f t="shared" si="180"/>
        <v>3.7035860183999786E-4</v>
      </c>
      <c r="M418" s="1308">
        <f t="shared" si="180"/>
        <v>1.7935339999999999E-4</v>
      </c>
      <c r="N418" s="1308">
        <f t="shared" si="180"/>
        <v>7.2823643999999992E-4</v>
      </c>
      <c r="O418" s="1308">
        <f t="shared" si="180"/>
        <v>3.4108360000000004E-4</v>
      </c>
      <c r="P418" s="1308">
        <f t="shared" si="180"/>
        <v>3.3278501170960192E-4</v>
      </c>
      <c r="Q418" s="1308">
        <f t="shared" si="180"/>
        <v>3.1958714851485154E-4</v>
      </c>
      <c r="R418" s="1308">
        <f t="shared" si="180"/>
        <v>5.7200640000000015E-4</v>
      </c>
      <c r="S418" s="1308">
        <f t="shared" si="180"/>
        <v>6.1394895014662762E-4</v>
      </c>
      <c r="T418" s="1308">
        <f t="shared" si="180"/>
        <v>5.0699365432098776E-4</v>
      </c>
      <c r="U418" s="1308">
        <f t="shared" si="180"/>
        <v>6.0276184615384626E-4</v>
      </c>
      <c r="V418" s="1308">
        <f t="shared" si="180"/>
        <v>6.0412510144927537E-4</v>
      </c>
      <c r="W418" s="1308">
        <f t="shared" si="180"/>
        <v>3.167449275362319E-3</v>
      </c>
      <c r="X418" s="1308">
        <f t="shared" si="180"/>
        <v>3.1341314009661831E-3</v>
      </c>
      <c r="Y418" s="1308">
        <f t="shared" si="180"/>
        <v>3.1035149758454105E-3</v>
      </c>
      <c r="Z418" s="1308">
        <f t="shared" si="180"/>
        <v>3.0877565217391299E-3</v>
      </c>
      <c r="AA418" s="1308">
        <f t="shared" si="180"/>
        <v>3.0692966183574876E-3</v>
      </c>
      <c r="AB418" s="1308">
        <f t="shared" si="180"/>
        <v>3.0336149758454101E-3</v>
      </c>
      <c r="AC418" s="1308">
        <f t="shared" si="180"/>
        <v>2.9979333333333331E-3</v>
      </c>
      <c r="AD418" s="1308">
        <f t="shared" si="180"/>
        <v>2.9622516908212556E-3</v>
      </c>
      <c r="AE418" s="1309">
        <f t="shared" si="180"/>
        <v>2.9265700483091781E-3</v>
      </c>
    </row>
    <row r="419" spans="5:36" ht="12.75" customHeight="1">
      <c r="E419" s="16" t="s">
        <v>13</v>
      </c>
      <c r="F419" s="1308">
        <f t="shared" ref="F419:AE419" si="181">(F400*1000*F31)*F$181/10^9</f>
        <v>0</v>
      </c>
      <c r="G419" s="1308">
        <f t="shared" si="181"/>
        <v>0</v>
      </c>
      <c r="H419" s="1308">
        <f t="shared" si="181"/>
        <v>0</v>
      </c>
      <c r="I419" s="1308">
        <f t="shared" si="181"/>
        <v>0</v>
      </c>
      <c r="J419" s="1308">
        <f t="shared" si="181"/>
        <v>0</v>
      </c>
      <c r="K419" s="1308">
        <f t="shared" si="181"/>
        <v>4.6906858995600001E-2</v>
      </c>
      <c r="L419" s="1308">
        <f t="shared" si="181"/>
        <v>2.8130498880000004E-2</v>
      </c>
      <c r="M419" s="1308">
        <f t="shared" si="181"/>
        <v>3.2826209000000002E-2</v>
      </c>
      <c r="N419" s="1308">
        <f t="shared" si="181"/>
        <v>5.509762811928013E-2</v>
      </c>
      <c r="O419" s="1308">
        <f t="shared" si="181"/>
        <v>6.1558630954079999E-2</v>
      </c>
      <c r="P419" s="1308">
        <f t="shared" si="181"/>
        <v>3.473536E-2</v>
      </c>
      <c r="Q419" s="1308">
        <f t="shared" si="181"/>
        <v>2.0207039999999999E-2</v>
      </c>
      <c r="R419" s="1308">
        <f t="shared" si="181"/>
        <v>0.12824036960000001</v>
      </c>
      <c r="S419" s="1308">
        <f t="shared" si="181"/>
        <v>0.13567420416000001</v>
      </c>
      <c r="T419" s="1308">
        <f t="shared" si="181"/>
        <v>0.10671360659000001</v>
      </c>
      <c r="U419" s="1308">
        <f t="shared" si="181"/>
        <v>9.9958468799999992E-2</v>
      </c>
      <c r="V419" s="1308">
        <f t="shared" si="181"/>
        <v>9.3458649240000011E-2</v>
      </c>
      <c r="W419" s="1308">
        <f t="shared" si="181"/>
        <v>5.6280000000000011E-2</v>
      </c>
      <c r="X419" s="1308">
        <f t="shared" si="181"/>
        <v>5.5688000000000001E-2</v>
      </c>
      <c r="Y419" s="1308">
        <f t="shared" si="181"/>
        <v>5.5144000000000006E-2</v>
      </c>
      <c r="Z419" s="1308">
        <f t="shared" si="181"/>
        <v>5.4864000000000003E-2</v>
      </c>
      <c r="AA419" s="1308">
        <f t="shared" si="181"/>
        <v>5.4536000000000001E-2</v>
      </c>
      <c r="AB419" s="1308">
        <f t="shared" si="181"/>
        <v>5.3901999999999999E-2</v>
      </c>
      <c r="AC419" s="1308">
        <f t="shared" si="181"/>
        <v>5.326800000000001E-2</v>
      </c>
      <c r="AD419" s="1308">
        <f t="shared" si="181"/>
        <v>5.2634E-2</v>
      </c>
      <c r="AE419" s="1309">
        <f t="shared" si="181"/>
        <v>5.1999999999999998E-2</v>
      </c>
    </row>
    <row r="420" spans="5:36" ht="12.75" customHeight="1">
      <c r="E420" s="16" t="s">
        <v>12</v>
      </c>
      <c r="F420" s="1308">
        <f t="shared" ref="F420:AE420" si="182">(F401*1000*F32)*F$181/10^9</f>
        <v>0</v>
      </c>
      <c r="G420" s="1308">
        <f t="shared" si="182"/>
        <v>0</v>
      </c>
      <c r="H420" s="1308">
        <f t="shared" si="182"/>
        <v>0</v>
      </c>
      <c r="I420" s="1308">
        <f t="shared" si="182"/>
        <v>0</v>
      </c>
      <c r="J420" s="1308">
        <f t="shared" si="182"/>
        <v>0</v>
      </c>
      <c r="K420" s="1308">
        <f t="shared" si="182"/>
        <v>0</v>
      </c>
      <c r="L420" s="1308">
        <f t="shared" si="182"/>
        <v>6.7849829999999981E-4</v>
      </c>
      <c r="M420" s="1308">
        <f t="shared" si="182"/>
        <v>3.3726399999999999E-4</v>
      </c>
      <c r="N420" s="1308">
        <f t="shared" si="182"/>
        <v>1.0155743999999999E-3</v>
      </c>
      <c r="O420" s="1308">
        <f t="shared" si="182"/>
        <v>1.18587872E-3</v>
      </c>
      <c r="P420" s="1308">
        <f t="shared" si="182"/>
        <v>1.3462419000000001E-3</v>
      </c>
      <c r="Q420" s="1308">
        <f t="shared" si="182"/>
        <v>2.1255280200000001E-3</v>
      </c>
      <c r="R420" s="1308">
        <f t="shared" si="182"/>
        <v>1.0659264E-2</v>
      </c>
      <c r="S420" s="1308">
        <f t="shared" si="182"/>
        <v>1.3485781760000001E-2</v>
      </c>
      <c r="T420" s="1308">
        <f t="shared" si="182"/>
        <v>1.249082648E-2</v>
      </c>
      <c r="U420" s="1308">
        <f t="shared" si="182"/>
        <v>1.3304139199999999E-2</v>
      </c>
      <c r="V420" s="1308">
        <f t="shared" si="182"/>
        <v>1.4402242800000001E-2</v>
      </c>
      <c r="W420" s="1308">
        <f t="shared" si="182"/>
        <v>3.1882620000000003E-3</v>
      </c>
      <c r="X420" s="1308">
        <f t="shared" si="182"/>
        <v>3.1547252000000002E-3</v>
      </c>
      <c r="Y420" s="1308">
        <f t="shared" si="182"/>
        <v>3.1239076000000002E-3</v>
      </c>
      <c r="Z420" s="1308">
        <f t="shared" si="182"/>
        <v>3.1080456E-3</v>
      </c>
      <c r="AA420" s="1308">
        <f t="shared" si="182"/>
        <v>3.0894643999999998E-3</v>
      </c>
      <c r="AB420" s="1308">
        <f t="shared" si="182"/>
        <v>3.0535482999999998E-3</v>
      </c>
      <c r="AC420" s="1308">
        <f t="shared" si="182"/>
        <v>3.0176322000000002E-3</v>
      </c>
      <c r="AD420" s="1308">
        <f t="shared" si="182"/>
        <v>2.9817161000000002E-3</v>
      </c>
      <c r="AE420" s="1309">
        <f t="shared" si="182"/>
        <v>2.9458000000000002E-3</v>
      </c>
    </row>
    <row r="421" spans="5:36" ht="12.75" customHeight="1">
      <c r="E421" s="16" t="s">
        <v>24</v>
      </c>
      <c r="F421" s="1308">
        <f t="shared" ref="F421:AE421" si="183">(F402*1000*F33)*F$181/10^9</f>
        <v>0</v>
      </c>
      <c r="G421" s="1308">
        <f t="shared" si="183"/>
        <v>0</v>
      </c>
      <c r="H421" s="1308">
        <f t="shared" si="183"/>
        <v>0</v>
      </c>
      <c r="I421" s="1308">
        <f t="shared" si="183"/>
        <v>0</v>
      </c>
      <c r="J421" s="1308">
        <f t="shared" si="183"/>
        <v>0</v>
      </c>
      <c r="K421" s="1308">
        <f t="shared" si="183"/>
        <v>0.25901311842449615</v>
      </c>
      <c r="L421" s="1308">
        <f t="shared" si="183"/>
        <v>0.28330379097153474</v>
      </c>
      <c r="M421" s="1308">
        <f t="shared" si="183"/>
        <v>0.30514786417977219</v>
      </c>
      <c r="N421" s="1308">
        <f t="shared" si="183"/>
        <v>0.15582022964986603</v>
      </c>
      <c r="O421" s="1308">
        <f t="shared" si="183"/>
        <v>0.13561349327075753</v>
      </c>
      <c r="P421" s="1308">
        <f t="shared" si="183"/>
        <v>0.16449681354282675</v>
      </c>
      <c r="Q421" s="1308">
        <f t="shared" si="183"/>
        <v>0.13232268090511132</v>
      </c>
      <c r="R421" s="1308">
        <f t="shared" si="183"/>
        <v>0.31018034170854253</v>
      </c>
      <c r="S421" s="1308">
        <f t="shared" si="183"/>
        <v>0.43314483618090444</v>
      </c>
      <c r="T421" s="1308">
        <f t="shared" si="183"/>
        <v>0.3651944726758794</v>
      </c>
      <c r="U421" s="1308">
        <f t="shared" si="183"/>
        <v>0.34291700125628133</v>
      </c>
      <c r="V421" s="1308">
        <f t="shared" si="183"/>
        <v>0.34973734353015068</v>
      </c>
      <c r="W421" s="1308">
        <f t="shared" si="183"/>
        <v>0.34617875045032848</v>
      </c>
      <c r="X421" s="1308">
        <f t="shared" si="183"/>
        <v>0.33753899538815868</v>
      </c>
      <c r="Y421" s="1308">
        <f t="shared" si="183"/>
        <v>0.32770761768761386</v>
      </c>
      <c r="Z421" s="1308">
        <f t="shared" si="183"/>
        <v>0.31855746504590249</v>
      </c>
      <c r="AA421" s="1308">
        <f t="shared" si="183"/>
        <v>0.30855863107954296</v>
      </c>
      <c r="AB421" s="1308">
        <f t="shared" si="183"/>
        <v>0.29651952101802276</v>
      </c>
      <c r="AC421" s="1308">
        <f t="shared" si="183"/>
        <v>0.2843545604017465</v>
      </c>
      <c r="AD421" s="1308">
        <f t="shared" si="183"/>
        <v>0.27215554541211678</v>
      </c>
      <c r="AE421" s="1309">
        <f t="shared" si="183"/>
        <v>0.2535</v>
      </c>
    </row>
    <row r="422" spans="5:36" ht="12.75" customHeight="1">
      <c r="E422" s="16" t="s">
        <v>26</v>
      </c>
      <c r="F422" s="1308">
        <f t="shared" ref="F422:AE422" si="184">(F403*1000*F34)*F$181/10^9</f>
        <v>0</v>
      </c>
      <c r="G422" s="1308">
        <f t="shared" si="184"/>
        <v>0</v>
      </c>
      <c r="H422" s="1308">
        <f t="shared" si="184"/>
        <v>0</v>
      </c>
      <c r="I422" s="1308">
        <f t="shared" si="184"/>
        <v>0</v>
      </c>
      <c r="J422" s="1308">
        <f t="shared" si="184"/>
        <v>0</v>
      </c>
      <c r="K422" s="1308">
        <f t="shared" si="184"/>
        <v>0.26599017119346002</v>
      </c>
      <c r="L422" s="1308">
        <f t="shared" si="184"/>
        <v>9.48262859544E-2</v>
      </c>
      <c r="M422" s="1308">
        <f t="shared" si="184"/>
        <v>0.113135602239</v>
      </c>
      <c r="N422" s="1308">
        <f t="shared" si="184"/>
        <v>0.10839011514407999</v>
      </c>
      <c r="O422" s="1308">
        <f t="shared" si="184"/>
        <v>0.18521333796680001</v>
      </c>
      <c r="P422" s="1308">
        <f t="shared" si="184"/>
        <v>3.9471956383440004E-2</v>
      </c>
      <c r="Q422" s="1308">
        <f t="shared" si="184"/>
        <v>0</v>
      </c>
      <c r="R422" s="1308">
        <f t="shared" si="184"/>
        <v>0.10747423232</v>
      </c>
      <c r="S422" s="1308">
        <f t="shared" si="184"/>
        <v>0.2582290827291695</v>
      </c>
      <c r="T422" s="1308">
        <f t="shared" si="184"/>
        <v>0.32225870162329801</v>
      </c>
      <c r="U422" s="1308">
        <f t="shared" si="184"/>
        <v>0.24422835368421034</v>
      </c>
      <c r="V422" s="1308">
        <f t="shared" si="184"/>
        <v>0.2642413335466664</v>
      </c>
      <c r="W422" s="1308">
        <f t="shared" si="184"/>
        <v>0.26129198435147072</v>
      </c>
      <c r="X422" s="1308">
        <f t="shared" si="184"/>
        <v>0.25531398054909549</v>
      </c>
      <c r="Y422" s="1308">
        <f t="shared" si="184"/>
        <v>0.24888019337466458</v>
      </c>
      <c r="Z422" s="1308">
        <f t="shared" si="184"/>
        <v>0.24323555383481749</v>
      </c>
      <c r="AA422" s="1308">
        <f t="shared" si="184"/>
        <v>0.23712101225246934</v>
      </c>
      <c r="AB422" s="1308">
        <f t="shared" si="184"/>
        <v>0.22954673354552554</v>
      </c>
      <c r="AC422" s="1308">
        <f t="shared" si="184"/>
        <v>0.22193380231718537</v>
      </c>
      <c r="AD422" s="1308">
        <f t="shared" si="184"/>
        <v>0.21432518913948692</v>
      </c>
      <c r="AE422" s="1309">
        <f t="shared" si="184"/>
        <v>0.20486829999999995</v>
      </c>
    </row>
    <row r="423" spans="5:36" ht="12.75" customHeight="1">
      <c r="E423" s="303" t="s">
        <v>74</v>
      </c>
      <c r="F423" s="1310">
        <f t="shared" ref="F423:AE423" si="185">(F404*1000*F35)*F$181/10^9</f>
        <v>0</v>
      </c>
      <c r="G423" s="1310">
        <f t="shared" si="185"/>
        <v>0</v>
      </c>
      <c r="H423" s="1310">
        <f t="shared" si="185"/>
        <v>0</v>
      </c>
      <c r="I423" s="1310">
        <f t="shared" si="185"/>
        <v>0</v>
      </c>
      <c r="J423" s="1310">
        <f t="shared" si="185"/>
        <v>0</v>
      </c>
      <c r="K423" s="1310">
        <f t="shared" si="185"/>
        <v>3.8491959283200004E-2</v>
      </c>
      <c r="L423" s="1310">
        <f t="shared" si="185"/>
        <v>4.2790688640000005E-2</v>
      </c>
      <c r="M423" s="1310">
        <f t="shared" si="185"/>
        <v>4.1323177439999997E-2</v>
      </c>
      <c r="N423" s="1310">
        <f t="shared" si="185"/>
        <v>8.4625467525000012E-2</v>
      </c>
      <c r="O423" s="1310">
        <f t="shared" si="185"/>
        <v>0.17177299910419996</v>
      </c>
      <c r="P423" s="1310">
        <f t="shared" si="185"/>
        <v>0.21784673992429998</v>
      </c>
      <c r="Q423" s="1310">
        <f t="shared" si="185"/>
        <v>0.19475458172099999</v>
      </c>
      <c r="R423" s="1310">
        <f t="shared" si="185"/>
        <v>0.40152098592316221</v>
      </c>
      <c r="S423" s="1310">
        <f t="shared" si="185"/>
        <v>0.57332642492298125</v>
      </c>
      <c r="T423" s="1310">
        <f t="shared" si="185"/>
        <v>0.45595133369922897</v>
      </c>
      <c r="U423" s="1310">
        <f t="shared" si="185"/>
        <v>0.41471094701586653</v>
      </c>
      <c r="V423" s="1310">
        <f t="shared" si="185"/>
        <v>0.39496577091364166</v>
      </c>
      <c r="W423" s="1310">
        <f t="shared" si="185"/>
        <v>0.14693104331536258</v>
      </c>
      <c r="X423" s="1310">
        <f t="shared" si="185"/>
        <v>0.14159194742335665</v>
      </c>
      <c r="Y423" s="1310">
        <f t="shared" si="185"/>
        <v>0.13639926742635708</v>
      </c>
      <c r="Z423" s="1310">
        <f t="shared" si="185"/>
        <v>0.13186377307716635</v>
      </c>
      <c r="AA423" s="1310">
        <f t="shared" si="185"/>
        <v>0.12720306914626106</v>
      </c>
      <c r="AB423" s="1310">
        <f t="shared" si="185"/>
        <v>0.12184511914276652</v>
      </c>
      <c r="AC423" s="1310">
        <f t="shared" si="185"/>
        <v>0.11652721229942005</v>
      </c>
      <c r="AD423" s="1310">
        <f t="shared" si="185"/>
        <v>0.11125117717234742</v>
      </c>
      <c r="AE423" s="1311">
        <f t="shared" si="185"/>
        <v>0.11115</v>
      </c>
    </row>
    <row r="424" spans="5:36" ht="12.75" customHeight="1">
      <c r="E424" s="1303" t="s">
        <v>964</v>
      </c>
      <c r="F424" s="1312">
        <f t="shared" ref="F424" si="186">SUM(F417:F423)</f>
        <v>0</v>
      </c>
      <c r="G424" s="1312">
        <f t="shared" ref="G424" si="187">SUM(G417:G423)</f>
        <v>0</v>
      </c>
      <c r="H424" s="1312">
        <f t="shared" ref="H424" si="188">SUM(H417:H423)</f>
        <v>0</v>
      </c>
      <c r="I424" s="1312">
        <f t="shared" ref="I424" si="189">SUM(I417:I423)</f>
        <v>0</v>
      </c>
      <c r="J424" s="1312">
        <f t="shared" ref="J424" si="190">SUM(J417:J423)</f>
        <v>0</v>
      </c>
      <c r="K424" s="1312">
        <f t="shared" ref="K424" si="191">SUM(K417:K423)</f>
        <v>0.65617800500693435</v>
      </c>
      <c r="L424" s="1312">
        <f t="shared" ref="L424" si="192">SUM(L417:L423)</f>
        <v>0.45277545261428875</v>
      </c>
      <c r="M424" s="1312">
        <f t="shared" ref="M424" si="193">SUM(M417:M423)</f>
        <v>0.49352091445877222</v>
      </c>
      <c r="N424" s="1312">
        <f t="shared" ref="N424" si="194">SUM(N417:N423)</f>
        <v>0.40758918607822614</v>
      </c>
      <c r="O424" s="1312">
        <f t="shared" ref="O424" si="195">SUM(O417:O423)</f>
        <v>0.5587978461758375</v>
      </c>
      <c r="P424" s="1312">
        <f t="shared" ref="P424" si="196">SUM(P417:P423)</f>
        <v>0.46076735428227633</v>
      </c>
      <c r="Q424" s="1312">
        <f t="shared" ref="Q424" si="197">SUM(Q417:Q423)</f>
        <v>0.35198233979462612</v>
      </c>
      <c r="R424" s="1312">
        <f t="shared" ref="R424" si="198">SUM(R417:R423)</f>
        <v>0.96189327355170473</v>
      </c>
      <c r="S424" s="1312">
        <f t="shared" ref="S424" si="199">SUM(S417:S423)</f>
        <v>1.4181008449432018</v>
      </c>
      <c r="T424" s="1312">
        <f t="shared" ref="T424" si="200">SUM(T417:T423)</f>
        <v>1.2661229559927274</v>
      </c>
      <c r="U424" s="1312">
        <f t="shared" ref="U424" si="201">SUM(U417:U423)</f>
        <v>1.118692499002512</v>
      </c>
      <c r="V424" s="1312">
        <f t="shared" ref="V424" si="202">SUM(V417:V423)</f>
        <v>1.1203411838119079</v>
      </c>
      <c r="W424" s="1312">
        <f t="shared" ref="W424" si="203">SUM(W417:W423)</f>
        <v>0.81995799929252411</v>
      </c>
      <c r="X424" s="1312">
        <f t="shared" ref="X424" si="204">SUM(X417:X423)</f>
        <v>0.799311569501577</v>
      </c>
      <c r="Y424" s="1312">
        <f t="shared" ref="Y424" si="205">SUM(Y417:Y423)</f>
        <v>0.77722006108448094</v>
      </c>
      <c r="Z424" s="1312">
        <f t="shared" ref="Z424" si="206">SUM(Z417:Z423)</f>
        <v>0.75756362419962553</v>
      </c>
      <c r="AA424" s="1312">
        <f t="shared" ref="AA424" si="207">SUM(AA417:AA423)</f>
        <v>0.73640748287663094</v>
      </c>
      <c r="AB424" s="1312">
        <f t="shared" ref="AB424" si="208">SUM(AB417:AB423)</f>
        <v>0.71069764651716028</v>
      </c>
      <c r="AC424" s="1312">
        <f t="shared" ref="AC424" si="209">SUM(AC417:AC423)</f>
        <v>0.68486335024168532</v>
      </c>
      <c r="AD424" s="1312">
        <f t="shared" ref="AD424" si="210">SUM(AD417:AD423)</f>
        <v>0.65904118935977241</v>
      </c>
      <c r="AE424" s="1313">
        <f t="shared" ref="AE424" si="211">SUM(AE417:AE423)</f>
        <v>0.6300890800483091</v>
      </c>
    </row>
    <row r="425" spans="5:36" ht="12.75" customHeight="1">
      <c r="F425" s="1293"/>
      <c r="G425" s="1293"/>
      <c r="H425" s="1293"/>
      <c r="I425" s="1293"/>
      <c r="J425" s="1293"/>
      <c r="K425" s="1293"/>
      <c r="L425" s="1293"/>
      <c r="M425" s="1293"/>
      <c r="N425" s="1293"/>
      <c r="O425" s="1293"/>
      <c r="P425" s="1293"/>
      <c r="Q425" s="1293"/>
      <c r="R425" s="1293"/>
      <c r="S425" s="1293"/>
      <c r="T425" s="1293"/>
      <c r="U425" s="1293"/>
      <c r="V425" s="1293"/>
      <c r="W425" s="1293"/>
      <c r="X425" s="1293"/>
      <c r="Y425" s="1293"/>
      <c r="Z425" s="1293"/>
      <c r="AA425" s="1293"/>
      <c r="AB425" s="1293"/>
      <c r="AC425" s="1293"/>
      <c r="AD425" s="1293"/>
      <c r="AE425" s="1293"/>
    </row>
    <row r="426" spans="5:36" ht="12.75" customHeight="1">
      <c r="E426" s="1292" t="s">
        <v>983</v>
      </c>
      <c r="AJ426" s="1332" t="s">
        <v>995</v>
      </c>
    </row>
    <row r="427" spans="5:36" ht="12.75" customHeight="1">
      <c r="E427" s="321" t="s">
        <v>25</v>
      </c>
      <c r="F427" s="323"/>
      <c r="G427" s="323"/>
      <c r="H427" s="323"/>
      <c r="I427" s="323"/>
      <c r="J427" s="323"/>
      <c r="K427" s="323"/>
      <c r="L427" s="323"/>
      <c r="M427" s="323"/>
      <c r="N427" s="323"/>
      <c r="O427" s="323"/>
      <c r="P427" s="323"/>
      <c r="Q427" s="323"/>
      <c r="R427" s="1306">
        <f>SUM($R407:R407)</f>
        <v>4.4629887970526185E-3</v>
      </c>
      <c r="S427" s="1306">
        <f>SUM($R407:S407)</f>
        <v>8.8415239484492397E-3</v>
      </c>
      <c r="T427" s="1306">
        <f>SUM($R407:T407)</f>
        <v>1.3136061418829375E-2</v>
      </c>
      <c r="U427" s="1306">
        <f>SUM($R407:U407)</f>
        <v>1.7349328415885344E-2</v>
      </c>
      <c r="V427" s="1306">
        <f>SUM($R407:V407)</f>
        <v>2.1481765324257319E-2</v>
      </c>
      <c r="W427" s="1306">
        <f>SUM($R407:W407)</f>
        <v>2.5532774904385512E-2</v>
      </c>
      <c r="X427" s="1306">
        <f>SUM($R407:X407)</f>
        <v>2.9503961635644185E-2</v>
      </c>
      <c r="Y427" s="1306">
        <f>SUM($R407:Y407)</f>
        <v>3.3396898382050469E-2</v>
      </c>
      <c r="Z427" s="1306">
        <f>SUM($R407:Z407)</f>
        <v>3.7213127015227075E-2</v>
      </c>
      <c r="AA427" s="1306">
        <f>SUM($R407:AA407)</f>
        <v>4.0954159025089858E-2</v>
      </c>
      <c r="AB427" s="1306">
        <f>SUM($R407:AB407)</f>
        <v>4.4621476118502139E-2</v>
      </c>
      <c r="AC427" s="1306">
        <f>SUM($R407:AC407)</f>
        <v>4.8216530806132897E-2</v>
      </c>
      <c r="AD427" s="1306">
        <f>SUM($R407:AD407)</f>
        <v>5.1740746977751231E-2</v>
      </c>
      <c r="AE427" s="1307">
        <f>SUM($R407:AE407)</f>
        <v>5.5195520466184964E-2</v>
      </c>
    </row>
    <row r="428" spans="5:36" ht="12.75" customHeight="1">
      <c r="E428" s="16" t="s">
        <v>50</v>
      </c>
      <c r="F428" s="332"/>
      <c r="G428" s="332"/>
      <c r="H428" s="332"/>
      <c r="I428" s="332"/>
      <c r="J428" s="332"/>
      <c r="K428" s="332"/>
      <c r="L428" s="332"/>
      <c r="M428" s="332"/>
      <c r="N428" s="332"/>
      <c r="O428" s="332"/>
      <c r="P428" s="332"/>
      <c r="Q428" s="332"/>
      <c r="R428" s="1308">
        <f>SUM($R408:R408)</f>
        <v>4.1920207542408302E-4</v>
      </c>
      <c r="S428" s="1308">
        <f>SUM($R408:S408)</f>
        <v>8.103434333095106E-4</v>
      </c>
      <c r="T428" s="1308">
        <f>SUM($R408:T408)</f>
        <v>1.1885802688756987E-3</v>
      </c>
      <c r="U428" s="1308">
        <f>SUM($R408:U408)</f>
        <v>1.6306409572382683E-3</v>
      </c>
      <c r="V428" s="1308">
        <f>SUM($R408:V408)</f>
        <v>2.066572726034581E-3</v>
      </c>
      <c r="W428" s="1308">
        <f>SUM($R408:W408)</f>
        <v>4.2931363364279856E-3</v>
      </c>
      <c r="X428" s="1308">
        <f>SUM($R408:X408)</f>
        <v>6.4538901849378414E-3</v>
      </c>
      <c r="Y428" s="1308">
        <f>SUM($R408:Y408)</f>
        <v>8.550779387678932E-3</v>
      </c>
      <c r="Z428" s="1308">
        <f>SUM($R408:Z408)</f>
        <v>1.058569156964935E-2</v>
      </c>
      <c r="AA428" s="1308">
        <f>SUM($R408:AA408)</f>
        <v>1.2560458563975323E-2</v>
      </c>
      <c r="AB428" s="1308">
        <f>SUM($R408:AB408)</f>
        <v>1.4476858060932057E-2</v>
      </c>
      <c r="AC428" s="1308">
        <f>SUM($R408:AC408)</f>
        <v>1.6336615208225044E-2</v>
      </c>
      <c r="AD428" s="1308">
        <f>SUM($R408:AD408)</f>
        <v>1.8141404163972426E-2</v>
      </c>
      <c r="AE428" s="1309">
        <f>SUM($R408:AE408)</f>
        <v>1.9892849603786386E-2</v>
      </c>
    </row>
    <row r="429" spans="5:36" ht="12.75" customHeight="1">
      <c r="E429" s="16" t="s">
        <v>13</v>
      </c>
      <c r="F429" s="332"/>
      <c r="G429" s="332"/>
      <c r="H429" s="332"/>
      <c r="I429" s="332"/>
      <c r="J429" s="332"/>
      <c r="K429" s="332"/>
      <c r="L429" s="332"/>
      <c r="M429" s="332"/>
      <c r="N429" s="332"/>
      <c r="O429" s="332"/>
      <c r="P429" s="332"/>
      <c r="Q429" s="332"/>
      <c r="R429" s="1308">
        <f>SUM($R409:R409)</f>
        <v>0.22558148195557354</v>
      </c>
      <c r="S429" s="1308">
        <f>SUM($R409:S409)</f>
        <v>0.43136960320308204</v>
      </c>
      <c r="T429" s="1308">
        <f>SUM($R409:T409)</f>
        <v>0.6206175953368841</v>
      </c>
      <c r="U429" s="1308">
        <f>SUM($R409:U409)</f>
        <v>0.80146420024065013</v>
      </c>
      <c r="V429" s="1308">
        <f>SUM($R409:V409)</f>
        <v>0.96865018252704971</v>
      </c>
      <c r="W429" s="1308">
        <f>SUM($R409:W409)</f>
        <v>1.0672082474351683</v>
      </c>
      <c r="X429" s="1308">
        <f>SUM($R409:X409)</f>
        <v>1.1633198657328041</v>
      </c>
      <c r="Y429" s="1308">
        <f>SUM($R409:Y409)</f>
        <v>1.2570434781593729</v>
      </c>
      <c r="Z429" s="1308">
        <f>SUM($R409:Z409)</f>
        <v>1.3484361439116135</v>
      </c>
      <c r="AA429" s="1308">
        <f>SUM($R409:AA409)</f>
        <v>1.4375535733560423</v>
      </c>
      <c r="AB429" s="1308">
        <f>SUM($R409:AB409)</f>
        <v>1.524450159961966</v>
      </c>
      <c r="AC429" s="1308">
        <f>SUM($R409:AC409)</f>
        <v>1.6091790114737603</v>
      </c>
      <c r="AD429" s="1308">
        <f>SUM($R409:AD409)</f>
        <v>1.6917919803406709</v>
      </c>
      <c r="AE429" s="1309">
        <f>SUM($R409:AE409)</f>
        <v>1.7743534052012202</v>
      </c>
    </row>
    <row r="430" spans="5:36" ht="12.75" customHeight="1">
      <c r="E430" s="16" t="s">
        <v>12</v>
      </c>
      <c r="F430" s="332"/>
      <c r="G430" s="332"/>
      <c r="H430" s="332"/>
      <c r="I430" s="332"/>
      <c r="J430" s="332"/>
      <c r="K430" s="332"/>
      <c r="L430" s="332"/>
      <c r="M430" s="332"/>
      <c r="N430" s="332"/>
      <c r="O430" s="332"/>
      <c r="P430" s="332"/>
      <c r="Q430" s="332"/>
      <c r="R430" s="1308">
        <f>SUM($R410:R410)</f>
        <v>2.8703092859920357E-2</v>
      </c>
      <c r="S430" s="1308">
        <f>SUM($R410:S410)</f>
        <v>5.9150051788505832E-2</v>
      </c>
      <c r="T430" s="1308">
        <f>SUM($R410:T410)</f>
        <v>9.0999811780448331E-2</v>
      </c>
      <c r="U430" s="1308">
        <f>SUM($R410:U410)</f>
        <v>0.12316336251122771</v>
      </c>
      <c r="V430" s="1308">
        <f>SUM($R410:V410)</f>
        <v>0.15620413612028258</v>
      </c>
      <c r="W430" s="1308">
        <f>SUM($R410:W410)</f>
        <v>0.1630763276755321</v>
      </c>
      <c r="X430" s="1308">
        <f>SUM($R410:X410)</f>
        <v>0.16950842814596268</v>
      </c>
      <c r="Y430" s="1308">
        <f>SUM($R410:Y410)</f>
        <v>0.17552862070449377</v>
      </c>
      <c r="Z430" s="1308">
        <f>SUM($R410:Z410)</f>
        <v>0.18116328369031104</v>
      </c>
      <c r="AA430" s="1308">
        <f>SUM($R410:AA410)</f>
        <v>0.18643710618935183</v>
      </c>
      <c r="AB430" s="1308">
        <f>SUM($R410:AB410)</f>
        <v>0.1913731962130846</v>
      </c>
      <c r="AC430" s="1308">
        <f>SUM($R410:AC410)</f>
        <v>0.19599318194958323</v>
      </c>
      <c r="AD430" s="1308">
        <f>SUM($R410:AD410)</f>
        <v>0.20031730653054255</v>
      </c>
      <c r="AE430" s="1309">
        <f>SUM($R410:AE410)</f>
        <v>0.20436451672947001</v>
      </c>
    </row>
    <row r="431" spans="5:36" ht="12.75" customHeight="1">
      <c r="E431" s="16" t="s">
        <v>24</v>
      </c>
      <c r="F431" s="332"/>
      <c r="G431" s="332"/>
      <c r="H431" s="332"/>
      <c r="I431" s="332"/>
      <c r="J431" s="332"/>
      <c r="K431" s="332"/>
      <c r="L431" s="332"/>
      <c r="M431" s="332"/>
      <c r="N431" s="332"/>
      <c r="O431" s="332"/>
      <c r="P431" s="332"/>
      <c r="Q431" s="332"/>
      <c r="R431" s="1308">
        <f>SUM($R411:R411)</f>
        <v>0.24656035274102955</v>
      </c>
      <c r="S431" s="1308">
        <f>SUM($R411:S411)</f>
        <v>0.55083029611273515</v>
      </c>
      <c r="T431" s="1308">
        <f>SUM($R411:T411)</f>
        <v>0.85059971986955119</v>
      </c>
      <c r="U431" s="1308">
        <f>SUM($R411:U411)</f>
        <v>1.1445828795820556</v>
      </c>
      <c r="V431" s="1308">
        <f>SUM($R411:V411)</f>
        <v>1.4330957160587425</v>
      </c>
      <c r="W431" s="1308">
        <f>SUM($R411:W411)</f>
        <v>1.7178965338092405</v>
      </c>
      <c r="X431" s="1308">
        <f>SUM($R411:X411)</f>
        <v>1.9968238791023774</v>
      </c>
      <c r="Y431" s="1308">
        <f>SUM($R411:Y411)</f>
        <v>2.268745994889326</v>
      </c>
      <c r="Z431" s="1308">
        <f>SUM($R411:Z411)</f>
        <v>2.5330435240788907</v>
      </c>
      <c r="AA431" s="1308">
        <f>SUM($R411:AA411)</f>
        <v>2.7893796510116609</v>
      </c>
      <c r="AB431" s="1308">
        <f>SUM($R411:AB411)</f>
        <v>3.0375852172233841</v>
      </c>
      <c r="AC431" s="1308">
        <f>SUM($R411:AC411)</f>
        <v>3.2775960973668496</v>
      </c>
      <c r="AD431" s="1308">
        <f>SUM($R411:AD411)</f>
        <v>3.509416704420893</v>
      </c>
      <c r="AE431" s="1309">
        <f>SUM($R411:AE411)</f>
        <v>3.7401140389438523</v>
      </c>
    </row>
    <row r="432" spans="5:36" ht="12.75" customHeight="1">
      <c r="E432" s="16" t="s">
        <v>26</v>
      </c>
      <c r="F432" s="332"/>
      <c r="G432" s="332"/>
      <c r="H432" s="332"/>
      <c r="I432" s="332"/>
      <c r="J432" s="332"/>
      <c r="K432" s="332"/>
      <c r="L432" s="332"/>
      <c r="M432" s="332"/>
      <c r="N432" s="332"/>
      <c r="O432" s="332"/>
      <c r="P432" s="332"/>
      <c r="Q432" s="332"/>
      <c r="R432" s="1308">
        <f>SUM($R412:R412)</f>
        <v>9.4521960000000002E-2</v>
      </c>
      <c r="S432" s="1308">
        <f>SUM($R412:S412)</f>
        <v>0.29119188333333335</v>
      </c>
      <c r="T432" s="1308">
        <f>SUM($R412:T412)</f>
        <v>0.57205381666666666</v>
      </c>
      <c r="U432" s="1308">
        <f>SUM($R412:U412)</f>
        <v>0.78450781666666669</v>
      </c>
      <c r="V432" s="1308">
        <f>SUM($R412:V412)</f>
        <v>1.0118182246666667</v>
      </c>
      <c r="W432" s="1308">
        <f>SUM($R412:W412)</f>
        <v>1.2380265494666667</v>
      </c>
      <c r="X432" s="1308">
        <f>SUM($R412:X412)</f>
        <v>1.4619992854666666</v>
      </c>
      <c r="Y432" s="1308">
        <f>SUM($R412:Y412)</f>
        <v>1.6830887151809522</v>
      </c>
      <c r="Z432" s="1308">
        <f>SUM($R412:Z412)</f>
        <v>1.9008900151809522</v>
      </c>
      <c r="AA432" s="1308">
        <f>SUM($R412:AA412)</f>
        <v>2.1151333031809521</v>
      </c>
      <c r="AB432" s="1308">
        <f>SUM($R412:AB412)</f>
        <v>2.325629661580952</v>
      </c>
      <c r="AC432" s="1308">
        <f>SUM($R412:AC412)</f>
        <v>2.53224169576277</v>
      </c>
      <c r="AD432" s="1308">
        <f>SUM($R412:AD412)</f>
        <v>2.73486635976277</v>
      </c>
      <c r="AE432" s="1309">
        <f>SUM($R412:AE412)</f>
        <v>2.9374833597627701</v>
      </c>
    </row>
    <row r="433" spans="5:36" ht="12.75" customHeight="1">
      <c r="E433" s="303" t="s">
        <v>74</v>
      </c>
      <c r="F433" s="309"/>
      <c r="G433" s="309"/>
      <c r="H433" s="309"/>
      <c r="I433" s="309"/>
      <c r="J433" s="309"/>
      <c r="K433" s="309"/>
      <c r="L433" s="309"/>
      <c r="M433" s="309"/>
      <c r="N433" s="309"/>
      <c r="O433" s="309"/>
      <c r="P433" s="309"/>
      <c r="Q433" s="309"/>
      <c r="R433" s="1310">
        <f>SUM($R413:R413)</f>
        <v>0.43984309869361571</v>
      </c>
      <c r="S433" s="1310">
        <f>SUM($R413:S413)</f>
        <v>0.98752735536097314</v>
      </c>
      <c r="T433" s="1310">
        <f>SUM($R413:T413)</f>
        <v>1.5057625922668194</v>
      </c>
      <c r="U433" s="1310">
        <f>SUM($R413:U413)</f>
        <v>1.9842773624326586</v>
      </c>
      <c r="V433" s="1310">
        <f>SUM($R413:V413)</f>
        <v>2.443584419364123</v>
      </c>
      <c r="W433" s="1310">
        <f>SUM($R413:W413)</f>
        <v>2.6121247426130449</v>
      </c>
      <c r="X433" s="1310">
        <f>SUM($R413:X413)</f>
        <v>2.7736496903265255</v>
      </c>
      <c r="Y433" s="1310">
        <f>SUM($R413:Y413)</f>
        <v>2.9283036516741401</v>
      </c>
      <c r="Z433" s="1310">
        <f>SUM($R413:Z413)</f>
        <v>3.0764941546988718</v>
      </c>
      <c r="AA433" s="1310">
        <f>SUM($R413:AA413)</f>
        <v>3.2185815324821356</v>
      </c>
      <c r="AB433" s="1310">
        <f>SUM($R413:AB413)</f>
        <v>3.3544954420267268</v>
      </c>
      <c r="AC433" s="1310">
        <f>SUM($R413:AC413)</f>
        <v>3.4843002268993457</v>
      </c>
      <c r="AD433" s="1310">
        <f>SUM($R413:AD413)</f>
        <v>3.60846351130589</v>
      </c>
      <c r="AE433" s="1311">
        <f>SUM($R413:AE413)</f>
        <v>3.72570253630589</v>
      </c>
    </row>
    <row r="434" spans="5:36" ht="12.75" customHeight="1">
      <c r="E434" s="1303" t="s">
        <v>964</v>
      </c>
      <c r="F434" s="1304">
        <f t="shared" ref="F434" si="212">SUM(F427:F433)</f>
        <v>0</v>
      </c>
      <c r="G434" s="1304">
        <f t="shared" ref="G434" si="213">SUM(G427:G433)</f>
        <v>0</v>
      </c>
      <c r="H434" s="1304">
        <f t="shared" ref="H434" si="214">SUM(H427:H433)</f>
        <v>0</v>
      </c>
      <c r="I434" s="1304">
        <f t="shared" ref="I434" si="215">SUM(I427:I433)</f>
        <v>0</v>
      </c>
      <c r="J434" s="1304">
        <f t="shared" ref="J434" si="216">SUM(J427:J433)</f>
        <v>0</v>
      </c>
      <c r="K434" s="1304">
        <f t="shared" ref="K434" si="217">SUM(K427:K433)</f>
        <v>0</v>
      </c>
      <c r="L434" s="1304">
        <f t="shared" ref="L434" si="218">SUM(L427:L433)</f>
        <v>0</v>
      </c>
      <c r="M434" s="1304">
        <f t="shared" ref="M434" si="219">SUM(M427:M433)</f>
        <v>0</v>
      </c>
      <c r="N434" s="1304">
        <f t="shared" ref="N434" si="220">SUM(N427:N433)</f>
        <v>0</v>
      </c>
      <c r="O434" s="1304">
        <f t="shared" ref="O434" si="221">SUM(O427:O433)</f>
        <v>0</v>
      </c>
      <c r="P434" s="1304">
        <f t="shared" ref="P434" si="222">SUM(P427:P433)</f>
        <v>0</v>
      </c>
      <c r="Q434" s="1304">
        <f t="shared" ref="Q434" si="223">SUM(Q427:Q433)</f>
        <v>0</v>
      </c>
      <c r="R434" s="1304">
        <f t="shared" ref="R434" si="224">SUM(R427:R433)</f>
        <v>1.0400921771226159</v>
      </c>
      <c r="S434" s="1304">
        <f t="shared" ref="S434" si="225">SUM(S427:S433)</f>
        <v>2.3297210571803886</v>
      </c>
      <c r="T434" s="1304">
        <f t="shared" ref="T434" si="226">SUM(T427:T433)</f>
        <v>3.6543581776080747</v>
      </c>
      <c r="U434" s="1304">
        <f t="shared" ref="U434" si="227">SUM(U427:U433)</f>
        <v>4.8569755908063819</v>
      </c>
      <c r="V434" s="1304">
        <f t="shared" ref="V434" si="228">SUM(V427:V433)</f>
        <v>6.0369010167871568</v>
      </c>
      <c r="W434" s="1304">
        <f t="shared" ref="W434" si="229">SUM(W427:W433)</f>
        <v>6.8281583122404665</v>
      </c>
      <c r="X434" s="1304">
        <f t="shared" ref="X434" si="230">SUM(X427:X433)</f>
        <v>7.6012590005949185</v>
      </c>
      <c r="Y434" s="1304">
        <f t="shared" ref="Y434" si="231">SUM(Y427:Y433)</f>
        <v>8.3546581383780136</v>
      </c>
      <c r="Z434" s="1304">
        <f t="shared" ref="Z434" si="232">SUM(Z427:Z433)</f>
        <v>9.0878259401455139</v>
      </c>
      <c r="AA434" s="1304">
        <f t="shared" ref="AA434" si="233">SUM(AA427:AA433)</f>
        <v>9.8005997838092078</v>
      </c>
      <c r="AB434" s="1304">
        <f t="shared" ref="AB434" si="234">SUM(AB427:AB433)</f>
        <v>10.492632011185547</v>
      </c>
      <c r="AC434" s="1304">
        <f t="shared" ref="AC434" si="235">SUM(AC427:AC433)</f>
        <v>11.163863359466667</v>
      </c>
      <c r="AD434" s="1304">
        <f t="shared" ref="AD434" si="236">SUM(AD427:AD433)</f>
        <v>11.81473801350249</v>
      </c>
      <c r="AE434" s="1305">
        <f t="shared" ref="AE434" si="237">SUM(AE427:AE433)</f>
        <v>12.457106227013176</v>
      </c>
    </row>
    <row r="436" spans="5:36" ht="12.75" customHeight="1">
      <c r="E436" s="1292" t="s">
        <v>991</v>
      </c>
    </row>
    <row r="437" spans="5:36" ht="12.75" customHeight="1">
      <c r="E437" s="321" t="s">
        <v>25</v>
      </c>
      <c r="F437" s="323"/>
      <c r="G437" s="323"/>
      <c r="H437" s="323"/>
      <c r="I437" s="323"/>
      <c r="J437" s="323"/>
      <c r="K437" s="323"/>
      <c r="L437" s="323"/>
      <c r="M437" s="323"/>
      <c r="N437" s="323"/>
      <c r="O437" s="323"/>
      <c r="P437" s="323"/>
      <c r="Q437" s="323"/>
      <c r="R437" s="1306" cm="1">
        <f t="array" ref="R437">SUM(IF(($R149:R149*$R$26:R$26)&gt;(R$181*R29),($R149:R149*$R$26:R$26)-(R$181*R29),0) * $R398:R398*1000)/10^9</f>
        <v>1.2169151970526184E-3</v>
      </c>
      <c r="S437" s="1306" cm="1">
        <f t="array" ref="S437">SUM(IF(($R149:S149*$R$26:S$26)&gt;(S$181*S29),($R149:S149*$R$26:S$26)-(S$181*S29),0) * $R398:S398*1000)/10^9</f>
        <v>1.6569576557201886E-3</v>
      </c>
      <c r="T437" s="1306" cm="1">
        <f t="array" ref="T437">SUM(IF(($R149:T149*$R$26:T$26)&gt;(T$181*T29),($R149:T149*$R$26:T$26)-(T$181*T29),0) * $R398:T398*1000)/10^9</f>
        <v>4.3160628411425617E-3</v>
      </c>
      <c r="U437" s="1306" cm="1">
        <f t="array" ref="U437">SUM(IF(($R149:U149*$R$26:U$26)&gt;(U$181*U29),($R149:U149*$R$26:U$26)-(U$181*U29),0) * $R398:U398*1000)/10^9</f>
        <v>5.8665568280651739E-3</v>
      </c>
      <c r="V437" s="1306" cm="1">
        <f t="array" ref="V437">SUM(IF(($R149:V149*$R$26:V$26)&gt;(V$181*V29),($R149:V149*$R$26:V$26)-(V$181*V29),0) * $R398:V398*1000)/10^9</f>
        <v>7.4833322178686464E-3</v>
      </c>
      <c r="W437" s="1306" cm="1">
        <f t="array" ref="W437">SUM(IF(($R149:W149*$R$26:W$26)&gt;(W$181*W29),($R149:W149*$R$26:W$26)-(W$181*W29),0) * $R398:W398*1000)/10^9</f>
        <v>8.9828827581231018E-3</v>
      </c>
      <c r="X437" s="1306" cm="1">
        <f t="array" ref="X437">SUM(IF(($R149:X149*$R$26:X$26)&gt;(X$181*X29),($R149:X149*$R$26:X$26)-(X$181*X29),0) * $R398:X398*1000)/10^9</f>
        <v>1.0619487399276288E-2</v>
      </c>
      <c r="Y437" s="1306" cm="1">
        <f t="array" ref="Y437">SUM(IF(($R149:Y149*$R$26:Y$26)&gt;(Y$181*Y29),($R149:Y149*$R$26:Y$26)-(Y$181*Y29),0) * $R398:Y398*1000)/10^9</f>
        <v>1.2275910543523704E-2</v>
      </c>
      <c r="Z437" s="1306" cm="1">
        <f t="array" ref="Z437">SUM(IF(($R149:Z149*$R$26:Z$26)&gt;(Z$181*Z29),($R149:Z149*$R$26:Z$26)-(Z$181*Z29),0) * $R398:Z398*1000)/10^9</f>
        <v>1.3843980487549888E-2</v>
      </c>
      <c r="AA437" s="1306" cm="1">
        <f t="array" ref="AA437">SUM(IF(($R149:AA149*$R$26:AA$26)&gt;(AA$181*AA29),($R149:AA149*$R$26:AA$26)-(AA$181*AA29),0) * $R398:AA398*1000)/10^9</f>
        <v>1.5444508025255935E-2</v>
      </c>
      <c r="AB437" s="1306" cm="1">
        <f t="array" ref="AB437">SUM(IF(($R149:AB149*$R$26:AB$26)&gt;(AB$181*AB29),($R149:AB149*$R$26:AB$26)-(AB$181*AB29),0) * $R398:AB398*1000)/10^9</f>
        <v>1.7232258925473459E-2</v>
      </c>
      <c r="AC437" s="1306" cm="1">
        <f t="array" ref="AC437">SUM(IF(($R149:AC149*$R$26:AC$26)&gt;(AC$181*AC29),($R149:AC149*$R$26:AC$26)-(AC$181*AC29),0) * $R398:AC398*1000)/10^9</f>
        <v>1.9064529159664882E-2</v>
      </c>
      <c r="AD437" s="1306" cm="1">
        <f t="array" ref="AD437">SUM(IF(($R149:AD149*$R$26:AD$26)&gt;(AD$181*AD29),($R149:AD149*$R$26:AD$26)-(AD$181*AD29),0) * $R398:AD398*1000)/10^9</f>
        <v>2.0941425129610364E-2</v>
      </c>
      <c r="AE437" s="1307" cm="1">
        <f t="array" ref="AE437">SUM(IF(($R149:AE149*$R$26:AE$26)&gt;(AE$181*AE29),($R149:AE149*$R$26:AE$26)-(AE$181*AE29),0) * $R398:AE398*1000)/10^9</f>
        <v>2.2863052705081113E-2</v>
      </c>
    </row>
    <row r="438" spans="5:36" ht="12.75" customHeight="1">
      <c r="E438" s="16" t="s">
        <v>50</v>
      </c>
      <c r="F438" s="332"/>
      <c r="G438" s="332"/>
      <c r="H438" s="332"/>
      <c r="I438" s="332"/>
      <c r="J438" s="332"/>
      <c r="K438" s="332"/>
      <c r="L438" s="332"/>
      <c r="M438" s="332"/>
      <c r="N438" s="332"/>
      <c r="O438" s="332"/>
      <c r="P438" s="332"/>
      <c r="Q438" s="332"/>
      <c r="R438" s="1308" cm="1">
        <f t="array" ref="R438">SUM(IF(($R150:R150*$R$26:R$26)&gt;(R$181*R30),($R150:R150*$R$26:R$26)-(R$181*R30),0) * $R399:R399*1000)/10^9</f>
        <v>0</v>
      </c>
      <c r="S438" s="1308" cm="1">
        <f t="array" ref="S438">SUM(IF(($R150:S150*$R$26:S$26)&gt;(S$181*S30),($R150:S150*$R$26:S$26)-(S$181*S30),0) * $R399:S399*1000)/10^9</f>
        <v>0</v>
      </c>
      <c r="T438" s="1308" cm="1">
        <f t="array" ref="T438">SUM(IF(($R150:T150*$R$26:T$26)&gt;(T$181*T30),($R150:T150*$R$26:T$26)-(T$181*T30),0) * $R399:T399*1000)/10^9</f>
        <v>0</v>
      </c>
      <c r="U438" s="1308" cm="1">
        <f t="array" ref="U438">SUM(IF(($R150:U150*$R$26:U$26)&gt;(U$181*U30),($R150:U150*$R$26:U$26)-(U$181*U30),0) * $R399:U399*1000)/10^9</f>
        <v>0</v>
      </c>
      <c r="V438" s="1308" cm="1">
        <f t="array" ref="V438">SUM(IF(($R150:V150*$R$26:V$26)&gt;(V$181*V30),($R150:V150*$R$26:V$26)-(V$181*V30),0) * $R399:V399*1000)/10^9</f>
        <v>0</v>
      </c>
      <c r="W438" s="1308" cm="1">
        <f t="array" ref="W438">SUM(IF(($R150:W150*$R$26:W$26)&gt;(W$181*W30),($R150:W150*$R$26:W$26)-(W$181*W30),0) * $R399:W399*1000)/10^9</f>
        <v>0</v>
      </c>
      <c r="X438" s="1308" cm="1">
        <f t="array" ref="X438">SUM(IF(($R150:X150*$R$26:X$26)&gt;(X$181*X30),($R150:X150*$R$26:X$26)-(X$181*X30),0) * $R399:X399*1000)/10^9</f>
        <v>0</v>
      </c>
      <c r="Y438" s="1308" cm="1">
        <f t="array" ref="Y438">SUM(IF(($R150:Y150*$R$26:Y$26)&gt;(Y$181*Y30),($R150:Y150*$R$26:Y$26)-(Y$181*Y30),0) * $R399:Y399*1000)/10^9</f>
        <v>0</v>
      </c>
      <c r="Z438" s="1308" cm="1">
        <f t="array" ref="Z438">SUM(IF(($R150:Z150*$R$26:Z$26)&gt;(Z$181*Z30),($R150:Z150*$R$26:Z$26)-(Z$181*Z30),0) * $R399:Z399*1000)/10^9</f>
        <v>0</v>
      </c>
      <c r="AA438" s="1308" cm="1">
        <f t="array" ref="AA438">SUM(IF(($R150:AA150*$R$26:AA$26)&gt;(AA$181*AA30),($R150:AA150*$R$26:AA$26)-(AA$181*AA30),0) * $R399:AA399*1000)/10^9</f>
        <v>0</v>
      </c>
      <c r="AB438" s="1308" cm="1">
        <f t="array" ref="AB438">SUM(IF(($R150:AB150*$R$26:AB$26)&gt;(AB$181*AB30),($R150:AB150*$R$26:AB$26)-(AB$181*AB30),0) * $R399:AB399*1000)/10^9</f>
        <v>0</v>
      </c>
      <c r="AC438" s="1308" cm="1">
        <f t="array" ref="AC438">SUM(IF(($R150:AC150*$R$26:AC$26)&gt;(AC$181*AC30),($R150:AC150*$R$26:AC$26)-(AC$181*AC30),0) * $R399:AC399*1000)/10^9</f>
        <v>0</v>
      </c>
      <c r="AD438" s="1308" cm="1">
        <f t="array" ref="AD438">SUM(IF(($R150:AD150*$R$26:AD$26)&gt;(AD$181*AD30),($R150:AD150*$R$26:AD$26)-(AD$181*AD30),0) * $R399:AD399*1000)/10^9</f>
        <v>0</v>
      </c>
      <c r="AE438" s="1309" cm="1">
        <f t="array" ref="AE438">SUM(IF(($R150:AE150*$R$26:AE$26)&gt;(AE$181*AE30),($R150:AE150*$R$26:AE$26)-(AE$181*AE30),0) * $R399:AE399*1000)/10^9</f>
        <v>0</v>
      </c>
    </row>
    <row r="439" spans="5:36" ht="12.75" customHeight="1">
      <c r="E439" s="16" t="s">
        <v>13</v>
      </c>
      <c r="F439" s="332"/>
      <c r="G439" s="332"/>
      <c r="H439" s="332"/>
      <c r="I439" s="332"/>
      <c r="J439" s="332"/>
      <c r="K439" s="332"/>
      <c r="L439" s="332"/>
      <c r="M439" s="332"/>
      <c r="N439" s="332"/>
      <c r="O439" s="332"/>
      <c r="P439" s="332"/>
      <c r="Q439" s="332"/>
      <c r="R439" s="1308" cm="1">
        <f t="array" ref="R439">SUM(IF(($R151:R151*$R$26:R$26)&gt;(R$181*R31),($R151:R151*$R$26:R$26)-(R$181*R31),0) * $R400:R400*1000)/10^9</f>
        <v>9.7341112355573495E-2</v>
      </c>
      <c r="S439" s="1308" cm="1">
        <f t="array" ref="S439">SUM(IF(($R151:S151*$R$26:S$26)&gt;(S$181*S31),($R151:S151*$R$26:S$26)-(S$181*S31),0) * $R400:S400*1000)/10^9</f>
        <v>0.15562409398179466</v>
      </c>
      <c r="T439" s="1308" cm="1">
        <f t="array" ref="T439">SUM(IF(($R151:T151*$R$26:T$26)&gt;(T$181*T31),($R151:T151*$R$26:T$26)-(T$181*T31),0) * $R400:T400*1000)/10^9</f>
        <v>0.29163554581784079</v>
      </c>
      <c r="U439" s="1308" cm="1">
        <f t="array" ref="U439">SUM(IF(($R151:U151*$R$26:U$26)&gt;(U$181*U31),($R151:U151*$R$26:U$26)-(U$181*U31),0) * $R400:U400*1000)/10^9</f>
        <v>0.38511568485787789</v>
      </c>
      <c r="V439" s="1308" cm="1">
        <f t="array" ref="V439">SUM(IF(($R151:V151*$R$26:V$26)&gt;(V$181*V31),($R151:V151*$R$26:V$26)-(V$181*V31),0) * $R400:V400*1000)/10^9</f>
        <v>0.47503437543209909</v>
      </c>
      <c r="W439" s="1308" cm="1">
        <f t="array" ref="W439">SUM(IF(($R151:W151*$R$26:W$26)&gt;(W$181*W31),($R151:W151*$R$26:W$26)-(W$181*W31),0) * $R400:W400*1000)/10^9</f>
        <v>0.52692111121141316</v>
      </c>
      <c r="X439" s="1308" cm="1">
        <f t="array" ref="X439">SUM(IF(($R151:X151*$R$26:X$26)&gt;(X$181*X31),($R151:X151*$R$26:X$26)-(X$181*X31),0) * $R400:X400*1000)/10^9</f>
        <v>0.5823764708255893</v>
      </c>
      <c r="Y439" s="1308" cm="1">
        <f t="array" ref="Y439">SUM(IF(($R151:Y151*$R$26:Y$26)&gt;(Y$181*Y31),($R151:Y151*$R$26:Y$26)-(Y$181*Y31),0) * $R400:Y400*1000)/10^9</f>
        <v>0.63735530129599449</v>
      </c>
      <c r="Z439" s="1308" cm="1">
        <f t="array" ref="Z439">SUM(IF(($R151:Z151*$R$26:Z$26)&gt;(Z$181*Z31),($R151:Z151*$R$26:Z$26)-(Z$181*Z31),0) * $R400:Z400*1000)/10^9</f>
        <v>0.68886630673507643</v>
      </c>
      <c r="AA439" s="1308" cm="1">
        <f t="array" ref="AA439">SUM(IF(($R151:AA151*$R$26:AA$26)&gt;(AA$181*AA31),($R151:AA151*$R$26:AA$26)-(AA$181*AA31),0) * $R400:AA400*1000)/10^9</f>
        <v>0.74056272919473931</v>
      </c>
      <c r="AB439" s="1308" cm="1">
        <f t="array" ref="AB439">SUM(IF(($R151:AB151*$R$26:AB$26)&gt;(AB$181*AB31),($R151:AB151*$R$26:AB$26)-(AB$181*AB31),0) * $R400:AB400*1000)/10^9</f>
        <v>0.79652380025624725</v>
      </c>
      <c r="AC439" s="1308" cm="1">
        <f t="array" ref="AC439">SUM(IF(($R151:AC151*$R$26:AC$26)&gt;(AC$181*AC31),($R151:AC151*$R$26:AC$26)-(AC$181*AC31),0) * $R400:AC400*1000)/10^9</f>
        <v>0.85271209561173222</v>
      </c>
      <c r="AD439" s="1308" cm="1">
        <f t="array" ref="AD439">SUM(IF(($R151:AD151*$R$26:AD$26)&gt;(AD$181*AD31),($R151:AD151*$R$26:AD$26)-(AD$181*AD31),0) * $R400:AD400*1000)/10^9</f>
        <v>0.9091356971373965</v>
      </c>
      <c r="AE439" s="1309" cm="1">
        <f t="array" ref="AE439">SUM(IF(($R151:AE151*$R$26:AE$26)&gt;(AE$181*AE31),($R151:AE151*$R$26:AE$26)-(AE$181*AE31),0) * $R400:AE400*1000)/10^9</f>
        <v>0.9682463508098007</v>
      </c>
    </row>
    <row r="440" spans="5:36" ht="12.75" customHeight="1">
      <c r="E440" s="16" t="s">
        <v>12</v>
      </c>
      <c r="F440" s="332"/>
      <c r="G440" s="332"/>
      <c r="H440" s="332"/>
      <c r="I440" s="332"/>
      <c r="J440" s="332"/>
      <c r="K440" s="332"/>
      <c r="L440" s="332"/>
      <c r="M440" s="332"/>
      <c r="N440" s="332"/>
      <c r="O440" s="332"/>
      <c r="P440" s="332"/>
      <c r="Q440" s="332"/>
      <c r="R440" s="1308" cm="1">
        <f t="array" ref="R440">SUM(IF(($R152:R152*$R$26:R$26)&gt;(R$181*R32),($R152:R152*$R$26:R$26)-(R$181*R32),0) * $R401:R401*1000)/10^9</f>
        <v>1.8043828859920358E-2</v>
      </c>
      <c r="S440" s="1308" cm="1">
        <f t="array" ref="S440">SUM(IF(($R152:S152*$R$26:S$26)&gt;(S$181*S32),($R152:S152*$R$26:S$26)-(S$181*S32),0) * $R401:S401*1000)/10^9</f>
        <v>3.4221755212434604E-2</v>
      </c>
      <c r="T440" s="1308" cm="1">
        <f t="array" ref="T440">SUM(IF(($R152:T152*$R$26:T$26)&gt;(T$181*T32),($R152:T152*$R$26:T$26)-(T$181*T32),0) * $R401:T401*1000)/10^9</f>
        <v>5.8891167240133567E-2</v>
      </c>
      <c r="U440" s="1308" cm="1">
        <f t="array" ref="U440">SUM(IF(($R152:U152*$R$26:U$26)&gt;(U$181*U32),($R152:U152*$R$26:U$26)-(U$181*U32),0) * $R401:U401*1000)/10^9</f>
        <v>7.9649663022524991E-2</v>
      </c>
      <c r="V440" s="1308" cm="1">
        <f t="array" ref="V440">SUM(IF(($R152:V152*$R$26:V$26)&gt;(V$181*V32),($R152:V152*$R$26:V$26)-(V$181*V32),0) * $R401:V401*1000)/10^9</f>
        <v>0.10095080749562824</v>
      </c>
      <c r="W440" s="1308" cm="1">
        <f t="array" ref="W440">SUM(IF(($R152:W152*$R$26:W$26)&gt;(W$181*W32),($R152:W152*$R$26:W$26)-(W$181*W32),0) * $R401:W401*1000)/10^9</f>
        <v>0.10539589184972781</v>
      </c>
      <c r="X440" s="1308" cm="1">
        <f t="array" ref="X440">SUM(IF(($R152:X152*$R$26:X$26)&gt;(X$181*X32),($R152:X152*$R$26:X$26)-(X$181*X32),0) * $R401:X401*1000)/10^9</f>
        <v>0.1099383322221224</v>
      </c>
      <c r="Y440" s="1308" cm="1">
        <f t="array" ref="Y440">SUM(IF(($R152:Y152*$R$26:Y$26)&gt;(Y$181*Y32),($R152:Y152*$R$26:Y$26)-(Y$181*Y32),0) * $R401:Y401*1000)/10^9</f>
        <v>0.11413691078789727</v>
      </c>
      <c r="Z440" s="1308" cm="1">
        <f t="array" ref="Z440">SUM(IF(($R152:Z152*$R$26:Z$26)&gt;(Z$181*Z32),($R152:Z152*$R$26:Z$26)-(Z$181*Z32),0) * $R401:Z401*1000)/10^9</f>
        <v>0.11772206286938341</v>
      </c>
      <c r="AA440" s="1308" cm="1">
        <f t="array" ref="AA440">SUM(IF(($R152:AA152*$R$26:AA$26)&gt;(AA$181*AA32),($R152:AA152*$R$26:AA$26)-(AA$181*AA32),0) * $R401:AA401*1000)/10^9</f>
        <v>0.12108628560679521</v>
      </c>
      <c r="AB440" s="1308" cm="1">
        <f t="array" ref="AB440">SUM(IF(($R152:AB152*$R$26:AB$26)&gt;(AB$181*AB32),($R152:AB152*$R$26:AB$26)-(AB$181*AB32),0) * $R401:AB401*1000)/10^9</f>
        <v>0.12461607447533644</v>
      </c>
      <c r="AC440" s="1308" cm="1">
        <f t="array" ref="AC440">SUM(IF(($R152:AC152*$R$26:AC$26)&gt;(AC$181*AC32),($R152:AC152*$R$26:AC$26)-(AC$181*AC32),0) * $R401:AC401*1000)/10^9</f>
        <v>0.12793126884445058</v>
      </c>
      <c r="AD440" s="1308" cm="1">
        <f t="array" ref="AD440">SUM(IF(($R152:AD152*$R$26:AD$26)&gt;(AD$181*AD32),($R152:AD152*$R$26:AD$26)-(AD$181*AD32),0) * $R401:AD401*1000)/10^9</f>
        <v>0.13104619004910903</v>
      </c>
      <c r="AE440" s="1309" cm="1">
        <f t="array" ref="AE440">SUM(IF(($R152:AE152*$R$26:AE$26)&gt;(AE$181*AE32),($R152:AE152*$R$26:AE$26)-(AE$181*AE32),0) * $R401:AE401*1000)/10^9</f>
        <v>0.13397444335753458</v>
      </c>
    </row>
    <row r="441" spans="5:36" ht="12.75" customHeight="1">
      <c r="E441" s="16" t="s">
        <v>24</v>
      </c>
      <c r="F441" s="332"/>
      <c r="G441" s="332"/>
      <c r="H441" s="332"/>
      <c r="I441" s="332"/>
      <c r="J441" s="332"/>
      <c r="K441" s="332"/>
      <c r="L441" s="332"/>
      <c r="M441" s="332"/>
      <c r="N441" s="332"/>
      <c r="O441" s="332"/>
      <c r="P441" s="332"/>
      <c r="Q441" s="332"/>
      <c r="R441" s="1308" cm="1">
        <f t="array" ref="R441">SUM(IF(($R153:R153*$R$26:R$26)&gt;(R$181*R33),($R153:R153*$R$26:R$26)-(R$181*R33),0) * $R402:R402*1000)/10^9</f>
        <v>0</v>
      </c>
      <c r="S441" s="1308" cm="1">
        <f t="array" ref="S441">SUM(IF(($R153:S153*$R$26:S$26)&gt;(S$181*S33),($R153:S153*$R$26:S$26)-(S$181*S33),0) * $R402:S402*1000)/10^9</f>
        <v>0</v>
      </c>
      <c r="T441" s="1308" cm="1">
        <f t="array" ref="T441">SUM(IF(($R153:T153*$R$26:T$26)&gt;(T$181*T33),($R153:T153*$R$26:T$26)-(T$181*T33),0) * $R402:T402*1000)/10^9</f>
        <v>0</v>
      </c>
      <c r="U441" s="1308" cm="1">
        <f t="array" ref="U441">SUM(IF(($R153:U153*$R$26:U$26)&gt;(U$181*U33),($R153:U153*$R$26:U$26)-(U$181*U33),0) * $R402:U402*1000)/10^9</f>
        <v>0</v>
      </c>
      <c r="V441" s="1308" cm="1">
        <f t="array" ref="V441">SUM(IF(($R153:V153*$R$26:V$26)&gt;(V$181*V33),($R153:V153*$R$26:V$26)-(V$181*V33),0) * $R402:V402*1000)/10^9</f>
        <v>0</v>
      </c>
      <c r="W441" s="1308" cm="1">
        <f t="array" ref="W441">SUM(IF(($R153:W153*$R$26:W$26)&gt;(W$181*W33),($R153:W153*$R$26:W$26)-(W$181*W33),0) * $R402:W402*1000)/10^9</f>
        <v>0</v>
      </c>
      <c r="X441" s="1308" cm="1">
        <f t="array" ref="X441">SUM(IF(($R153:X153*$R$26:X$26)&gt;(X$181*X33),($R153:X153*$R$26:X$26)-(X$181*X33),0) * $R402:X402*1000)/10^9</f>
        <v>3.39885411443512E-3</v>
      </c>
      <c r="Y441" s="1308" cm="1">
        <f t="array" ref="Y441">SUM(IF(($R153:Y153*$R$26:Y$26)&gt;(Y$181*Y33),($R153:Y153*$R$26:Y$26)-(Y$181*Y33),0) * $R402:Y402*1000)/10^9</f>
        <v>2.8558424448653894E-2</v>
      </c>
      <c r="Z441" s="1308" cm="1">
        <f t="array" ref="Z441">SUM(IF(($R153:Z153*$R$26:Z$26)&gt;(Z$181*Z33),($R153:Z153*$R$26:Z$26)-(Z$181*Z33),0) * $R402:Z402*1000)/10^9</f>
        <v>7.2204631774320557E-2</v>
      </c>
      <c r="AA441" s="1308" cm="1">
        <f t="array" ref="AA441">SUM(IF(($R153:AA153*$R$26:AA$26)&gt;(AA$181*AA33),($R153:AA153*$R$26:AA$26)-(AA$181*AA33),0) * $R402:AA402*1000)/10^9</f>
        <v>0.13726244255133746</v>
      </c>
      <c r="AB441" s="1308" cm="1">
        <f t="array" ref="AB441">SUM(IF(($R153:AB153*$R$26:AB$26)&gt;(AB$181*AB33),($R153:AB153*$R$26:AB$26)-(AB$181*AB33),0) * $R402:AB402*1000)/10^9</f>
        <v>0.2367858611117902</v>
      </c>
      <c r="AC441" s="1308" cm="1">
        <f t="array" ref="AC441">SUM(IF(($R153:AC153*$R$26:AC$26)&gt;(AC$181*AC33),($R153:AC153*$R$26:AC$26)-(AC$181*AC33),0) * $R402:AC402*1000)/10^9</f>
        <v>0.36201755310670075</v>
      </c>
      <c r="AD441" s="1308" cm="1">
        <f t="array" ref="AD441">SUM(IF(($R153:AD153*$R$26:AD$26)&gt;(AD$181*AD33),($R153:AD153*$R$26:AD$26)-(AD$181*AD33),0) * $R402:AD402*1000)/10^9</f>
        <v>0.5118289447436658</v>
      </c>
      <c r="AE441" s="1309" cm="1">
        <f t="array" ref="AE441">SUM(IF(($R153:AE153*$R$26:AE$26)&gt;(AE$181*AE33),($R153:AE153*$R$26:AE$26)-(AE$181*AE33),0) * $R402:AE402*1000)/10^9</f>
        <v>0.8676002798131337</v>
      </c>
    </row>
    <row r="442" spans="5:36" ht="12.75" customHeight="1">
      <c r="E442" s="16" t="s">
        <v>26</v>
      </c>
      <c r="F442" s="332"/>
      <c r="G442" s="332"/>
      <c r="H442" s="332"/>
      <c r="I442" s="332"/>
      <c r="J442" s="332"/>
      <c r="K442" s="332"/>
      <c r="L442" s="332"/>
      <c r="M442" s="332"/>
      <c r="N442" s="332"/>
      <c r="O442" s="332"/>
      <c r="P442" s="332"/>
      <c r="Q442" s="332"/>
      <c r="R442" s="1308" cm="1">
        <f t="array" ref="R442">SUM(IF(($R154:R154*$R$26:R$26)&gt;(R$181*R34),($R154:R154*$R$26:R$26)-(R$181*R34),0) * $R403:R403*1000)/10^9</f>
        <v>0</v>
      </c>
      <c r="S442" s="1308" cm="1">
        <f t="array" ref="S442">SUM(IF(($R154:S154*$R$26:S$26)&gt;(S$181*S34),($R154:S154*$R$26:S$26)-(S$181*S34),0) * $R403:S403*1000)/10^9</f>
        <v>0</v>
      </c>
      <c r="T442" s="1308" cm="1">
        <f t="array" ref="T442">SUM(IF(($R154:T154*$R$26:T$26)&gt;(T$181*T34),($R154:T154*$R$26:T$26)-(T$181*T34),0) * $R403:T403*1000)/10^9</f>
        <v>0</v>
      </c>
      <c r="U442" s="1308" cm="1">
        <f t="array" ref="U442">SUM(IF(($R154:U154*$R$26:U$26)&gt;(U$181*U34),($R154:U154*$R$26:U$26)-(U$181*U34),0) * $R403:U403*1000)/10^9</f>
        <v>2.5801136000000754E-3</v>
      </c>
      <c r="V442" s="1308" cm="1">
        <f t="array" ref="V442">SUM(IF(($R154:V154*$R$26:V$26)&gt;(V$181*V34),($R154:V154*$R$26:V$26)-(V$181*V34),0) * $R403:V403*1000)/10^9</f>
        <v>3.2379830400000933E-3</v>
      </c>
      <c r="W442" s="1308" cm="1">
        <f t="array" ref="W442">SUM(IF(($R154:W154*$R$26:W$26)&gt;(W$181*W34),($R154:W154*$R$26:W$26)-(W$181*W34),0) * $R403:W403*1000)/10^9</f>
        <v>9.8713611311743565E-3</v>
      </c>
      <c r="X442" s="1308" cm="1">
        <f t="array" ref="X442">SUM(IF(($R154:X154*$R$26:X$26)&gt;(X$181*X34),($R154:X154*$R$26:X$26)-(X$181*X34),0) * $R403:X403*1000)/10^9</f>
        <v>2.2843506642193468E-2</v>
      </c>
      <c r="Y442" s="1308" cm="1">
        <f t="array" ref="Y442">SUM(IF(($R154:Y154*$R$26:Y$26)&gt;(Y$181*Y34),($R154:Y154*$R$26:Y$26)-(Y$181*Y34),0) * $R403:Y403*1000)/10^9</f>
        <v>4.088396731592802E-2</v>
      </c>
      <c r="Z442" s="1308" cm="1">
        <f t="array" ref="Z442">SUM(IF(($R154:Z154*$R$26:Z$26)&gt;(Z$181*Z34),($R154:Z154*$R$26:Z$26)-(Z$181*Z34),0) * $R403:Z403*1000)/10^9</f>
        <v>8.321428548389688E-2</v>
      </c>
      <c r="AA442" s="1308" cm="1">
        <f t="array" ref="AA442">SUM(IF(($R154:AA154*$R$26:AA$26)&gt;(AA$181*AA34),($R154:AA154*$R$26:AA$26)-(AA$181*AA34),0) * $R403:AA403*1000)/10^9</f>
        <v>0.14695650744763342</v>
      </c>
      <c r="AB442" s="1308" cm="1">
        <f t="array" ref="AB442">SUM(IF(($R154:AB154*$R$26:AB$26)&gt;(AB$181*AB34),($R154:AB154*$R$26:AB$26)-(AB$181*AB34),0) * $R403:AB403*1000)/10^9</f>
        <v>0.23566266100136973</v>
      </c>
      <c r="AC442" s="1308" cm="1">
        <f t="array" ref="AC442">SUM(IF(($R154:AC154*$R$26:AC$26)&gt;(AC$181*AC34),($R154:AC154*$R$26:AC$26)-(AC$181*AC34),0) * $R403:AC403*1000)/10^9</f>
        <v>0.33806266059468482</v>
      </c>
      <c r="AD442" s="1308" cm="1">
        <f t="array" ref="AD442">SUM(IF(($R154:AD154*$R$26:AD$26)&gt;(AD$181*AD34),($R154:AD154*$R$26:AD$26)-(AD$181*AD34),0) * $R403:AD403*1000)/10^9</f>
        <v>0.45370666175180496</v>
      </c>
      <c r="AE442" s="1309" cm="1">
        <f t="array" ref="AE442">SUM(IF(($R154:AE154*$R$26:AE$26)&gt;(AE$181*AE34),($R154:AE154*$R$26:AE$26)-(AE$181*AE34),0) * $R403:AE403*1000)/10^9</f>
        <v>0.65997192154907813</v>
      </c>
    </row>
    <row r="443" spans="5:36" ht="12.75" customHeight="1">
      <c r="E443" s="303" t="s">
        <v>74</v>
      </c>
      <c r="F443" s="309"/>
      <c r="G443" s="309"/>
      <c r="H443" s="309"/>
      <c r="I443" s="309"/>
      <c r="J443" s="309"/>
      <c r="K443" s="309"/>
      <c r="L443" s="309"/>
      <c r="M443" s="309"/>
      <c r="N443" s="309"/>
      <c r="O443" s="309"/>
      <c r="P443" s="309"/>
      <c r="Q443" s="309"/>
      <c r="R443" s="1310" cm="1">
        <f t="array" ref="R443">SUM(IF(($R155:R155*$R$26:R$26)&gt;(R$181*R35),($R155:R155*$R$26:R$26)-(R$181*R35),0) * $R404:R404*1000)/10^9</f>
        <v>3.8322112770453567E-2</v>
      </c>
      <c r="S443" s="1310" cm="1">
        <f t="array" ref="S443">SUM(IF(($R155:S155*$R$26:S$26)&gt;(S$181*S35),($R155:S155*$R$26:S$26)-(S$181*S35),0) * $R404:S404*1000)/10^9</f>
        <v>3.7886777100530839E-3</v>
      </c>
      <c r="T443" s="1310" cm="1">
        <f t="array" ref="T443">SUM(IF(($R155:T155*$R$26:T$26)&gt;(T$181*T35),($R155:T155*$R$26:T$26)-(T$181*T35),0) * $R404:T404*1000)/10^9</f>
        <v>0.26479140024224851</v>
      </c>
      <c r="U443" s="1310" cm="1">
        <f t="array" ref="U443">SUM(IF(($R155:U155*$R$26:U$26)&gt;(U$181*U35),($R155:U155*$R$26:U$26)-(U$181*U35),0) * $R404:U404*1000)/10^9</f>
        <v>0.42893899360503485</v>
      </c>
      <c r="V443" s="1310" cm="1">
        <f t="array" ref="V443">SUM(IF(($R155:V155*$R$26:V$26)&gt;(V$181*V35),($R155:V155*$R$26:V$26)-(V$181*V35),0) * $R404:V404*1000)/10^9</f>
        <v>0.60881399194327079</v>
      </c>
      <c r="W443" s="1310" cm="1">
        <f t="array" ref="W443">SUM(IF(($R155:W155*$R$26:W$26)&gt;(W$181*W35),($R155:W155*$R$26:W$26)-(W$181*W35),0) * $R404:W404*1000)/10^9</f>
        <v>0.70919444746631766</v>
      </c>
      <c r="X443" s="1310" cm="1">
        <f t="array" ref="X443">SUM(IF(($R155:X155*$R$26:X$26)&gt;(X$181*X35),($R155:X155*$R$26:X$26)-(X$181*X35),0) * $R404:X404*1000)/10^9</f>
        <v>0.82759632783558934</v>
      </c>
      <c r="Y443" s="1310" cm="1">
        <f t="array" ref="Y443">SUM(IF(($R155:Y155*$R$26:Y$26)&gt;(Y$181*Y35),($R155:Y155*$R$26:Y$26)-(Y$181*Y35),0) * $R404:Y404*1000)/10^9</f>
        <v>0.94927278557518835</v>
      </c>
      <c r="Z443" s="1310" cm="1">
        <f t="array" ref="Z443">SUM(IF(($R155:Z155*$R$26:Z$26)&gt;(Z$181*Z35),($R155:Z155*$R$26:Z$26)-(Z$181*Z35),0) * $R404:Z404*1000)/10^9</f>
        <v>1.0656822989901193</v>
      </c>
      <c r="AA443" s="1310" cm="1">
        <f t="array" ref="AA443">SUM(IF(($R155:AA155*$R$26:AA$26)&gt;(AA$181*AA35),($R155:AA155*$R$26:AA$26)-(AA$181*AA35),0) * $R404:AA404*1000)/10^9</f>
        <v>1.1886418213439915</v>
      </c>
      <c r="AB443" s="1310" cm="1">
        <f t="array" ref="AB443">SUM(IF(($R155:AB155*$R$26:AB$26)&gt;(AB$181*AB35),($R155:AB155*$R$26:AB$26)-(AB$181*AB35),0) * $R404:AB404*1000)/10^9</f>
        <v>1.3285201543968708</v>
      </c>
      <c r="AC443" s="1310" cm="1">
        <f t="array" ref="AC443">SUM(IF(($R155:AC155*$R$26:AC$26)&gt;(AC$181*AC35),($R155:AC155*$R$26:AC$26)-(AC$181*AC35),0) * $R404:AC404*1000)/10^9</f>
        <v>1.4730099270704837</v>
      </c>
      <c r="AD443" s="1310" cm="1">
        <f t="array" ref="AD443">SUM(IF(($R155:AD155*$R$26:AD$26)&gt;(AD$181*AD35),($R155:AD155*$R$26:AD$26)-(AD$181*AD35),0) * $R404:AD404*1000)/10^9</f>
        <v>1.6222649821297219</v>
      </c>
      <c r="AE443" s="1311" cm="1">
        <f t="array" ref="AE443">SUM(IF(($R155:AE155*$R$26:AE$26)&gt;(AE$181*AE35),($R155:AE155*$R$26:AE$26)-(AE$181*AE35),0) * $R404:AE404*1000)/10^9</f>
        <v>1.6410520666873687</v>
      </c>
    </row>
    <row r="444" spans="5:36" ht="12.75" customHeight="1">
      <c r="E444" s="1303" t="s">
        <v>964</v>
      </c>
      <c r="F444" s="1304">
        <f t="shared" ref="F444" si="238">SUM(F437:F443)</f>
        <v>0</v>
      </c>
      <c r="G444" s="1304">
        <f t="shared" ref="G444" si="239">SUM(G437:G443)</f>
        <v>0</v>
      </c>
      <c r="H444" s="1304">
        <f t="shared" ref="H444" si="240">SUM(H437:H443)</f>
        <v>0</v>
      </c>
      <c r="I444" s="1304">
        <f t="shared" ref="I444" si="241">SUM(I437:I443)</f>
        <v>0</v>
      </c>
      <c r="J444" s="1304">
        <f t="shared" ref="J444" si="242">SUM(J437:J443)</f>
        <v>0</v>
      </c>
      <c r="K444" s="1304">
        <f t="shared" ref="K444" si="243">SUM(K437:K443)</f>
        <v>0</v>
      </c>
      <c r="L444" s="1304">
        <f t="shared" ref="L444" si="244">SUM(L437:L443)</f>
        <v>0</v>
      </c>
      <c r="M444" s="1304">
        <f t="shared" ref="M444" si="245">SUM(M437:M443)</f>
        <v>0</v>
      </c>
      <c r="N444" s="1304">
        <f t="shared" ref="N444" si="246">SUM(N437:N443)</f>
        <v>0</v>
      </c>
      <c r="O444" s="1304">
        <f t="shared" ref="O444" si="247">SUM(O437:O443)</f>
        <v>0</v>
      </c>
      <c r="P444" s="1304">
        <f t="shared" ref="P444" si="248">SUM(P437:P443)</f>
        <v>0</v>
      </c>
      <c r="Q444" s="1304">
        <f t="shared" ref="Q444" si="249">SUM(Q437:Q443)</f>
        <v>0</v>
      </c>
      <c r="R444" s="1304">
        <f t="shared" ref="R444" si="250">SUM(R437:R443)</f>
        <v>0.15492396918300005</v>
      </c>
      <c r="S444" s="1304">
        <f t="shared" ref="S444" si="251">SUM(S437:S443)</f>
        <v>0.19529148456000256</v>
      </c>
      <c r="T444" s="1304">
        <f t="shared" ref="T444" si="252">SUM(T437:T443)</f>
        <v>0.6196341761413654</v>
      </c>
      <c r="U444" s="1304">
        <f t="shared" ref="U444" si="253">SUM(U437:U443)</f>
        <v>0.902151011913503</v>
      </c>
      <c r="V444" s="1304">
        <f t="shared" ref="V444" si="254">SUM(V437:V443)</f>
        <v>1.195520490128867</v>
      </c>
      <c r="W444" s="1304">
        <f t="shared" ref="W444" si="255">SUM(W437:W443)</f>
        <v>1.3603656944167559</v>
      </c>
      <c r="X444" s="1304">
        <f t="shared" ref="X444" si="256">SUM(X437:X443)</f>
        <v>1.5567729790392058</v>
      </c>
      <c r="Y444" s="1304">
        <f t="shared" ref="Y444" si="257">SUM(Y437:Y443)</f>
        <v>1.7824832999671858</v>
      </c>
      <c r="Z444" s="1304">
        <f t="shared" ref="Z444" si="258">SUM(Z437:Z443)</f>
        <v>2.0415335663403464</v>
      </c>
      <c r="AA444" s="1304">
        <f t="shared" ref="AA444" si="259">SUM(AA437:AA443)</f>
        <v>2.3499542941697529</v>
      </c>
      <c r="AB444" s="1304">
        <f t="shared" ref="AB444" si="260">SUM(AB437:AB443)</f>
        <v>2.7393408101670875</v>
      </c>
      <c r="AC444" s="1304">
        <f t="shared" ref="AC444" si="261">SUM(AC437:AC443)</f>
        <v>3.1727980343877169</v>
      </c>
      <c r="AD444" s="1304">
        <f t="shared" ref="AD444" si="262">SUM(AD437:AD443)</f>
        <v>3.6489239009413086</v>
      </c>
      <c r="AE444" s="1305">
        <f t="shared" ref="AE444" si="263">SUM(AE437:AE443)</f>
        <v>4.2937081149219969</v>
      </c>
    </row>
    <row r="445" spans="5:36" ht="12.75" customHeight="1">
      <c r="R445" s="1057"/>
      <c r="S445" s="1057"/>
      <c r="T445" s="1057"/>
      <c r="U445" s="1057"/>
      <c r="V445" s="1057"/>
      <c r="W445" s="1057"/>
      <c r="X445" s="1057"/>
      <c r="Y445" s="1057"/>
      <c r="Z445" s="1057"/>
      <c r="AA445" s="1057"/>
      <c r="AB445" s="1057"/>
      <c r="AC445" s="1057"/>
      <c r="AD445" s="1057"/>
      <c r="AE445" s="1057"/>
    </row>
    <row r="446" spans="5:36" ht="12.75" customHeight="1">
      <c r="E446" s="1292" t="s">
        <v>992</v>
      </c>
      <c r="AJ446" s="1332" t="s">
        <v>994</v>
      </c>
    </row>
    <row r="447" spans="5:36" ht="12.75" customHeight="1">
      <c r="E447" s="321" t="s">
        <v>25</v>
      </c>
      <c r="F447" s="323"/>
      <c r="G447" s="323"/>
      <c r="H447" s="323"/>
      <c r="I447" s="323"/>
      <c r="J447" s="323"/>
      <c r="K447" s="323"/>
      <c r="L447" s="323"/>
      <c r="M447" s="323"/>
      <c r="N447" s="323"/>
      <c r="O447" s="323"/>
      <c r="P447" s="323"/>
      <c r="Q447" s="323"/>
      <c r="R447" s="1306">
        <f>SUM($R437:R437)</f>
        <v>1.2169151970526184E-3</v>
      </c>
      <c r="S447" s="1306">
        <f>SUM($R437:S437)</f>
        <v>2.8738728527728068E-3</v>
      </c>
      <c r="T447" s="1306">
        <f>SUM($R437:T437)</f>
        <v>7.1899356939153685E-3</v>
      </c>
      <c r="U447" s="1306">
        <f>SUM($R437:U437)</f>
        <v>1.3056492521980542E-2</v>
      </c>
      <c r="V447" s="1306">
        <f>SUM($R437:V437)</f>
        <v>2.0539824739849187E-2</v>
      </c>
      <c r="W447" s="1306">
        <f>SUM($R437:W437)</f>
        <v>2.9522707497972291E-2</v>
      </c>
      <c r="X447" s="1306">
        <f>SUM($R437:X437)</f>
        <v>4.014219489724858E-2</v>
      </c>
      <c r="Y447" s="1306">
        <f>SUM($R437:Y437)</f>
        <v>5.2418105440772286E-2</v>
      </c>
      <c r="Z447" s="1306">
        <f>SUM($R437:Z437)</f>
        <v>6.6262085928322167E-2</v>
      </c>
      <c r="AA447" s="1306">
        <f>SUM($R437:AA437)</f>
        <v>8.1706593953578099E-2</v>
      </c>
      <c r="AB447" s="1306">
        <f>SUM($R437:AB437)</f>
        <v>9.8938852879051561E-2</v>
      </c>
      <c r="AC447" s="1306">
        <f>SUM($R437:AC437)</f>
        <v>0.11800338203871644</v>
      </c>
      <c r="AD447" s="1306">
        <f>SUM($R437:AD437)</f>
        <v>0.1389448071683268</v>
      </c>
      <c r="AE447" s="1307">
        <f>SUM($R437:AE437)</f>
        <v>0.1618078598734079</v>
      </c>
    </row>
    <row r="448" spans="5:36" ht="12.75" customHeight="1">
      <c r="E448" s="16" t="s">
        <v>50</v>
      </c>
      <c r="F448" s="332"/>
      <c r="G448" s="332"/>
      <c r="H448" s="332"/>
      <c r="I448" s="332"/>
      <c r="J448" s="332"/>
      <c r="K448" s="332"/>
      <c r="L448" s="332"/>
      <c r="M448" s="332"/>
      <c r="N448" s="332"/>
      <c r="O448" s="332"/>
      <c r="P448" s="332"/>
      <c r="Q448" s="332"/>
      <c r="R448" s="1308">
        <f>SUM($R438:R438)</f>
        <v>0</v>
      </c>
      <c r="S448" s="1308">
        <f>SUM($R438:S438)</f>
        <v>0</v>
      </c>
      <c r="T448" s="1308">
        <f>SUM($R438:T438)</f>
        <v>0</v>
      </c>
      <c r="U448" s="1308">
        <f>SUM($R438:U438)</f>
        <v>0</v>
      </c>
      <c r="V448" s="1308">
        <f>SUM($R438:V438)</f>
        <v>0</v>
      </c>
      <c r="W448" s="1308">
        <f>SUM($R438:W438)</f>
        <v>0</v>
      </c>
      <c r="X448" s="1308">
        <f>SUM($R438:X438)</f>
        <v>0</v>
      </c>
      <c r="Y448" s="1308">
        <f>SUM($R438:Y438)</f>
        <v>0</v>
      </c>
      <c r="Z448" s="1308">
        <f>SUM($R438:Z438)</f>
        <v>0</v>
      </c>
      <c r="AA448" s="1308">
        <f>SUM($R438:AA438)</f>
        <v>0</v>
      </c>
      <c r="AB448" s="1308">
        <f>SUM($R438:AB438)</f>
        <v>0</v>
      </c>
      <c r="AC448" s="1308">
        <f>SUM($R438:AC438)</f>
        <v>0</v>
      </c>
      <c r="AD448" s="1308">
        <f>SUM($R438:AD438)</f>
        <v>0</v>
      </c>
      <c r="AE448" s="1309">
        <f>SUM($R438:AE438)</f>
        <v>0</v>
      </c>
    </row>
    <row r="449" spans="5:31" ht="12.75" customHeight="1">
      <c r="E449" s="16" t="s">
        <v>13</v>
      </c>
      <c r="F449" s="332"/>
      <c r="G449" s="332"/>
      <c r="H449" s="332"/>
      <c r="I449" s="332"/>
      <c r="J449" s="332"/>
      <c r="K449" s="332"/>
      <c r="L449" s="332"/>
      <c r="M449" s="332"/>
      <c r="N449" s="332"/>
      <c r="O449" s="332"/>
      <c r="P449" s="332"/>
      <c r="Q449" s="332"/>
      <c r="R449" s="1308">
        <f>SUM($R439:R439)</f>
        <v>9.7341112355573495E-2</v>
      </c>
      <c r="S449" s="1308">
        <f>SUM($R439:S439)</f>
        <v>0.25296520633736819</v>
      </c>
      <c r="T449" s="1308">
        <f>SUM($R439:T439)</f>
        <v>0.54460075215520898</v>
      </c>
      <c r="U449" s="1308">
        <f>SUM($R439:U439)</f>
        <v>0.92971643701308682</v>
      </c>
      <c r="V449" s="1308">
        <f>SUM($R439:V439)</f>
        <v>1.404750812445186</v>
      </c>
      <c r="W449" s="1308">
        <f>SUM($R439:W439)</f>
        <v>1.9316719236565991</v>
      </c>
      <c r="X449" s="1308">
        <f>SUM($R439:X439)</f>
        <v>2.5140483944821885</v>
      </c>
      <c r="Y449" s="1308">
        <f>SUM($R439:Y439)</f>
        <v>3.1514036957781828</v>
      </c>
      <c r="Z449" s="1308">
        <f>SUM($R439:Z439)</f>
        <v>3.8402700025132592</v>
      </c>
      <c r="AA449" s="1308">
        <f>SUM($R439:AA439)</f>
        <v>4.5808327317079982</v>
      </c>
      <c r="AB449" s="1308">
        <f>SUM($R439:AB439)</f>
        <v>5.3773565319642458</v>
      </c>
      <c r="AC449" s="1308">
        <f>SUM($R439:AC439)</f>
        <v>6.230068627575978</v>
      </c>
      <c r="AD449" s="1308">
        <f>SUM($R439:AD439)</f>
        <v>7.1392043247133747</v>
      </c>
      <c r="AE449" s="1309">
        <f>SUM($R439:AE439)</f>
        <v>8.1074506755231752</v>
      </c>
    </row>
    <row r="450" spans="5:31" ht="12.75" customHeight="1">
      <c r="E450" s="16" t="s">
        <v>12</v>
      </c>
      <c r="F450" s="332"/>
      <c r="G450" s="332"/>
      <c r="H450" s="332"/>
      <c r="I450" s="332"/>
      <c r="J450" s="332"/>
      <c r="K450" s="332"/>
      <c r="L450" s="332"/>
      <c r="M450" s="332"/>
      <c r="N450" s="332"/>
      <c r="O450" s="332"/>
      <c r="P450" s="332"/>
      <c r="Q450" s="332"/>
      <c r="R450" s="1308">
        <f>SUM($R440:R440)</f>
        <v>1.8043828859920358E-2</v>
      </c>
      <c r="S450" s="1308">
        <f>SUM($R440:S440)</f>
        <v>5.2265584072354959E-2</v>
      </c>
      <c r="T450" s="1308">
        <f>SUM($R440:T440)</f>
        <v>0.11115675131248853</v>
      </c>
      <c r="U450" s="1308">
        <f>SUM($R440:U440)</f>
        <v>0.19080641433501352</v>
      </c>
      <c r="V450" s="1308">
        <f>SUM($R440:V440)</f>
        <v>0.29175722183064179</v>
      </c>
      <c r="W450" s="1308">
        <f>SUM($R440:W440)</f>
        <v>0.3971531136803696</v>
      </c>
      <c r="X450" s="1308">
        <f>SUM($R440:X440)</f>
        <v>0.507091445902492</v>
      </c>
      <c r="Y450" s="1308">
        <f>SUM($R440:Y440)</f>
        <v>0.62122835669038923</v>
      </c>
      <c r="Z450" s="1308">
        <f>SUM($R440:Z440)</f>
        <v>0.7389504195597727</v>
      </c>
      <c r="AA450" s="1308">
        <f>SUM($R440:AA440)</f>
        <v>0.86003670516656794</v>
      </c>
      <c r="AB450" s="1308">
        <f>SUM($R440:AB440)</f>
        <v>0.98465277964190434</v>
      </c>
      <c r="AC450" s="1308">
        <f>SUM($R440:AC440)</f>
        <v>1.1125840484863549</v>
      </c>
      <c r="AD450" s="1308">
        <f>SUM($R440:AD440)</f>
        <v>1.2436302385354641</v>
      </c>
      <c r="AE450" s="1309">
        <f>SUM($R440:AE440)</f>
        <v>1.3776046818929986</v>
      </c>
    </row>
    <row r="451" spans="5:31" ht="12.75" customHeight="1">
      <c r="E451" s="16" t="s">
        <v>24</v>
      </c>
      <c r="F451" s="332"/>
      <c r="G451" s="332"/>
      <c r="H451" s="332"/>
      <c r="I451" s="332"/>
      <c r="J451" s="332"/>
      <c r="K451" s="332"/>
      <c r="L451" s="332"/>
      <c r="M451" s="332"/>
      <c r="N451" s="332"/>
      <c r="O451" s="332"/>
      <c r="P451" s="332"/>
      <c r="Q451" s="332"/>
      <c r="R451" s="1308">
        <f>SUM($R441:R441)</f>
        <v>0</v>
      </c>
      <c r="S451" s="1308">
        <f>SUM($R441:S441)</f>
        <v>0</v>
      </c>
      <c r="T451" s="1308">
        <f>SUM($R441:T441)</f>
        <v>0</v>
      </c>
      <c r="U451" s="1308">
        <f>SUM($R441:U441)</f>
        <v>0</v>
      </c>
      <c r="V451" s="1308">
        <f>SUM($R441:V441)</f>
        <v>0</v>
      </c>
      <c r="W451" s="1308">
        <f>SUM($R441:W441)</f>
        <v>0</v>
      </c>
      <c r="X451" s="1308">
        <f>SUM($R441:X441)</f>
        <v>3.39885411443512E-3</v>
      </c>
      <c r="Y451" s="1308">
        <f>SUM($R441:Y441)</f>
        <v>3.1957278563089012E-2</v>
      </c>
      <c r="Z451" s="1308">
        <f>SUM($R441:Z441)</f>
        <v>0.10416191033740957</v>
      </c>
      <c r="AA451" s="1308">
        <f>SUM($R441:AA441)</f>
        <v>0.24142435288874703</v>
      </c>
      <c r="AB451" s="1308">
        <f>SUM($R441:AB441)</f>
        <v>0.4782102140005372</v>
      </c>
      <c r="AC451" s="1308">
        <f>SUM($R441:AC441)</f>
        <v>0.84022776710723801</v>
      </c>
      <c r="AD451" s="1308">
        <f>SUM($R441:AD441)</f>
        <v>1.3520567118509037</v>
      </c>
      <c r="AE451" s="1309">
        <f>SUM($R441:AE441)</f>
        <v>2.2196569916640376</v>
      </c>
    </row>
    <row r="452" spans="5:31" ht="12.75" customHeight="1">
      <c r="E452" s="16" t="s">
        <v>26</v>
      </c>
      <c r="F452" s="332"/>
      <c r="G452" s="332"/>
      <c r="H452" s="332"/>
      <c r="I452" s="332"/>
      <c r="J452" s="332"/>
      <c r="K452" s="332"/>
      <c r="L452" s="332"/>
      <c r="M452" s="332"/>
      <c r="N452" s="332"/>
      <c r="O452" s="332"/>
      <c r="P452" s="332"/>
      <c r="Q452" s="332"/>
      <c r="R452" s="1308">
        <f>SUM($R442:R442)</f>
        <v>0</v>
      </c>
      <c r="S452" s="1308">
        <f>SUM($R442:S442)</f>
        <v>0</v>
      </c>
      <c r="T452" s="1308">
        <f>SUM($R442:T442)</f>
        <v>0</v>
      </c>
      <c r="U452" s="1308">
        <f>SUM($R442:U442)</f>
        <v>2.5801136000000754E-3</v>
      </c>
      <c r="V452" s="1308">
        <f>SUM($R442:V442)</f>
        <v>5.8180966400001692E-3</v>
      </c>
      <c r="W452" s="1308">
        <f>SUM($R442:W442)</f>
        <v>1.5689457771174524E-2</v>
      </c>
      <c r="X452" s="1308">
        <f>SUM($R442:X442)</f>
        <v>3.8532964413367995E-2</v>
      </c>
      <c r="Y452" s="1308">
        <f>SUM($R442:Y442)</f>
        <v>7.9416931729296009E-2</v>
      </c>
      <c r="Z452" s="1308">
        <f>SUM($R442:Z442)</f>
        <v>0.1626312172131929</v>
      </c>
      <c r="AA452" s="1308">
        <f>SUM($R442:AA442)</f>
        <v>0.30958772466082629</v>
      </c>
      <c r="AB452" s="1308">
        <f>SUM($R442:AB442)</f>
        <v>0.54525038566219597</v>
      </c>
      <c r="AC452" s="1308">
        <f>SUM($R442:AC442)</f>
        <v>0.88331304625688079</v>
      </c>
      <c r="AD452" s="1308">
        <f>SUM($R442:AD442)</f>
        <v>1.3370197080086856</v>
      </c>
      <c r="AE452" s="1309">
        <f>SUM($R442:AE442)</f>
        <v>1.9969916295577637</v>
      </c>
    </row>
    <row r="453" spans="5:31" ht="12.75" customHeight="1">
      <c r="E453" s="303" t="s">
        <v>74</v>
      </c>
      <c r="F453" s="309"/>
      <c r="G453" s="309"/>
      <c r="H453" s="309"/>
      <c r="I453" s="309"/>
      <c r="J453" s="309"/>
      <c r="K453" s="309"/>
      <c r="L453" s="309"/>
      <c r="M453" s="309"/>
      <c r="N453" s="309"/>
      <c r="O453" s="309"/>
      <c r="P453" s="309"/>
      <c r="Q453" s="309"/>
      <c r="R453" s="1310">
        <f>SUM($R443:R443)</f>
        <v>3.8322112770453567E-2</v>
      </c>
      <c r="S453" s="1310">
        <f>SUM($R443:S443)</f>
        <v>4.211079048050665E-2</v>
      </c>
      <c r="T453" s="1310">
        <f>SUM($R443:T443)</f>
        <v>0.30690219072275515</v>
      </c>
      <c r="U453" s="1310">
        <f>SUM($R443:U443)</f>
        <v>0.73584118432779</v>
      </c>
      <c r="V453" s="1310">
        <f>SUM($R443:V443)</f>
        <v>1.3446551762710608</v>
      </c>
      <c r="W453" s="1310">
        <f>SUM($R443:W443)</f>
        <v>2.0538496237373787</v>
      </c>
      <c r="X453" s="1310">
        <f>SUM($R443:X443)</f>
        <v>2.8814459515729682</v>
      </c>
      <c r="Y453" s="1310">
        <f>SUM($R443:Y443)</f>
        <v>3.8307187371481568</v>
      </c>
      <c r="Z453" s="1310">
        <f>SUM($R443:Z443)</f>
        <v>4.8964010361382764</v>
      </c>
      <c r="AA453" s="1310">
        <f>SUM($R443:AA443)</f>
        <v>6.0850428574822679</v>
      </c>
      <c r="AB453" s="1310">
        <f>SUM($R443:AB443)</f>
        <v>7.4135630118791385</v>
      </c>
      <c r="AC453" s="1310">
        <f>SUM($R443:AC443)</f>
        <v>8.8865729389496231</v>
      </c>
      <c r="AD453" s="1310">
        <f>SUM($R443:AD443)</f>
        <v>10.508837921079344</v>
      </c>
      <c r="AE453" s="1311">
        <f>SUM($R443:AE443)</f>
        <v>12.149889987766713</v>
      </c>
    </row>
    <row r="454" spans="5:31" ht="12.75" customHeight="1">
      <c r="E454" s="1303" t="s">
        <v>964</v>
      </c>
      <c r="F454" s="1304">
        <f t="shared" ref="F454:AE454" si="264">SUM(F447:F453)</f>
        <v>0</v>
      </c>
      <c r="G454" s="1304">
        <f t="shared" si="264"/>
        <v>0</v>
      </c>
      <c r="H454" s="1304">
        <f t="shared" si="264"/>
        <v>0</v>
      </c>
      <c r="I454" s="1304">
        <f t="shared" si="264"/>
        <v>0</v>
      </c>
      <c r="J454" s="1304">
        <f t="shared" si="264"/>
        <v>0</v>
      </c>
      <c r="K454" s="1304">
        <f t="shared" si="264"/>
        <v>0</v>
      </c>
      <c r="L454" s="1304">
        <f t="shared" si="264"/>
        <v>0</v>
      </c>
      <c r="M454" s="1304">
        <f t="shared" si="264"/>
        <v>0</v>
      </c>
      <c r="N454" s="1304">
        <f t="shared" si="264"/>
        <v>0</v>
      </c>
      <c r="O454" s="1304">
        <f t="shared" si="264"/>
        <v>0</v>
      </c>
      <c r="P454" s="1304">
        <f t="shared" si="264"/>
        <v>0</v>
      </c>
      <c r="Q454" s="1304">
        <f t="shared" si="264"/>
        <v>0</v>
      </c>
      <c r="R454" s="1304">
        <f t="shared" si="264"/>
        <v>0.15492396918300005</v>
      </c>
      <c r="S454" s="1304">
        <f t="shared" si="264"/>
        <v>0.35021545374300261</v>
      </c>
      <c r="T454" s="1304">
        <f t="shared" si="264"/>
        <v>0.96984962988436796</v>
      </c>
      <c r="U454" s="1304">
        <f t="shared" si="264"/>
        <v>1.8720006417978707</v>
      </c>
      <c r="V454" s="1304">
        <f t="shared" si="264"/>
        <v>3.0675211319267377</v>
      </c>
      <c r="W454" s="1304">
        <f t="shared" si="264"/>
        <v>4.4278868263434941</v>
      </c>
      <c r="X454" s="1304">
        <f t="shared" si="264"/>
        <v>5.9846598053826998</v>
      </c>
      <c r="Y454" s="1304">
        <f t="shared" si="264"/>
        <v>7.7671431053498861</v>
      </c>
      <c r="Z454" s="1304">
        <f t="shared" si="264"/>
        <v>9.8086766716902325</v>
      </c>
      <c r="AA454" s="1304">
        <f t="shared" si="264"/>
        <v>12.158630965859984</v>
      </c>
      <c r="AB454" s="1304">
        <f t="shared" si="264"/>
        <v>14.897971776027074</v>
      </c>
      <c r="AC454" s="1304">
        <f t="shared" si="264"/>
        <v>18.070769810414792</v>
      </c>
      <c r="AD454" s="1304">
        <f t="shared" si="264"/>
        <v>21.719693711356101</v>
      </c>
      <c r="AE454" s="1305">
        <f t="shared" si="264"/>
        <v>26.013401826278098</v>
      </c>
    </row>
  </sheetData>
  <sheetProtection algorithmName="SHA-512" hashValue="bO3tkLyaEMj4yDVvJQTc8PT7UdgzaDSiTUaxq7yHvMeQ0vtyvUFJcI52i/CURWis7f6il7OkWjMZYlhRtodTLQ==" saltValue="kD7OZDVTWcXytdxotATqbQ==" spinCount="100000" sheet="1" objects="1" scenarios="1"/>
  <phoneticPr fontId="13" type="noConversion"/>
  <conditionalFormatting sqref="O376:AE377 O387:AE390 O369:AE369 O381:AE381 O384:AE384 F365:M365 F387:M390 F381:M381 F384:M384 F382:H382 F375:I375 F376:M378 F372:AE372 F369:M369 F366:AE368">
    <cfRule type="cellIs" dxfId="181" priority="110" operator="lessThan">
      <formula>0</formula>
    </cfRule>
  </conditionalFormatting>
  <conditionalFormatting sqref="J375:M375 O375:AE375">
    <cfRule type="cellIs" dxfId="180" priority="82" operator="lessThan">
      <formula>0</formula>
    </cfRule>
  </conditionalFormatting>
  <conditionalFormatting sqref="O378:AE378">
    <cfRule type="cellIs" dxfId="179" priority="79" operator="lessThan">
      <formula>0</formula>
    </cfRule>
  </conditionalFormatting>
  <conditionalFormatting sqref="AT372:AU382 AT365:AU369 AT384:AU390">
    <cfRule type="cellIs" dxfId="178" priority="54" operator="lessThan">
      <formula>0</formula>
    </cfRule>
    <cfRule type="cellIs" dxfId="177" priority="55" operator="greaterThan">
      <formula>0</formula>
    </cfRule>
  </conditionalFormatting>
  <conditionalFormatting sqref="O365:AE365">
    <cfRule type="cellIs" dxfId="176" priority="53" operator="lessThan">
      <formula>0</formula>
    </cfRule>
  </conditionalFormatting>
  <conditionalFormatting sqref="N369:AE369 N387:AE390 N376:AE377 N384:AE384 N381:AE381 F365:AE365">
    <cfRule type="cellIs" dxfId="175" priority="47" operator="lessThan">
      <formula>0</formula>
    </cfRule>
  </conditionalFormatting>
  <conditionalFormatting sqref="N375:AE375">
    <cfRule type="cellIs" dxfId="174" priority="46" operator="lessThan">
      <formula>0</formula>
    </cfRule>
  </conditionalFormatting>
  <conditionalFormatting sqref="N378:AE378">
    <cfRule type="cellIs" dxfId="173" priority="45" operator="lessThan">
      <formula>0</formula>
    </cfRule>
  </conditionalFormatting>
  <conditionalFormatting sqref="F392:M394">
    <cfRule type="cellIs" dxfId="172" priority="20" operator="lessThan">
      <formula>0</formula>
    </cfRule>
  </conditionalFormatting>
  <conditionalFormatting sqref="N392:N394">
    <cfRule type="cellIs" dxfId="171" priority="19" operator="lessThan">
      <formula>0</formula>
    </cfRule>
  </conditionalFormatting>
  <conditionalFormatting sqref="O392:AE394">
    <cfRule type="cellIs" dxfId="170" priority="18" operator="lessThan">
      <formula>0</formula>
    </cfRule>
  </conditionalFormatting>
  <conditionalFormatting sqref="F383:H383">
    <cfRule type="cellIs" dxfId="169" priority="17" operator="lessThan">
      <formula>0</formula>
    </cfRule>
  </conditionalFormatting>
  <conditionalFormatting sqref="AT383:AU383">
    <cfRule type="cellIs" dxfId="168" priority="15" operator="lessThan">
      <formula>0</formula>
    </cfRule>
    <cfRule type="cellIs" dxfId="167" priority="16" operator="greaterThan">
      <formula>0</formula>
    </cfRule>
  </conditionalFormatting>
  <conditionalFormatting sqref="F382:AE382">
    <cfRule type="cellIs" dxfId="166" priority="10" operator="lessThan">
      <formula>0</formula>
    </cfRule>
  </conditionalFormatting>
  <conditionalFormatting sqref="O383:AE383 I383:M383">
    <cfRule type="cellIs" dxfId="165" priority="13" operator="lessThan">
      <formula>0</formula>
    </cfRule>
  </conditionalFormatting>
  <conditionalFormatting sqref="N383:AE383">
    <cfRule type="cellIs" dxfId="164" priority="12" operator="lessThan">
      <formula>0</formula>
    </cfRule>
  </conditionalFormatting>
  <conditionalFormatting sqref="O382:AE382 I382:M382">
    <cfRule type="cellIs" dxfId="163" priority="11" operator="lessThan">
      <formula>0</formula>
    </cfRule>
  </conditionalFormatting>
  <pageMargins left="0.78740157480314965" right="0.78740157480314965" top="0.98425196850393704" bottom="0.98425196850393704" header="0.59055118110236227" footer="0.59055118110236227"/>
  <pageSetup paperSize="9" scale="26" fitToHeight="0" orientation="portrait" horizontalDpi="4294967293" verticalDpi="1200" r:id="rId1"/>
  <headerFooter scaleWithDoc="0">
    <oddHeader>&amp;C&amp;"Arial,Fett"&amp;18EEG Calculator</oddHeader>
    <oddFooter>&amp;L&amp;F  &amp;A  S. &amp;P/&amp;N&amp;R&amp;D  &amp;T</oddFooter>
  </headerFooter>
  <rowBreaks count="2" manualBreakCount="2">
    <brk id="178" max="16383" man="1"/>
    <brk id="313"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29" operator="greaterThan" id="{A77EB1FA-0A05-460A-8E96-9A6E69AA8CB3}">
            <xm:f>ControlPanel!$D$59-1</xm:f>
            <x14:dxf>
              <font>
                <color rgb="FF9C6500"/>
              </font>
              <fill>
                <patternFill>
                  <fgColor indexed="64"/>
                  <bgColor rgb="FFFFEB9C"/>
                </patternFill>
              </fill>
            </x14:dxf>
          </x14:cfRule>
          <x14:cfRule type="cellIs" priority="30" operator="lessThan" id="{C3B94459-6175-4F53-8EF3-C690D2E437DA}">
            <xm:f>ControlPanel!$D$59</xm:f>
            <x14:dxf>
              <font>
                <color rgb="FF006100"/>
              </font>
              <fill>
                <patternFill>
                  <fgColor indexed="64"/>
                  <bgColor rgb="FFC6EFCE"/>
                </patternFill>
              </fill>
            </x14:dxf>
          </x14:cfRule>
          <x14:cfRule type="cellIs" priority="31" operator="lessThan" id="{296FA047-9DC5-41A0-99B3-BE3ACCFD1551}">
            <xm:f>ControlPanel!$D$59+1</xm:f>
            <x14:dxf>
              <font>
                <color rgb="FF006100"/>
              </font>
              <fill>
                <patternFill>
                  <fgColor indexed="64"/>
                  <bgColor rgb="FFC6EFCE"/>
                </patternFill>
              </fill>
            </x14:dxf>
          </x14:cfRule>
          <xm:sqref>F5:J5</xm:sqref>
        </x14:conditionalFormatting>
        <x14:conditionalFormatting xmlns:xm="http://schemas.microsoft.com/office/excel/2006/main">
          <x14:cfRule type="cellIs" priority="26" operator="greaterThan" id="{2740C5AF-DCAA-4995-97CB-087C580AEA95}">
            <xm:f>ControlPanel!$D$59-1</xm:f>
            <x14:dxf>
              <font>
                <color rgb="FF9C6500"/>
              </font>
              <fill>
                <patternFill>
                  <fgColor indexed="64"/>
                  <bgColor rgb="FFFFEB9C"/>
                </patternFill>
              </fill>
            </x14:dxf>
          </x14:cfRule>
          <x14:cfRule type="cellIs" priority="27" operator="lessThan" id="{1966C67C-FD31-445F-B49D-1785429C4487}">
            <xm:f>ControlPanel!$D$59</xm:f>
            <x14:dxf>
              <font>
                <color rgb="FF006100"/>
              </font>
              <fill>
                <patternFill>
                  <fgColor indexed="64"/>
                  <bgColor rgb="FFC6EFCE"/>
                </patternFill>
              </fill>
            </x14:dxf>
          </x14:cfRule>
          <x14:cfRule type="cellIs" priority="28" operator="lessThan" id="{4DF6242A-A746-4DC1-B5F0-98790C88F393}">
            <xm:f>ControlPanel!$D$59+1</xm:f>
            <x14:dxf>
              <font>
                <color rgb="FF006100"/>
              </font>
              <fill>
                <patternFill>
                  <fgColor indexed="64"/>
                  <bgColor rgb="FFC6EFCE"/>
                </patternFill>
              </fill>
            </x14:dxf>
          </x14:cfRule>
          <xm:sqref>K5:AE5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6">
    <tabColor rgb="FF00B0F0"/>
    <pageSetUpPr fitToPage="1"/>
  </sheetPr>
  <dimension ref="A1:AH1270"/>
  <sheetViews>
    <sheetView workbookViewId="0"/>
  </sheetViews>
  <sheetFormatPr baseColWidth="10" defaultColWidth="11.5703125" defaultRowHeight="12.75" outlineLevelRow="2" outlineLevelCol="1"/>
  <cols>
    <col min="1" max="1" width="5.85546875" style="9" customWidth="1"/>
    <col min="2" max="2" width="44.5703125" style="301" customWidth="1"/>
    <col min="3" max="3" width="15.7109375" style="301" customWidth="1"/>
    <col min="4" max="4" width="20.7109375" style="10" customWidth="1"/>
    <col min="5" max="5" width="22.140625" style="10" customWidth="1"/>
    <col min="6" max="10" width="15.5703125" style="9" customWidth="1" outlineLevel="1"/>
    <col min="11" max="17" width="15.5703125" style="9" customWidth="1"/>
    <col min="18" max="18" width="8.85546875" style="229" hidden="1" customWidth="1" outlineLevel="1"/>
    <col min="19" max="19" width="9.42578125" style="229" hidden="1" customWidth="1" outlineLevel="1"/>
    <col min="20" max="20" width="42.85546875" style="229" customWidth="1" collapsed="1"/>
    <col min="21" max="21" width="10.7109375" style="229" customWidth="1"/>
    <col min="22" max="16384" width="11.5703125" style="9"/>
  </cols>
  <sheetData>
    <row r="1" spans="1:34">
      <c r="A1" s="41"/>
      <c r="B1" s="20" t="s">
        <v>134</v>
      </c>
      <c r="C1" s="20"/>
      <c r="D1" s="19"/>
      <c r="E1" s="19"/>
      <c r="F1" s="212"/>
      <c r="I1" s="212"/>
      <c r="R1" s="9"/>
      <c r="S1" s="212"/>
      <c r="T1" s="9"/>
      <c r="U1" s="9"/>
    </row>
    <row r="2" spans="1:34" s="142" customFormat="1" ht="13.5" thickBot="1">
      <c r="F2" s="228"/>
      <c r="I2" s="448" t="s">
        <v>244</v>
      </c>
      <c r="R2" s="9" t="s">
        <v>483</v>
      </c>
      <c r="S2" s="9" t="s">
        <v>458</v>
      </c>
    </row>
    <row r="3" spans="1:34">
      <c r="A3" s="41"/>
      <c r="B3" s="1009" t="s">
        <v>656</v>
      </c>
      <c r="C3" s="142"/>
      <c r="D3" s="142"/>
      <c r="E3" s="142"/>
      <c r="F3" s="212"/>
      <c r="I3" s="1018">
        <f>ControlPanel!$D$59-1</f>
        <v>2022</v>
      </c>
      <c r="J3" s="557"/>
      <c r="R3" s="595"/>
      <c r="S3" s="595" t="s">
        <v>485</v>
      </c>
      <c r="T3" s="142"/>
    </row>
    <row r="4" spans="1:34">
      <c r="B4" s="1010" t="s">
        <v>655</v>
      </c>
      <c r="C4" s="10"/>
      <c r="E4" s="1020">
        <v>9</v>
      </c>
      <c r="F4" s="218">
        <v>10</v>
      </c>
      <c r="G4" s="219">
        <v>11</v>
      </c>
      <c r="H4" s="219">
        <v>12</v>
      </c>
      <c r="I4" s="218">
        <v>1</v>
      </c>
      <c r="J4" s="219">
        <v>2</v>
      </c>
      <c r="K4" s="219">
        <v>3</v>
      </c>
      <c r="L4" s="219">
        <v>4</v>
      </c>
      <c r="M4" s="219">
        <v>5</v>
      </c>
      <c r="N4" s="219">
        <v>6</v>
      </c>
      <c r="O4" s="219">
        <v>7</v>
      </c>
      <c r="P4" s="219">
        <v>8</v>
      </c>
      <c r="Q4" s="1019">
        <v>9</v>
      </c>
      <c r="R4" s="142"/>
      <c r="S4" s="142"/>
      <c r="T4" s="142"/>
      <c r="U4" s="142"/>
    </row>
    <row r="5" spans="1:34" ht="15" customHeight="1">
      <c r="A5" s="938"/>
      <c r="E5" s="235" t="str">
        <f>CONCATENATE("Sept ",$I$3-1)</f>
        <v>Sept 2021</v>
      </c>
      <c r="F5" s="235" t="str">
        <f>CONCATENATE("Okt ",$I$3-1)</f>
        <v>Okt 2021</v>
      </c>
      <c r="G5" s="235" t="str">
        <f>CONCATENATE("Nov ",$I$3-1)</f>
        <v>Nov 2021</v>
      </c>
      <c r="H5" s="235" t="str">
        <f>CONCATENATE("Dez ",$I$3-1)</f>
        <v>Dez 2021</v>
      </c>
      <c r="I5" s="235" t="str">
        <f>CONCATENATE("Jan ",$I$3)</f>
        <v>Jan 2022</v>
      </c>
      <c r="J5" s="235" t="str">
        <f>CONCATENATE("Feb ",$I$3)</f>
        <v>Feb 2022</v>
      </c>
      <c r="K5" s="235" t="str">
        <f>CONCATENATE("Mar ",$I$3)</f>
        <v>Mar 2022</v>
      </c>
      <c r="L5" s="235" t="str">
        <f>CONCATENATE("Apr ",$I$3)</f>
        <v>Apr 2022</v>
      </c>
      <c r="M5" s="235" t="str">
        <f>CONCATENATE("Mai ",$I$3)</f>
        <v>Mai 2022</v>
      </c>
      <c r="N5" s="235" t="str">
        <f>CONCATENATE("Jun ",$I$3)</f>
        <v>Jun 2022</v>
      </c>
      <c r="O5" s="235" t="str">
        <f>CONCATENATE("Jul ",$I$3)</f>
        <v>Jul 2022</v>
      </c>
      <c r="P5" s="235" t="str">
        <f>CONCATENATE("Aug ",$I$3)</f>
        <v>Aug 2022</v>
      </c>
      <c r="Q5" s="235" t="str">
        <f>CONCATENATE("Sep ",$I$3)</f>
        <v>Sep 2022</v>
      </c>
      <c r="R5" s="142"/>
      <c r="S5" s="142"/>
      <c r="T5" s="142"/>
      <c r="U5" s="142"/>
    </row>
    <row r="6" spans="1:34" s="142" customFormat="1" ht="15" customHeight="1" thickBot="1">
      <c r="A6" s="561"/>
      <c r="B6" s="556" t="s">
        <v>399</v>
      </c>
      <c r="C6" s="1015"/>
      <c r="D6" s="1015"/>
      <c r="E6" s="1015"/>
      <c r="F6" s="1342"/>
      <c r="G6" s="1011"/>
      <c r="H6" s="1011"/>
      <c r="I6" s="1011"/>
      <c r="J6" s="1011"/>
      <c r="K6" s="1011"/>
      <c r="L6" s="1011"/>
      <c r="M6" s="1011"/>
      <c r="N6" s="1011"/>
      <c r="O6" s="1011"/>
      <c r="P6" s="1011"/>
      <c r="Q6" s="1012"/>
      <c r="R6" s="556"/>
      <c r="S6" s="556" t="s">
        <v>459</v>
      </c>
      <c r="T6" s="582"/>
    </row>
    <row r="7" spans="1:34" s="142" customFormat="1" ht="15" customHeight="1" thickBot="1">
      <c r="A7" s="561"/>
      <c r="B7" s="216" t="s">
        <v>240</v>
      </c>
      <c r="C7" s="1016"/>
      <c r="D7" s="1016"/>
      <c r="E7" s="1017"/>
      <c r="F7" s="1343">
        <f t="shared" ref="F7:Q7" si="0">F6*0.000000001</f>
        <v>0</v>
      </c>
      <c r="G7" s="1013">
        <f t="shared" si="0"/>
        <v>0</v>
      </c>
      <c r="H7" s="1013">
        <f t="shared" si="0"/>
        <v>0</v>
      </c>
      <c r="I7" s="1013">
        <f t="shared" si="0"/>
        <v>0</v>
      </c>
      <c r="J7" s="1013">
        <f t="shared" si="0"/>
        <v>0</v>
      </c>
      <c r="K7" s="1013">
        <f>K6*0.000000001</f>
        <v>0</v>
      </c>
      <c r="L7" s="1013">
        <f t="shared" si="0"/>
        <v>0</v>
      </c>
      <c r="M7" s="1013">
        <f t="shared" si="0"/>
        <v>0</v>
      </c>
      <c r="N7" s="1013">
        <f>N6*0.000000001</f>
        <v>0</v>
      </c>
      <c r="O7" s="1013">
        <f t="shared" si="0"/>
        <v>0</v>
      </c>
      <c r="P7" s="1013">
        <f t="shared" si="0"/>
        <v>0</v>
      </c>
      <c r="Q7" s="1013">
        <f t="shared" si="0"/>
        <v>0</v>
      </c>
      <c r="R7" s="556"/>
      <c r="S7" s="556" t="s">
        <v>510</v>
      </c>
      <c r="T7" s="582"/>
      <c r="U7" s="1224"/>
    </row>
    <row r="8" spans="1:34" s="142" customFormat="1" ht="15" customHeight="1">
      <c r="A8" s="561"/>
      <c r="B8" s="522" t="s">
        <v>374</v>
      </c>
      <c r="C8" s="1015"/>
      <c r="D8" s="1015"/>
      <c r="E8" s="1015"/>
      <c r="F8" s="1340">
        <f ca="1">E9+OFFSET(F10,0,-$C$12)+F17</f>
        <v>7.3382644412700007</v>
      </c>
      <c r="G8" s="1340">
        <f t="shared" ref="G8:Q8" ca="1" si="1">F9+OFFSET(G10,0,-$C$12)+G17</f>
        <v>7.3307488218992098</v>
      </c>
      <c r="H8" s="523">
        <f t="shared" ca="1" si="1"/>
        <v>7.9684007868021371</v>
      </c>
      <c r="I8" s="523">
        <f t="shared" ca="1" si="1"/>
        <v>11.73249116007438</v>
      </c>
      <c r="J8" s="523">
        <f t="shared" ca="1" si="1"/>
        <v>11.617521324865969</v>
      </c>
      <c r="K8" s="523">
        <f t="shared" ca="1" si="1"/>
        <v>11.550449754668007</v>
      </c>
      <c r="L8" s="523">
        <f t="shared" ca="1" si="1"/>
        <v>10.847430115052051</v>
      </c>
      <c r="M8" s="523">
        <f t="shared" ca="1" si="1"/>
        <v>9.9863852384300884</v>
      </c>
      <c r="N8" s="523">
        <f t="shared" ca="1" si="1"/>
        <v>9.026569796336096</v>
      </c>
      <c r="O8" s="523">
        <f t="shared" ca="1" si="1"/>
        <v>7.912777006839514</v>
      </c>
      <c r="P8" s="523">
        <f t="shared" ca="1" si="1"/>
        <v>6.9133214000626966</v>
      </c>
      <c r="Q8" s="523">
        <f t="shared" ca="1" si="1"/>
        <v>5.9271580274705027</v>
      </c>
      <c r="R8" s="229"/>
      <c r="S8" s="229"/>
    </row>
    <row r="9" spans="1:34" s="142" customFormat="1" ht="15" customHeight="1">
      <c r="A9" s="561"/>
      <c r="B9" s="215" t="s">
        <v>241</v>
      </c>
      <c r="C9" s="213"/>
      <c r="D9" s="214"/>
      <c r="E9" s="236">
        <f ca="1">OFFSET('MOD-Berechnungen'!$I10,0,'MOD-Jahresgang'!$I$3-2013)</f>
        <v>4.5469536436400002</v>
      </c>
      <c r="F9" s="1341">
        <f ca="1">IF(ISNUMBER(F6),F7,E9+OFFSET(F10,0,-$C$12)+F17)</f>
        <v>7.3382644412700007</v>
      </c>
      <c r="G9" s="1341">
        <f t="shared" ref="G9:Q9" ca="1" si="2">IF(ISNUMBER(G6),G7,F9+OFFSET(G10,0,-$C$12)+G17)</f>
        <v>7.3307488218992098</v>
      </c>
      <c r="H9" s="220">
        <f t="shared" ca="1" si="2"/>
        <v>7.9684007868021371</v>
      </c>
      <c r="I9" s="220">
        <f ca="1">IF(ISNUMBER(I6),I7,H9+OFFSET(I10,0,-$C$12)+I17)</f>
        <v>11.73249116007438</v>
      </c>
      <c r="J9" s="220">
        <f t="shared" ca="1" si="2"/>
        <v>11.617521324865969</v>
      </c>
      <c r="K9" s="220">
        <f t="shared" ca="1" si="2"/>
        <v>11.550449754668007</v>
      </c>
      <c r="L9" s="220">
        <f t="shared" ca="1" si="2"/>
        <v>10.847430115052051</v>
      </c>
      <c r="M9" s="220">
        <f t="shared" ca="1" si="2"/>
        <v>9.9863852384300884</v>
      </c>
      <c r="N9" s="220">
        <f t="shared" ca="1" si="2"/>
        <v>9.026569796336096</v>
      </c>
      <c r="O9" s="220">
        <f t="shared" ca="1" si="2"/>
        <v>7.912777006839514</v>
      </c>
      <c r="P9" s="220">
        <f t="shared" ca="1" si="2"/>
        <v>6.9133214000626966</v>
      </c>
      <c r="Q9" s="220">
        <f t="shared" ca="1" si="2"/>
        <v>5.9271580274705027</v>
      </c>
      <c r="R9" s="229"/>
      <c r="S9" s="228"/>
      <c r="T9" s="452"/>
    </row>
    <row r="10" spans="1:34" s="142" customFormat="1" ht="15" customHeight="1">
      <c r="A10" s="561"/>
      <c r="B10" s="215" t="s">
        <v>919</v>
      </c>
      <c r="C10" s="213"/>
      <c r="D10" s="214"/>
      <c r="E10" s="427">
        <f>91310797.6300004/10^9</f>
        <v>9.1310797630000398E-2</v>
      </c>
      <c r="F10" s="233">
        <f ca="1">F110</f>
        <v>-7.5156193707911732E-3</v>
      </c>
      <c r="G10" s="234">
        <f ca="1">G110</f>
        <v>0.63765196490292753</v>
      </c>
      <c r="H10" s="234">
        <f t="shared" ref="H10:Q10" ca="1" si="3">H110</f>
        <v>0.51409037327224283</v>
      </c>
      <c r="I10" s="233">
        <f t="shared" ca="1" si="3"/>
        <v>-0.114969835208412</v>
      </c>
      <c r="J10" s="234">
        <f t="shared" ca="1" si="3"/>
        <v>-6.7071570197962421E-2</v>
      </c>
      <c r="K10" s="234">
        <f t="shared" ca="1" si="3"/>
        <v>-0.70301963961595593</v>
      </c>
      <c r="L10" s="234">
        <f t="shared" ca="1" si="3"/>
        <v>-0.86104487662196305</v>
      </c>
      <c r="M10" s="234">
        <f t="shared" ca="1" si="3"/>
        <v>-0.95981544209399272</v>
      </c>
      <c r="N10" s="234">
        <f t="shared" ca="1" si="3"/>
        <v>-1.1137927894965818</v>
      </c>
      <c r="O10" s="234">
        <f t="shared" ca="1" si="3"/>
        <v>-0.99945560677681777</v>
      </c>
      <c r="P10" s="234">
        <f ca="1">P110</f>
        <v>-0.98616337259219355</v>
      </c>
      <c r="Q10" s="984">
        <f t="shared" ca="1" si="3"/>
        <v>-0.81317977829456989</v>
      </c>
      <c r="R10" s="594"/>
      <c r="S10" s="449"/>
    </row>
    <row r="11" spans="1:34" s="142" customFormat="1" ht="15" customHeight="1">
      <c r="A11" s="561"/>
      <c r="B11" s="215" t="s">
        <v>666</v>
      </c>
      <c r="F11" s="233"/>
      <c r="G11" s="234">
        <f>G7-F7</f>
        <v>0</v>
      </c>
      <c r="H11" s="234">
        <f t="shared" ref="H11:Q11" si="4">H7-G7</f>
        <v>0</v>
      </c>
      <c r="I11" s="233">
        <f t="shared" si="4"/>
        <v>0</v>
      </c>
      <c r="J11" s="234">
        <f t="shared" si="4"/>
        <v>0</v>
      </c>
      <c r="K11" s="234">
        <f t="shared" si="4"/>
        <v>0</v>
      </c>
      <c r="L11" s="234">
        <f t="shared" si="4"/>
        <v>0</v>
      </c>
      <c r="M11" s="234">
        <f t="shared" si="4"/>
        <v>0</v>
      </c>
      <c r="N11" s="234">
        <f t="shared" si="4"/>
        <v>0</v>
      </c>
      <c r="O11" s="234">
        <f t="shared" si="4"/>
        <v>0</v>
      </c>
      <c r="P11" s="234">
        <f t="shared" si="4"/>
        <v>0</v>
      </c>
      <c r="Q11" s="984">
        <f t="shared" si="4"/>
        <v>0</v>
      </c>
      <c r="R11" s="229"/>
      <c r="S11" s="228"/>
    </row>
    <row r="12" spans="1:34" s="142" customFormat="1" ht="30" customHeight="1">
      <c r="A12" s="561"/>
      <c r="B12" s="450" t="s">
        <v>243</v>
      </c>
      <c r="C12" s="451">
        <v>1</v>
      </c>
      <c r="D12" s="10"/>
      <c r="F12" s="228"/>
      <c r="I12" s="228"/>
      <c r="J12" s="452"/>
      <c r="P12" s="452"/>
      <c r="Q12" s="452"/>
      <c r="R12" s="229"/>
      <c r="S12" s="228"/>
    </row>
    <row r="13" spans="1:34" s="142" customFormat="1" ht="15" customHeight="1">
      <c r="A13" s="561"/>
      <c r="B13" s="453" t="s">
        <v>242</v>
      </c>
      <c r="F13" s="228"/>
      <c r="I13" s="228"/>
      <c r="R13" s="229"/>
      <c r="S13" s="228"/>
    </row>
    <row r="14" spans="1:34" s="142" customFormat="1" ht="15" customHeight="1">
      <c r="A14" s="561"/>
      <c r="B14" s="453"/>
      <c r="F14" s="228"/>
      <c r="I14" s="228"/>
      <c r="R14" s="229"/>
      <c r="S14" s="228"/>
    </row>
    <row r="15" spans="1:34" s="142" customFormat="1" ht="15" customHeight="1">
      <c r="A15" s="561"/>
      <c r="B15" s="453" t="s">
        <v>913</v>
      </c>
      <c r="C15" s="84">
        <f>$I$3-1</f>
        <v>2021</v>
      </c>
      <c r="D15" s="84">
        <f>$I$3</f>
        <v>2022</v>
      </c>
      <c r="F15" s="228"/>
      <c r="I15" s="228"/>
      <c r="R15" s="229"/>
      <c r="S15" s="228"/>
    </row>
    <row r="16" spans="1:34" s="142" customFormat="1" ht="15" customHeight="1">
      <c r="A16" s="561"/>
      <c r="B16" s="321" t="s">
        <v>914</v>
      </c>
      <c r="C16" s="1242" t="s">
        <v>67</v>
      </c>
      <c r="D16" s="1168"/>
      <c r="E16" s="1246">
        <v>0</v>
      </c>
      <c r="F16" s="1246">
        <f ca="1">2.7/C17</f>
        <v>0.25</v>
      </c>
      <c r="G16" s="1247">
        <v>0</v>
      </c>
      <c r="H16" s="1248">
        <v>0</v>
      </c>
      <c r="I16" s="1249">
        <f ca="1">3.25/D17</f>
        <v>1</v>
      </c>
      <c r="J16" s="1249">
        <v>0</v>
      </c>
      <c r="K16" s="1249">
        <v>0</v>
      </c>
      <c r="L16" s="1249">
        <v>0</v>
      </c>
      <c r="M16" s="1249">
        <v>0</v>
      </c>
      <c r="N16" s="1249">
        <v>0</v>
      </c>
      <c r="O16" s="1249">
        <v>0</v>
      </c>
      <c r="P16" s="1249">
        <v>0</v>
      </c>
      <c r="Q16" s="1248">
        <v>0</v>
      </c>
      <c r="R16" s="229"/>
      <c r="S16" s="229"/>
      <c r="T16" s="229"/>
      <c r="U16" s="229"/>
      <c r="V16" s="229"/>
      <c r="W16" s="229"/>
      <c r="X16" s="229"/>
      <c r="Y16" s="229"/>
      <c r="Z16" s="229"/>
      <c r="AA16" s="229"/>
      <c r="AB16" s="229"/>
      <c r="AC16" s="229"/>
      <c r="AD16" s="229"/>
      <c r="AE16" s="229"/>
      <c r="AF16" s="229"/>
      <c r="AG16" s="229"/>
      <c r="AH16" s="229"/>
    </row>
    <row r="17" spans="1:20" s="142" customFormat="1" ht="15" customHeight="1">
      <c r="A17" s="561"/>
      <c r="B17" s="303" t="s">
        <v>915</v>
      </c>
      <c r="C17" s="373">
        <f ca="1">OFFSET('MOD-Berechnungen'!$I383,0,'MOD-Jahresgang'!$C$15-2013)</f>
        <v>10.8</v>
      </c>
      <c r="D17" s="375">
        <f ca="1">OFFSET('MOD-Berechnungen'!$I383,0,'MOD-Jahresgang'!$D$15-2013)</f>
        <v>3.25</v>
      </c>
      <c r="E17" s="1243">
        <f ca="1">E16*$C$17</f>
        <v>0</v>
      </c>
      <c r="F17" s="1243">
        <f ca="1">F16*$C$17</f>
        <v>2.7</v>
      </c>
      <c r="G17" s="1244">
        <f t="shared" ref="G17:H17" ca="1" si="5">G16*$C$17</f>
        <v>0</v>
      </c>
      <c r="H17" s="1245">
        <f t="shared" ca="1" si="5"/>
        <v>0</v>
      </c>
      <c r="I17" s="1243">
        <f t="shared" ref="I17:Q17" ca="1" si="6">I16*$D$17</f>
        <v>3.25</v>
      </c>
      <c r="J17" s="1244">
        <f t="shared" ca="1" si="6"/>
        <v>0</v>
      </c>
      <c r="K17" s="1244">
        <f t="shared" ca="1" si="6"/>
        <v>0</v>
      </c>
      <c r="L17" s="1244">
        <f t="shared" ca="1" si="6"/>
        <v>0</v>
      </c>
      <c r="M17" s="1244">
        <f t="shared" ca="1" si="6"/>
        <v>0</v>
      </c>
      <c r="N17" s="1244">
        <f t="shared" ca="1" si="6"/>
        <v>0</v>
      </c>
      <c r="O17" s="1244">
        <f t="shared" ca="1" si="6"/>
        <v>0</v>
      </c>
      <c r="P17" s="1244">
        <f t="shared" ca="1" si="6"/>
        <v>0</v>
      </c>
      <c r="Q17" s="1245">
        <f t="shared" ca="1" si="6"/>
        <v>0</v>
      </c>
      <c r="R17" s="229"/>
      <c r="S17" s="228"/>
    </row>
    <row r="18" spans="1:20" s="142" customFormat="1" ht="15" customHeight="1">
      <c r="A18" s="561"/>
      <c r="B18" s="453"/>
      <c r="F18" s="228"/>
      <c r="I18" s="228"/>
      <c r="R18" s="229"/>
      <c r="S18" s="228"/>
    </row>
    <row r="19" spans="1:20" ht="15.75" customHeight="1" outlineLevel="1">
      <c r="A19" s="561"/>
      <c r="B19" s="215" t="s">
        <v>178</v>
      </c>
      <c r="C19" s="213" t="s">
        <v>67</v>
      </c>
      <c r="D19" s="214"/>
      <c r="E19" s="220"/>
      <c r="F19" s="220">
        <v>0.99441288064982081</v>
      </c>
      <c r="G19" s="217">
        <v>1.0615770076261226</v>
      </c>
      <c r="H19" s="217">
        <v>1.016616689841304</v>
      </c>
      <c r="I19" s="220">
        <v>1.0654120167840537</v>
      </c>
      <c r="J19" s="217">
        <v>1.0808045297769597</v>
      </c>
      <c r="K19" s="217">
        <v>1.0285210198134074</v>
      </c>
      <c r="L19" s="217">
        <v>0.97918443519059672</v>
      </c>
      <c r="M19" s="217">
        <v>0.98647178203863473</v>
      </c>
      <c r="N19" s="217">
        <v>0.94383927292442515</v>
      </c>
      <c r="O19" s="217">
        <v>0.93996955672495841</v>
      </c>
      <c r="P19" s="217">
        <v>0.92452828083915595</v>
      </c>
      <c r="Q19" s="983">
        <v>0.97866252779055829</v>
      </c>
      <c r="S19" s="228"/>
      <c r="T19" s="142"/>
    </row>
    <row r="20" spans="1:20" ht="15" customHeight="1" outlineLevel="1">
      <c r="A20" s="561"/>
      <c r="D20" s="26"/>
      <c r="E20" s="221"/>
      <c r="F20" s="320"/>
      <c r="G20" s="301"/>
      <c r="H20" s="301"/>
      <c r="I20" s="320"/>
      <c r="J20" s="301"/>
      <c r="K20" s="301"/>
      <c r="L20" s="301"/>
      <c r="M20" s="301"/>
      <c r="N20" s="301"/>
      <c r="O20" s="301"/>
      <c r="P20" s="301"/>
      <c r="Q20" s="301"/>
      <c r="S20" s="228"/>
      <c r="T20" s="142"/>
    </row>
    <row r="21" spans="1:20" ht="15" customHeight="1" outlineLevel="1">
      <c r="A21" s="561"/>
      <c r="B21" s="322" t="s">
        <v>93</v>
      </c>
      <c r="D21" s="26"/>
      <c r="E21" s="222"/>
      <c r="F21" s="212"/>
      <c r="I21" s="212"/>
      <c r="S21" s="228"/>
      <c r="T21" s="142"/>
    </row>
    <row r="22" spans="1:20" ht="15" customHeight="1" outlineLevel="2">
      <c r="A22" s="561"/>
      <c r="B22" s="302" t="s">
        <v>25</v>
      </c>
      <c r="C22" s="988"/>
      <c r="D22" s="989"/>
      <c r="E22" s="989"/>
      <c r="F22" s="78">
        <v>274</v>
      </c>
      <c r="G22" s="23">
        <v>282</v>
      </c>
      <c r="H22" s="23">
        <v>359</v>
      </c>
      <c r="I22" s="78">
        <v>411</v>
      </c>
      <c r="J22" s="23">
        <v>409</v>
      </c>
      <c r="K22" s="23">
        <v>477</v>
      </c>
      <c r="L22" s="23">
        <v>446</v>
      </c>
      <c r="M22" s="23">
        <v>399</v>
      </c>
      <c r="N22" s="23">
        <v>295</v>
      </c>
      <c r="O22" s="23">
        <v>238</v>
      </c>
      <c r="P22" s="23">
        <v>254</v>
      </c>
      <c r="Q22" s="79">
        <v>263</v>
      </c>
      <c r="S22" s="228"/>
      <c r="T22" s="142"/>
    </row>
    <row r="23" spans="1:20" ht="15" customHeight="1" outlineLevel="2">
      <c r="A23" s="561"/>
      <c r="B23" s="304" t="s">
        <v>50</v>
      </c>
      <c r="C23" s="224"/>
      <c r="D23" s="210"/>
      <c r="E23" s="210"/>
      <c r="F23" s="80">
        <v>260</v>
      </c>
      <c r="G23" s="328">
        <v>251</v>
      </c>
      <c r="H23" s="328">
        <v>260</v>
      </c>
      <c r="I23" s="80">
        <v>259</v>
      </c>
      <c r="J23" s="328">
        <v>236</v>
      </c>
      <c r="K23" s="328">
        <v>259</v>
      </c>
      <c r="L23" s="328">
        <v>251</v>
      </c>
      <c r="M23" s="328">
        <v>259</v>
      </c>
      <c r="N23" s="328">
        <v>251</v>
      </c>
      <c r="O23" s="328">
        <v>259</v>
      </c>
      <c r="P23" s="328">
        <v>259</v>
      </c>
      <c r="Q23" s="394">
        <v>251</v>
      </c>
      <c r="S23" s="228"/>
      <c r="T23" s="142"/>
    </row>
    <row r="24" spans="1:20" ht="15" customHeight="1" outlineLevel="2">
      <c r="A24" s="561"/>
      <c r="B24" s="304" t="s">
        <v>13</v>
      </c>
      <c r="C24" s="224"/>
      <c r="D24" s="210"/>
      <c r="E24" s="210"/>
      <c r="F24" s="80">
        <v>502</v>
      </c>
      <c r="G24" s="328">
        <v>486</v>
      </c>
      <c r="H24" s="328">
        <v>502</v>
      </c>
      <c r="I24" s="80">
        <v>502</v>
      </c>
      <c r="J24" s="328">
        <v>454</v>
      </c>
      <c r="K24" s="328">
        <v>502</v>
      </c>
      <c r="L24" s="328">
        <v>486</v>
      </c>
      <c r="M24" s="328">
        <v>502</v>
      </c>
      <c r="N24" s="328">
        <v>486</v>
      </c>
      <c r="O24" s="328">
        <v>502</v>
      </c>
      <c r="P24" s="328">
        <v>502</v>
      </c>
      <c r="Q24" s="394">
        <v>486</v>
      </c>
      <c r="S24" s="228"/>
      <c r="T24" s="142"/>
    </row>
    <row r="25" spans="1:20" ht="15" customHeight="1" outlineLevel="2">
      <c r="A25" s="561"/>
      <c r="B25" s="304" t="s">
        <v>12</v>
      </c>
      <c r="C25" s="224"/>
      <c r="D25" s="210"/>
      <c r="E25" s="210"/>
      <c r="F25" s="80">
        <v>350</v>
      </c>
      <c r="G25" s="328">
        <v>298</v>
      </c>
      <c r="H25" s="328">
        <v>318</v>
      </c>
      <c r="I25" s="80">
        <v>318</v>
      </c>
      <c r="J25" s="328">
        <v>277</v>
      </c>
      <c r="K25" s="328">
        <v>349</v>
      </c>
      <c r="L25" s="328">
        <v>362</v>
      </c>
      <c r="M25" s="328">
        <v>413</v>
      </c>
      <c r="N25" s="328">
        <v>394</v>
      </c>
      <c r="O25" s="328">
        <v>413</v>
      </c>
      <c r="P25" s="328">
        <v>414</v>
      </c>
      <c r="Q25" s="394">
        <v>395</v>
      </c>
      <c r="S25" s="228"/>
      <c r="T25" s="142"/>
    </row>
    <row r="26" spans="1:20" ht="15" customHeight="1" outlineLevel="2">
      <c r="A26" s="561"/>
      <c r="B26" s="304" t="s">
        <v>24</v>
      </c>
      <c r="C26" s="224"/>
      <c r="D26" s="210"/>
      <c r="E26" s="210"/>
      <c r="F26" s="80">
        <v>167</v>
      </c>
      <c r="G26" s="328">
        <v>164</v>
      </c>
      <c r="H26" s="328">
        <v>197</v>
      </c>
      <c r="I26" s="80">
        <v>229</v>
      </c>
      <c r="J26" s="328">
        <v>186</v>
      </c>
      <c r="K26" s="328">
        <v>181</v>
      </c>
      <c r="L26" s="328">
        <v>118</v>
      </c>
      <c r="M26" s="328">
        <v>103</v>
      </c>
      <c r="N26" s="328">
        <v>96</v>
      </c>
      <c r="O26" s="328">
        <v>102</v>
      </c>
      <c r="P26" s="328">
        <v>100</v>
      </c>
      <c r="Q26" s="394">
        <v>120</v>
      </c>
      <c r="S26" s="228"/>
      <c r="T26" s="142"/>
    </row>
    <row r="27" spans="1:20" ht="15" customHeight="1" outlineLevel="2">
      <c r="A27" s="561"/>
      <c r="B27" s="304" t="s">
        <v>26</v>
      </c>
      <c r="C27" s="224"/>
      <c r="D27" s="210"/>
      <c r="E27" s="210"/>
      <c r="F27" s="80">
        <v>490</v>
      </c>
      <c r="G27" s="328">
        <v>397</v>
      </c>
      <c r="H27" s="328">
        <v>523</v>
      </c>
      <c r="I27" s="80">
        <v>425</v>
      </c>
      <c r="J27" s="328">
        <v>324</v>
      </c>
      <c r="K27" s="328">
        <v>442</v>
      </c>
      <c r="L27" s="328">
        <v>286</v>
      </c>
      <c r="M27" s="328">
        <v>273</v>
      </c>
      <c r="N27" s="328">
        <v>321</v>
      </c>
      <c r="O27" s="328">
        <v>146</v>
      </c>
      <c r="P27" s="328">
        <v>280</v>
      </c>
      <c r="Q27" s="394">
        <v>280</v>
      </c>
      <c r="S27" s="228"/>
      <c r="T27" s="142"/>
    </row>
    <row r="28" spans="1:20" ht="15" customHeight="1" outlineLevel="2">
      <c r="A28" s="561"/>
      <c r="B28" s="305" t="s">
        <v>14</v>
      </c>
      <c r="C28" s="990"/>
      <c r="D28" s="991"/>
      <c r="E28" s="991"/>
      <c r="F28" s="81">
        <v>71</v>
      </c>
      <c r="G28" s="25">
        <v>30</v>
      </c>
      <c r="H28" s="25">
        <v>18</v>
      </c>
      <c r="I28" s="81">
        <v>23</v>
      </c>
      <c r="J28" s="25">
        <v>36</v>
      </c>
      <c r="K28" s="25">
        <v>79</v>
      </c>
      <c r="L28" s="25">
        <v>108</v>
      </c>
      <c r="M28" s="25">
        <v>118</v>
      </c>
      <c r="N28" s="25">
        <v>126</v>
      </c>
      <c r="O28" s="25">
        <v>126</v>
      </c>
      <c r="P28" s="25">
        <v>111</v>
      </c>
      <c r="Q28" s="82">
        <v>99</v>
      </c>
      <c r="S28" s="228"/>
      <c r="T28" s="142"/>
    </row>
    <row r="29" spans="1:20" ht="15" customHeight="1" outlineLevel="1">
      <c r="A29" s="561"/>
      <c r="D29" s="26"/>
      <c r="E29" s="222"/>
      <c r="F29" s="320"/>
      <c r="G29" s="301"/>
      <c r="H29" s="301"/>
      <c r="I29" s="320"/>
      <c r="J29" s="301"/>
      <c r="K29" s="301"/>
      <c r="L29" s="301"/>
      <c r="M29" s="301"/>
      <c r="N29" s="301"/>
      <c r="O29" s="301"/>
      <c r="P29" s="301"/>
      <c r="Q29" s="301"/>
      <c r="S29" s="228"/>
      <c r="T29" s="142"/>
    </row>
    <row r="30" spans="1:20" ht="15" customHeight="1" outlineLevel="1">
      <c r="A30" s="561"/>
      <c r="B30" s="322" t="s">
        <v>92</v>
      </c>
      <c r="C30" s="84" t="str">
        <f>CONCATENATE("Ende ",$I$3-2)</f>
        <v>Ende 2020</v>
      </c>
      <c r="D30" s="84" t="str">
        <f>CONCATENATE("Ende ",$I$3-1)</f>
        <v>Ende 2021</v>
      </c>
      <c r="E30" s="84" t="str">
        <f>CONCATENATE("Ende ",$I$3)</f>
        <v>Ende 2022</v>
      </c>
      <c r="F30" s="223" t="s">
        <v>175</v>
      </c>
      <c r="I30" s="212"/>
      <c r="S30" s="228"/>
      <c r="T30" s="142"/>
    </row>
    <row r="31" spans="1:20" ht="15" customHeight="1" outlineLevel="2">
      <c r="A31" s="561"/>
      <c r="B31" s="302" t="s">
        <v>25</v>
      </c>
      <c r="C31" s="237">
        <f ca="1">OFFSET('MOD-Berechnungen'!$I209,0,'MOD-Jahresgang'!$I$3-2013-2)</f>
        <v>1.8584332599999995</v>
      </c>
      <c r="D31" s="238">
        <f ca="1">OFFSET('MOD-Berechnungen'!$I209,0,'MOD-Jahresgang'!$I$3-2013-1)</f>
        <v>1.8724332599999995</v>
      </c>
      <c r="E31" s="238">
        <f ca="1">OFFSET('MOD-Berechnungen'!$I209,0,'MOD-Jahresgang'!$I$3-2013)</f>
        <v>1.8834332599999994</v>
      </c>
      <c r="F31" s="78">
        <f ca="1">$C31+($D31-$C31)*F$4/12</f>
        <v>1.8700999266666662</v>
      </c>
      <c r="G31" s="23">
        <f t="shared" ref="G31:H37" ca="1" si="7">$C31+($D31-$C31)*G$4/12</f>
        <v>1.8712665933333328</v>
      </c>
      <c r="H31" s="23">
        <f t="shared" ca="1" si="7"/>
        <v>1.8724332599999995</v>
      </c>
      <c r="I31" s="78">
        <f ca="1">$D31+($E31-$D31)*I$4/12</f>
        <v>1.8733499266666662</v>
      </c>
      <c r="J31" s="23">
        <f t="shared" ref="J31:Q37" ca="1" si="8">$D31+($E31-$D31)*J$4/12</f>
        <v>1.8742665933333329</v>
      </c>
      <c r="K31" s="23">
        <f t="shared" ca="1" si="8"/>
        <v>1.8751832599999996</v>
      </c>
      <c r="L31" s="23">
        <f t="shared" ca="1" si="8"/>
        <v>1.8760999266666663</v>
      </c>
      <c r="M31" s="23">
        <f t="shared" ca="1" si="8"/>
        <v>1.8770165933333329</v>
      </c>
      <c r="N31" s="23">
        <f t="shared" ca="1" si="8"/>
        <v>1.8779332599999994</v>
      </c>
      <c r="O31" s="23">
        <f t="shared" ca="1" si="8"/>
        <v>1.8788499266666661</v>
      </c>
      <c r="P31" s="23">
        <f t="shared" ca="1" si="8"/>
        <v>1.8797665933333327</v>
      </c>
      <c r="Q31" s="79">
        <f t="shared" ca="1" si="8"/>
        <v>1.8806832599999994</v>
      </c>
      <c r="S31" s="228"/>
      <c r="T31" s="142"/>
    </row>
    <row r="32" spans="1:20" ht="15" customHeight="1" outlineLevel="2">
      <c r="A32" s="561"/>
      <c r="B32" s="304" t="s">
        <v>50</v>
      </c>
      <c r="C32" s="239">
        <f ca="1">OFFSET('MOD-Berechnungen'!$I210,0,'MOD-Jahresgang'!$I$3-2013-2)</f>
        <v>0.62966499999999992</v>
      </c>
      <c r="D32" s="240">
        <f ca="1">OFFSET('MOD-Berechnungen'!$I210,0,'MOD-Jahresgang'!$I$3-2013-1)</f>
        <v>0.45391480000000001</v>
      </c>
      <c r="E32" s="240">
        <f ca="1">OFFSET('MOD-Berechnungen'!$I210,0,'MOD-Jahresgang'!$I$3-2013)</f>
        <v>0.40277780000000002</v>
      </c>
      <c r="F32" s="80">
        <f t="shared" ref="F32:F37" ca="1" si="9">$C32+($D32-$C32)*F$4/12</f>
        <v>0.48320649999999998</v>
      </c>
      <c r="G32" s="328">
        <f t="shared" ca="1" si="7"/>
        <v>0.46856065000000002</v>
      </c>
      <c r="H32" s="328">
        <f t="shared" ca="1" si="7"/>
        <v>0.45391480000000006</v>
      </c>
      <c r="I32" s="80">
        <f t="shared" ref="I32:I37" ca="1" si="10">$D32+($E32-$D32)*I$4/12</f>
        <v>0.44965338333333332</v>
      </c>
      <c r="J32" s="328">
        <f t="shared" ca="1" si="8"/>
        <v>0.44539196666666669</v>
      </c>
      <c r="K32" s="328">
        <f t="shared" ca="1" si="8"/>
        <v>0.44113055000000001</v>
      </c>
      <c r="L32" s="328">
        <f t="shared" ca="1" si="8"/>
        <v>0.43686913333333333</v>
      </c>
      <c r="M32" s="328">
        <f t="shared" ca="1" si="8"/>
        <v>0.4326077166666667</v>
      </c>
      <c r="N32" s="328">
        <f t="shared" ca="1" si="8"/>
        <v>0.42834630000000001</v>
      </c>
      <c r="O32" s="328">
        <f t="shared" ca="1" si="8"/>
        <v>0.42408488333333333</v>
      </c>
      <c r="P32" s="328">
        <f t="shared" ca="1" si="8"/>
        <v>0.4198234666666667</v>
      </c>
      <c r="Q32" s="394">
        <f t="shared" ca="1" si="8"/>
        <v>0.41556205000000002</v>
      </c>
      <c r="S32" s="228"/>
      <c r="T32" s="142"/>
    </row>
    <row r="33" spans="1:20" ht="15" customHeight="1" outlineLevel="2">
      <c r="A33" s="561"/>
      <c r="B33" s="304" t="s">
        <v>13</v>
      </c>
      <c r="C33" s="239">
        <f ca="1">OFFSET('MOD-Berechnungen'!$I211,0,'MOD-Jahresgang'!$I$3-2013-2)</f>
        <v>8.5016447400000015</v>
      </c>
      <c r="D33" s="240">
        <f ca="1">OFFSET('MOD-Berechnungen'!$I211,0,'MOD-Jahresgang'!$I$3-2013-1)</f>
        <v>8.449833970000002</v>
      </c>
      <c r="E33" s="240">
        <f ca="1">OFFSET('MOD-Berechnungen'!$I211,0,'MOD-Jahresgang'!$I$3-2013)</f>
        <v>8.6286001700000003</v>
      </c>
      <c r="F33" s="80">
        <f t="shared" ca="1" si="9"/>
        <v>8.4584690983333353</v>
      </c>
      <c r="G33" s="328">
        <f t="shared" ca="1" si="7"/>
        <v>8.4541515341666695</v>
      </c>
      <c r="H33" s="328">
        <f t="shared" ca="1" si="7"/>
        <v>8.449833970000002</v>
      </c>
      <c r="I33" s="80">
        <f t="shared" ca="1" si="10"/>
        <v>8.4647311533333358</v>
      </c>
      <c r="J33" s="328">
        <f t="shared" ca="1" si="8"/>
        <v>8.4796283366666678</v>
      </c>
      <c r="K33" s="328">
        <f t="shared" ca="1" si="8"/>
        <v>8.4945255200000016</v>
      </c>
      <c r="L33" s="328">
        <f t="shared" ca="1" si="8"/>
        <v>8.5094227033333354</v>
      </c>
      <c r="M33" s="328">
        <f t="shared" ca="1" si="8"/>
        <v>8.5243198866666674</v>
      </c>
      <c r="N33" s="328">
        <f t="shared" ca="1" si="8"/>
        <v>8.5392170700000012</v>
      </c>
      <c r="O33" s="328">
        <f t="shared" ca="1" si="8"/>
        <v>8.554114253333335</v>
      </c>
      <c r="P33" s="328">
        <f t="shared" ca="1" si="8"/>
        <v>8.569011436666667</v>
      </c>
      <c r="Q33" s="394">
        <f t="shared" ca="1" si="8"/>
        <v>8.5839086200000008</v>
      </c>
      <c r="S33" s="228"/>
      <c r="T33" s="142"/>
    </row>
    <row r="34" spans="1:20" ht="15" customHeight="1" outlineLevel="2">
      <c r="A34" s="561"/>
      <c r="B34" s="304" t="s">
        <v>12</v>
      </c>
      <c r="C34" s="239">
        <f ca="1">OFFSET('MOD-Berechnungen'!$I212,0,'MOD-Jahresgang'!$I$3-2013-2)</f>
        <v>5.5E-2</v>
      </c>
      <c r="D34" s="240">
        <f ca="1">OFFSET('MOD-Berechnungen'!$I212,0,'MOD-Jahresgang'!$I$3-2013-1)</f>
        <v>6.4000000000000001E-2</v>
      </c>
      <c r="E34" s="240">
        <f ca="1">OFFSET('MOD-Berechnungen'!$I212,0,'MOD-Jahresgang'!$I$3-2013)</f>
        <v>9.4E-2</v>
      </c>
      <c r="F34" s="80">
        <f t="shared" ca="1" si="9"/>
        <v>6.25E-2</v>
      </c>
      <c r="G34" s="328">
        <f t="shared" ca="1" si="7"/>
        <v>6.3250000000000001E-2</v>
      </c>
      <c r="H34" s="328">
        <f t="shared" ca="1" si="7"/>
        <v>6.4000000000000001E-2</v>
      </c>
      <c r="I34" s="80">
        <f t="shared" ca="1" si="10"/>
        <v>6.6500000000000004E-2</v>
      </c>
      <c r="J34" s="328">
        <f t="shared" ca="1" si="8"/>
        <v>6.9000000000000006E-2</v>
      </c>
      <c r="K34" s="328">
        <f t="shared" ca="1" si="8"/>
        <v>7.1500000000000008E-2</v>
      </c>
      <c r="L34" s="328">
        <f t="shared" ca="1" si="8"/>
        <v>7.3999999999999996E-2</v>
      </c>
      <c r="M34" s="328">
        <f t="shared" ca="1" si="8"/>
        <v>7.6499999999999999E-2</v>
      </c>
      <c r="N34" s="328">
        <f t="shared" ca="1" si="8"/>
        <v>7.9000000000000001E-2</v>
      </c>
      <c r="O34" s="328">
        <f t="shared" ca="1" si="8"/>
        <v>8.1500000000000003E-2</v>
      </c>
      <c r="P34" s="328">
        <f t="shared" ca="1" si="8"/>
        <v>8.4000000000000005E-2</v>
      </c>
      <c r="Q34" s="394">
        <f t="shared" ca="1" si="8"/>
        <v>8.6500000000000007E-2</v>
      </c>
      <c r="S34" s="228"/>
      <c r="T34" s="142"/>
    </row>
    <row r="35" spans="1:20" ht="15" customHeight="1" outlineLevel="2">
      <c r="A35" s="561"/>
      <c r="B35" s="304" t="s">
        <v>24</v>
      </c>
      <c r="C35" s="239">
        <f ca="1">OFFSET('MOD-Berechnungen'!$I213,0,'MOD-Jahresgang'!$I$3-2013-2)</f>
        <v>54.103567479999995</v>
      </c>
      <c r="D35" s="240">
        <f ca="1">OFFSET('MOD-Berechnungen'!$I213,0,'MOD-Jahresgang'!$I$3-2013-1)</f>
        <v>53.797774369999992</v>
      </c>
      <c r="E35" s="240">
        <f ca="1">OFFSET('MOD-Berechnungen'!$I213,0,'MOD-Jahresgang'!$I$3-2013)</f>
        <v>53.204100569999994</v>
      </c>
      <c r="F35" s="80">
        <f t="shared" ca="1" si="9"/>
        <v>53.848739888333327</v>
      </c>
      <c r="G35" s="328">
        <f t="shared" ca="1" si="7"/>
        <v>53.823257129166656</v>
      </c>
      <c r="H35" s="328">
        <f t="shared" ca="1" si="7"/>
        <v>53.797774369999992</v>
      </c>
      <c r="I35" s="80">
        <f t="shared" ca="1" si="10"/>
        <v>53.748301553333327</v>
      </c>
      <c r="J35" s="328">
        <f t="shared" ca="1" si="8"/>
        <v>53.698828736666655</v>
      </c>
      <c r="K35" s="328">
        <f t="shared" ca="1" si="8"/>
        <v>53.649355919999991</v>
      </c>
      <c r="L35" s="328">
        <f t="shared" ca="1" si="8"/>
        <v>53.599883103333326</v>
      </c>
      <c r="M35" s="328">
        <f t="shared" ca="1" si="8"/>
        <v>53.550410286666661</v>
      </c>
      <c r="N35" s="328">
        <f t="shared" ca="1" si="8"/>
        <v>53.500937469999997</v>
      </c>
      <c r="O35" s="328">
        <f t="shared" ca="1" si="8"/>
        <v>53.451464653333325</v>
      </c>
      <c r="P35" s="328">
        <f t="shared" ca="1" si="8"/>
        <v>53.40199183666666</v>
      </c>
      <c r="Q35" s="394">
        <f t="shared" ca="1" si="8"/>
        <v>53.352519019999995</v>
      </c>
      <c r="S35" s="228"/>
      <c r="T35" s="142"/>
    </row>
    <row r="36" spans="1:20" ht="15" customHeight="1" outlineLevel="2">
      <c r="A36" s="561"/>
      <c r="B36" s="304" t="s">
        <v>26</v>
      </c>
      <c r="C36" s="239">
        <f ca="1">OFFSET('MOD-Berechnungen'!$I214,0,'MOD-Jahresgang'!$I$3-2013-2)</f>
        <v>7.7470000000000008</v>
      </c>
      <c r="D36" s="240">
        <f ca="1">OFFSET('MOD-Berechnungen'!$I214,0,'MOD-Jahresgang'!$I$3-2013-1)</f>
        <v>7.7470000000000008</v>
      </c>
      <c r="E36" s="240">
        <f ca="1">OFFSET('MOD-Berechnungen'!$I214,0,'MOD-Jahresgang'!$I$3-2013)</f>
        <v>8.0890000000000004</v>
      </c>
      <c r="F36" s="80">
        <f t="shared" ca="1" si="9"/>
        <v>7.7470000000000008</v>
      </c>
      <c r="G36" s="328">
        <f t="shared" ca="1" si="7"/>
        <v>7.7470000000000008</v>
      </c>
      <c r="H36" s="328">
        <f t="shared" ca="1" si="7"/>
        <v>7.7470000000000008</v>
      </c>
      <c r="I36" s="80">
        <f t="shared" ca="1" si="10"/>
        <v>7.775500000000001</v>
      </c>
      <c r="J36" s="328">
        <f t="shared" ca="1" si="8"/>
        <v>7.8040000000000003</v>
      </c>
      <c r="K36" s="328">
        <f t="shared" ca="1" si="8"/>
        <v>7.8325000000000005</v>
      </c>
      <c r="L36" s="328">
        <f t="shared" ca="1" si="8"/>
        <v>7.8610000000000007</v>
      </c>
      <c r="M36" s="328">
        <f t="shared" ca="1" si="8"/>
        <v>7.8895000000000008</v>
      </c>
      <c r="N36" s="328">
        <f t="shared" ca="1" si="8"/>
        <v>7.918000000000001</v>
      </c>
      <c r="O36" s="328">
        <f t="shared" ca="1" si="8"/>
        <v>7.9465000000000003</v>
      </c>
      <c r="P36" s="328">
        <f t="shared" ca="1" si="8"/>
        <v>7.9750000000000005</v>
      </c>
      <c r="Q36" s="394">
        <f t="shared" ca="1" si="8"/>
        <v>8.0035000000000007</v>
      </c>
      <c r="S36" s="228"/>
      <c r="T36" s="142"/>
    </row>
    <row r="37" spans="1:20" ht="15" customHeight="1" outlineLevel="2">
      <c r="A37" s="561"/>
      <c r="B37" s="305" t="s">
        <v>14</v>
      </c>
      <c r="C37" s="241">
        <f ca="1">OFFSET('MOD-Berechnungen'!$I215,0,'MOD-Jahresgang'!$I$3-2013-2)</f>
        <v>53.847999999999999</v>
      </c>
      <c r="D37" s="242">
        <f ca="1">OFFSET('MOD-Berechnungen'!$I215,0,'MOD-Jahresgang'!$I$3-2013-1)</f>
        <v>59.138027506000064</v>
      </c>
      <c r="E37" s="242">
        <f ca="1">OFFSET('MOD-Berechnungen'!$I215,0,'MOD-Jahresgang'!$I$3-2013)</f>
        <v>65.364388816000059</v>
      </c>
      <c r="F37" s="81">
        <f t="shared" ca="1" si="9"/>
        <v>58.256356255000057</v>
      </c>
      <c r="G37" s="25">
        <f t="shared" ca="1" si="7"/>
        <v>58.697191880500057</v>
      </c>
      <c r="H37" s="25">
        <f t="shared" ca="1" si="7"/>
        <v>59.138027506000064</v>
      </c>
      <c r="I37" s="81">
        <f t="shared" ca="1" si="10"/>
        <v>59.656890948500063</v>
      </c>
      <c r="J37" s="25">
        <f t="shared" ca="1" si="8"/>
        <v>60.175754391000062</v>
      </c>
      <c r="K37" s="25">
        <f t="shared" ca="1" si="8"/>
        <v>60.694617833500061</v>
      </c>
      <c r="L37" s="25">
        <f t="shared" ca="1" si="8"/>
        <v>61.21348127600006</v>
      </c>
      <c r="M37" s="25">
        <f t="shared" ca="1" si="8"/>
        <v>61.732344718500059</v>
      </c>
      <c r="N37" s="25">
        <f t="shared" ca="1" si="8"/>
        <v>62.251208161000065</v>
      </c>
      <c r="O37" s="25">
        <f t="shared" ca="1" si="8"/>
        <v>62.770071603500064</v>
      </c>
      <c r="P37" s="25">
        <f t="shared" ca="1" si="8"/>
        <v>63.288935046000063</v>
      </c>
      <c r="Q37" s="82">
        <f t="shared" ca="1" si="8"/>
        <v>63.807798488500062</v>
      </c>
      <c r="S37" s="228"/>
      <c r="T37" s="142"/>
    </row>
    <row r="38" spans="1:20" ht="15" customHeight="1" outlineLevel="1">
      <c r="A38" s="561"/>
      <c r="D38" s="26"/>
      <c r="E38" s="222"/>
      <c r="F38" s="212"/>
      <c r="I38" s="212"/>
      <c r="S38" s="228"/>
      <c r="T38" s="142"/>
    </row>
    <row r="39" spans="1:20" ht="29.25" customHeight="1" outlineLevel="1">
      <c r="A39" s="561"/>
      <c r="B39" s="211" t="s">
        <v>91</v>
      </c>
      <c r="C39" s="84"/>
      <c r="D39" s="84">
        <f>$I$3</f>
        <v>2022</v>
      </c>
      <c r="E39" s="84"/>
      <c r="F39" s="212"/>
      <c r="I39" s="212"/>
      <c r="S39" s="228"/>
      <c r="T39" s="142"/>
    </row>
    <row r="40" spans="1:20" ht="15" customHeight="1" outlineLevel="1">
      <c r="A40" s="561"/>
      <c r="B40" s="302" t="s">
        <v>236</v>
      </c>
      <c r="C40" s="988"/>
      <c r="D40" s="1005">
        <f ca="1">OFFSET('MOD-Berechnungen'!$I7,0,'MOD-Jahresgang'!$I$3-2013)</f>
        <v>78.400000000000006</v>
      </c>
      <c r="E40" s="992"/>
      <c r="F40" s="229"/>
      <c r="G40" s="229"/>
      <c r="H40" s="229"/>
      <c r="I40" s="229"/>
      <c r="J40" s="229"/>
      <c r="K40" s="229"/>
      <c r="L40" s="229"/>
      <c r="M40" s="229"/>
      <c r="N40" s="229"/>
      <c r="O40" s="229"/>
      <c r="P40" s="229"/>
      <c r="Q40" s="229"/>
      <c r="S40" s="228"/>
      <c r="T40" s="142"/>
    </row>
    <row r="41" spans="1:20" ht="15" customHeight="1" outlineLevel="1">
      <c r="A41" s="561"/>
      <c r="B41" s="304" t="s">
        <v>237</v>
      </c>
      <c r="C41" s="224"/>
      <c r="D41" s="1006">
        <f ca="1">OFFSET('MOD-Berechnungen'!$I8,0,'MOD-Jahresgang'!$I$3-2013)</f>
        <v>1</v>
      </c>
      <c r="E41" s="993"/>
      <c r="F41" s="229"/>
      <c r="G41" s="229"/>
      <c r="H41" s="229"/>
      <c r="I41" s="229"/>
      <c r="J41" s="229"/>
      <c r="K41" s="229"/>
      <c r="L41" s="229"/>
      <c r="M41" s="229"/>
      <c r="N41" s="229"/>
      <c r="O41" s="229"/>
      <c r="P41" s="229"/>
      <c r="Q41" s="229"/>
      <c r="S41" s="228"/>
      <c r="T41" s="142"/>
    </row>
    <row r="42" spans="1:20" ht="15" customHeight="1" outlineLevel="1">
      <c r="A42" s="561"/>
      <c r="B42" s="305" t="s">
        <v>238</v>
      </c>
      <c r="C42" s="990"/>
      <c r="D42" s="1007">
        <f ca="1">D41*D40</f>
        <v>78.400000000000006</v>
      </c>
      <c r="E42" s="994"/>
      <c r="F42" s="986">
        <f t="shared" ref="F42:H42" ca="1" si="11">$D$42</f>
        <v>78.400000000000006</v>
      </c>
      <c r="G42" s="986">
        <f t="shared" ca="1" si="11"/>
        <v>78.400000000000006</v>
      </c>
      <c r="H42" s="986">
        <f t="shared" ca="1" si="11"/>
        <v>78.400000000000006</v>
      </c>
      <c r="I42" s="985">
        <f ca="1">$D$42</f>
        <v>78.400000000000006</v>
      </c>
      <c r="J42" s="986">
        <f t="shared" ref="J42:Q42" ca="1" si="12">$D$42</f>
        <v>78.400000000000006</v>
      </c>
      <c r="K42" s="986">
        <f t="shared" ca="1" si="12"/>
        <v>78.400000000000006</v>
      </c>
      <c r="L42" s="986">
        <f t="shared" ca="1" si="12"/>
        <v>78.400000000000006</v>
      </c>
      <c r="M42" s="986">
        <f t="shared" ca="1" si="12"/>
        <v>78.400000000000006</v>
      </c>
      <c r="N42" s="986">
        <f t="shared" ca="1" si="12"/>
        <v>78.400000000000006</v>
      </c>
      <c r="O42" s="986">
        <f t="shared" ca="1" si="12"/>
        <v>78.400000000000006</v>
      </c>
      <c r="P42" s="986">
        <f t="shared" ca="1" si="12"/>
        <v>78.400000000000006</v>
      </c>
      <c r="Q42" s="987">
        <f t="shared" ca="1" si="12"/>
        <v>78.400000000000006</v>
      </c>
      <c r="S42" s="228"/>
      <c r="T42" s="142"/>
    </row>
    <row r="43" spans="1:20" ht="15" customHeight="1" outlineLevel="1">
      <c r="A43" s="561"/>
      <c r="B43" s="322"/>
      <c r="D43" s="26"/>
      <c r="E43" s="222"/>
      <c r="F43" s="224"/>
      <c r="G43" s="210"/>
      <c r="H43" s="210"/>
      <c r="I43" s="212"/>
      <c r="S43" s="228"/>
      <c r="T43" s="142"/>
    </row>
    <row r="44" spans="1:20" outlineLevel="1">
      <c r="A44" s="561"/>
      <c r="B44" s="322" t="s">
        <v>176</v>
      </c>
      <c r="C44" s="84">
        <f>$I$3-1</f>
        <v>2021</v>
      </c>
      <c r="D44" s="84">
        <f>$I$3</f>
        <v>2022</v>
      </c>
      <c r="F44" s="212"/>
      <c r="I44" s="212"/>
      <c r="S44" s="228"/>
      <c r="T44" s="142"/>
    </row>
    <row r="45" spans="1:20" outlineLevel="2">
      <c r="A45" s="561"/>
      <c r="B45" s="302" t="s">
        <v>25</v>
      </c>
      <c r="C45" s="237">
        <f ca="1">OFFSET('MOD-Berechnungen'!$I140,0,'MOD-Jahresgang'!$I$3-2013-1)</f>
        <v>96.066608000039679</v>
      </c>
      <c r="D45" s="1002">
        <f ca="1">OFFSET('MOD-Berechnungen'!$I140,0,'MOD-Jahresgang'!$I$3-2013)</f>
        <v>95.834356765035722</v>
      </c>
      <c r="E45" s="989"/>
      <c r="F45" s="78">
        <f ca="1">$C45</f>
        <v>96.066608000039679</v>
      </c>
      <c r="G45" s="23">
        <f ca="1">$C45</f>
        <v>96.066608000039679</v>
      </c>
      <c r="H45" s="23">
        <f ca="1">$C45</f>
        <v>96.066608000039679</v>
      </c>
      <c r="I45" s="78">
        <f ca="1">$D45</f>
        <v>95.834356765035722</v>
      </c>
      <c r="J45" s="1014">
        <f t="shared" ref="J45:P45" ca="1" si="13">$D45</f>
        <v>95.834356765035722</v>
      </c>
      <c r="K45" s="1014">
        <f t="shared" ca="1" si="13"/>
        <v>95.834356765035722</v>
      </c>
      <c r="L45" s="1014">
        <f t="shared" ca="1" si="13"/>
        <v>95.834356765035722</v>
      </c>
      <c r="M45" s="1014">
        <f t="shared" ca="1" si="13"/>
        <v>95.834356765035722</v>
      </c>
      <c r="N45" s="1014">
        <f t="shared" ca="1" si="13"/>
        <v>95.834356765035722</v>
      </c>
      <c r="O45" s="1014">
        <f t="shared" ca="1" si="13"/>
        <v>95.834356765035722</v>
      </c>
      <c r="P45" s="1014">
        <f t="shared" ca="1" si="13"/>
        <v>95.834356765035722</v>
      </c>
      <c r="Q45" s="79">
        <f ca="1">$D45</f>
        <v>95.834356765035722</v>
      </c>
      <c r="R45" s="301"/>
      <c r="S45" s="301" t="s">
        <v>554</v>
      </c>
      <c r="T45" s="340"/>
    </row>
    <row r="46" spans="1:20" outlineLevel="2">
      <c r="A46" s="561"/>
      <c r="B46" s="304" t="s">
        <v>50</v>
      </c>
      <c r="C46" s="239">
        <f ca="1">OFFSET('MOD-Berechnungen'!$I141,0,'MOD-Jahresgang'!$I$3-2013-1)</f>
        <v>71.292092493824555</v>
      </c>
      <c r="D46" s="1003">
        <f ca="1">OFFSET('MOD-Berechnungen'!$I141,0,'MOD-Jahresgang'!$I$3-2013)</f>
        <v>71.350290170163703</v>
      </c>
      <c r="E46" s="210"/>
      <c r="F46" s="80">
        <f t="shared" ref="F46:H51" ca="1" si="14">$C46</f>
        <v>71.292092493824555</v>
      </c>
      <c r="G46" s="328">
        <f t="shared" ca="1" si="14"/>
        <v>71.292092493824555</v>
      </c>
      <c r="H46" s="328">
        <f t="shared" ca="1" si="14"/>
        <v>71.292092493824555</v>
      </c>
      <c r="I46" s="80">
        <f t="shared" ref="I46:Q51" ca="1" si="15">$D46</f>
        <v>71.350290170163703</v>
      </c>
      <c r="J46" s="328">
        <f t="shared" ca="1" si="15"/>
        <v>71.350290170163703</v>
      </c>
      <c r="K46" s="328">
        <f t="shared" ca="1" si="15"/>
        <v>71.350290170163703</v>
      </c>
      <c r="L46" s="328">
        <f t="shared" ca="1" si="15"/>
        <v>71.350290170163703</v>
      </c>
      <c r="M46" s="328">
        <f t="shared" ca="1" si="15"/>
        <v>71.350290170163703</v>
      </c>
      <c r="N46" s="328">
        <f t="shared" ca="1" si="15"/>
        <v>71.350290170163703</v>
      </c>
      <c r="O46" s="328">
        <f t="shared" ca="1" si="15"/>
        <v>71.350290170163703</v>
      </c>
      <c r="P46" s="328">
        <f t="shared" ca="1" si="15"/>
        <v>71.350290170163703</v>
      </c>
      <c r="Q46" s="394">
        <f t="shared" ca="1" si="15"/>
        <v>71.350290170163703</v>
      </c>
      <c r="R46" s="301"/>
      <c r="S46" s="301" t="s">
        <v>554</v>
      </c>
      <c r="T46" s="142"/>
    </row>
    <row r="47" spans="1:20" outlineLevel="2">
      <c r="A47" s="561"/>
      <c r="B47" s="304" t="s">
        <v>13</v>
      </c>
      <c r="C47" s="239">
        <f ca="1">OFFSET('MOD-Berechnungen'!$I142,0,'MOD-Jahresgang'!$I$3-2013-1)</f>
        <v>197.60807852307477</v>
      </c>
      <c r="D47" s="1003">
        <f ca="1">OFFSET('MOD-Berechnungen'!$I142,0,'MOD-Jahresgang'!$I$3-2013)</f>
        <v>198.36353041718752</v>
      </c>
      <c r="E47" s="210"/>
      <c r="F47" s="80">
        <f t="shared" ca="1" si="14"/>
        <v>197.60807852307477</v>
      </c>
      <c r="G47" s="328">
        <f t="shared" ca="1" si="14"/>
        <v>197.60807852307477</v>
      </c>
      <c r="H47" s="328">
        <f t="shared" ca="1" si="14"/>
        <v>197.60807852307477</v>
      </c>
      <c r="I47" s="80">
        <f t="shared" ca="1" si="15"/>
        <v>198.36353041718752</v>
      </c>
      <c r="J47" s="328">
        <f t="shared" ca="1" si="15"/>
        <v>198.36353041718752</v>
      </c>
      <c r="K47" s="328">
        <f t="shared" ca="1" si="15"/>
        <v>198.36353041718752</v>
      </c>
      <c r="L47" s="328">
        <f t="shared" ca="1" si="15"/>
        <v>198.36353041718752</v>
      </c>
      <c r="M47" s="328">
        <f t="shared" ca="1" si="15"/>
        <v>198.36353041718752</v>
      </c>
      <c r="N47" s="328">
        <f t="shared" ca="1" si="15"/>
        <v>198.36353041718752</v>
      </c>
      <c r="O47" s="328">
        <f t="shared" ca="1" si="15"/>
        <v>198.36353041718752</v>
      </c>
      <c r="P47" s="328">
        <f t="shared" ca="1" si="15"/>
        <v>198.36353041718752</v>
      </c>
      <c r="Q47" s="394">
        <f t="shared" ca="1" si="15"/>
        <v>198.36353041718752</v>
      </c>
      <c r="R47" s="301"/>
      <c r="S47" s="301" t="s">
        <v>554</v>
      </c>
      <c r="T47" s="142"/>
    </row>
    <row r="48" spans="1:20" outlineLevel="2">
      <c r="A48" s="561"/>
      <c r="B48" s="304" t="s">
        <v>12</v>
      </c>
      <c r="C48" s="239">
        <f ca="1">OFFSET('MOD-Berechnungen'!$I143,0,'MOD-Jahresgang'!$I$3-2013-1)</f>
        <v>248.65452372169901</v>
      </c>
      <c r="D48" s="1003">
        <f ca="1">OFFSET('MOD-Berechnungen'!$I143,0,'MOD-Jahresgang'!$I$3-2013)</f>
        <v>248.63639031970303</v>
      </c>
      <c r="E48" s="210"/>
      <c r="F48" s="80">
        <f t="shared" ca="1" si="14"/>
        <v>248.65452372169901</v>
      </c>
      <c r="G48" s="328">
        <f t="shared" ca="1" si="14"/>
        <v>248.65452372169901</v>
      </c>
      <c r="H48" s="328">
        <f t="shared" ca="1" si="14"/>
        <v>248.65452372169901</v>
      </c>
      <c r="I48" s="80">
        <f t="shared" ca="1" si="15"/>
        <v>248.63639031970303</v>
      </c>
      <c r="J48" s="328">
        <f t="shared" ca="1" si="15"/>
        <v>248.63639031970303</v>
      </c>
      <c r="K48" s="328">
        <f t="shared" ca="1" si="15"/>
        <v>248.63639031970303</v>
      </c>
      <c r="L48" s="328">
        <f t="shared" ca="1" si="15"/>
        <v>248.63639031970303</v>
      </c>
      <c r="M48" s="328">
        <f t="shared" ca="1" si="15"/>
        <v>248.63639031970303</v>
      </c>
      <c r="N48" s="328">
        <f t="shared" ca="1" si="15"/>
        <v>248.63639031970303</v>
      </c>
      <c r="O48" s="328">
        <f t="shared" ca="1" si="15"/>
        <v>248.63639031970303</v>
      </c>
      <c r="P48" s="328">
        <f t="shared" ca="1" si="15"/>
        <v>248.63639031970303</v>
      </c>
      <c r="Q48" s="394">
        <f t="shared" ca="1" si="15"/>
        <v>248.63639031970303</v>
      </c>
      <c r="R48" s="301"/>
      <c r="S48" s="301" t="s">
        <v>554</v>
      </c>
      <c r="T48" s="142"/>
    </row>
    <row r="49" spans="1:21" outlineLevel="2">
      <c r="A49" s="561"/>
      <c r="B49" s="304" t="s">
        <v>24</v>
      </c>
      <c r="C49" s="239">
        <f ca="1">OFFSET('MOD-Berechnungen'!$I144,0,'MOD-Jahresgang'!$I$3-2013-1)</f>
        <v>87.658156173485565</v>
      </c>
      <c r="D49" s="1003">
        <f ca="1">OFFSET('MOD-Berechnungen'!$I144,0,'MOD-Jahresgang'!$I$3-2013)</f>
        <v>84.023582564737382</v>
      </c>
      <c r="E49" s="210"/>
      <c r="F49" s="80">
        <f t="shared" ca="1" si="14"/>
        <v>87.658156173485565</v>
      </c>
      <c r="G49" s="328">
        <f t="shared" ca="1" si="14"/>
        <v>87.658156173485565</v>
      </c>
      <c r="H49" s="328">
        <f t="shared" ca="1" si="14"/>
        <v>87.658156173485565</v>
      </c>
      <c r="I49" s="80">
        <f t="shared" ca="1" si="15"/>
        <v>84.023582564737382</v>
      </c>
      <c r="J49" s="328">
        <f t="shared" ca="1" si="15"/>
        <v>84.023582564737382</v>
      </c>
      <c r="K49" s="328">
        <f t="shared" ca="1" si="15"/>
        <v>84.023582564737382</v>
      </c>
      <c r="L49" s="328">
        <f t="shared" ca="1" si="15"/>
        <v>84.023582564737382</v>
      </c>
      <c r="M49" s="328">
        <f t="shared" ca="1" si="15"/>
        <v>84.023582564737382</v>
      </c>
      <c r="N49" s="328">
        <f t="shared" ca="1" si="15"/>
        <v>84.023582564737382</v>
      </c>
      <c r="O49" s="328">
        <f t="shared" ca="1" si="15"/>
        <v>84.023582564737382</v>
      </c>
      <c r="P49" s="328">
        <f t="shared" ca="1" si="15"/>
        <v>84.023582564737382</v>
      </c>
      <c r="Q49" s="394">
        <f t="shared" ca="1" si="15"/>
        <v>84.023582564737382</v>
      </c>
      <c r="R49" s="301"/>
      <c r="S49" s="301" t="s">
        <v>554</v>
      </c>
      <c r="T49" s="142"/>
    </row>
    <row r="50" spans="1:21" outlineLevel="2">
      <c r="A50" s="561"/>
      <c r="B50" s="304" t="s">
        <v>26</v>
      </c>
      <c r="C50" s="239">
        <f ca="1">OFFSET('MOD-Berechnungen'!$I145,0,'MOD-Jahresgang'!$I$3-2013-1)</f>
        <v>185.38314339176773</v>
      </c>
      <c r="D50" s="1003">
        <f ca="1">OFFSET('MOD-Berechnungen'!$I145,0,'MOD-Jahresgang'!$I$3-2013)</f>
        <v>181.81112386172316</v>
      </c>
      <c r="E50" s="210"/>
      <c r="F50" s="80">
        <f t="shared" ca="1" si="14"/>
        <v>185.38314339176773</v>
      </c>
      <c r="G50" s="328">
        <f t="shared" ca="1" si="14"/>
        <v>185.38314339176773</v>
      </c>
      <c r="H50" s="328">
        <f t="shared" ca="1" si="14"/>
        <v>185.38314339176773</v>
      </c>
      <c r="I50" s="80">
        <f t="shared" ca="1" si="15"/>
        <v>181.81112386172316</v>
      </c>
      <c r="J50" s="328">
        <f t="shared" ca="1" si="15"/>
        <v>181.81112386172316</v>
      </c>
      <c r="K50" s="328">
        <f t="shared" ca="1" si="15"/>
        <v>181.81112386172316</v>
      </c>
      <c r="L50" s="328">
        <f t="shared" ca="1" si="15"/>
        <v>181.81112386172316</v>
      </c>
      <c r="M50" s="328">
        <f t="shared" ca="1" si="15"/>
        <v>181.81112386172316</v>
      </c>
      <c r="N50" s="328">
        <f t="shared" ca="1" si="15"/>
        <v>181.81112386172316</v>
      </c>
      <c r="O50" s="328">
        <f t="shared" ca="1" si="15"/>
        <v>181.81112386172316</v>
      </c>
      <c r="P50" s="328">
        <f t="shared" ca="1" si="15"/>
        <v>181.81112386172316</v>
      </c>
      <c r="Q50" s="394">
        <f t="shared" ca="1" si="15"/>
        <v>181.81112386172316</v>
      </c>
      <c r="R50" s="301"/>
      <c r="S50" s="301" t="s">
        <v>554</v>
      </c>
      <c r="T50" s="142"/>
    </row>
    <row r="51" spans="1:21" outlineLevel="2">
      <c r="A51" s="561"/>
      <c r="B51" s="305" t="s">
        <v>14</v>
      </c>
      <c r="C51" s="241">
        <f ca="1">OFFSET('MOD-Berechnungen'!$I146,0,'MOD-Jahresgang'!$I$3-2013-1)</f>
        <v>249.07864310282855</v>
      </c>
      <c r="D51" s="1004">
        <f ca="1">OFFSET('MOD-Berechnungen'!$I146,0,'MOD-Jahresgang'!$I$3-2013)</f>
        <v>235.80434786757371</v>
      </c>
      <c r="E51" s="991"/>
      <c r="F51" s="81">
        <f t="shared" ca="1" si="14"/>
        <v>249.07864310282855</v>
      </c>
      <c r="G51" s="25">
        <f t="shared" ca="1" si="14"/>
        <v>249.07864310282855</v>
      </c>
      <c r="H51" s="25">
        <f t="shared" ca="1" si="14"/>
        <v>249.07864310282855</v>
      </c>
      <c r="I51" s="81">
        <f t="shared" ca="1" si="15"/>
        <v>235.80434786757371</v>
      </c>
      <c r="J51" s="25">
        <f t="shared" ca="1" si="15"/>
        <v>235.80434786757371</v>
      </c>
      <c r="K51" s="25">
        <f t="shared" ca="1" si="15"/>
        <v>235.80434786757371</v>
      </c>
      <c r="L51" s="25">
        <f t="shared" ca="1" si="15"/>
        <v>235.80434786757371</v>
      </c>
      <c r="M51" s="25">
        <f t="shared" ca="1" si="15"/>
        <v>235.80434786757371</v>
      </c>
      <c r="N51" s="25">
        <f t="shared" ca="1" si="15"/>
        <v>235.80434786757371</v>
      </c>
      <c r="O51" s="25">
        <f t="shared" ca="1" si="15"/>
        <v>235.80434786757371</v>
      </c>
      <c r="P51" s="25">
        <f t="shared" ca="1" si="15"/>
        <v>235.80434786757371</v>
      </c>
      <c r="Q51" s="82">
        <f t="shared" ca="1" si="15"/>
        <v>235.80434786757371</v>
      </c>
      <c r="R51" s="301"/>
      <c r="S51" s="301" t="s">
        <v>554</v>
      </c>
      <c r="T51" s="142"/>
    </row>
    <row r="52" spans="1:21" outlineLevel="1">
      <c r="A52" s="561"/>
      <c r="C52" s="222"/>
      <c r="D52" s="222"/>
      <c r="F52" s="212"/>
      <c r="I52" s="212"/>
      <c r="S52" s="228"/>
      <c r="T52" s="142"/>
    </row>
    <row r="53" spans="1:21" outlineLevel="1">
      <c r="A53" s="561"/>
      <c r="B53" s="322" t="s">
        <v>177</v>
      </c>
      <c r="C53" s="84">
        <f>$I$3-1</f>
        <v>2021</v>
      </c>
      <c r="D53" s="84">
        <f>$I$3</f>
        <v>2022</v>
      </c>
      <c r="F53" s="212"/>
      <c r="I53" s="212"/>
      <c r="S53" s="228"/>
      <c r="T53" s="142"/>
    </row>
    <row r="54" spans="1:21" outlineLevel="2">
      <c r="A54" s="561"/>
      <c r="B54" s="302" t="s">
        <v>25</v>
      </c>
      <c r="C54" s="237">
        <f ca="1">OFFSET('MOD-Berechnungen'!$I29,0,'MOD-Jahresgang'!$I$3-2013-1)</f>
        <v>1</v>
      </c>
      <c r="D54" s="1002">
        <f ca="1">OFFSET('MOD-Berechnungen'!$I29,0,'MOD-Jahresgang'!$I$3-2013)</f>
        <v>1</v>
      </c>
      <c r="E54" s="989"/>
      <c r="F54" s="78">
        <f ca="1">$C54</f>
        <v>1</v>
      </c>
      <c r="G54" s="23">
        <f t="shared" ref="G54:H54" ca="1" si="16">$C54</f>
        <v>1</v>
      </c>
      <c r="H54" s="23">
        <f t="shared" ca="1" si="16"/>
        <v>1</v>
      </c>
      <c r="I54" s="78">
        <f t="shared" ref="I54:Q60" ca="1" si="17">$D54</f>
        <v>1</v>
      </c>
      <c r="J54" s="1014">
        <f t="shared" ca="1" si="17"/>
        <v>1</v>
      </c>
      <c r="K54" s="1014">
        <f t="shared" ca="1" si="17"/>
        <v>1</v>
      </c>
      <c r="L54" s="1014">
        <f t="shared" ca="1" si="17"/>
        <v>1</v>
      </c>
      <c r="M54" s="1014">
        <f t="shared" ca="1" si="17"/>
        <v>1</v>
      </c>
      <c r="N54" s="1014">
        <f t="shared" ca="1" si="17"/>
        <v>1</v>
      </c>
      <c r="O54" s="1014">
        <f t="shared" ca="1" si="17"/>
        <v>1</v>
      </c>
      <c r="P54" s="1014">
        <f t="shared" ca="1" si="17"/>
        <v>1</v>
      </c>
      <c r="Q54" s="79">
        <f t="shared" ca="1" si="17"/>
        <v>1</v>
      </c>
      <c r="S54" s="228"/>
      <c r="T54" s="142"/>
    </row>
    <row r="55" spans="1:21" outlineLevel="2">
      <c r="A55" s="561"/>
      <c r="B55" s="304" t="s">
        <v>50</v>
      </c>
      <c r="C55" s="239">
        <f ca="1">OFFSET('MOD-Berechnungen'!$I30,0,'MOD-Jahresgang'!$I$3-2013-1)</f>
        <v>1</v>
      </c>
      <c r="D55" s="1003">
        <f ca="1">OFFSET('MOD-Berechnungen'!$I30,0,'MOD-Jahresgang'!$I$3-2013)</f>
        <v>1</v>
      </c>
      <c r="E55" s="210"/>
      <c r="F55" s="80">
        <f t="shared" ref="F55:H60" ca="1" si="18">$C55</f>
        <v>1</v>
      </c>
      <c r="G55" s="328">
        <f t="shared" ca="1" si="18"/>
        <v>1</v>
      </c>
      <c r="H55" s="328">
        <f t="shared" ca="1" si="18"/>
        <v>1</v>
      </c>
      <c r="I55" s="80">
        <f t="shared" ca="1" si="17"/>
        <v>1</v>
      </c>
      <c r="J55" s="328">
        <f t="shared" ca="1" si="17"/>
        <v>1</v>
      </c>
      <c r="K55" s="328">
        <f t="shared" ca="1" si="17"/>
        <v>1</v>
      </c>
      <c r="L55" s="328">
        <f t="shared" ca="1" si="17"/>
        <v>1</v>
      </c>
      <c r="M55" s="328">
        <f t="shared" ca="1" si="17"/>
        <v>1</v>
      </c>
      <c r="N55" s="328">
        <f t="shared" ca="1" si="17"/>
        <v>1</v>
      </c>
      <c r="O55" s="328">
        <f t="shared" ca="1" si="17"/>
        <v>1</v>
      </c>
      <c r="P55" s="328">
        <f t="shared" ca="1" si="17"/>
        <v>1</v>
      </c>
      <c r="Q55" s="394">
        <f t="shared" ca="1" si="17"/>
        <v>1</v>
      </c>
      <c r="S55" s="228"/>
      <c r="T55" s="142"/>
    </row>
    <row r="56" spans="1:21" outlineLevel="2">
      <c r="A56" s="561"/>
      <c r="B56" s="304" t="s">
        <v>13</v>
      </c>
      <c r="C56" s="239">
        <f ca="1">OFFSET('MOD-Berechnungen'!$I31,0,'MOD-Jahresgang'!$I$3-2013-1)</f>
        <v>1</v>
      </c>
      <c r="D56" s="1003">
        <f ca="1">OFFSET('MOD-Berechnungen'!$I31,0,'MOD-Jahresgang'!$I$3-2013)</f>
        <v>1</v>
      </c>
      <c r="E56" s="210"/>
      <c r="F56" s="80">
        <f t="shared" ca="1" si="18"/>
        <v>1</v>
      </c>
      <c r="G56" s="328">
        <f t="shared" ca="1" si="18"/>
        <v>1</v>
      </c>
      <c r="H56" s="328">
        <f t="shared" ca="1" si="18"/>
        <v>1</v>
      </c>
      <c r="I56" s="80">
        <f t="shared" ca="1" si="17"/>
        <v>1</v>
      </c>
      <c r="J56" s="328">
        <f t="shared" ca="1" si="17"/>
        <v>1</v>
      </c>
      <c r="K56" s="328">
        <f t="shared" ca="1" si="17"/>
        <v>1</v>
      </c>
      <c r="L56" s="328">
        <f t="shared" ca="1" si="17"/>
        <v>1</v>
      </c>
      <c r="M56" s="328">
        <f t="shared" ca="1" si="17"/>
        <v>1</v>
      </c>
      <c r="N56" s="328">
        <f t="shared" ca="1" si="17"/>
        <v>1</v>
      </c>
      <c r="O56" s="328">
        <f t="shared" ca="1" si="17"/>
        <v>1</v>
      </c>
      <c r="P56" s="328">
        <f t="shared" ca="1" si="17"/>
        <v>1</v>
      </c>
      <c r="Q56" s="394">
        <f t="shared" ca="1" si="17"/>
        <v>1</v>
      </c>
      <c r="S56" s="228"/>
      <c r="T56" s="142"/>
    </row>
    <row r="57" spans="1:21" outlineLevel="2">
      <c r="A57" s="561"/>
      <c r="B57" s="304" t="s">
        <v>12</v>
      </c>
      <c r="C57" s="239">
        <f ca="1">OFFSET('MOD-Berechnungen'!$I32,0,'MOD-Jahresgang'!$I$3-2013-1)</f>
        <v>1</v>
      </c>
      <c r="D57" s="1003">
        <f ca="1">OFFSET('MOD-Berechnungen'!$I32,0,'MOD-Jahresgang'!$I$3-2013)</f>
        <v>1</v>
      </c>
      <c r="E57" s="210"/>
      <c r="F57" s="80">
        <f t="shared" ca="1" si="18"/>
        <v>1</v>
      </c>
      <c r="G57" s="328">
        <f t="shared" ca="1" si="18"/>
        <v>1</v>
      </c>
      <c r="H57" s="328">
        <f t="shared" ca="1" si="18"/>
        <v>1</v>
      </c>
      <c r="I57" s="80">
        <f t="shared" ca="1" si="17"/>
        <v>1</v>
      </c>
      <c r="J57" s="328">
        <f t="shared" ca="1" si="17"/>
        <v>1</v>
      </c>
      <c r="K57" s="328">
        <f t="shared" ca="1" si="17"/>
        <v>1</v>
      </c>
      <c r="L57" s="328">
        <f t="shared" ca="1" si="17"/>
        <v>1</v>
      </c>
      <c r="M57" s="328">
        <f t="shared" ca="1" si="17"/>
        <v>1</v>
      </c>
      <c r="N57" s="328">
        <f t="shared" ca="1" si="17"/>
        <v>1</v>
      </c>
      <c r="O57" s="328">
        <f t="shared" ca="1" si="17"/>
        <v>1</v>
      </c>
      <c r="P57" s="328">
        <f t="shared" ca="1" si="17"/>
        <v>1</v>
      </c>
      <c r="Q57" s="394">
        <f t="shared" ca="1" si="17"/>
        <v>1</v>
      </c>
      <c r="S57" s="228"/>
      <c r="T57" s="142"/>
    </row>
    <row r="58" spans="1:21" outlineLevel="2">
      <c r="A58" s="561"/>
      <c r="B58" s="304" t="s">
        <v>24</v>
      </c>
      <c r="C58" s="239">
        <f ca="1">OFFSET('MOD-Berechnungen'!$I33,0,'MOD-Jahresgang'!$I$3-2013-1)</f>
        <v>0.86899999999999999</v>
      </c>
      <c r="D58" s="1003">
        <f ca="1">OFFSET('MOD-Berechnungen'!$I33,0,'MOD-Jahresgang'!$I$3-2013)</f>
        <v>0.904522613065326</v>
      </c>
      <c r="E58" s="210"/>
      <c r="F58" s="80">
        <f ca="1">$C58</f>
        <v>0.86899999999999999</v>
      </c>
      <c r="G58" s="328">
        <f t="shared" ca="1" si="18"/>
        <v>0.86899999999999999</v>
      </c>
      <c r="H58" s="328">
        <f t="shared" ca="1" si="18"/>
        <v>0.86899999999999999</v>
      </c>
      <c r="I58" s="80">
        <f t="shared" ca="1" si="17"/>
        <v>0.904522613065326</v>
      </c>
      <c r="J58" s="328">
        <f t="shared" ca="1" si="17"/>
        <v>0.904522613065326</v>
      </c>
      <c r="K58" s="328">
        <f t="shared" ca="1" si="17"/>
        <v>0.904522613065326</v>
      </c>
      <c r="L58" s="328">
        <f t="shared" ca="1" si="17"/>
        <v>0.904522613065326</v>
      </c>
      <c r="M58" s="328">
        <f t="shared" ca="1" si="17"/>
        <v>0.904522613065326</v>
      </c>
      <c r="N58" s="328">
        <f t="shared" ca="1" si="17"/>
        <v>0.904522613065326</v>
      </c>
      <c r="O58" s="328">
        <f t="shared" ca="1" si="17"/>
        <v>0.904522613065326</v>
      </c>
      <c r="P58" s="328">
        <f t="shared" ca="1" si="17"/>
        <v>0.904522613065326</v>
      </c>
      <c r="Q58" s="394">
        <f t="shared" ca="1" si="17"/>
        <v>0.904522613065326</v>
      </c>
      <c r="S58" s="228"/>
      <c r="T58" s="142"/>
    </row>
    <row r="59" spans="1:21" outlineLevel="2">
      <c r="A59" s="561"/>
      <c r="B59" s="304" t="s">
        <v>26</v>
      </c>
      <c r="C59" s="239">
        <f ca="1">OFFSET('MOD-Berechnungen'!$I34,0,'MOD-Jahresgang'!$I$3-2013-1)</f>
        <v>0.88800000000000001</v>
      </c>
      <c r="D59" s="1003">
        <f ca="1">OFFSET('MOD-Berechnungen'!$I34,0,'MOD-Jahresgang'!$I$3-2013)</f>
        <v>0.94269005847953202</v>
      </c>
      <c r="E59" s="210"/>
      <c r="F59" s="80">
        <f t="shared" ca="1" si="18"/>
        <v>0.88800000000000001</v>
      </c>
      <c r="G59" s="328">
        <f t="shared" ca="1" si="18"/>
        <v>0.88800000000000001</v>
      </c>
      <c r="H59" s="328">
        <f t="shared" ca="1" si="18"/>
        <v>0.88800000000000001</v>
      </c>
      <c r="I59" s="80">
        <f t="shared" ca="1" si="17"/>
        <v>0.94269005847953202</v>
      </c>
      <c r="J59" s="328">
        <f t="shared" ca="1" si="17"/>
        <v>0.94269005847953202</v>
      </c>
      <c r="K59" s="328">
        <f t="shared" ca="1" si="17"/>
        <v>0.94269005847953202</v>
      </c>
      <c r="L59" s="328">
        <f t="shared" ca="1" si="17"/>
        <v>0.94269005847953202</v>
      </c>
      <c r="M59" s="328">
        <f t="shared" ca="1" si="17"/>
        <v>0.94269005847953202</v>
      </c>
      <c r="N59" s="328">
        <f t="shared" ca="1" si="17"/>
        <v>0.94269005847953202</v>
      </c>
      <c r="O59" s="328">
        <f t="shared" ca="1" si="17"/>
        <v>0.94269005847953202</v>
      </c>
      <c r="P59" s="328">
        <f t="shared" ca="1" si="17"/>
        <v>0.94269005847953202</v>
      </c>
      <c r="Q59" s="394">
        <f t="shared" ca="1" si="17"/>
        <v>0.94269005847953202</v>
      </c>
      <c r="S59" s="228"/>
      <c r="T59" s="142"/>
    </row>
    <row r="60" spans="1:21" outlineLevel="2">
      <c r="A60" s="561"/>
      <c r="B60" s="305" t="s">
        <v>14</v>
      </c>
      <c r="C60" s="241">
        <f ca="1">OFFSET('MOD-Berechnungen'!$I35,0,'MOD-Jahresgang'!$I$3-2013-1)</f>
        <v>0.91500000000000004</v>
      </c>
      <c r="D60" s="1004">
        <f ca="1">OFFSET('MOD-Berechnungen'!$I35,0,'MOD-Jahresgang'!$I$3-2013)</f>
        <v>0.91239048811013801</v>
      </c>
      <c r="E60" s="991"/>
      <c r="F60" s="81">
        <f t="shared" ca="1" si="18"/>
        <v>0.91500000000000004</v>
      </c>
      <c r="G60" s="25">
        <f t="shared" ca="1" si="18"/>
        <v>0.91500000000000004</v>
      </c>
      <c r="H60" s="25">
        <f t="shared" ca="1" si="18"/>
        <v>0.91500000000000004</v>
      </c>
      <c r="I60" s="81">
        <f t="shared" ca="1" si="17"/>
        <v>0.91239048811013801</v>
      </c>
      <c r="J60" s="25">
        <f t="shared" ca="1" si="17"/>
        <v>0.91239048811013801</v>
      </c>
      <c r="K60" s="25">
        <f t="shared" ca="1" si="17"/>
        <v>0.91239048811013801</v>
      </c>
      <c r="L60" s="25">
        <f t="shared" ca="1" si="17"/>
        <v>0.91239048811013801</v>
      </c>
      <c r="M60" s="25">
        <f t="shared" ca="1" si="17"/>
        <v>0.91239048811013801</v>
      </c>
      <c r="N60" s="25">
        <f t="shared" ca="1" si="17"/>
        <v>0.91239048811013801</v>
      </c>
      <c r="O60" s="25">
        <f t="shared" ca="1" si="17"/>
        <v>0.91239048811013801</v>
      </c>
      <c r="P60" s="25">
        <f t="shared" ca="1" si="17"/>
        <v>0.91239048811013801</v>
      </c>
      <c r="Q60" s="82">
        <f t="shared" ca="1" si="17"/>
        <v>0.91239048811013801</v>
      </c>
      <c r="S60" s="228"/>
      <c r="T60" s="142"/>
    </row>
    <row r="61" spans="1:21" outlineLevel="1">
      <c r="A61" s="561"/>
      <c r="F61" s="212"/>
      <c r="I61" s="212"/>
      <c r="S61" s="228"/>
      <c r="T61" s="142"/>
    </row>
    <row r="62" spans="1:21" outlineLevel="1">
      <c r="A62" s="561"/>
      <c r="D62" s="322" t="s">
        <v>51</v>
      </c>
      <c r="F62" s="212"/>
      <c r="I62" s="212"/>
      <c r="S62" s="228"/>
      <c r="T62" s="142"/>
    </row>
    <row r="63" spans="1:21" outlineLevel="1">
      <c r="A63" s="561"/>
      <c r="B63" s="322" t="s">
        <v>94</v>
      </c>
      <c r="C63" s="74"/>
      <c r="D63" s="74">
        <f>$I$3</f>
        <v>2022</v>
      </c>
      <c r="E63" s="84"/>
      <c r="F63" s="212"/>
      <c r="I63" s="212"/>
      <c r="R63" s="595"/>
      <c r="S63" s="230"/>
      <c r="T63" s="142"/>
    </row>
    <row r="64" spans="1:21" s="301" customFormat="1" ht="15" customHeight="1" outlineLevel="2">
      <c r="A64" s="561"/>
      <c r="B64" s="302" t="s">
        <v>25</v>
      </c>
      <c r="C64" s="298"/>
      <c r="D64" s="999">
        <f ca="1">OFFSET('MOD-Berechnungen'!$I47,0,'MOD-Jahresgang'!$I$3-2013)</f>
        <v>1</v>
      </c>
      <c r="E64" s="307"/>
      <c r="F64" s="327">
        <f t="shared" ref="F64:Q64" ca="1" si="19">F31*F22*$D64/1000</f>
        <v>0.51240737990666652</v>
      </c>
      <c r="G64" s="323">
        <f t="shared" ca="1" si="19"/>
        <v>0.52769717931999982</v>
      </c>
      <c r="H64" s="323">
        <f t="shared" ca="1" si="19"/>
        <v>0.67220354033999974</v>
      </c>
      <c r="I64" s="327">
        <f t="shared" ca="1" si="19"/>
        <v>0.7699468198599998</v>
      </c>
      <c r="J64" s="323">
        <f t="shared" ca="1" si="19"/>
        <v>0.76657503667333315</v>
      </c>
      <c r="K64" s="323">
        <f t="shared" ca="1" si="19"/>
        <v>0.89446241501999979</v>
      </c>
      <c r="L64" s="323">
        <f t="shared" ca="1" si="19"/>
        <v>0.83674056729333313</v>
      </c>
      <c r="M64" s="323">
        <f t="shared" ca="1" si="19"/>
        <v>0.7489296207399998</v>
      </c>
      <c r="N64" s="323">
        <f t="shared" ca="1" si="19"/>
        <v>0.55399031169999979</v>
      </c>
      <c r="O64" s="323">
        <f t="shared" ca="1" si="19"/>
        <v>0.44716628254666652</v>
      </c>
      <c r="P64" s="323">
        <f t="shared" ca="1" si="19"/>
        <v>0.47746071470666651</v>
      </c>
      <c r="Q64" s="324">
        <f t="shared" ca="1" si="19"/>
        <v>0.49461969737999983</v>
      </c>
      <c r="R64" s="75"/>
      <c r="S64" s="231"/>
      <c r="T64" s="75"/>
      <c r="U64" s="75"/>
    </row>
    <row r="65" spans="1:21" s="301" customFormat="1" ht="15" customHeight="1" outlineLevel="2">
      <c r="A65" s="561"/>
      <c r="B65" s="304" t="s">
        <v>50</v>
      </c>
      <c r="C65" s="296"/>
      <c r="D65" s="1000">
        <f ca="1">OFFSET('MOD-Berechnungen'!$I48,0,'MOD-Jahresgang'!$I$3-2013)</f>
        <v>1</v>
      </c>
      <c r="E65" s="331"/>
      <c r="F65" s="334">
        <f t="shared" ref="F65:Q65" ca="1" si="20">F32*F23*$D65/1000</f>
        <v>0.12563368999999999</v>
      </c>
      <c r="G65" s="332">
        <f t="shared" ca="1" si="20"/>
        <v>0.11760872315</v>
      </c>
      <c r="H65" s="332">
        <f t="shared" ca="1" si="20"/>
        <v>0.11801784800000001</v>
      </c>
      <c r="I65" s="334">
        <f t="shared" ca="1" si="20"/>
        <v>0.11646022628333333</v>
      </c>
      <c r="J65" s="332">
        <f t="shared" ca="1" si="20"/>
        <v>0.10511250413333334</v>
      </c>
      <c r="K65" s="332">
        <f t="shared" ca="1" si="20"/>
        <v>0.11425281245</v>
      </c>
      <c r="L65" s="332">
        <f t="shared" ca="1" si="20"/>
        <v>0.10965415246666665</v>
      </c>
      <c r="M65" s="332">
        <f t="shared" ca="1" si="20"/>
        <v>0.11204539861666668</v>
      </c>
      <c r="N65" s="332">
        <f t="shared" ca="1" si="20"/>
        <v>0.1075149213</v>
      </c>
      <c r="O65" s="332">
        <f t="shared" ca="1" si="20"/>
        <v>0.10983798478333333</v>
      </c>
      <c r="P65" s="332">
        <f t="shared" ca="1" si="20"/>
        <v>0.10873427786666667</v>
      </c>
      <c r="Q65" s="333">
        <f t="shared" ca="1" si="20"/>
        <v>0.10430607455</v>
      </c>
      <c r="R65" s="75"/>
      <c r="S65" s="231"/>
      <c r="T65" s="75"/>
      <c r="U65" s="75"/>
    </row>
    <row r="66" spans="1:21" s="301" customFormat="1" ht="15" customHeight="1" outlineLevel="2">
      <c r="A66" s="561"/>
      <c r="B66" s="304" t="s">
        <v>13</v>
      </c>
      <c r="C66" s="296"/>
      <c r="D66" s="1000">
        <f ca="1">OFFSET('MOD-Berechnungen'!$I49,0,'MOD-Jahresgang'!$I$3-2013)</f>
        <v>1</v>
      </c>
      <c r="E66" s="331"/>
      <c r="F66" s="334">
        <f t="shared" ref="F66:Q66" ca="1" si="21">F33*F24*$D66/1000</f>
        <v>4.2461514873633339</v>
      </c>
      <c r="G66" s="332">
        <f t="shared" ca="1" si="21"/>
        <v>4.108717645605001</v>
      </c>
      <c r="H66" s="332">
        <f t="shared" ca="1" si="21"/>
        <v>4.2418166529400017</v>
      </c>
      <c r="I66" s="334">
        <f t="shared" ca="1" si="21"/>
        <v>4.2492950389733339</v>
      </c>
      <c r="J66" s="332">
        <f t="shared" ca="1" si="21"/>
        <v>3.8497512648466672</v>
      </c>
      <c r="K66" s="332">
        <f t="shared" ca="1" si="21"/>
        <v>4.2642518110400003</v>
      </c>
      <c r="L66" s="332">
        <f t="shared" ca="1" si="21"/>
        <v>4.1355794338200011</v>
      </c>
      <c r="M66" s="332">
        <f t="shared" ca="1" si="21"/>
        <v>4.2792085831066666</v>
      </c>
      <c r="N66" s="332">
        <f t="shared" ca="1" si="21"/>
        <v>4.1500594960200008</v>
      </c>
      <c r="O66" s="332">
        <f t="shared" ca="1" si="21"/>
        <v>4.2941653551733348</v>
      </c>
      <c r="P66" s="332">
        <f t="shared" ca="1" si="21"/>
        <v>4.301643741206667</v>
      </c>
      <c r="Q66" s="333">
        <f t="shared" ca="1" si="21"/>
        <v>4.1717795893199998</v>
      </c>
      <c r="R66" s="75"/>
      <c r="S66" s="231"/>
      <c r="T66" s="75"/>
      <c r="U66" s="75"/>
    </row>
    <row r="67" spans="1:21" s="301" customFormat="1" ht="15" customHeight="1" outlineLevel="2">
      <c r="A67" s="561"/>
      <c r="B67" s="304" t="s">
        <v>12</v>
      </c>
      <c r="C67" s="296"/>
      <c r="D67" s="1000">
        <f ca="1">OFFSET('MOD-Berechnungen'!$I50,0,'MOD-Jahresgang'!$I$3-2013)</f>
        <v>1</v>
      </c>
      <c r="E67" s="331"/>
      <c r="F67" s="334">
        <f t="shared" ref="F67:Q67" ca="1" si="22">F34*F25*$D67/1000</f>
        <v>2.1874999999999999E-2</v>
      </c>
      <c r="G67" s="332">
        <f t="shared" ca="1" si="22"/>
        <v>1.8848500000000001E-2</v>
      </c>
      <c r="H67" s="332">
        <f t="shared" ca="1" si="22"/>
        <v>2.0352000000000002E-2</v>
      </c>
      <c r="I67" s="334">
        <f t="shared" ca="1" si="22"/>
        <v>2.1147000000000003E-2</v>
      </c>
      <c r="J67" s="332">
        <f t="shared" ca="1" si="22"/>
        <v>1.9113000000000002E-2</v>
      </c>
      <c r="K67" s="332">
        <f t="shared" ca="1" si="22"/>
        <v>2.4953500000000003E-2</v>
      </c>
      <c r="L67" s="332">
        <f t="shared" ca="1" si="22"/>
        <v>2.6787999999999999E-2</v>
      </c>
      <c r="M67" s="332">
        <f t="shared" ca="1" si="22"/>
        <v>3.1594499999999998E-2</v>
      </c>
      <c r="N67" s="332">
        <f t="shared" ca="1" si="22"/>
        <v>3.1126000000000001E-2</v>
      </c>
      <c r="O67" s="332">
        <f t="shared" ca="1" si="22"/>
        <v>3.3659500000000002E-2</v>
      </c>
      <c r="P67" s="332">
        <f t="shared" ca="1" si="22"/>
        <v>3.4776000000000001E-2</v>
      </c>
      <c r="Q67" s="333">
        <f t="shared" ca="1" si="22"/>
        <v>3.4167500000000003E-2</v>
      </c>
      <c r="R67" s="75"/>
      <c r="S67" s="231"/>
      <c r="T67" s="75"/>
      <c r="U67" s="75"/>
    </row>
    <row r="68" spans="1:21" s="301" customFormat="1" ht="15" customHeight="1" outlineLevel="2">
      <c r="A68" s="561"/>
      <c r="B68" s="304" t="s">
        <v>24</v>
      </c>
      <c r="C68" s="296"/>
      <c r="D68" s="1000">
        <f ca="1">OFFSET('MOD-Berechnungen'!$I51,0,'MOD-Jahresgang'!$I$3-2013)</f>
        <v>1</v>
      </c>
      <c r="E68" s="331"/>
      <c r="F68" s="334">
        <f t="shared" ref="F68:Q68" ca="1" si="23">F35*F26*$D68/1000</f>
        <v>8.9927395613516659</v>
      </c>
      <c r="G68" s="332">
        <f t="shared" ca="1" si="23"/>
        <v>8.8270141691833324</v>
      </c>
      <c r="H68" s="332">
        <f t="shared" ca="1" si="23"/>
        <v>10.598161550889998</v>
      </c>
      <c r="I68" s="334">
        <f t="shared" ca="1" si="23"/>
        <v>12.308361055713332</v>
      </c>
      <c r="J68" s="332">
        <f t="shared" ca="1" si="23"/>
        <v>9.9879821450199984</v>
      </c>
      <c r="K68" s="332">
        <f t="shared" ca="1" si="23"/>
        <v>9.7105334215199974</v>
      </c>
      <c r="L68" s="332">
        <f t="shared" ca="1" si="23"/>
        <v>6.3247862061933331</v>
      </c>
      <c r="M68" s="332">
        <f t="shared" ca="1" si="23"/>
        <v>5.5156922595266664</v>
      </c>
      <c r="N68" s="332">
        <f t="shared" ca="1" si="23"/>
        <v>5.13608999712</v>
      </c>
      <c r="O68" s="332">
        <f t="shared" ca="1" si="23"/>
        <v>5.4520493946399995</v>
      </c>
      <c r="P68" s="332">
        <f t="shared" ca="1" si="23"/>
        <v>5.340199183666666</v>
      </c>
      <c r="Q68" s="333">
        <f t="shared" ca="1" si="23"/>
        <v>6.4023022823999991</v>
      </c>
      <c r="R68" s="75"/>
      <c r="S68" s="231"/>
      <c r="T68" s="75"/>
      <c r="U68" s="75"/>
    </row>
    <row r="69" spans="1:21" s="301" customFormat="1" ht="15" customHeight="1" outlineLevel="2">
      <c r="A69" s="561"/>
      <c r="B69" s="304" t="s">
        <v>26</v>
      </c>
      <c r="C69" s="296"/>
      <c r="D69" s="1000">
        <f ca="1">OFFSET('MOD-Berechnungen'!$I52,0,'MOD-Jahresgang'!$I$3-2013)</f>
        <v>1</v>
      </c>
      <c r="E69" s="331"/>
      <c r="F69" s="334">
        <f t="shared" ref="F69:Q69" ca="1" si="24">F36*F27*$D69/1000</f>
        <v>3.79603</v>
      </c>
      <c r="G69" s="332">
        <f t="shared" ca="1" si="24"/>
        <v>3.0755590000000002</v>
      </c>
      <c r="H69" s="332">
        <f t="shared" ca="1" si="24"/>
        <v>4.0516810000000003</v>
      </c>
      <c r="I69" s="334">
        <f t="shared" ca="1" si="24"/>
        <v>3.3045875000000007</v>
      </c>
      <c r="J69" s="332">
        <f t="shared" ca="1" si="24"/>
        <v>2.5284960000000001</v>
      </c>
      <c r="K69" s="332">
        <f t="shared" ca="1" si="24"/>
        <v>3.4619650000000002</v>
      </c>
      <c r="L69" s="332">
        <f t="shared" ca="1" si="24"/>
        <v>2.248246</v>
      </c>
      <c r="M69" s="332">
        <f t="shared" ca="1" si="24"/>
        <v>2.1538335000000002</v>
      </c>
      <c r="N69" s="332">
        <f t="shared" ca="1" si="24"/>
        <v>2.5416780000000005</v>
      </c>
      <c r="O69" s="332">
        <f t="shared" ca="1" si="24"/>
        <v>1.1601890000000001</v>
      </c>
      <c r="P69" s="332">
        <f t="shared" ca="1" si="24"/>
        <v>2.2330000000000001</v>
      </c>
      <c r="Q69" s="333">
        <f t="shared" ca="1" si="24"/>
        <v>2.24098</v>
      </c>
      <c r="R69" s="75"/>
      <c r="S69" s="231"/>
      <c r="T69" s="75"/>
      <c r="U69" s="75"/>
    </row>
    <row r="70" spans="1:21" s="301" customFormat="1" ht="15" customHeight="1" outlineLevel="2">
      <c r="A70" s="561"/>
      <c r="B70" s="305" t="s">
        <v>14</v>
      </c>
      <c r="C70" s="995"/>
      <c r="D70" s="1001">
        <f ca="1">OFFSET('MOD-Berechnungen'!$I53,0,'MOD-Jahresgang'!$I$3-2013)</f>
        <v>1</v>
      </c>
      <c r="E70" s="996"/>
      <c r="F70" s="310">
        <f t="shared" ref="F70:Q70" ca="1" si="25">F37*F28*$D70/1000</f>
        <v>4.1362012941050041</v>
      </c>
      <c r="G70" s="309">
        <f t="shared" ca="1" si="25"/>
        <v>1.7609157564150015</v>
      </c>
      <c r="H70" s="309">
        <f t="shared" ca="1" si="25"/>
        <v>1.064484495108001</v>
      </c>
      <c r="I70" s="310">
        <f t="shared" ca="1" si="25"/>
        <v>1.3721084918155015</v>
      </c>
      <c r="J70" s="309">
        <f t="shared" ca="1" si="25"/>
        <v>2.1663271580760024</v>
      </c>
      <c r="K70" s="309">
        <f t="shared" ca="1" si="25"/>
        <v>4.7948748088465045</v>
      </c>
      <c r="L70" s="309">
        <f t="shared" ca="1" si="25"/>
        <v>6.6110559778080065</v>
      </c>
      <c r="M70" s="309">
        <f t="shared" ca="1" si="25"/>
        <v>7.2844166767830067</v>
      </c>
      <c r="N70" s="309">
        <f t="shared" ca="1" si="25"/>
        <v>7.8436522282860075</v>
      </c>
      <c r="O70" s="309">
        <f t="shared" ca="1" si="25"/>
        <v>7.9090290220410076</v>
      </c>
      <c r="P70" s="309">
        <f t="shared" ca="1" si="25"/>
        <v>7.0250717901060069</v>
      </c>
      <c r="Q70" s="56">
        <f t="shared" ca="1" si="25"/>
        <v>6.3169720503615059</v>
      </c>
      <c r="R70" s="75"/>
      <c r="S70" s="231"/>
      <c r="T70" s="75"/>
      <c r="U70" s="75"/>
    </row>
    <row r="71" spans="1:21" s="301" customFormat="1" ht="15" customHeight="1" outlineLevel="1">
      <c r="A71" s="561"/>
      <c r="F71" s="320"/>
      <c r="I71" s="320"/>
      <c r="S71" s="320"/>
    </row>
    <row r="72" spans="1:21" s="301" customFormat="1" ht="15" customHeight="1" outlineLevel="1">
      <c r="A72" s="561"/>
      <c r="C72" s="335"/>
      <c r="D72" s="335"/>
      <c r="E72" s="335"/>
      <c r="F72" s="225"/>
      <c r="G72" s="335"/>
      <c r="H72" s="335"/>
      <c r="I72" s="225"/>
      <c r="J72" s="335"/>
      <c r="K72" s="335"/>
      <c r="L72" s="335"/>
      <c r="M72" s="335"/>
      <c r="N72" s="335"/>
      <c r="O72" s="335"/>
      <c r="P72" s="335"/>
      <c r="Q72" s="335"/>
      <c r="S72" s="320"/>
      <c r="T72" s="582"/>
    </row>
    <row r="73" spans="1:21" s="301" customFormat="1" ht="15" customHeight="1" outlineLevel="1">
      <c r="A73" s="561"/>
      <c r="B73" s="322" t="s">
        <v>515</v>
      </c>
      <c r="C73" s="84"/>
      <c r="D73" s="84"/>
      <c r="E73" s="322" t="s">
        <v>302</v>
      </c>
      <c r="F73" s="212"/>
      <c r="G73" s="9"/>
      <c r="H73" s="9"/>
      <c r="I73" s="212"/>
      <c r="J73" s="9"/>
      <c r="K73" s="9"/>
      <c r="L73" s="9"/>
      <c r="M73" s="9"/>
      <c r="N73" s="9"/>
      <c r="O73" s="9"/>
      <c r="P73" s="9"/>
      <c r="Q73" s="9"/>
      <c r="S73" s="320"/>
      <c r="T73" s="582"/>
    </row>
    <row r="74" spans="1:21" s="301" customFormat="1" ht="15" customHeight="1" outlineLevel="2">
      <c r="A74" s="561"/>
      <c r="B74" s="302" t="s">
        <v>25</v>
      </c>
      <c r="C74" s="298"/>
      <c r="D74" s="307"/>
      <c r="E74" s="376">
        <f ca="1">SUM(F74:Q74)</f>
        <v>0.73853302670518384</v>
      </c>
      <c r="F74" s="327">
        <f t="shared" ref="F74:Q74" ca="1" si="26">F64*F45/1000</f>
        <v>4.9225238901821143E-2</v>
      </c>
      <c r="G74" s="323">
        <f t="shared" ca="1" si="26"/>
        <v>5.0694078068461067E-2</v>
      </c>
      <c r="H74" s="323">
        <f t="shared" ca="1" si="26"/>
        <v>6.4576314006081617E-2</v>
      </c>
      <c r="I74" s="327">
        <f t="shared" ca="1" si="26"/>
        <v>7.3787358224567917E-2</v>
      </c>
      <c r="J74" s="323">
        <f t="shared" ca="1" si="26"/>
        <v>7.3464225551722551E-2</v>
      </c>
      <c r="K74" s="323">
        <f t="shared" ca="1" si="26"/>
        <v>8.5720230193942107E-2</v>
      </c>
      <c r="L74" s="323">
        <f t="shared" ca="1" si="26"/>
        <v>8.0188494045767666E-2</v>
      </c>
      <c r="M74" s="323">
        <f t="shared" ca="1" si="26"/>
        <v>7.1773188465900029E-2</v>
      </c>
      <c r="N74" s="323">
        <f t="shared" ca="1" si="26"/>
        <v>5.3091305175831126E-2</v>
      </c>
      <c r="O74" s="323">
        <f t="shared" ca="1" si="26"/>
        <v>4.2853893054872E-2</v>
      </c>
      <c r="P74" s="323">
        <f ca="1">P64*P45/1000</f>
        <v>4.5757140474487611E-2</v>
      </c>
      <c r="Q74" s="324">
        <f t="shared" ca="1" si="26"/>
        <v>4.7401560541728907E-2</v>
      </c>
      <c r="S74" s="320" t="s">
        <v>554</v>
      </c>
      <c r="T74" s="582"/>
    </row>
    <row r="75" spans="1:21" s="301" customFormat="1" ht="15" customHeight="1" outlineLevel="2">
      <c r="A75" s="561"/>
      <c r="B75" s="304" t="s">
        <v>50</v>
      </c>
      <c r="C75" s="296"/>
      <c r="D75" s="331"/>
      <c r="E75" s="377">
        <f t="shared" ref="E75:E80" ca="1" si="27">SUM(F75:Q75)</f>
        <v>9.6243261063986577E-2</v>
      </c>
      <c r="F75" s="334">
        <f t="shared" ref="F75:Q75" ca="1" si="28">F65*F46/1000</f>
        <v>8.9566886478204804E-3</v>
      </c>
      <c r="G75" s="332">
        <f t="shared" ca="1" si="28"/>
        <v>8.3845719688904058E-3</v>
      </c>
      <c r="H75" s="332">
        <f t="shared" ca="1" si="28"/>
        <v>8.4137393355381285E-3</v>
      </c>
      <c r="I75" s="334">
        <f t="shared" ca="1" si="28"/>
        <v>8.3094709385987588E-3</v>
      </c>
      <c r="J75" s="332">
        <f t="shared" ca="1" si="28"/>
        <v>7.4998076704258657E-3</v>
      </c>
      <c r="K75" s="332">
        <f t="shared" ca="1" si="28"/>
        <v>8.151971321064792E-3</v>
      </c>
      <c r="L75" s="332">
        <f t="shared" ca="1" si="28"/>
        <v>7.8238555968600382E-3</v>
      </c>
      <c r="M75" s="332">
        <f t="shared" ca="1" si="28"/>
        <v>7.9944717035308269E-3</v>
      </c>
      <c r="N75" s="332">
        <f t="shared" ca="1" si="28"/>
        <v>7.6712208323773141E-3</v>
      </c>
      <c r="O75" s="332">
        <f t="shared" ca="1" si="28"/>
        <v>7.8369720859968583E-3</v>
      </c>
      <c r="P75" s="332">
        <f t="shared" ca="1" si="28"/>
        <v>7.7582222772298757E-3</v>
      </c>
      <c r="Q75" s="333">
        <f t="shared" ca="1" si="28"/>
        <v>7.4422686856532279E-3</v>
      </c>
      <c r="S75" s="320" t="s">
        <v>554</v>
      </c>
      <c r="T75" s="582"/>
    </row>
    <row r="76" spans="1:21" s="301" customFormat="1" ht="15" customHeight="1" outlineLevel="2">
      <c r="A76" s="561"/>
      <c r="B76" s="304" t="s">
        <v>13</v>
      </c>
      <c r="C76" s="296"/>
      <c r="D76" s="331"/>
      <c r="E76" s="377">
        <f t="shared" ca="1" si="27"/>
        <v>9.9666658140077757</v>
      </c>
      <c r="F76" s="334">
        <f t="shared" ref="F76:Q76" ca="1" si="29">F66*F47/1000</f>
        <v>0.83907383653576439</v>
      </c>
      <c r="G76" s="332">
        <f t="shared" ca="1" si="29"/>
        <v>0.81191579914185597</v>
      </c>
      <c r="H76" s="332">
        <f t="shared" ca="1" si="29"/>
        <v>0.83821723823465399</v>
      </c>
      <c r="I76" s="334">
        <f t="shared" ca="1" si="29"/>
        <v>0.84290516571499097</v>
      </c>
      <c r="J76" s="332">
        <f t="shared" ca="1" si="29"/>
        <v>0.76365025212301796</v>
      </c>
      <c r="K76" s="332">
        <f t="shared" ca="1" si="29"/>
        <v>0.84587204382578007</v>
      </c>
      <c r="L76" s="332">
        <f t="shared" ca="1" si="29"/>
        <v>0.82034813681324892</v>
      </c>
      <c r="M76" s="332">
        <f t="shared" ca="1" si="29"/>
        <v>0.84883892193656918</v>
      </c>
      <c r="N76" s="332">
        <f t="shared" ca="1" si="29"/>
        <v>0.82322045307190139</v>
      </c>
      <c r="O76" s="332">
        <f t="shared" ca="1" si="29"/>
        <v>0.85180580004735862</v>
      </c>
      <c r="P76" s="332">
        <f t="shared" ca="1" si="29"/>
        <v>0.85328923910275301</v>
      </c>
      <c r="Q76" s="333">
        <f t="shared" ca="1" si="29"/>
        <v>0.82752892745987983</v>
      </c>
      <c r="S76" s="320" t="s">
        <v>554</v>
      </c>
      <c r="T76" s="582"/>
    </row>
    <row r="77" spans="1:21" s="301" customFormat="1" ht="15" customHeight="1" outlineLevel="2">
      <c r="A77" s="561"/>
      <c r="B77" s="304" t="s">
        <v>12</v>
      </c>
      <c r="C77" s="296"/>
      <c r="D77" s="331"/>
      <c r="E77" s="377">
        <f t="shared" ca="1" si="27"/>
        <v>7.916705850258221E-2</v>
      </c>
      <c r="F77" s="334">
        <f t="shared" ref="F77:Q77" ca="1" si="30">F67*F48/1000</f>
        <v>5.4393177064121648E-3</v>
      </c>
      <c r="G77" s="332">
        <f t="shared" ca="1" si="30"/>
        <v>4.6867647903684438E-3</v>
      </c>
      <c r="H77" s="332">
        <f t="shared" ca="1" si="30"/>
        <v>5.0606168667840182E-3</v>
      </c>
      <c r="I77" s="334">
        <f t="shared" ca="1" si="30"/>
        <v>5.2579137460907598E-3</v>
      </c>
      <c r="J77" s="332">
        <f t="shared" ca="1" si="30"/>
        <v>4.7521873281804851E-3</v>
      </c>
      <c r="K77" s="332">
        <f t="shared" ca="1" si="30"/>
        <v>6.2043481658427104E-3</v>
      </c>
      <c r="L77" s="332">
        <f t="shared" ca="1" si="30"/>
        <v>6.6604716238842041E-3</v>
      </c>
      <c r="M77" s="332">
        <f t="shared" ca="1" si="30"/>
        <v>7.8555424339558574E-3</v>
      </c>
      <c r="N77" s="332">
        <f t="shared" ca="1" si="30"/>
        <v>7.7390562850910768E-3</v>
      </c>
      <c r="O77" s="332">
        <f t="shared" ca="1" si="30"/>
        <v>8.3689765799660441E-3</v>
      </c>
      <c r="P77" s="332">
        <f t="shared" ca="1" si="30"/>
        <v>8.6465791097579923E-3</v>
      </c>
      <c r="Q77" s="333">
        <f t="shared" ca="1" si="30"/>
        <v>8.4952838662484525E-3</v>
      </c>
      <c r="S77" s="320" t="s">
        <v>554</v>
      </c>
      <c r="T77" s="582"/>
    </row>
    <row r="78" spans="1:21" s="301" customFormat="1" ht="15" customHeight="1" outlineLevel="2">
      <c r="A78" s="561"/>
      <c r="B78" s="304" t="s">
        <v>24</v>
      </c>
      <c r="C78" s="296"/>
      <c r="D78" s="331"/>
      <c r="E78" s="377">
        <f t="shared" ca="1" si="27"/>
        <v>8.0515743621848159</v>
      </c>
      <c r="F78" s="334">
        <f t="shared" ref="F78:Q78" ca="1" si="31">F68*F49/1000</f>
        <v>0.78828696889644645</v>
      </c>
      <c r="G78" s="332">
        <f t="shared" ca="1" si="31"/>
        <v>0.7737597865878425</v>
      </c>
      <c r="H78" s="332">
        <f t="shared" ca="1" si="31"/>
        <v>0.92901530037974545</v>
      </c>
      <c r="I78" s="334">
        <f t="shared" ca="1" si="31"/>
        <v>1.0341925914013272</v>
      </c>
      <c r="J78" s="332">
        <f t="shared" ca="1" si="31"/>
        <v>0.83922604241721055</v>
      </c>
      <c r="K78" s="332">
        <f t="shared" ca="1" si="31"/>
        <v>0.81591380669072722</v>
      </c>
      <c r="L78" s="332">
        <f t="shared" ca="1" si="31"/>
        <v>0.53143119600039768</v>
      </c>
      <c r="M78" s="332">
        <f t="shared" ca="1" si="31"/>
        <v>0.46344822397002172</v>
      </c>
      <c r="N78" s="332">
        <f t="shared" ca="1" si="31"/>
        <v>0.43155268193293411</v>
      </c>
      <c r="O78" s="332">
        <f t="shared" ca="1" si="31"/>
        <v>0.45810072245756045</v>
      </c>
      <c r="P78" s="332">
        <f t="shared" ca="1" si="31"/>
        <v>0.44870266702095929</v>
      </c>
      <c r="Q78" s="333">
        <f t="shared" ca="1" si="31"/>
        <v>0.53794437442964294</v>
      </c>
      <c r="S78" s="320" t="s">
        <v>554</v>
      </c>
      <c r="T78" s="582"/>
    </row>
    <row r="79" spans="1:21" s="301" customFormat="1" ht="15" customHeight="1" outlineLevel="2">
      <c r="A79" s="561"/>
      <c r="B79" s="304" t="s">
        <v>26</v>
      </c>
      <c r="C79" s="296"/>
      <c r="D79" s="331"/>
      <c r="E79" s="377">
        <f t="shared" ca="1" si="27"/>
        <v>6.0017402956663695</v>
      </c>
      <c r="F79" s="334">
        <f t="shared" ref="F79:Q79" ca="1" si="32">F69*F50/1000</f>
        <v>0.70371997380945206</v>
      </c>
      <c r="G79" s="332">
        <f t="shared" ca="1" si="32"/>
        <v>0.57015679510684181</v>
      </c>
      <c r="H79" s="332">
        <f t="shared" ca="1" si="32"/>
        <v>0.75111335980070093</v>
      </c>
      <c r="I79" s="334">
        <f t="shared" ca="1" si="32"/>
        <v>0.60081076727440219</v>
      </c>
      <c r="J79" s="332">
        <f t="shared" ca="1" si="32"/>
        <v>0.45970869943987158</v>
      </c>
      <c r="K79" s="332">
        <f t="shared" ca="1" si="32"/>
        <v>0.62942374741995044</v>
      </c>
      <c r="L79" s="332">
        <f t="shared" ca="1" si="32"/>
        <v>0.40875613197762362</v>
      </c>
      <c r="M79" s="332">
        <f t="shared" ca="1" si="32"/>
        <v>0.39159088924602875</v>
      </c>
      <c r="N79" s="332">
        <f t="shared" ca="1" si="32"/>
        <v>0.46210533367461687</v>
      </c>
      <c r="O79" s="332">
        <f t="shared" ca="1" si="32"/>
        <v>0.21093526598200876</v>
      </c>
      <c r="P79" s="332">
        <f t="shared" ca="1" si="32"/>
        <v>0.40598423958322788</v>
      </c>
      <c r="Q79" s="333">
        <f t="shared" ca="1" si="32"/>
        <v>0.40743509235164438</v>
      </c>
      <c r="S79" s="320" t="s">
        <v>554</v>
      </c>
      <c r="T79" s="582"/>
    </row>
    <row r="80" spans="1:21" s="301" customFormat="1" ht="15" customHeight="1" outlineLevel="2">
      <c r="A80" s="561"/>
      <c r="B80" s="305" t="s">
        <v>14</v>
      </c>
      <c r="C80" s="995"/>
      <c r="D80" s="996"/>
      <c r="E80" s="1008">
        <f t="shared" ca="1" si="27"/>
        <v>13.836292649157</v>
      </c>
      <c r="F80" s="310">
        <f t="shared" ref="F80:Q80" ca="1" si="33">F70*F51/1000</f>
        <v>1.030239405935838</v>
      </c>
      <c r="G80" s="309">
        <f t="shared" ca="1" si="33"/>
        <v>0.43860650722623956</v>
      </c>
      <c r="H80" s="309">
        <f t="shared" ca="1" si="33"/>
        <v>0.26514035364550048</v>
      </c>
      <c r="I80" s="310">
        <f t="shared" ca="1" si="33"/>
        <v>0.32354914811611446</v>
      </c>
      <c r="J80" s="309">
        <f t="shared" ca="1" si="33"/>
        <v>0.51082936277792601</v>
      </c>
      <c r="K80" s="309">
        <f t="shared" ca="1" si="33"/>
        <v>1.1306523274067071</v>
      </c>
      <c r="L80" s="309">
        <f t="shared" ca="1" si="33"/>
        <v>1.5589157435630419</v>
      </c>
      <c r="M80" s="309">
        <f t="shared" ca="1" si="33"/>
        <v>1.7176971240644954</v>
      </c>
      <c r="N80" s="309">
        <f t="shared" ca="1" si="33"/>
        <v>1.8495672985910234</v>
      </c>
      <c r="O80" s="309">
        <f t="shared" ca="1" si="33"/>
        <v>1.8649834308080939</v>
      </c>
      <c r="P80" s="309">
        <f t="shared" ca="1" si="33"/>
        <v>1.6565424721888355</v>
      </c>
      <c r="Q80" s="56">
        <f t="shared" ca="1" si="33"/>
        <v>1.4895694748331849</v>
      </c>
      <c r="R80" s="75"/>
      <c r="S80" s="320" t="s">
        <v>554</v>
      </c>
      <c r="T80" s="582"/>
    </row>
    <row r="81" spans="1:21" s="301" customFormat="1" ht="15" customHeight="1" outlineLevel="1">
      <c r="A81" s="561"/>
      <c r="C81" s="335"/>
      <c r="D81" s="335"/>
      <c r="E81" s="335"/>
      <c r="F81" s="226"/>
      <c r="G81" s="72"/>
      <c r="H81" s="72"/>
      <c r="I81" s="226"/>
      <c r="J81" s="72"/>
      <c r="K81" s="72"/>
      <c r="L81" s="72"/>
      <c r="M81" s="72"/>
      <c r="N81" s="72"/>
      <c r="O81" s="72"/>
      <c r="P81" s="72"/>
      <c r="Q81" s="72"/>
      <c r="S81" s="320"/>
      <c r="T81" s="582"/>
    </row>
    <row r="82" spans="1:21" s="301" customFormat="1" ht="15" customHeight="1" outlineLevel="1">
      <c r="A82" s="561"/>
      <c r="B82" s="322" t="s">
        <v>56</v>
      </c>
      <c r="C82" s="84"/>
      <c r="D82" s="84"/>
      <c r="E82" s="322" t="s">
        <v>302</v>
      </c>
      <c r="F82" s="212"/>
      <c r="G82" s="9"/>
      <c r="H82" s="9"/>
      <c r="I82" s="212"/>
      <c r="J82" s="9"/>
      <c r="K82" s="9"/>
      <c r="L82" s="9"/>
      <c r="M82" s="9"/>
      <c r="N82" s="9"/>
      <c r="O82" s="9"/>
      <c r="P82" s="9"/>
      <c r="Q82" s="9"/>
      <c r="S82" s="320"/>
      <c r="T82" s="582"/>
    </row>
    <row r="83" spans="1:21" s="301" customFormat="1" ht="15" customHeight="1" outlineLevel="2">
      <c r="A83" s="561"/>
      <c r="B83" s="302" t="s">
        <v>25</v>
      </c>
      <c r="C83" s="298"/>
      <c r="D83" s="307"/>
      <c r="E83" s="376">
        <f ca="1">SUM(F83:Q83)</f>
        <v>0.60385244593415455</v>
      </c>
      <c r="F83" s="86">
        <f t="shared" ref="F83:Q83" ca="1" si="34">F64*F$42*F54/1000</f>
        <v>4.0172738584682656E-2</v>
      </c>
      <c r="G83" s="76">
        <f t="shared" ca="1" si="34"/>
        <v>4.1371458858687989E-2</v>
      </c>
      <c r="H83" s="76">
        <f t="shared" ca="1" si="34"/>
        <v>5.2700757562655978E-2</v>
      </c>
      <c r="I83" s="86">
        <f t="shared" ca="1" si="34"/>
        <v>6.0363830677023993E-2</v>
      </c>
      <c r="J83" s="76">
        <f t="shared" ca="1" si="34"/>
        <v>6.0099482875189326E-2</v>
      </c>
      <c r="K83" s="76">
        <f t="shared" ca="1" si="34"/>
        <v>7.0125853337567989E-2</v>
      </c>
      <c r="L83" s="76">
        <f t="shared" ca="1" si="34"/>
        <v>6.5600460475797318E-2</v>
      </c>
      <c r="M83" s="76">
        <f t="shared" ca="1" si="34"/>
        <v>5.871608226601599E-2</v>
      </c>
      <c r="N83" s="76">
        <f t="shared" ca="1" si="34"/>
        <v>4.3432840437279983E-2</v>
      </c>
      <c r="O83" s="76">
        <f t="shared" ca="1" si="34"/>
        <v>3.5057836551658658E-2</v>
      </c>
      <c r="P83" s="76">
        <f t="shared" ca="1" si="34"/>
        <v>3.7432920033002658E-2</v>
      </c>
      <c r="Q83" s="365">
        <f t="shared" ca="1" si="34"/>
        <v>3.8778184274591995E-2</v>
      </c>
      <c r="S83" s="320" t="s">
        <v>554</v>
      </c>
      <c r="T83" s="582"/>
    </row>
    <row r="84" spans="1:21" s="301" customFormat="1" ht="15" customHeight="1" outlineLevel="2">
      <c r="A84" s="561"/>
      <c r="B84" s="304" t="s">
        <v>50</v>
      </c>
      <c r="C84" s="296"/>
      <c r="D84" s="331"/>
      <c r="E84" s="377">
        <f t="shared" ref="E84:E89" ca="1" si="35">SUM(F84:Q84)</f>
        <v>0.10577560330624002</v>
      </c>
      <c r="F84" s="337">
        <f t="shared" ref="F84:Q84" ca="1" si="36">F65*F$42*F55/1000</f>
        <v>9.8496812959999996E-3</v>
      </c>
      <c r="G84" s="336">
        <f t="shared" ca="1" si="36"/>
        <v>9.2205238949600015E-3</v>
      </c>
      <c r="H84" s="336">
        <f t="shared" ca="1" si="36"/>
        <v>9.2525992832000019E-3</v>
      </c>
      <c r="I84" s="337">
        <f t="shared" ca="1" si="36"/>
        <v>9.1304817406133339E-3</v>
      </c>
      <c r="J84" s="336">
        <f t="shared" ca="1" si="36"/>
        <v>8.2408203240533339E-3</v>
      </c>
      <c r="K84" s="336">
        <f t="shared" ca="1" si="36"/>
        <v>8.9574204960800007E-3</v>
      </c>
      <c r="L84" s="336">
        <f t="shared" ca="1" si="36"/>
        <v>8.5968855533866666E-3</v>
      </c>
      <c r="M84" s="336">
        <f t="shared" ca="1" si="36"/>
        <v>8.7843592515466674E-3</v>
      </c>
      <c r="N84" s="336">
        <f t="shared" ca="1" si="36"/>
        <v>8.429169829920001E-3</v>
      </c>
      <c r="O84" s="336">
        <f t="shared" ca="1" si="36"/>
        <v>8.6112980070133342E-3</v>
      </c>
      <c r="P84" s="336">
        <f t="shared" ca="1" si="36"/>
        <v>8.5247673847466676E-3</v>
      </c>
      <c r="Q84" s="366">
        <f t="shared" ca="1" si="36"/>
        <v>8.17759624472E-3</v>
      </c>
      <c r="S84" s="320" t="s">
        <v>554</v>
      </c>
      <c r="T84" s="582"/>
    </row>
    <row r="85" spans="1:21" s="301" customFormat="1" ht="15" customHeight="1" outlineLevel="2">
      <c r="A85" s="561"/>
      <c r="B85" s="304" t="s">
        <v>13</v>
      </c>
      <c r="C85" s="296"/>
      <c r="D85" s="331"/>
      <c r="E85" s="377">
        <f t="shared" ca="1" si="35"/>
        <v>3.9429257357941374</v>
      </c>
      <c r="F85" s="337">
        <f t="shared" ref="F85:Q85" ca="1" si="37">F66*F$42*F56/1000</f>
        <v>0.33289827660928539</v>
      </c>
      <c r="G85" s="336">
        <f t="shared" ca="1" si="37"/>
        <v>0.32212346341543213</v>
      </c>
      <c r="H85" s="336">
        <f t="shared" ca="1" si="37"/>
        <v>0.33255842559049614</v>
      </c>
      <c r="I85" s="337">
        <f t="shared" ca="1" si="37"/>
        <v>0.3331447310555094</v>
      </c>
      <c r="J85" s="336">
        <f t="shared" ca="1" si="37"/>
        <v>0.30182049916397874</v>
      </c>
      <c r="K85" s="336">
        <f t="shared" ca="1" si="37"/>
        <v>0.33431734198553609</v>
      </c>
      <c r="L85" s="336">
        <f t="shared" ca="1" si="37"/>
        <v>0.3242294276114881</v>
      </c>
      <c r="M85" s="336">
        <f t="shared" ca="1" si="37"/>
        <v>0.33548995291556272</v>
      </c>
      <c r="N85" s="336">
        <f t="shared" ca="1" si="37"/>
        <v>0.32536466448796808</v>
      </c>
      <c r="O85" s="336">
        <f t="shared" ca="1" si="37"/>
        <v>0.33666256384558951</v>
      </c>
      <c r="P85" s="336">
        <f t="shared" ca="1" si="37"/>
        <v>0.33724886931060272</v>
      </c>
      <c r="Q85" s="366">
        <f t="shared" ca="1" si="37"/>
        <v>0.327067519802688</v>
      </c>
      <c r="S85" s="320" t="s">
        <v>554</v>
      </c>
      <c r="T85" s="582"/>
    </row>
    <row r="86" spans="1:21" s="301" customFormat="1" ht="15" customHeight="1" outlineLevel="2">
      <c r="A86" s="561"/>
      <c r="B86" s="304" t="s">
        <v>12</v>
      </c>
      <c r="C86" s="296"/>
      <c r="D86" s="331"/>
      <c r="E86" s="377">
        <f t="shared" ca="1" si="35"/>
        <v>2.4962599200000001E-2</v>
      </c>
      <c r="F86" s="337">
        <f t="shared" ref="F86:Q86" ca="1" si="38">F67*F$42*F57/1000</f>
        <v>1.7150000000000002E-3</v>
      </c>
      <c r="G86" s="336">
        <f t="shared" ca="1" si="38"/>
        <v>1.4777224000000002E-3</v>
      </c>
      <c r="H86" s="336">
        <f t="shared" ca="1" si="38"/>
        <v>1.5955968000000002E-3</v>
      </c>
      <c r="I86" s="337">
        <f t="shared" ca="1" si="38"/>
        <v>1.6579248000000003E-3</v>
      </c>
      <c r="J86" s="336">
        <f t="shared" ca="1" si="38"/>
        <v>1.4984592000000002E-3</v>
      </c>
      <c r="K86" s="336">
        <f t="shared" ca="1" si="38"/>
        <v>1.9563544000000006E-3</v>
      </c>
      <c r="L86" s="336">
        <f t="shared" ca="1" si="38"/>
        <v>2.1001791999999998E-3</v>
      </c>
      <c r="M86" s="336">
        <f t="shared" ca="1" si="38"/>
        <v>2.4770088E-3</v>
      </c>
      <c r="N86" s="336">
        <f t="shared" ca="1" si="38"/>
        <v>2.4402784000000003E-3</v>
      </c>
      <c r="O86" s="336">
        <f t="shared" ca="1" si="38"/>
        <v>2.6389048000000003E-3</v>
      </c>
      <c r="P86" s="336">
        <f t="shared" ca="1" si="38"/>
        <v>2.7264384E-3</v>
      </c>
      <c r="Q86" s="366">
        <f t="shared" ca="1" si="38"/>
        <v>2.6787320000000005E-3</v>
      </c>
      <c r="S86" s="320" t="s">
        <v>554</v>
      </c>
      <c r="T86" s="582"/>
    </row>
    <row r="87" spans="1:21" s="301" customFormat="1" ht="15" customHeight="1" outlineLevel="2">
      <c r="A87" s="561"/>
      <c r="B87" s="304" t="s">
        <v>24</v>
      </c>
      <c r="C87" s="296"/>
      <c r="D87" s="331"/>
      <c r="E87" s="377">
        <f t="shared" ca="1" si="35"/>
        <v>6.6290855164705835</v>
      </c>
      <c r="F87" s="337">
        <f t="shared" ref="F87:Q87" ca="1" si="39">F68*F$42*F58/1000</f>
        <v>0.61267174921906453</v>
      </c>
      <c r="G87" s="336">
        <f t="shared" ca="1" si="39"/>
        <v>0.60138094454079272</v>
      </c>
      <c r="H87" s="336">
        <f t="shared" ca="1" si="39"/>
        <v>0.72204850719751523</v>
      </c>
      <c r="I87" s="337">
        <f t="shared" ca="1" si="39"/>
        <v>0.872842166925761</v>
      </c>
      <c r="J87" s="336">
        <f t="shared" ca="1" si="39"/>
        <v>0.70829348759056343</v>
      </c>
      <c r="K87" s="336">
        <f t="shared" ca="1" si="39"/>
        <v>0.6886183298718096</v>
      </c>
      <c r="L87" s="336">
        <f t="shared" ca="1" si="39"/>
        <v>0.44851951227035308</v>
      </c>
      <c r="M87" s="336">
        <f t="shared" ca="1" si="39"/>
        <v>0.39114296063537823</v>
      </c>
      <c r="N87" s="336">
        <f t="shared" ca="1" si="39"/>
        <v>0.36422362833847938</v>
      </c>
      <c r="O87" s="336">
        <f t="shared" ca="1" si="39"/>
        <v>0.38662975405607852</v>
      </c>
      <c r="P87" s="336">
        <f t="shared" ca="1" si="39"/>
        <v>0.37869794412012031</v>
      </c>
      <c r="Q87" s="366">
        <f t="shared" ca="1" si="39"/>
        <v>0.45401653170466699</v>
      </c>
      <c r="S87" s="320" t="s">
        <v>554</v>
      </c>
      <c r="T87" s="582"/>
    </row>
    <row r="88" spans="1:21" s="301" customFormat="1" ht="15" customHeight="1" outlineLevel="2">
      <c r="A88" s="561"/>
      <c r="B88" s="304" t="s">
        <v>26</v>
      </c>
      <c r="C88" s="296"/>
      <c r="D88" s="331"/>
      <c r="E88" s="377">
        <f t="shared" ca="1" si="35"/>
        <v>2.3770331076027134</v>
      </c>
      <c r="F88" s="337">
        <f t="shared" ref="F88:Q88" ca="1" si="40">F69*F$42*F59/1000</f>
        <v>0.264276571776</v>
      </c>
      <c r="G88" s="336">
        <f t="shared" ca="1" si="40"/>
        <v>0.21411795713280002</v>
      </c>
      <c r="H88" s="336">
        <f t="shared" ca="1" si="40"/>
        <v>0.28207478987520007</v>
      </c>
      <c r="I88" s="337">
        <f t="shared" ca="1" si="40"/>
        <v>0.24423181983625733</v>
      </c>
      <c r="J88" s="336">
        <f t="shared" ca="1" si="40"/>
        <v>0.18687330250105261</v>
      </c>
      <c r="K88" s="336">
        <f t="shared" ca="1" si="40"/>
        <v>0.25586310308304094</v>
      </c>
      <c r="L88" s="336">
        <f t="shared" ca="1" si="40"/>
        <v>0.16616089361216371</v>
      </c>
      <c r="M88" s="336">
        <f t="shared" ca="1" si="40"/>
        <v>0.15918315836070177</v>
      </c>
      <c r="N88" s="336">
        <f t="shared" ca="1" si="40"/>
        <v>0.18784754326456143</v>
      </c>
      <c r="O88" s="336">
        <f t="shared" ca="1" si="40"/>
        <v>8.5745973082573104E-2</v>
      </c>
      <c r="P88" s="336">
        <f t="shared" ca="1" si="40"/>
        <v>0.16503410900584795</v>
      </c>
      <c r="Q88" s="366">
        <f t="shared" ca="1" si="40"/>
        <v>0.1656238860725146</v>
      </c>
      <c r="S88" s="320" t="s">
        <v>554</v>
      </c>
      <c r="T88" s="582"/>
    </row>
    <row r="89" spans="1:21" s="301" customFormat="1" ht="15" customHeight="1" outlineLevel="2">
      <c r="A89" s="561"/>
      <c r="B89" s="305" t="s">
        <v>14</v>
      </c>
      <c r="C89" s="995"/>
      <c r="D89" s="996"/>
      <c r="E89" s="1008">
        <f t="shared" ca="1" si="35"/>
        <v>4.1706405755049518</v>
      </c>
      <c r="F89" s="227">
        <f t="shared" ref="F89:Q89" ca="1" si="41">F70*F$42*F60/1000</f>
        <v>0.29671453603391668</v>
      </c>
      <c r="G89" s="77">
        <f t="shared" ca="1" si="41"/>
        <v>0.12632105270218658</v>
      </c>
      <c r="H89" s="77">
        <f t="shared" ca="1" si="41"/>
        <v>7.6361859741067573E-2</v>
      </c>
      <c r="I89" s="227">
        <f t="shared" ca="1" si="41"/>
        <v>9.8148860948468683E-2</v>
      </c>
      <c r="J89" s="77">
        <f t="shared" ca="1" si="41"/>
        <v>0.15496044538399581</v>
      </c>
      <c r="K89" s="77">
        <f t="shared" ca="1" si="41"/>
        <v>0.34298417631400463</v>
      </c>
      <c r="L89" s="77">
        <f t="shared" ca="1" si="41"/>
        <v>0.47289818389643035</v>
      </c>
      <c r="M89" s="77">
        <f t="shared" ca="1" si="41"/>
        <v>0.52106462700648992</v>
      </c>
      <c r="N89" s="77">
        <f t="shared" ca="1" si="41"/>
        <v>0.56106753691435207</v>
      </c>
      <c r="O89" s="77">
        <f t="shared" ca="1" si="41"/>
        <v>0.56574403143194385</v>
      </c>
      <c r="P89" s="77">
        <f t="shared" ca="1" si="41"/>
        <v>0.50251332047935271</v>
      </c>
      <c r="Q89" s="367">
        <f t="shared" ca="1" si="41"/>
        <v>0.45186194465274282</v>
      </c>
      <c r="S89" s="320" t="s">
        <v>554</v>
      </c>
      <c r="T89" s="582"/>
    </row>
    <row r="90" spans="1:21" s="301" customFormat="1" ht="15" customHeight="1" outlineLevel="1">
      <c r="A90" s="561"/>
      <c r="C90" s="335"/>
      <c r="D90" s="73"/>
      <c r="E90" s="73"/>
      <c r="F90" s="226"/>
      <c r="G90" s="72"/>
      <c r="H90" s="72"/>
      <c r="I90" s="226"/>
      <c r="J90" s="72"/>
      <c r="K90" s="72"/>
      <c r="L90" s="72"/>
      <c r="M90" s="72"/>
      <c r="N90" s="72"/>
      <c r="O90" s="72"/>
      <c r="P90" s="72"/>
      <c r="Q90" s="72"/>
      <c r="S90" s="320"/>
      <c r="T90" s="582"/>
    </row>
    <row r="91" spans="1:21" s="301" customFormat="1" ht="15" customHeight="1" outlineLevel="1">
      <c r="A91" s="561"/>
      <c r="B91" s="322" t="s">
        <v>322</v>
      </c>
      <c r="C91" s="84">
        <f>$I$3-1</f>
        <v>2021</v>
      </c>
      <c r="D91" s="84">
        <f>$I$3</f>
        <v>2022</v>
      </c>
      <c r="E91" s="322" t="s">
        <v>302</v>
      </c>
      <c r="F91" s="320"/>
      <c r="I91" s="320"/>
      <c r="S91" s="320"/>
      <c r="T91" s="582"/>
    </row>
    <row r="92" spans="1:21" s="301" customFormat="1" ht="25.5" outlineLevel="2">
      <c r="A92" s="561"/>
      <c r="B92" s="521" t="s">
        <v>303</v>
      </c>
      <c r="C92" s="244">
        <f ca="1">OFFSET('MOD-Berechnungen'!$I185,0,'MOD-Jahresgang'!$I$3-2013-1)*OFFSET('MOD-Berechnungen'!$I390,0,'MOD-Jahresgang'!$I$3-2013-1)/100</f>
        <v>21.567921937973843</v>
      </c>
      <c r="D92" s="371">
        <f ca="1">OFFSET('MOD-Berechnungen'!$I185,0,'MOD-Jahresgang'!$I$3-2013)*OFFSET('MOD-Berechnungen'!$I390,0,'MOD-Jahresgang'!$I$3-2013)/100</f>
        <v>12.434418620167067</v>
      </c>
      <c r="E92" s="368">
        <f ca="1">3/12*C92 + 9/12*D92</f>
        <v>14.717794449618761</v>
      </c>
      <c r="F92" s="86">
        <f ca="1">$C92/12*F19</f>
        <v>1.787284948664253</v>
      </c>
      <c r="G92" s="76">
        <f ca="1">$C92/12*G19</f>
        <v>1.9080008359690064</v>
      </c>
      <c r="H92" s="365">
        <f ca="1">$C92/12*H19</f>
        <v>1.8271924506115511</v>
      </c>
      <c r="I92" s="86">
        <f t="shared" ref="I92:Q92" ca="1" si="42">$D92/12*I19</f>
        <v>1.1039815849707821</v>
      </c>
      <c r="J92" s="76">
        <f t="shared" ca="1" si="42"/>
        <v>1.119931330818295</v>
      </c>
      <c r="K92" s="76">
        <f t="shared" ca="1" si="42"/>
        <v>1.0657550766667545</v>
      </c>
      <c r="L92" s="76">
        <f t="shared" ca="1" si="42"/>
        <v>1.0146324311259773</v>
      </c>
      <c r="M92" s="76">
        <f t="shared" ca="1" si="42"/>
        <v>1.022183591237549</v>
      </c>
      <c r="N92" s="76">
        <f t="shared" ca="1" si="42"/>
        <v>0.97800771914136819</v>
      </c>
      <c r="O92" s="76">
        <f t="shared" ca="1" si="42"/>
        <v>0.97399791321091722</v>
      </c>
      <c r="P92" s="76">
        <f ca="1">$D92/12*P19</f>
        <v>0.95799763917812064</v>
      </c>
      <c r="Q92" s="365">
        <f t="shared" ca="1" si="42"/>
        <v>1.0140916298682239</v>
      </c>
      <c r="R92" s="335"/>
      <c r="S92" s="335"/>
      <c r="T92" s="264" t="s">
        <v>330</v>
      </c>
      <c r="U92" s="264"/>
    </row>
    <row r="93" spans="1:21" ht="25.5">
      <c r="A93" s="561"/>
      <c r="B93" s="495" t="s">
        <v>304</v>
      </c>
      <c r="C93" s="245">
        <f ca="1">OFFSET('MOD-Berechnungen'!$I12,0,'MOD-Jahresgang'!$I$3-2013-1)*OFFSET('MOD-Berechnungen'!$I17,0,'MOD-Jahresgang'!$I$3-2013-1)*(1-OFFSET('MOD-Berechnungen'!$I18,0,'MOD-Jahresgang'!$I$3-2013-1))*OFFSET('MOD-Berechnungen'!$I390,0,'MOD-Jahresgang'!$I$3-2013-1)/100</f>
        <v>0.41990360429802659</v>
      </c>
      <c r="D93" s="372">
        <f ca="1">OFFSET('MOD-Berechnungen'!$I12,0,'MOD-Jahresgang'!$I$3-2013)*OFFSET('MOD-Berechnungen'!$I17,0,'MOD-Jahresgang'!$I$3-2013)*(1-OFFSET('MOD-Berechnungen'!$I18,0,'MOD-Jahresgang'!$I$3-2013))*OFFSET('MOD-Berechnungen'!$I390,0,'MOD-Jahresgang'!$I$3-2013)/100</f>
        <v>0.26105747067618412</v>
      </c>
      <c r="E93" s="369">
        <f t="shared" ref="E93" ca="1" si="43">3/12*C93 + 9/12*D93</f>
        <v>0.30076900408164475</v>
      </c>
      <c r="F93" s="337">
        <f ca="1">$C93/12</f>
        <v>3.4991967024835549E-2</v>
      </c>
      <c r="G93" s="336">
        <f ca="1">$C93/12</f>
        <v>3.4991967024835549E-2</v>
      </c>
      <c r="H93" s="366">
        <f t="shared" ref="H93" ca="1" si="44">$C93/12</f>
        <v>3.4991967024835549E-2</v>
      </c>
      <c r="I93" s="337">
        <f ca="1">$D93/12</f>
        <v>2.1754789223015342E-2</v>
      </c>
      <c r="J93" s="336">
        <f t="shared" ref="J93:Q93" ca="1" si="45">$D93/12</f>
        <v>2.1754789223015342E-2</v>
      </c>
      <c r="K93" s="336">
        <f t="shared" ca="1" si="45"/>
        <v>2.1754789223015342E-2</v>
      </c>
      <c r="L93" s="336">
        <f t="shared" ca="1" si="45"/>
        <v>2.1754789223015342E-2</v>
      </c>
      <c r="M93" s="336">
        <f t="shared" ca="1" si="45"/>
        <v>2.1754789223015342E-2</v>
      </c>
      <c r="N93" s="336">
        <f t="shared" ca="1" si="45"/>
        <v>2.1754789223015342E-2</v>
      </c>
      <c r="O93" s="336">
        <f t="shared" ca="1" si="45"/>
        <v>2.1754789223015342E-2</v>
      </c>
      <c r="P93" s="336">
        <f t="shared" ca="1" si="45"/>
        <v>2.1754789223015342E-2</v>
      </c>
      <c r="Q93" s="366">
        <f t="shared" ca="1" si="45"/>
        <v>2.1754789223015342E-2</v>
      </c>
      <c r="T93" s="264" t="s">
        <v>400</v>
      </c>
      <c r="U93" s="559"/>
    </row>
    <row r="94" spans="1:21" s="301" customFormat="1" ht="25.5" outlineLevel="2">
      <c r="A94" s="561"/>
      <c r="B94" s="495" t="s">
        <v>305</v>
      </c>
      <c r="C94" s="245">
        <f ca="1">OFFSET('MOD-Berechnungen'!$I13,0,'MOD-Jahresgang'!$I$3-2013-1)*OFFSET('MOD-Berechnungen'!$I19,0,'MOD-Jahresgang'!$I$3-2013-1)*OFFSET('MOD-Berechnungen'!$I390,0,'MOD-Jahresgang'!$I$3-2013-1)/100</f>
        <v>0</v>
      </c>
      <c r="D94" s="245">
        <f ca="1">OFFSET('MOD-Berechnungen'!$I13,0,'MOD-Jahresgang'!$I$3-2013)*OFFSET('MOD-Berechnungen'!$I19,0,'MOD-Jahresgang'!$I$3-2013)*OFFSET('MOD-Berechnungen'!$I390,0,'MOD-Jahresgang'!$I$3-2013)/100</f>
        <v>0</v>
      </c>
      <c r="E94" s="369">
        <f t="shared" ref="E94:E97" ca="1" si="46">3/12*C94 + 9/12*D94</f>
        <v>0</v>
      </c>
      <c r="F94" s="337">
        <f t="shared" ref="F94:H95" ca="1" si="47">$C94/12</f>
        <v>0</v>
      </c>
      <c r="G94" s="336">
        <f t="shared" ca="1" si="47"/>
        <v>0</v>
      </c>
      <c r="H94" s="366">
        <f t="shared" ca="1" si="47"/>
        <v>0</v>
      </c>
      <c r="I94" s="337">
        <f t="shared" ref="I94:Q97" ca="1" si="48">$D94/12</f>
        <v>0</v>
      </c>
      <c r="J94" s="336">
        <f t="shared" ca="1" si="48"/>
        <v>0</v>
      </c>
      <c r="K94" s="336">
        <f t="shared" ca="1" si="48"/>
        <v>0</v>
      </c>
      <c r="L94" s="336">
        <f t="shared" ca="1" si="48"/>
        <v>0</v>
      </c>
      <c r="M94" s="336">
        <f t="shared" ca="1" si="48"/>
        <v>0</v>
      </c>
      <c r="N94" s="336">
        <f t="shared" ca="1" si="48"/>
        <v>0</v>
      </c>
      <c r="O94" s="336">
        <f t="shared" ca="1" si="48"/>
        <v>0</v>
      </c>
      <c r="P94" s="336">
        <f t="shared" ca="1" si="48"/>
        <v>0</v>
      </c>
      <c r="Q94" s="366">
        <f t="shared" ca="1" si="48"/>
        <v>0</v>
      </c>
      <c r="S94" s="301" t="s">
        <v>460</v>
      </c>
      <c r="T94" s="264" t="s">
        <v>401</v>
      </c>
      <c r="U94" s="264"/>
    </row>
    <row r="95" spans="1:21" s="301" customFormat="1" ht="25.5" outlineLevel="2">
      <c r="A95" s="561"/>
      <c r="B95" s="495" t="s">
        <v>403</v>
      </c>
      <c r="C95" s="245">
        <f ca="1">OFFSET('MOD-Berechnungen'!$I254,0,'MOD-Jahresgang'!$I$3-2013-1)*OFFSET('MOD-Berechnungen'!$I19,0,'MOD-Jahresgang'!$I$3-2013-1)*OFFSET('MOD-Berechnungen'!$I390,0,'MOD-Jahresgang'!$I$3-2013-1)/100</f>
        <v>0</v>
      </c>
      <c r="D95" s="245">
        <f ca="1">OFFSET('MOD-Berechnungen'!$I254,0,'MOD-Jahresgang'!$I$3-2013)*OFFSET('MOD-Berechnungen'!$I19,0,'MOD-Jahresgang'!$I$3-2013)*OFFSET('MOD-Berechnungen'!$I390,0,'MOD-Jahresgang'!$I$3-2013)/100</f>
        <v>0</v>
      </c>
      <c r="E95" s="369">
        <f ca="1">3/12*C95 + 9/12*D95</f>
        <v>0</v>
      </c>
      <c r="F95" s="337">
        <f t="shared" ca="1" si="47"/>
        <v>0</v>
      </c>
      <c r="G95" s="336">
        <f t="shared" ca="1" si="47"/>
        <v>0</v>
      </c>
      <c r="H95" s="366">
        <f t="shared" ca="1" si="47"/>
        <v>0</v>
      </c>
      <c r="I95" s="337">
        <f t="shared" ref="I95:Q95" ca="1" si="49">$D95/12</f>
        <v>0</v>
      </c>
      <c r="J95" s="336">
        <f t="shared" ca="1" si="49"/>
        <v>0</v>
      </c>
      <c r="K95" s="336">
        <f t="shared" ca="1" si="49"/>
        <v>0</v>
      </c>
      <c r="L95" s="336">
        <f t="shared" ca="1" si="49"/>
        <v>0</v>
      </c>
      <c r="M95" s="336">
        <f t="shared" ca="1" si="49"/>
        <v>0</v>
      </c>
      <c r="N95" s="336">
        <f t="shared" ca="1" si="49"/>
        <v>0</v>
      </c>
      <c r="O95" s="336">
        <f t="shared" ca="1" si="49"/>
        <v>0</v>
      </c>
      <c r="P95" s="336">
        <f t="shared" ca="1" si="49"/>
        <v>0</v>
      </c>
      <c r="Q95" s="366">
        <f t="shared" ca="1" si="49"/>
        <v>0</v>
      </c>
      <c r="S95" s="301" t="s">
        <v>460</v>
      </c>
      <c r="T95" s="264" t="s">
        <v>402</v>
      </c>
      <c r="U95" s="264"/>
    </row>
    <row r="96" spans="1:21" s="301" customFormat="1" ht="25.5" outlineLevel="2">
      <c r="A96" s="561"/>
      <c r="B96" s="495" t="s">
        <v>306</v>
      </c>
      <c r="C96" s="245">
        <f ca="1">OFFSET('MOD-Berechnungen'!$I14,0,'MOD-Jahresgang'!$I$3-2013-1)*OFFSET('MOD-Berechnungen'!$I20,0,'MOD-Jahresgang'!$I$3-2013-1)*OFFSET('MOD-Berechnungen'!$I390,0,'MOD-Jahresgang'!$I$3-2013-1)/100</f>
        <v>0.12737884274038652</v>
      </c>
      <c r="D96" s="372">
        <f ca="1">OFFSET('MOD-Berechnungen'!$I14,0,'MOD-Jahresgang'!$I$3-2013)*OFFSET('MOD-Berechnungen'!$I20,0,'MOD-Jahresgang'!$I$3-2013)*OFFSET('MOD-Berechnungen'!$I390,0,'MOD-Jahresgang'!$I$3-2013)/100</f>
        <v>0.11668405819089557</v>
      </c>
      <c r="E96" s="369">
        <f t="shared" ca="1" si="46"/>
        <v>0.11935775432826831</v>
      </c>
      <c r="F96" s="337">
        <f t="shared" ref="F96:H97" ca="1" si="50">$C96/12</f>
        <v>1.0614903561698877E-2</v>
      </c>
      <c r="G96" s="336">
        <f t="shared" ca="1" si="50"/>
        <v>1.0614903561698877E-2</v>
      </c>
      <c r="H96" s="366">
        <f t="shared" ca="1" si="50"/>
        <v>1.0614903561698877E-2</v>
      </c>
      <c r="I96" s="337">
        <f t="shared" ca="1" si="48"/>
        <v>9.7236715159079636E-3</v>
      </c>
      <c r="J96" s="336">
        <f t="shared" ca="1" si="48"/>
        <v>9.7236715159079636E-3</v>
      </c>
      <c r="K96" s="336">
        <f t="shared" ca="1" si="48"/>
        <v>9.7236715159079636E-3</v>
      </c>
      <c r="L96" s="336">
        <f t="shared" ca="1" si="48"/>
        <v>9.7236715159079636E-3</v>
      </c>
      <c r="M96" s="336">
        <f t="shared" ca="1" si="48"/>
        <v>9.7236715159079636E-3</v>
      </c>
      <c r="N96" s="336">
        <f t="shared" ca="1" si="48"/>
        <v>9.7236715159079636E-3</v>
      </c>
      <c r="O96" s="336">
        <f t="shared" ca="1" si="48"/>
        <v>9.7236715159079636E-3</v>
      </c>
      <c r="P96" s="336">
        <f t="shared" ca="1" si="48"/>
        <v>9.7236715159079636E-3</v>
      </c>
      <c r="Q96" s="366">
        <f t="shared" ca="1" si="48"/>
        <v>9.7236715159079636E-3</v>
      </c>
      <c r="T96" s="264" t="s">
        <v>331</v>
      </c>
      <c r="U96" s="264"/>
    </row>
    <row r="97" spans="1:21" s="301" customFormat="1" ht="25.5" outlineLevel="2">
      <c r="A97" s="561"/>
      <c r="B97" s="495" t="s">
        <v>404</v>
      </c>
      <c r="C97" s="245">
        <f ca="1">OFFSET('MOD-Berechnungen'!$I264,0,'MOD-Jahresgang'!$I$3-2013-1)*OFFSET('MOD-Berechnungen'!$I20,0,'MOD-Jahresgang'!$I$3-2013-1)*OFFSET('MOD-Berechnungen'!$I390,0,'MOD-Jahresgang'!$I$3-2013-1)/100</f>
        <v>2.9712518516326045E-2</v>
      </c>
      <c r="D97" s="372">
        <f ca="1">OFFSET('MOD-Berechnungen'!$I264,0,'MOD-Jahresgang'!$I$3-2013)*OFFSET('MOD-Berechnungen'!$I20,0,'MOD-Jahresgang'!$I$3-2013)*OFFSET('MOD-Berechnungen'!$I390,0,'MOD-Jahresgang'!$I$3-2013)/100</f>
        <v>4.0251202032094341E-2</v>
      </c>
      <c r="E97" s="369">
        <f t="shared" ca="1" si="46"/>
        <v>3.7616531153152263E-2</v>
      </c>
      <c r="F97" s="337">
        <f t="shared" ca="1" si="50"/>
        <v>2.4760432096938372E-3</v>
      </c>
      <c r="G97" s="336">
        <f t="shared" ca="1" si="50"/>
        <v>2.4760432096938372E-3</v>
      </c>
      <c r="H97" s="366">
        <f t="shared" ca="1" si="50"/>
        <v>2.4760432096938372E-3</v>
      </c>
      <c r="I97" s="337">
        <f t="shared" ca="1" si="48"/>
        <v>3.3542668360078617E-3</v>
      </c>
      <c r="J97" s="336">
        <f t="shared" ca="1" si="48"/>
        <v>3.3542668360078617E-3</v>
      </c>
      <c r="K97" s="336">
        <f t="shared" ca="1" si="48"/>
        <v>3.3542668360078617E-3</v>
      </c>
      <c r="L97" s="336">
        <f t="shared" ca="1" si="48"/>
        <v>3.3542668360078617E-3</v>
      </c>
      <c r="M97" s="336">
        <f t="shared" ca="1" si="48"/>
        <v>3.3542668360078617E-3</v>
      </c>
      <c r="N97" s="336">
        <f t="shared" ca="1" si="48"/>
        <v>3.3542668360078617E-3</v>
      </c>
      <c r="O97" s="336">
        <f t="shared" ca="1" si="48"/>
        <v>3.3542668360078617E-3</v>
      </c>
      <c r="P97" s="336">
        <f t="shared" ca="1" si="48"/>
        <v>3.3542668360078617E-3</v>
      </c>
      <c r="Q97" s="366">
        <f t="shared" ca="1" si="48"/>
        <v>3.3542668360078617E-3</v>
      </c>
      <c r="T97" s="264" t="s">
        <v>332</v>
      </c>
      <c r="U97" s="264"/>
    </row>
    <row r="98" spans="1:21" s="301" customFormat="1" ht="25.5" outlineLevel="2">
      <c r="A98" s="561"/>
      <c r="B98" s="558" t="s">
        <v>321</v>
      </c>
      <c r="C98" s="375">
        <f ca="1">OFFSET('MOD-Berechnungen'!$I16,0,'MOD-Jahresgang'!$I$3-2013-1)*(OFFSET('MOD-Berechnungen'!$I390,0,'MOD-Jahresgang'!$I$3-2013-1)-OFFSET('MOD-Berechnungen'!$I22,0,'MOD-Jahresgang'!$I$3-2013-1)/10)/100</f>
        <v>0</v>
      </c>
      <c r="D98" s="374">
        <f ca="1">OFFSET('MOD-Berechnungen'!$I16,0,'MOD-Jahresgang'!$I$3-2013)*(OFFSET('MOD-Berechnungen'!$I390,0,'MOD-Jahresgang'!$I$3-2013)-OFFSET('MOD-Berechnungen'!$I22,0,'MOD-Jahresgang'!$I$3-2013)/10)/100</f>
        <v>0</v>
      </c>
      <c r="E98" s="370">
        <f ca="1">3/12*C98 + 9/12*D98</f>
        <v>0</v>
      </c>
      <c r="F98" s="227">
        <f ca="1">$C98/12</f>
        <v>0</v>
      </c>
      <c r="G98" s="77">
        <f ca="1">$C98/12</f>
        <v>0</v>
      </c>
      <c r="H98" s="367">
        <f ca="1">$C98/12</f>
        <v>0</v>
      </c>
      <c r="I98" s="227">
        <f t="shared" ref="I98:Q98" ca="1" si="51">$D98/12</f>
        <v>0</v>
      </c>
      <c r="J98" s="77">
        <f t="shared" ca="1" si="51"/>
        <v>0</v>
      </c>
      <c r="K98" s="77">
        <f t="shared" ca="1" si="51"/>
        <v>0</v>
      </c>
      <c r="L98" s="77">
        <f t="shared" ca="1" si="51"/>
        <v>0</v>
      </c>
      <c r="M98" s="77">
        <f t="shared" ca="1" si="51"/>
        <v>0</v>
      </c>
      <c r="N98" s="77">
        <f t="shared" ca="1" si="51"/>
        <v>0</v>
      </c>
      <c r="O98" s="77">
        <f t="shared" ca="1" si="51"/>
        <v>0</v>
      </c>
      <c r="P98" s="77">
        <f t="shared" ca="1" si="51"/>
        <v>0</v>
      </c>
      <c r="Q98" s="367">
        <f t="shared" ca="1" si="51"/>
        <v>0</v>
      </c>
      <c r="T98" s="264" t="s">
        <v>333</v>
      </c>
      <c r="U98" s="264"/>
    </row>
    <row r="99" spans="1:21" s="301" customFormat="1" ht="15" customHeight="1" outlineLevel="2">
      <c r="A99" s="561"/>
      <c r="B99" s="10"/>
      <c r="C99" s="355"/>
      <c r="D99" s="355"/>
      <c r="E99" s="355"/>
      <c r="F99" s="354"/>
      <c r="G99" s="355"/>
      <c r="H99" s="355"/>
      <c r="I99" s="354"/>
      <c r="J99" s="355"/>
      <c r="K99" s="355"/>
      <c r="L99" s="355"/>
      <c r="M99" s="355"/>
      <c r="N99" s="355"/>
      <c r="O99" s="355"/>
      <c r="P99" s="355"/>
      <c r="Q99" s="355"/>
      <c r="S99" s="320"/>
    </row>
    <row r="100" spans="1:21" s="301" customFormat="1" ht="15" customHeight="1" outlineLevel="2">
      <c r="A100" s="561"/>
      <c r="B100" s="322" t="s">
        <v>319</v>
      </c>
      <c r="C100" s="84">
        <f>$I$3-1</f>
        <v>2021</v>
      </c>
      <c r="D100" s="84">
        <f>$I$3</f>
        <v>2022</v>
      </c>
      <c r="E100" s="322" t="s">
        <v>302</v>
      </c>
      <c r="F100" s="354"/>
      <c r="G100" s="355"/>
      <c r="H100" s="355"/>
      <c r="I100" s="354"/>
      <c r="J100" s="355"/>
      <c r="K100" s="355"/>
      <c r="L100" s="355"/>
      <c r="M100" s="355"/>
      <c r="N100" s="355"/>
      <c r="O100" s="355"/>
      <c r="P100" s="355"/>
      <c r="Q100" s="355"/>
      <c r="S100" s="320"/>
    </row>
    <row r="101" spans="1:21" s="301" customFormat="1" ht="15" customHeight="1" outlineLevel="2">
      <c r="A101" s="561"/>
      <c r="B101" s="321" t="s">
        <v>61</v>
      </c>
      <c r="C101" s="243">
        <f ca="1">OFFSET('MOD-Berechnungen'!$I368,0,'MOD-Jahresgang'!$I$3-2013-1)</f>
        <v>0.34503326899999998</v>
      </c>
      <c r="D101" s="371">
        <f ca="1">OFFSET('MOD-Berechnungen'!$I368,0,'MOD-Jahresgang'!$I$3-2013)</f>
        <v>0.28660418399999998</v>
      </c>
      <c r="E101" s="365">
        <f ca="1">3/12*C101 + 9/12*D101</f>
        <v>0.30121145524999998</v>
      </c>
      <c r="F101" s="86">
        <f ca="1">$C101/12</f>
        <v>2.8752772416666666E-2</v>
      </c>
      <c r="G101" s="76">
        <f t="shared" ref="F101:H102" ca="1" si="52">$C101/12</f>
        <v>2.8752772416666666E-2</v>
      </c>
      <c r="H101" s="76">
        <f t="shared" ca="1" si="52"/>
        <v>2.8752772416666666E-2</v>
      </c>
      <c r="I101" s="86">
        <f ca="1">$D101/12</f>
        <v>2.3883682E-2</v>
      </c>
      <c r="J101" s="76">
        <f t="shared" ref="I101:Q102" ca="1" si="53">$D101/12</f>
        <v>2.3883682E-2</v>
      </c>
      <c r="K101" s="76">
        <f t="shared" ca="1" si="53"/>
        <v>2.3883682E-2</v>
      </c>
      <c r="L101" s="76">
        <f t="shared" ca="1" si="53"/>
        <v>2.3883682E-2</v>
      </c>
      <c r="M101" s="76">
        <f t="shared" ca="1" si="53"/>
        <v>2.3883682E-2</v>
      </c>
      <c r="N101" s="76">
        <f t="shared" ca="1" si="53"/>
        <v>2.3883682E-2</v>
      </c>
      <c r="O101" s="76">
        <f t="shared" ca="1" si="53"/>
        <v>2.3883682E-2</v>
      </c>
      <c r="P101" s="76">
        <f t="shared" ca="1" si="53"/>
        <v>2.3883682E-2</v>
      </c>
      <c r="Q101" s="365">
        <f t="shared" ca="1" si="53"/>
        <v>2.3883682E-2</v>
      </c>
      <c r="S101" s="320"/>
    </row>
    <row r="102" spans="1:21" s="301" customFormat="1" ht="15" customHeight="1" outlineLevel="2">
      <c r="A102" s="561"/>
      <c r="B102" s="303" t="s">
        <v>70</v>
      </c>
      <c r="C102" s="373">
        <f ca="1">OFFSET('MOD-Berechnungen'!$I369,0,'MOD-Jahresgang'!$I$3-2013-1)</f>
        <v>5.9920528000000001E-2</v>
      </c>
      <c r="D102" s="374">
        <f ca="1">OFFSET('MOD-Berechnungen'!$I369,0,'MOD-Jahresgang'!$I$3-2013)</f>
        <v>0.10050276386000001</v>
      </c>
      <c r="E102" s="367">
        <f ca="1">3/12*C102 + 9/12*D102</f>
        <v>9.0357204895000015E-2</v>
      </c>
      <c r="F102" s="227">
        <f t="shared" ca="1" si="52"/>
        <v>4.9933773333333334E-3</v>
      </c>
      <c r="G102" s="77">
        <f t="shared" ca="1" si="52"/>
        <v>4.9933773333333334E-3</v>
      </c>
      <c r="H102" s="77">
        <f t="shared" ca="1" si="52"/>
        <v>4.9933773333333334E-3</v>
      </c>
      <c r="I102" s="227">
        <f t="shared" ca="1" si="53"/>
        <v>8.3752303216666681E-3</v>
      </c>
      <c r="J102" s="77">
        <f t="shared" ca="1" si="53"/>
        <v>8.3752303216666681E-3</v>
      </c>
      <c r="K102" s="77">
        <f t="shared" ca="1" si="53"/>
        <v>8.3752303216666681E-3</v>
      </c>
      <c r="L102" s="77">
        <f t="shared" ca="1" si="53"/>
        <v>8.3752303216666681E-3</v>
      </c>
      <c r="M102" s="77">
        <f t="shared" ca="1" si="53"/>
        <v>8.3752303216666681E-3</v>
      </c>
      <c r="N102" s="77">
        <f t="shared" ca="1" si="53"/>
        <v>8.3752303216666681E-3</v>
      </c>
      <c r="O102" s="77">
        <f t="shared" ca="1" si="53"/>
        <v>8.3752303216666681E-3</v>
      </c>
      <c r="P102" s="77">
        <f t="shared" ca="1" si="53"/>
        <v>8.3752303216666681E-3</v>
      </c>
      <c r="Q102" s="367">
        <f t="shared" ca="1" si="53"/>
        <v>8.3752303216666681E-3</v>
      </c>
      <c r="S102" s="320"/>
    </row>
    <row r="103" spans="1:21" s="301" customFormat="1" ht="15" customHeight="1" outlineLevel="1">
      <c r="A103" s="561"/>
      <c r="F103" s="320"/>
      <c r="I103" s="320"/>
      <c r="S103" s="320"/>
    </row>
    <row r="104" spans="1:21" s="301" customFormat="1" ht="15" customHeight="1">
      <c r="A104" s="561"/>
      <c r="B104" s="322" t="s">
        <v>88</v>
      </c>
      <c r="C104" s="84">
        <f>$I$3-1</f>
        <v>2021</v>
      </c>
      <c r="D104" s="84">
        <f>$I$3</f>
        <v>2022</v>
      </c>
      <c r="E104" s="322" t="s">
        <v>302</v>
      </c>
      <c r="F104" s="320"/>
      <c r="I104" s="320"/>
      <c r="S104" s="320"/>
    </row>
    <row r="105" spans="1:21" s="301" customFormat="1" ht="15" customHeight="1">
      <c r="A105" s="561"/>
      <c r="B105" s="321" t="s">
        <v>323</v>
      </c>
      <c r="C105" s="298"/>
      <c r="D105" s="307"/>
      <c r="E105" s="376">
        <f t="shared" ref="E105:Q105" ca="1" si="54">-SUM(E74:E80)</f>
        <v>-38.77021646728771</v>
      </c>
      <c r="F105" s="327">
        <f t="shared" ca="1" si="54"/>
        <v>-3.424941430433555</v>
      </c>
      <c r="G105" s="323">
        <f t="shared" ca="1" si="54"/>
        <v>-2.6582043028904998</v>
      </c>
      <c r="H105" s="323">
        <f t="shared" ca="1" si="54"/>
        <v>-2.8615369222690048</v>
      </c>
      <c r="I105" s="327">
        <f t="shared" ca="1" si="54"/>
        <v>-2.8888124154160923</v>
      </c>
      <c r="J105" s="323">
        <f t="shared" ca="1" si="54"/>
        <v>-2.6591305773083551</v>
      </c>
      <c r="K105" s="323">
        <f t="shared" ca="1" si="54"/>
        <v>-3.5219384750240144</v>
      </c>
      <c r="L105" s="323">
        <f t="shared" ca="1" si="54"/>
        <v>-3.4141240296208242</v>
      </c>
      <c r="M105" s="323">
        <f t="shared" ca="1" si="54"/>
        <v>-3.5091983618205016</v>
      </c>
      <c r="N105" s="323">
        <f t="shared" ca="1" si="54"/>
        <v>-3.6349473495637752</v>
      </c>
      <c r="O105" s="323">
        <f t="shared" ca="1" si="54"/>
        <v>-3.4448850610158566</v>
      </c>
      <c r="P105" s="323">
        <f t="shared" ca="1" si="54"/>
        <v>-3.4266805597572514</v>
      </c>
      <c r="Q105" s="324">
        <f t="shared" ca="1" si="54"/>
        <v>-3.3258169821679826</v>
      </c>
    </row>
    <row r="106" spans="1:21" s="301" customFormat="1" ht="15" customHeight="1">
      <c r="A106" s="561"/>
      <c r="B106" s="16" t="s">
        <v>87</v>
      </c>
      <c r="C106" s="296"/>
      <c r="D106" s="331"/>
      <c r="E106" s="377">
        <f t="shared" ref="E106:Q106" ca="1" si="55">SUM(E83:E89)</f>
        <v>17.854275583812779</v>
      </c>
      <c r="F106" s="334">
        <f t="shared" ca="1" si="55"/>
        <v>1.5582985535189493</v>
      </c>
      <c r="G106" s="332">
        <f t="shared" ca="1" si="55"/>
        <v>1.3160131229448595</v>
      </c>
      <c r="H106" s="332">
        <f t="shared" ca="1" si="55"/>
        <v>1.4765925360501351</v>
      </c>
      <c r="I106" s="334">
        <f t="shared" ca="1" si="55"/>
        <v>1.6195198159836337</v>
      </c>
      <c r="J106" s="332">
        <f t="shared" ca="1" si="55"/>
        <v>1.4217864970388332</v>
      </c>
      <c r="K106" s="332">
        <f t="shared" ca="1" si="55"/>
        <v>1.7028225794880394</v>
      </c>
      <c r="L106" s="332">
        <f t="shared" ca="1" si="55"/>
        <v>1.4881055426196192</v>
      </c>
      <c r="M106" s="332">
        <f t="shared" ca="1" si="55"/>
        <v>1.4768581492356954</v>
      </c>
      <c r="N106" s="332">
        <f t="shared" ca="1" si="55"/>
        <v>1.4928056616725609</v>
      </c>
      <c r="O106" s="332">
        <f t="shared" ca="1" si="55"/>
        <v>1.4210903617748571</v>
      </c>
      <c r="P106" s="332">
        <f t="shared" ca="1" si="55"/>
        <v>1.4321783687336729</v>
      </c>
      <c r="Q106" s="333">
        <f t="shared" ca="1" si="55"/>
        <v>1.4482043947519243</v>
      </c>
    </row>
    <row r="107" spans="1:21" s="301" customFormat="1" ht="15" customHeight="1">
      <c r="A107" s="561"/>
      <c r="B107" s="16" t="s">
        <v>328</v>
      </c>
      <c r="C107" s="296"/>
      <c r="D107" s="331"/>
      <c r="E107" s="377">
        <f t="shared" ref="E107:Q107" ca="1" si="56">SUM(E92:E98)</f>
        <v>15.175537739181825</v>
      </c>
      <c r="F107" s="334">
        <f t="shared" ca="1" si="56"/>
        <v>1.8353678624604812</v>
      </c>
      <c r="G107" s="332">
        <f t="shared" ca="1" si="56"/>
        <v>1.9560837497652346</v>
      </c>
      <c r="H107" s="332">
        <f t="shared" ca="1" si="56"/>
        <v>1.8752753644077793</v>
      </c>
      <c r="I107" s="334">
        <f t="shared" ca="1" si="56"/>
        <v>1.1388143125457133</v>
      </c>
      <c r="J107" s="332">
        <f t="shared" ca="1" si="56"/>
        <v>1.1547640583932262</v>
      </c>
      <c r="K107" s="332">
        <f t="shared" ca="1" si="56"/>
        <v>1.1005878042416857</v>
      </c>
      <c r="L107" s="332">
        <f t="shared" ca="1" si="56"/>
        <v>1.0494651587009085</v>
      </c>
      <c r="M107" s="332">
        <f t="shared" ca="1" si="56"/>
        <v>1.0570163188124801</v>
      </c>
      <c r="N107" s="332">
        <f t="shared" ca="1" si="56"/>
        <v>1.0128404467162992</v>
      </c>
      <c r="O107" s="332">
        <f t="shared" ca="1" si="56"/>
        <v>1.0088306407858483</v>
      </c>
      <c r="P107" s="332">
        <f t="shared" ca="1" si="56"/>
        <v>0.9928303667530517</v>
      </c>
      <c r="Q107" s="333">
        <f t="shared" ca="1" si="56"/>
        <v>1.048924357443155</v>
      </c>
    </row>
    <row r="108" spans="1:21" s="301" customFormat="1" ht="15" customHeight="1">
      <c r="A108" s="561"/>
      <c r="B108" s="16" t="s">
        <v>320</v>
      </c>
      <c r="C108" s="296"/>
      <c r="D108" s="331"/>
      <c r="E108" s="377">
        <f t="shared" ref="E108:Q108" ca="1" si="57">+E101</f>
        <v>0.30121145524999998</v>
      </c>
      <c r="F108" s="334">
        <f t="shared" ca="1" si="57"/>
        <v>2.8752772416666666E-2</v>
      </c>
      <c r="G108" s="332">
        <f t="shared" ca="1" si="57"/>
        <v>2.8752772416666666E-2</v>
      </c>
      <c r="H108" s="332">
        <f t="shared" ca="1" si="57"/>
        <v>2.8752772416666666E-2</v>
      </c>
      <c r="I108" s="334">
        <f t="shared" ca="1" si="57"/>
        <v>2.3883682E-2</v>
      </c>
      <c r="J108" s="332">
        <f t="shared" ca="1" si="57"/>
        <v>2.3883682E-2</v>
      </c>
      <c r="K108" s="332">
        <f t="shared" ca="1" si="57"/>
        <v>2.3883682E-2</v>
      </c>
      <c r="L108" s="332">
        <f t="shared" ca="1" si="57"/>
        <v>2.3883682E-2</v>
      </c>
      <c r="M108" s="332">
        <f t="shared" ca="1" si="57"/>
        <v>2.3883682E-2</v>
      </c>
      <c r="N108" s="332">
        <f t="shared" ca="1" si="57"/>
        <v>2.3883682E-2</v>
      </c>
      <c r="O108" s="332">
        <f t="shared" ca="1" si="57"/>
        <v>2.3883682E-2</v>
      </c>
      <c r="P108" s="332">
        <f t="shared" ca="1" si="57"/>
        <v>2.3883682E-2</v>
      </c>
      <c r="Q108" s="333">
        <f t="shared" ca="1" si="57"/>
        <v>2.3883682E-2</v>
      </c>
    </row>
    <row r="109" spans="1:21" s="301" customFormat="1" ht="15" customHeight="1">
      <c r="A109" s="561"/>
      <c r="B109" s="303" t="s">
        <v>69</v>
      </c>
      <c r="C109" s="296"/>
      <c r="D109" s="331"/>
      <c r="E109" s="377">
        <f t="shared" ref="E109:Q109" ca="1" si="58">-E102</f>
        <v>-9.0357204895000015E-2</v>
      </c>
      <c r="F109" s="334">
        <f t="shared" ca="1" si="58"/>
        <v>-4.9933773333333334E-3</v>
      </c>
      <c r="G109" s="332">
        <f t="shared" ca="1" si="58"/>
        <v>-4.9933773333333334E-3</v>
      </c>
      <c r="H109" s="332">
        <f t="shared" ca="1" si="58"/>
        <v>-4.9933773333333334E-3</v>
      </c>
      <c r="I109" s="334">
        <f t="shared" ca="1" si="58"/>
        <v>-8.3752303216666681E-3</v>
      </c>
      <c r="J109" s="332">
        <f t="shared" ca="1" si="58"/>
        <v>-8.3752303216666681E-3</v>
      </c>
      <c r="K109" s="332">
        <f t="shared" ca="1" si="58"/>
        <v>-8.3752303216666681E-3</v>
      </c>
      <c r="L109" s="332">
        <f t="shared" ca="1" si="58"/>
        <v>-8.3752303216666681E-3</v>
      </c>
      <c r="M109" s="332">
        <f t="shared" ca="1" si="58"/>
        <v>-8.3752303216666681E-3</v>
      </c>
      <c r="N109" s="332">
        <f t="shared" ca="1" si="58"/>
        <v>-8.3752303216666681E-3</v>
      </c>
      <c r="O109" s="332">
        <f t="shared" ca="1" si="58"/>
        <v>-8.3752303216666681E-3</v>
      </c>
      <c r="P109" s="332">
        <f t="shared" ca="1" si="58"/>
        <v>-8.3752303216666681E-3</v>
      </c>
      <c r="Q109" s="333">
        <f t="shared" ca="1" si="58"/>
        <v>-8.3752303216666681E-3</v>
      </c>
    </row>
    <row r="110" spans="1:21" s="84" customFormat="1" ht="15" customHeight="1">
      <c r="A110" s="561"/>
      <c r="B110" s="203" t="s">
        <v>920</v>
      </c>
      <c r="C110" s="997"/>
      <c r="D110" s="998"/>
      <c r="E110" s="380">
        <f t="shared" ref="E110:Q110" ca="1" si="59">SUM(E105:E109)</f>
        <v>-5.5295488939381059</v>
      </c>
      <c r="F110" s="378">
        <f t="shared" ca="1" si="59"/>
        <v>-7.5156193707911732E-3</v>
      </c>
      <c r="G110" s="379">
        <f t="shared" ca="1" si="59"/>
        <v>0.63765196490292753</v>
      </c>
      <c r="H110" s="379">
        <f t="shared" ca="1" si="59"/>
        <v>0.51409037327224283</v>
      </c>
      <c r="I110" s="378">
        <f t="shared" ca="1" si="59"/>
        <v>-0.114969835208412</v>
      </c>
      <c r="J110" s="379">
        <f t="shared" ca="1" si="59"/>
        <v>-6.7071570197962421E-2</v>
      </c>
      <c r="K110" s="379">
        <f t="shared" ca="1" si="59"/>
        <v>-0.70301963961595593</v>
      </c>
      <c r="L110" s="379">
        <f t="shared" ca="1" si="59"/>
        <v>-0.86104487662196305</v>
      </c>
      <c r="M110" s="379">
        <f t="shared" ca="1" si="59"/>
        <v>-0.95981544209399272</v>
      </c>
      <c r="N110" s="379">
        <f t="shared" ca="1" si="59"/>
        <v>-1.1137927894965818</v>
      </c>
      <c r="O110" s="379">
        <f t="shared" ca="1" si="59"/>
        <v>-0.99945560677681777</v>
      </c>
      <c r="P110" s="379">
        <f t="shared" ca="1" si="59"/>
        <v>-0.98616337259219355</v>
      </c>
      <c r="Q110" s="381">
        <f t="shared" ca="1" si="59"/>
        <v>-0.81317977829456989</v>
      </c>
    </row>
    <row r="111" spans="1:21" s="301" customFormat="1" ht="15" customHeight="1"/>
    <row r="112" spans="1:21" s="301" customFormat="1" ht="15" customHeight="1">
      <c r="B112" s="10"/>
      <c r="C112" s="382"/>
      <c r="D112" s="382"/>
      <c r="E112" s="382"/>
      <c r="F112" s="382"/>
      <c r="G112" s="382"/>
      <c r="H112" s="382"/>
      <c r="I112" s="382"/>
      <c r="J112" s="382"/>
      <c r="K112" s="382"/>
      <c r="L112" s="382"/>
      <c r="M112" s="382"/>
      <c r="N112" s="382"/>
      <c r="O112" s="382"/>
      <c r="P112" s="382"/>
      <c r="Q112" s="382"/>
    </row>
    <row r="113" spans="2:17" s="301" customFormat="1" ht="15" customHeight="1">
      <c r="B113" s="10"/>
      <c r="C113" s="382"/>
      <c r="D113" s="382"/>
      <c r="E113" s="382"/>
      <c r="F113" s="382"/>
      <c r="G113" s="382"/>
      <c r="H113" s="382"/>
      <c r="I113" s="382"/>
      <c r="J113" s="382"/>
      <c r="K113" s="382"/>
      <c r="L113" s="382"/>
      <c r="M113" s="382"/>
      <c r="N113" s="382"/>
      <c r="O113" s="382"/>
      <c r="P113" s="382"/>
      <c r="Q113" s="382"/>
    </row>
    <row r="114" spans="2:17" s="301" customFormat="1" ht="15" customHeight="1">
      <c r="B114" s="10"/>
      <c r="C114" s="382"/>
      <c r="D114" s="382"/>
      <c r="E114" s="382"/>
      <c r="F114" s="382"/>
      <c r="G114" s="382"/>
      <c r="H114" s="382"/>
      <c r="I114" s="382"/>
      <c r="J114" s="382"/>
      <c r="K114" s="382"/>
      <c r="L114" s="382"/>
      <c r="M114" s="382"/>
      <c r="N114" s="382"/>
      <c r="O114" s="382"/>
      <c r="P114" s="382"/>
      <c r="Q114" s="382"/>
    </row>
    <row r="115" spans="2:17" s="301" customFormat="1" ht="15" customHeight="1">
      <c r="B115" s="10"/>
      <c r="C115" s="382"/>
      <c r="D115" s="382"/>
      <c r="E115" s="382"/>
      <c r="F115" s="383"/>
      <c r="G115" s="383"/>
      <c r="H115" s="383"/>
      <c r="I115" s="382"/>
      <c r="J115" s="382"/>
      <c r="K115" s="382"/>
      <c r="L115" s="382"/>
      <c r="M115" s="382"/>
      <c r="N115" s="382"/>
      <c r="O115" s="382"/>
      <c r="P115" s="382"/>
      <c r="Q115" s="382"/>
    </row>
    <row r="116" spans="2:17" s="301" customFormat="1" ht="15" customHeight="1">
      <c r="B116" s="10"/>
      <c r="C116" s="382"/>
      <c r="D116" s="382"/>
      <c r="E116" s="382"/>
      <c r="F116" s="382"/>
      <c r="G116" s="382"/>
      <c r="H116" s="382"/>
      <c r="I116" s="382"/>
      <c r="J116" s="382"/>
      <c r="K116" s="382"/>
      <c r="L116" s="382"/>
      <c r="M116" s="382"/>
      <c r="N116" s="382"/>
      <c r="O116" s="382"/>
      <c r="P116" s="382"/>
      <c r="Q116" s="382"/>
    </row>
    <row r="117" spans="2:17" s="301" customFormat="1" ht="15" customHeight="1">
      <c r="B117" s="10"/>
      <c r="C117" s="382"/>
      <c r="D117" s="382"/>
      <c r="E117" s="382"/>
      <c r="F117" s="382"/>
      <c r="G117" s="382"/>
      <c r="H117" s="382"/>
      <c r="I117" s="382"/>
      <c r="J117" s="382"/>
      <c r="K117" s="382"/>
      <c r="L117" s="382"/>
      <c r="M117" s="382"/>
      <c r="N117" s="382"/>
      <c r="O117" s="382"/>
      <c r="P117" s="382"/>
      <c r="Q117" s="382"/>
    </row>
    <row r="118" spans="2:17" s="301" customFormat="1" ht="15" customHeight="1"/>
    <row r="119" spans="2:17" s="301" customFormat="1" ht="15" customHeight="1">
      <c r="C119" s="75"/>
      <c r="D119" s="75"/>
      <c r="E119" s="75"/>
      <c r="F119" s="75"/>
      <c r="G119" s="75"/>
      <c r="H119" s="75"/>
      <c r="I119" s="75"/>
      <c r="J119" s="75"/>
      <c r="K119" s="75"/>
      <c r="L119" s="75"/>
      <c r="M119" s="75"/>
      <c r="N119" s="75"/>
      <c r="O119" s="75"/>
      <c r="P119" s="75"/>
      <c r="Q119" s="75"/>
    </row>
    <row r="120" spans="2:17" s="301" customFormat="1" ht="15" customHeight="1">
      <c r="C120" s="75"/>
      <c r="D120" s="75"/>
      <c r="E120" s="75"/>
      <c r="F120" s="75"/>
      <c r="G120" s="75"/>
      <c r="H120" s="75"/>
      <c r="I120" s="75"/>
      <c r="J120" s="75"/>
      <c r="K120" s="75"/>
      <c r="L120" s="75"/>
      <c r="M120" s="75"/>
      <c r="N120" s="75"/>
      <c r="O120" s="75"/>
      <c r="P120" s="75"/>
      <c r="Q120" s="75"/>
    </row>
    <row r="121" spans="2:17" s="301" customFormat="1" ht="15" customHeight="1">
      <c r="C121" s="75"/>
      <c r="D121" s="75"/>
      <c r="E121" s="75"/>
      <c r="F121" s="75"/>
      <c r="G121" s="75"/>
      <c r="H121" s="75"/>
      <c r="I121" s="75"/>
      <c r="J121" s="75"/>
      <c r="K121" s="75"/>
      <c r="L121" s="75"/>
      <c r="M121" s="75"/>
      <c r="N121" s="75"/>
      <c r="O121" s="75"/>
      <c r="P121" s="75"/>
      <c r="Q121" s="75"/>
    </row>
    <row r="122" spans="2:17" s="301" customFormat="1" ht="15" customHeight="1">
      <c r="C122" s="75"/>
      <c r="D122" s="75"/>
      <c r="E122" s="75"/>
      <c r="F122" s="75"/>
      <c r="G122" s="75"/>
      <c r="H122" s="75"/>
      <c r="I122" s="75"/>
      <c r="J122" s="75"/>
      <c r="K122" s="75"/>
      <c r="L122" s="75"/>
      <c r="M122" s="75"/>
      <c r="N122" s="75"/>
      <c r="O122" s="75"/>
      <c r="P122" s="75"/>
      <c r="Q122" s="75"/>
    </row>
    <row r="123" spans="2:17" s="301" customFormat="1" ht="15" customHeight="1">
      <c r="C123" s="75"/>
      <c r="D123" s="75"/>
      <c r="E123" s="75"/>
      <c r="F123" s="75"/>
      <c r="G123" s="75"/>
      <c r="H123" s="75"/>
      <c r="I123" s="75"/>
      <c r="J123" s="75"/>
      <c r="K123" s="75"/>
      <c r="L123" s="75"/>
      <c r="M123" s="75"/>
      <c r="N123" s="75"/>
      <c r="O123" s="75"/>
      <c r="P123" s="75"/>
      <c r="Q123" s="75"/>
    </row>
    <row r="124" spans="2:17" s="301" customFormat="1" ht="15" customHeight="1">
      <c r="C124" s="75"/>
      <c r="D124" s="75"/>
      <c r="E124" s="75"/>
      <c r="F124" s="75"/>
      <c r="G124" s="75"/>
      <c r="H124" s="75"/>
      <c r="I124" s="75"/>
      <c r="J124" s="75"/>
      <c r="K124" s="75"/>
      <c r="L124" s="75"/>
      <c r="M124" s="75"/>
      <c r="N124" s="75"/>
      <c r="O124" s="75"/>
      <c r="P124" s="75"/>
      <c r="Q124" s="75"/>
    </row>
    <row r="125" spans="2:17" s="301" customFormat="1" ht="15" customHeight="1">
      <c r="D125" s="10"/>
      <c r="E125" s="10"/>
      <c r="F125" s="9"/>
      <c r="G125" s="9"/>
      <c r="H125" s="9"/>
      <c r="I125" s="9"/>
      <c r="J125" s="9"/>
      <c r="K125" s="9"/>
      <c r="L125" s="9"/>
      <c r="M125" s="9"/>
      <c r="N125" s="9"/>
      <c r="O125" s="9"/>
      <c r="P125" s="9"/>
      <c r="Q125" s="9"/>
    </row>
    <row r="126" spans="2:17" s="301" customFormat="1" ht="15" customHeight="1">
      <c r="D126" s="10"/>
      <c r="E126" s="10"/>
      <c r="F126" s="9"/>
      <c r="G126" s="9"/>
      <c r="H126" s="9"/>
      <c r="I126" s="9"/>
      <c r="J126" s="9"/>
      <c r="K126" s="9"/>
      <c r="L126" s="9"/>
      <c r="M126" s="9"/>
      <c r="N126" s="9"/>
      <c r="O126" s="9"/>
      <c r="P126" s="9"/>
      <c r="Q126" s="9"/>
    </row>
    <row r="127" spans="2:17" s="301" customFormat="1" ht="15" customHeight="1">
      <c r="D127" s="10"/>
      <c r="E127" s="10"/>
      <c r="F127" s="9"/>
      <c r="G127" s="9"/>
      <c r="H127" s="9"/>
      <c r="I127" s="9"/>
      <c r="J127" s="9"/>
      <c r="K127" s="9"/>
      <c r="L127" s="9"/>
      <c r="M127" s="9"/>
      <c r="N127" s="9"/>
      <c r="O127" s="9"/>
      <c r="P127" s="9"/>
      <c r="Q127" s="9"/>
    </row>
    <row r="128" spans="2:17" s="301" customFormat="1" ht="15" customHeight="1">
      <c r="D128" s="10"/>
      <c r="E128" s="10"/>
      <c r="F128" s="9"/>
      <c r="G128" s="9"/>
      <c r="H128" s="9"/>
      <c r="I128" s="9"/>
      <c r="J128" s="9"/>
      <c r="K128" s="9"/>
      <c r="L128" s="9"/>
      <c r="M128" s="9"/>
      <c r="N128" s="9"/>
      <c r="O128" s="9"/>
      <c r="P128" s="9"/>
      <c r="Q128" s="9"/>
    </row>
    <row r="129" spans="3:17" s="301" customFormat="1" ht="15" customHeight="1">
      <c r="C129" s="383"/>
      <c r="D129" s="383"/>
      <c r="E129" s="383"/>
      <c r="F129" s="383"/>
      <c r="G129" s="383"/>
      <c r="H129" s="383"/>
      <c r="I129" s="383"/>
      <c r="J129" s="383"/>
      <c r="K129" s="383"/>
      <c r="L129" s="383"/>
      <c r="M129" s="383"/>
      <c r="N129" s="383"/>
      <c r="O129" s="383"/>
      <c r="P129" s="383"/>
      <c r="Q129" s="383"/>
    </row>
    <row r="130" spans="3:17" s="301" customFormat="1" ht="15" customHeight="1">
      <c r="C130" s="383"/>
      <c r="D130" s="383"/>
      <c r="E130" s="383"/>
      <c r="F130" s="383"/>
      <c r="G130" s="383"/>
      <c r="H130" s="383"/>
      <c r="I130" s="383"/>
      <c r="J130" s="383"/>
      <c r="K130" s="383"/>
      <c r="L130" s="383"/>
      <c r="M130" s="383"/>
      <c r="N130" s="383"/>
      <c r="O130" s="383"/>
      <c r="P130" s="383"/>
      <c r="Q130" s="383"/>
    </row>
    <row r="131" spans="3:17" s="301" customFormat="1" ht="15" customHeight="1">
      <c r="C131" s="383"/>
      <c r="D131" s="383"/>
      <c r="E131" s="383"/>
      <c r="F131" s="383"/>
      <c r="G131" s="383"/>
      <c r="H131" s="383"/>
      <c r="I131" s="383"/>
      <c r="J131" s="383"/>
      <c r="K131" s="383"/>
      <c r="L131" s="383"/>
      <c r="M131" s="383"/>
      <c r="N131" s="383"/>
      <c r="O131" s="383"/>
      <c r="P131" s="383"/>
      <c r="Q131" s="383"/>
    </row>
    <row r="132" spans="3:17" s="301" customFormat="1" ht="15" customHeight="1">
      <c r="C132" s="383"/>
      <c r="D132" s="383"/>
      <c r="E132" s="383"/>
      <c r="F132" s="383"/>
      <c r="G132" s="383"/>
      <c r="H132" s="383"/>
      <c r="I132" s="383"/>
      <c r="J132" s="383"/>
      <c r="K132" s="383"/>
      <c r="L132" s="383"/>
      <c r="M132" s="383"/>
      <c r="N132" s="383"/>
      <c r="O132" s="383"/>
      <c r="P132" s="383"/>
      <c r="Q132" s="383"/>
    </row>
    <row r="133" spans="3:17" s="301" customFormat="1" ht="15" customHeight="1">
      <c r="C133" s="383"/>
      <c r="D133" s="383"/>
      <c r="E133" s="383"/>
      <c r="F133" s="383"/>
      <c r="G133" s="383"/>
      <c r="H133" s="383"/>
      <c r="I133" s="383"/>
      <c r="J133" s="383"/>
      <c r="K133" s="383"/>
      <c r="L133" s="383"/>
      <c r="M133" s="383"/>
      <c r="N133" s="383"/>
      <c r="O133" s="383"/>
      <c r="P133" s="383"/>
      <c r="Q133" s="383"/>
    </row>
    <row r="134" spans="3:17" s="301" customFormat="1" ht="15" customHeight="1">
      <c r="C134" s="383"/>
      <c r="D134" s="383"/>
      <c r="E134" s="383"/>
      <c r="F134" s="383"/>
      <c r="G134" s="383"/>
      <c r="H134" s="383"/>
      <c r="I134" s="383"/>
      <c r="J134" s="383"/>
      <c r="K134" s="383"/>
      <c r="L134" s="383"/>
      <c r="M134" s="383"/>
      <c r="N134" s="383"/>
      <c r="O134" s="383"/>
      <c r="P134" s="383"/>
      <c r="Q134" s="383"/>
    </row>
    <row r="135" spans="3:17" s="301" customFormat="1" ht="15" customHeight="1">
      <c r="D135" s="10"/>
      <c r="E135" s="10"/>
      <c r="F135" s="9"/>
      <c r="G135" s="9"/>
      <c r="H135" s="9"/>
      <c r="I135" s="9"/>
      <c r="J135" s="9"/>
      <c r="K135" s="9"/>
      <c r="L135" s="9"/>
      <c r="M135" s="9"/>
      <c r="N135" s="9"/>
      <c r="O135" s="9"/>
      <c r="P135" s="9"/>
      <c r="Q135" s="9"/>
    </row>
    <row r="136" spans="3:17" s="301" customFormat="1" ht="15" customHeight="1">
      <c r="D136" s="10"/>
      <c r="E136" s="10"/>
      <c r="F136" s="9"/>
      <c r="G136" s="9"/>
      <c r="H136" s="9"/>
      <c r="I136" s="9"/>
      <c r="J136" s="9"/>
      <c r="K136" s="9"/>
      <c r="L136" s="9"/>
      <c r="M136" s="9"/>
      <c r="N136" s="9"/>
      <c r="O136" s="9"/>
      <c r="P136" s="9"/>
      <c r="Q136" s="9"/>
    </row>
    <row r="137" spans="3:17" s="301" customFormat="1" ht="15" customHeight="1">
      <c r="C137" s="335"/>
      <c r="D137" s="335"/>
      <c r="E137" s="335"/>
      <c r="F137" s="335"/>
      <c r="G137" s="335"/>
      <c r="H137" s="335"/>
      <c r="I137" s="335"/>
      <c r="J137" s="335"/>
      <c r="K137" s="335"/>
      <c r="L137" s="335"/>
      <c r="M137" s="335"/>
      <c r="N137" s="335"/>
      <c r="O137" s="335"/>
      <c r="P137" s="335"/>
      <c r="Q137" s="335"/>
    </row>
    <row r="138" spans="3:17" s="301" customFormat="1" ht="15" customHeight="1">
      <c r="C138" s="335"/>
      <c r="D138" s="335"/>
      <c r="E138" s="335"/>
      <c r="F138" s="335"/>
      <c r="G138" s="335"/>
      <c r="H138" s="335"/>
      <c r="I138" s="335"/>
      <c r="J138" s="335"/>
      <c r="K138" s="335"/>
      <c r="L138" s="335"/>
      <c r="M138" s="335"/>
      <c r="N138" s="335"/>
      <c r="O138" s="335"/>
      <c r="P138" s="335"/>
      <c r="Q138" s="335"/>
    </row>
    <row r="139" spans="3:17" s="301" customFormat="1" ht="15" customHeight="1">
      <c r="C139" s="335"/>
      <c r="D139" s="335"/>
      <c r="E139" s="335"/>
      <c r="F139" s="335"/>
      <c r="G139" s="335"/>
      <c r="H139" s="335"/>
      <c r="I139" s="335"/>
      <c r="J139" s="335"/>
      <c r="K139" s="335"/>
      <c r="L139" s="335"/>
      <c r="M139" s="335"/>
      <c r="N139" s="335"/>
      <c r="O139" s="335"/>
      <c r="P139" s="335"/>
      <c r="Q139" s="335"/>
    </row>
    <row r="140" spans="3:17" s="301" customFormat="1" ht="15" customHeight="1">
      <c r="C140" s="335"/>
      <c r="D140" s="335"/>
      <c r="E140" s="335"/>
      <c r="F140" s="335"/>
      <c r="G140" s="335"/>
      <c r="H140" s="335"/>
      <c r="I140" s="335"/>
      <c r="J140" s="335"/>
      <c r="K140" s="335"/>
      <c r="L140" s="335"/>
      <c r="M140" s="335"/>
      <c r="N140" s="335"/>
      <c r="O140" s="335"/>
      <c r="P140" s="335"/>
      <c r="Q140" s="335"/>
    </row>
    <row r="141" spans="3:17" s="301" customFormat="1" ht="15" customHeight="1">
      <c r="C141" s="335"/>
      <c r="D141" s="335"/>
      <c r="E141" s="335"/>
      <c r="F141" s="335"/>
      <c r="G141" s="335"/>
      <c r="H141" s="335"/>
      <c r="I141" s="335"/>
      <c r="J141" s="335"/>
      <c r="K141" s="335"/>
      <c r="L141" s="335"/>
      <c r="M141" s="335"/>
      <c r="N141" s="335"/>
      <c r="O141" s="335"/>
      <c r="P141" s="335"/>
      <c r="Q141" s="335"/>
    </row>
    <row r="142" spans="3:17" s="301" customFormat="1" ht="15" customHeight="1">
      <c r="C142" s="335"/>
      <c r="D142" s="335"/>
      <c r="E142" s="335"/>
      <c r="F142" s="335"/>
      <c r="G142" s="335"/>
      <c r="H142" s="335"/>
      <c r="I142" s="335"/>
      <c r="J142" s="335"/>
      <c r="K142" s="335"/>
      <c r="L142" s="335"/>
      <c r="M142" s="335"/>
      <c r="N142" s="335"/>
      <c r="O142" s="335"/>
      <c r="P142" s="335"/>
      <c r="Q142" s="335"/>
    </row>
    <row r="143" spans="3:17" s="301" customFormat="1" ht="15" customHeight="1">
      <c r="D143" s="10"/>
      <c r="E143" s="10"/>
      <c r="F143" s="9"/>
      <c r="G143" s="9"/>
      <c r="H143" s="9"/>
      <c r="I143" s="9"/>
      <c r="J143" s="9"/>
      <c r="K143" s="9"/>
      <c r="L143" s="9"/>
      <c r="M143" s="9"/>
      <c r="N143" s="9"/>
      <c r="O143" s="9"/>
      <c r="P143" s="9"/>
      <c r="Q143" s="9"/>
    </row>
    <row r="144" spans="3:17" s="301" customFormat="1" ht="15" customHeight="1">
      <c r="D144" s="10"/>
      <c r="E144" s="10"/>
      <c r="F144" s="9"/>
      <c r="G144" s="9"/>
      <c r="H144" s="9"/>
      <c r="I144" s="9"/>
      <c r="J144" s="9"/>
      <c r="K144" s="9"/>
      <c r="L144" s="9"/>
      <c r="M144" s="9"/>
      <c r="N144" s="9"/>
      <c r="O144" s="9"/>
      <c r="P144" s="9"/>
      <c r="Q144" s="9"/>
    </row>
    <row r="145" spans="4:17" s="301" customFormat="1" ht="15" customHeight="1">
      <c r="D145" s="10"/>
      <c r="E145" s="10"/>
      <c r="F145" s="9"/>
      <c r="G145" s="9"/>
      <c r="H145" s="9"/>
      <c r="I145" s="9"/>
      <c r="J145" s="9"/>
      <c r="K145" s="9"/>
      <c r="L145" s="9"/>
      <c r="M145" s="9"/>
      <c r="N145" s="9"/>
      <c r="O145" s="9"/>
      <c r="P145" s="9"/>
      <c r="Q145" s="9"/>
    </row>
    <row r="146" spans="4:17" s="301" customFormat="1" ht="15" customHeight="1">
      <c r="D146" s="10"/>
      <c r="E146" s="10"/>
      <c r="F146" s="9"/>
      <c r="G146" s="9"/>
      <c r="H146" s="9"/>
      <c r="I146" s="9"/>
      <c r="J146" s="9"/>
      <c r="K146" s="9"/>
      <c r="L146" s="9"/>
      <c r="M146" s="9"/>
      <c r="N146" s="9"/>
      <c r="O146" s="9"/>
      <c r="P146" s="9"/>
      <c r="Q146" s="9"/>
    </row>
    <row r="147" spans="4:17" s="301" customFormat="1" ht="15" customHeight="1">
      <c r="D147" s="10"/>
      <c r="E147" s="10"/>
      <c r="F147" s="9"/>
      <c r="G147" s="9"/>
      <c r="H147" s="9"/>
      <c r="I147" s="9"/>
      <c r="J147" s="9"/>
      <c r="K147" s="9"/>
      <c r="L147" s="9"/>
      <c r="M147" s="9"/>
      <c r="N147" s="9"/>
      <c r="O147" s="9"/>
      <c r="P147" s="9"/>
      <c r="Q147" s="9"/>
    </row>
    <row r="148" spans="4:17" s="301" customFormat="1" ht="15" customHeight="1">
      <c r="D148" s="10"/>
      <c r="E148" s="10"/>
      <c r="F148" s="9"/>
      <c r="G148" s="9"/>
      <c r="H148" s="9"/>
      <c r="I148" s="9"/>
      <c r="J148" s="9"/>
      <c r="K148" s="9"/>
      <c r="L148" s="9"/>
      <c r="M148" s="9"/>
      <c r="N148" s="9"/>
      <c r="O148" s="9"/>
      <c r="P148" s="9"/>
      <c r="Q148" s="9"/>
    </row>
    <row r="149" spans="4:17" s="301" customFormat="1" ht="15" customHeight="1">
      <c r="D149" s="10"/>
      <c r="E149" s="10"/>
      <c r="F149" s="9"/>
      <c r="G149" s="9"/>
      <c r="H149" s="9"/>
      <c r="I149" s="9"/>
      <c r="J149" s="9"/>
      <c r="K149" s="9"/>
      <c r="L149" s="9"/>
      <c r="M149" s="9"/>
      <c r="N149" s="9"/>
      <c r="O149" s="9"/>
      <c r="P149" s="9"/>
      <c r="Q149" s="9"/>
    </row>
    <row r="150" spans="4:17" s="301" customFormat="1" ht="15" customHeight="1">
      <c r="D150" s="10"/>
      <c r="E150" s="10"/>
      <c r="F150" s="9"/>
      <c r="G150" s="9"/>
      <c r="H150" s="9"/>
      <c r="I150" s="9"/>
      <c r="J150" s="9"/>
      <c r="K150" s="9"/>
      <c r="L150" s="9"/>
      <c r="M150" s="9"/>
      <c r="N150" s="9"/>
      <c r="O150" s="9"/>
      <c r="P150" s="9"/>
      <c r="Q150" s="9"/>
    </row>
    <row r="151" spans="4:17" s="301" customFormat="1" ht="15" customHeight="1">
      <c r="D151" s="10"/>
      <c r="E151" s="10"/>
      <c r="F151" s="9"/>
      <c r="G151" s="9"/>
      <c r="H151" s="9"/>
      <c r="I151" s="9"/>
      <c r="J151" s="9"/>
      <c r="K151" s="9"/>
      <c r="L151" s="9"/>
      <c r="M151" s="9"/>
      <c r="N151" s="9"/>
      <c r="O151" s="9"/>
      <c r="P151" s="9"/>
      <c r="Q151" s="9"/>
    </row>
    <row r="152" spans="4:17" s="301" customFormat="1" ht="15" customHeight="1">
      <c r="D152" s="10"/>
      <c r="E152" s="10"/>
      <c r="F152" s="9"/>
      <c r="G152" s="9"/>
      <c r="H152" s="9"/>
      <c r="I152" s="9"/>
      <c r="J152" s="9"/>
      <c r="K152" s="9"/>
      <c r="L152" s="9"/>
      <c r="M152" s="9"/>
      <c r="N152" s="9"/>
      <c r="O152" s="9"/>
      <c r="P152" s="9"/>
      <c r="Q152" s="9"/>
    </row>
    <row r="153" spans="4:17" s="301" customFormat="1" ht="15" customHeight="1">
      <c r="D153" s="10"/>
      <c r="E153" s="10"/>
      <c r="F153" s="9"/>
      <c r="G153" s="9"/>
      <c r="H153" s="9"/>
      <c r="I153" s="9"/>
      <c r="J153" s="9"/>
      <c r="K153" s="9"/>
      <c r="L153" s="9"/>
      <c r="M153" s="9"/>
      <c r="N153" s="9"/>
      <c r="O153" s="9"/>
      <c r="P153" s="9"/>
      <c r="Q153" s="9"/>
    </row>
    <row r="154" spans="4:17" s="301" customFormat="1" ht="15" customHeight="1">
      <c r="D154" s="10"/>
      <c r="E154" s="10"/>
      <c r="F154" s="9"/>
      <c r="G154" s="9"/>
      <c r="H154" s="9"/>
      <c r="I154" s="9"/>
      <c r="J154" s="9"/>
      <c r="K154" s="9"/>
      <c r="L154" s="9"/>
      <c r="M154" s="9"/>
      <c r="N154" s="9"/>
      <c r="O154" s="9"/>
      <c r="P154" s="9"/>
      <c r="Q154" s="9"/>
    </row>
    <row r="155" spans="4:17" s="301" customFormat="1" ht="15" customHeight="1">
      <c r="D155" s="10"/>
      <c r="E155" s="10"/>
      <c r="F155" s="9"/>
      <c r="G155" s="9"/>
      <c r="H155" s="9"/>
      <c r="I155" s="9"/>
      <c r="J155" s="9"/>
      <c r="K155" s="9"/>
      <c r="L155" s="9"/>
      <c r="M155" s="9"/>
      <c r="N155" s="9"/>
      <c r="O155" s="9"/>
      <c r="P155" s="9"/>
      <c r="Q155" s="9"/>
    </row>
    <row r="156" spans="4:17" s="301" customFormat="1" ht="15" customHeight="1">
      <c r="D156" s="10"/>
      <c r="E156" s="10"/>
      <c r="F156" s="9"/>
      <c r="G156" s="9"/>
      <c r="H156" s="9"/>
      <c r="I156" s="9"/>
      <c r="J156" s="9"/>
      <c r="K156" s="9"/>
      <c r="L156" s="9"/>
      <c r="M156" s="9"/>
      <c r="N156" s="9"/>
      <c r="O156" s="9"/>
      <c r="P156" s="9"/>
      <c r="Q156" s="9"/>
    </row>
    <row r="157" spans="4:17" s="301" customFormat="1" ht="15" customHeight="1">
      <c r="D157" s="10"/>
      <c r="E157" s="10"/>
      <c r="F157" s="9"/>
      <c r="G157" s="9"/>
      <c r="H157" s="9"/>
      <c r="I157" s="9"/>
      <c r="J157" s="9"/>
      <c r="K157" s="9"/>
      <c r="L157" s="9"/>
      <c r="M157" s="9"/>
      <c r="N157" s="9"/>
      <c r="O157" s="9"/>
      <c r="P157" s="9"/>
      <c r="Q157" s="9"/>
    </row>
    <row r="158" spans="4:17" s="301" customFormat="1" ht="15" customHeight="1">
      <c r="D158" s="10"/>
      <c r="E158" s="10"/>
      <c r="F158" s="9"/>
      <c r="G158" s="9"/>
      <c r="H158" s="9"/>
      <c r="I158" s="9"/>
      <c r="J158" s="9"/>
      <c r="K158" s="9"/>
      <c r="L158" s="9"/>
      <c r="M158" s="9"/>
      <c r="N158" s="9"/>
      <c r="O158" s="9"/>
      <c r="P158" s="9"/>
      <c r="Q158" s="9"/>
    </row>
    <row r="159" spans="4:17" s="301" customFormat="1" ht="15" customHeight="1">
      <c r="D159" s="10"/>
      <c r="E159" s="10"/>
      <c r="F159" s="9"/>
      <c r="G159" s="9"/>
      <c r="H159" s="9"/>
      <c r="I159" s="9"/>
      <c r="J159" s="9"/>
      <c r="K159" s="9"/>
      <c r="L159" s="9"/>
      <c r="M159" s="9"/>
      <c r="N159" s="9"/>
      <c r="O159" s="9"/>
      <c r="P159" s="9"/>
      <c r="Q159" s="9"/>
    </row>
    <row r="160" spans="4:17" s="301" customFormat="1" ht="15" customHeight="1">
      <c r="D160" s="10"/>
      <c r="E160" s="10"/>
      <c r="F160" s="9"/>
      <c r="G160" s="9"/>
      <c r="H160" s="9"/>
      <c r="I160" s="9"/>
      <c r="J160" s="9"/>
      <c r="K160" s="9"/>
      <c r="L160" s="9"/>
      <c r="M160" s="9"/>
      <c r="N160" s="9"/>
      <c r="O160" s="9"/>
      <c r="P160" s="9"/>
      <c r="Q160" s="9"/>
    </row>
    <row r="161" spans="4:17" s="301" customFormat="1" ht="15" customHeight="1">
      <c r="D161" s="10"/>
      <c r="E161" s="10"/>
      <c r="F161" s="9"/>
      <c r="G161" s="9"/>
      <c r="H161" s="9"/>
      <c r="I161" s="9"/>
      <c r="J161" s="9"/>
      <c r="K161" s="9"/>
      <c r="L161" s="9"/>
      <c r="M161" s="9"/>
      <c r="N161" s="9"/>
      <c r="O161" s="9"/>
      <c r="P161" s="9"/>
      <c r="Q161" s="9"/>
    </row>
    <row r="162" spans="4:17" s="301" customFormat="1" ht="15" customHeight="1">
      <c r="D162" s="10"/>
      <c r="E162" s="10"/>
      <c r="F162" s="9"/>
      <c r="G162" s="9"/>
      <c r="H162" s="9"/>
      <c r="I162" s="9"/>
      <c r="J162" s="9"/>
      <c r="K162" s="9"/>
      <c r="L162" s="9"/>
      <c r="M162" s="9"/>
      <c r="N162" s="9"/>
      <c r="O162" s="9"/>
      <c r="P162" s="9"/>
      <c r="Q162" s="9"/>
    </row>
    <row r="163" spans="4:17" s="301" customFormat="1" ht="15" customHeight="1">
      <c r="D163" s="10"/>
      <c r="E163" s="10"/>
      <c r="F163" s="9"/>
      <c r="G163" s="9"/>
      <c r="H163" s="9"/>
      <c r="I163" s="9"/>
      <c r="J163" s="9"/>
      <c r="K163" s="9"/>
      <c r="L163" s="9"/>
      <c r="M163" s="9"/>
      <c r="N163" s="9"/>
      <c r="O163" s="9"/>
      <c r="P163" s="9"/>
      <c r="Q163" s="9"/>
    </row>
    <row r="164" spans="4:17" s="301" customFormat="1" ht="15" customHeight="1">
      <c r="D164" s="10"/>
      <c r="E164" s="10"/>
      <c r="F164" s="9"/>
      <c r="G164" s="9"/>
      <c r="H164" s="9"/>
      <c r="I164" s="9"/>
      <c r="J164" s="9"/>
      <c r="K164" s="9"/>
      <c r="L164" s="9"/>
      <c r="M164" s="9"/>
      <c r="N164" s="9"/>
      <c r="O164" s="9"/>
      <c r="P164" s="9"/>
      <c r="Q164" s="9"/>
    </row>
    <row r="165" spans="4:17" s="301" customFormat="1" ht="15" customHeight="1">
      <c r="D165" s="10"/>
      <c r="E165" s="10"/>
      <c r="F165" s="9"/>
      <c r="G165" s="9"/>
      <c r="H165" s="9"/>
      <c r="I165" s="9"/>
      <c r="J165" s="9"/>
      <c r="K165" s="9"/>
      <c r="L165" s="9"/>
      <c r="M165" s="9"/>
      <c r="N165" s="9"/>
      <c r="O165" s="9"/>
      <c r="P165" s="9"/>
      <c r="Q165" s="9"/>
    </row>
    <row r="166" spans="4:17" s="301" customFormat="1" ht="15" customHeight="1">
      <c r="D166" s="10"/>
      <c r="E166" s="10"/>
      <c r="F166" s="9"/>
      <c r="G166" s="9"/>
      <c r="H166" s="9"/>
      <c r="I166" s="9"/>
      <c r="J166" s="9"/>
      <c r="K166" s="9"/>
      <c r="L166" s="9"/>
      <c r="M166" s="9"/>
      <c r="N166" s="9"/>
      <c r="O166" s="9"/>
      <c r="P166" s="9"/>
      <c r="Q166" s="9"/>
    </row>
    <row r="167" spans="4:17" s="301" customFormat="1" ht="15" customHeight="1">
      <c r="D167" s="10"/>
      <c r="E167" s="10"/>
      <c r="F167" s="9"/>
      <c r="G167" s="9"/>
      <c r="H167" s="9"/>
      <c r="I167" s="9"/>
      <c r="J167" s="9"/>
      <c r="K167" s="9"/>
      <c r="L167" s="9"/>
      <c r="M167" s="9"/>
      <c r="N167" s="9"/>
      <c r="O167" s="9"/>
      <c r="P167" s="9"/>
      <c r="Q167" s="9"/>
    </row>
    <row r="168" spans="4:17" s="301" customFormat="1" ht="15" customHeight="1">
      <c r="D168" s="10"/>
      <c r="E168" s="10"/>
      <c r="F168" s="9"/>
      <c r="G168" s="9"/>
      <c r="H168" s="9"/>
      <c r="I168" s="9"/>
      <c r="J168" s="9"/>
      <c r="K168" s="9"/>
      <c r="L168" s="9"/>
      <c r="M168" s="9"/>
      <c r="N168" s="9"/>
      <c r="O168" s="9"/>
      <c r="P168" s="9"/>
      <c r="Q168" s="9"/>
    </row>
    <row r="169" spans="4:17" s="301" customFormat="1" ht="15" customHeight="1">
      <c r="D169" s="10"/>
      <c r="E169" s="10"/>
      <c r="F169" s="9"/>
      <c r="G169" s="9"/>
      <c r="H169" s="9"/>
      <c r="I169" s="9"/>
      <c r="J169" s="9"/>
      <c r="K169" s="9"/>
      <c r="L169" s="9"/>
      <c r="M169" s="9"/>
      <c r="N169" s="9"/>
      <c r="O169" s="9"/>
      <c r="P169" s="9"/>
      <c r="Q169" s="9"/>
    </row>
    <row r="170" spans="4:17" s="301" customFormat="1" ht="15" customHeight="1">
      <c r="D170" s="10"/>
      <c r="E170" s="10"/>
      <c r="F170" s="9"/>
      <c r="G170" s="9"/>
      <c r="H170" s="9"/>
      <c r="I170" s="9"/>
      <c r="J170" s="9"/>
      <c r="K170" s="9"/>
      <c r="L170" s="9"/>
      <c r="M170" s="9"/>
      <c r="N170" s="9"/>
      <c r="O170" s="9"/>
      <c r="P170" s="9"/>
      <c r="Q170" s="9"/>
    </row>
    <row r="171" spans="4:17" s="301" customFormat="1" ht="15" customHeight="1">
      <c r="D171" s="10"/>
      <c r="E171" s="10"/>
      <c r="F171" s="9"/>
      <c r="G171" s="9"/>
      <c r="H171" s="9"/>
      <c r="I171" s="9"/>
      <c r="J171" s="9"/>
      <c r="K171" s="9"/>
      <c r="L171" s="9"/>
      <c r="M171" s="9"/>
      <c r="N171" s="9"/>
      <c r="O171" s="9"/>
      <c r="P171" s="9"/>
      <c r="Q171" s="9"/>
    </row>
    <row r="172" spans="4:17" s="301" customFormat="1" ht="15" customHeight="1">
      <c r="D172" s="10"/>
      <c r="E172" s="10"/>
      <c r="F172" s="9"/>
      <c r="G172" s="9"/>
      <c r="H172" s="9"/>
      <c r="I172" s="9"/>
      <c r="J172" s="9"/>
      <c r="K172" s="9"/>
      <c r="L172" s="9"/>
      <c r="M172" s="9"/>
      <c r="N172" s="9"/>
      <c r="O172" s="9"/>
      <c r="P172" s="9"/>
      <c r="Q172" s="9"/>
    </row>
    <row r="173" spans="4:17" s="301" customFormat="1" ht="15" customHeight="1">
      <c r="D173" s="10"/>
      <c r="E173" s="10"/>
      <c r="F173" s="9"/>
      <c r="G173" s="9"/>
      <c r="H173" s="9"/>
      <c r="I173" s="9"/>
      <c r="J173" s="9"/>
      <c r="K173" s="9"/>
      <c r="L173" s="9"/>
      <c r="M173" s="9"/>
      <c r="N173" s="9"/>
      <c r="O173" s="9"/>
      <c r="P173" s="9"/>
      <c r="Q173" s="9"/>
    </row>
    <row r="174" spans="4:17" s="301" customFormat="1" ht="15" customHeight="1">
      <c r="D174" s="10"/>
      <c r="E174" s="10"/>
      <c r="F174" s="9"/>
      <c r="G174" s="9"/>
      <c r="H174" s="9"/>
      <c r="I174" s="9"/>
      <c r="J174" s="9"/>
      <c r="K174" s="9"/>
      <c r="L174" s="9"/>
      <c r="M174" s="9"/>
      <c r="N174" s="9"/>
      <c r="O174" s="9"/>
      <c r="P174" s="9"/>
      <c r="Q174" s="9"/>
    </row>
    <row r="175" spans="4:17" s="301" customFormat="1" ht="15" customHeight="1">
      <c r="D175" s="10"/>
      <c r="E175" s="10"/>
      <c r="F175" s="9"/>
      <c r="G175" s="9"/>
      <c r="H175" s="9"/>
      <c r="I175" s="9"/>
      <c r="J175" s="9"/>
      <c r="K175" s="9"/>
      <c r="L175" s="9"/>
      <c r="M175" s="9"/>
      <c r="N175" s="9"/>
      <c r="O175" s="9"/>
      <c r="P175" s="9"/>
      <c r="Q175" s="9"/>
    </row>
    <row r="176" spans="4:17" s="301" customFormat="1" ht="15" customHeight="1">
      <c r="D176" s="10"/>
      <c r="E176" s="10"/>
      <c r="F176" s="9"/>
      <c r="G176" s="9"/>
      <c r="H176" s="9"/>
      <c r="I176" s="9"/>
      <c r="J176" s="9"/>
      <c r="K176" s="9"/>
      <c r="L176" s="9"/>
      <c r="M176" s="9"/>
      <c r="N176" s="9"/>
      <c r="O176" s="9"/>
      <c r="P176" s="9"/>
      <c r="Q176" s="9"/>
    </row>
    <row r="177" spans="4:17" s="301" customFormat="1" ht="15" customHeight="1">
      <c r="D177" s="10"/>
      <c r="E177" s="10"/>
      <c r="F177" s="9"/>
      <c r="G177" s="9"/>
      <c r="H177" s="9"/>
      <c r="I177" s="9"/>
      <c r="J177" s="9"/>
      <c r="K177" s="9"/>
      <c r="L177" s="9"/>
      <c r="M177" s="9"/>
      <c r="N177" s="9"/>
      <c r="O177" s="9"/>
      <c r="P177" s="9"/>
      <c r="Q177" s="9"/>
    </row>
    <row r="178" spans="4:17" s="301" customFormat="1" ht="15" customHeight="1">
      <c r="D178" s="10"/>
      <c r="E178" s="10"/>
      <c r="F178" s="9"/>
      <c r="G178" s="9"/>
      <c r="H178" s="9"/>
      <c r="I178" s="9"/>
      <c r="J178" s="9"/>
      <c r="K178" s="9"/>
      <c r="L178" s="9"/>
      <c r="M178" s="9"/>
      <c r="N178" s="9"/>
      <c r="O178" s="9"/>
      <c r="P178" s="9"/>
      <c r="Q178" s="9"/>
    </row>
    <row r="179" spans="4:17" s="301" customFormat="1" ht="15" customHeight="1">
      <c r="D179" s="10"/>
      <c r="E179" s="10"/>
      <c r="F179" s="9"/>
      <c r="G179" s="9"/>
      <c r="H179" s="9"/>
      <c r="I179" s="9"/>
      <c r="J179" s="9"/>
      <c r="K179" s="9"/>
      <c r="L179" s="9"/>
      <c r="M179" s="9"/>
      <c r="N179" s="9"/>
      <c r="O179" s="9"/>
      <c r="P179" s="9"/>
      <c r="Q179" s="9"/>
    </row>
    <row r="180" spans="4:17" s="301" customFormat="1" ht="15" customHeight="1">
      <c r="D180" s="10"/>
      <c r="E180" s="10"/>
      <c r="F180" s="9"/>
      <c r="G180" s="9"/>
      <c r="H180" s="9"/>
      <c r="I180" s="9"/>
      <c r="J180" s="9"/>
      <c r="K180" s="9"/>
      <c r="L180" s="9"/>
      <c r="M180" s="9"/>
      <c r="N180" s="9"/>
      <c r="O180" s="9"/>
      <c r="P180" s="9"/>
      <c r="Q180" s="9"/>
    </row>
    <row r="181" spans="4:17" s="301" customFormat="1" ht="15" customHeight="1">
      <c r="D181" s="10"/>
      <c r="E181" s="10"/>
      <c r="F181" s="9"/>
      <c r="G181" s="9"/>
      <c r="H181" s="9"/>
      <c r="I181" s="9"/>
      <c r="J181" s="9"/>
      <c r="K181" s="9"/>
      <c r="L181" s="9"/>
      <c r="M181" s="9"/>
      <c r="N181" s="9"/>
      <c r="O181" s="9"/>
      <c r="P181" s="9"/>
      <c r="Q181" s="9"/>
    </row>
    <row r="182" spans="4:17" s="301" customFormat="1" ht="15" customHeight="1">
      <c r="D182" s="10"/>
      <c r="E182" s="10"/>
      <c r="F182" s="9"/>
      <c r="G182" s="9"/>
      <c r="H182" s="9"/>
      <c r="I182" s="9"/>
      <c r="J182" s="9"/>
      <c r="K182" s="9"/>
      <c r="L182" s="9"/>
      <c r="M182" s="9"/>
      <c r="N182" s="9"/>
      <c r="O182" s="9"/>
      <c r="P182" s="9"/>
      <c r="Q182" s="9"/>
    </row>
    <row r="183" spans="4:17" s="301" customFormat="1" ht="15" customHeight="1">
      <c r="D183" s="10"/>
      <c r="E183" s="10"/>
      <c r="F183" s="9"/>
      <c r="G183" s="9"/>
      <c r="H183" s="9"/>
      <c r="I183" s="9"/>
      <c r="J183" s="9"/>
      <c r="K183" s="9"/>
      <c r="L183" s="9"/>
      <c r="M183" s="9"/>
      <c r="N183" s="9"/>
      <c r="O183" s="9"/>
      <c r="P183" s="9"/>
      <c r="Q183" s="9"/>
    </row>
    <row r="184" spans="4:17" s="301" customFormat="1" ht="15" customHeight="1">
      <c r="D184" s="10"/>
      <c r="E184" s="10"/>
      <c r="F184" s="9"/>
      <c r="G184" s="9"/>
      <c r="H184" s="9"/>
      <c r="I184" s="9"/>
      <c r="J184" s="9"/>
      <c r="K184" s="9"/>
      <c r="L184" s="9"/>
      <c r="M184" s="9"/>
      <c r="N184" s="9"/>
      <c r="O184" s="9"/>
      <c r="P184" s="9"/>
      <c r="Q184" s="9"/>
    </row>
    <row r="185" spans="4:17" s="301" customFormat="1" ht="15" customHeight="1">
      <c r="D185" s="10"/>
      <c r="E185" s="10"/>
      <c r="F185" s="9"/>
      <c r="G185" s="9"/>
      <c r="H185" s="9"/>
      <c r="I185" s="9"/>
      <c r="J185" s="9"/>
      <c r="K185" s="9"/>
      <c r="L185" s="9"/>
      <c r="M185" s="9"/>
      <c r="N185" s="9"/>
      <c r="O185" s="9"/>
      <c r="P185" s="9"/>
      <c r="Q185" s="9"/>
    </row>
    <row r="186" spans="4:17" s="301" customFormat="1" ht="15" customHeight="1">
      <c r="D186" s="10"/>
      <c r="E186" s="10"/>
      <c r="F186" s="9"/>
      <c r="G186" s="9"/>
      <c r="H186" s="9"/>
      <c r="I186" s="9"/>
      <c r="J186" s="9"/>
      <c r="K186" s="9"/>
      <c r="L186" s="9"/>
      <c r="M186" s="9"/>
      <c r="N186" s="9"/>
      <c r="O186" s="9"/>
      <c r="P186" s="9"/>
      <c r="Q186" s="9"/>
    </row>
    <row r="187" spans="4:17" s="301" customFormat="1" ht="15" customHeight="1">
      <c r="D187" s="10"/>
      <c r="E187" s="10"/>
      <c r="F187" s="9"/>
      <c r="G187" s="9"/>
      <c r="H187" s="9"/>
      <c r="I187" s="9"/>
      <c r="J187" s="9"/>
      <c r="K187" s="9"/>
      <c r="L187" s="9"/>
      <c r="M187" s="9"/>
      <c r="N187" s="9"/>
      <c r="O187" s="9"/>
      <c r="P187" s="9"/>
      <c r="Q187" s="9"/>
    </row>
    <row r="188" spans="4:17" s="301" customFormat="1" ht="15" customHeight="1">
      <c r="D188" s="10"/>
      <c r="E188" s="10"/>
      <c r="F188" s="9"/>
      <c r="G188" s="9"/>
      <c r="H188" s="9"/>
      <c r="I188" s="9"/>
      <c r="J188" s="9"/>
      <c r="K188" s="9"/>
      <c r="L188" s="9"/>
      <c r="M188" s="9"/>
      <c r="N188" s="9"/>
      <c r="O188" s="9"/>
      <c r="P188" s="9"/>
      <c r="Q188" s="9"/>
    </row>
    <row r="189" spans="4:17" s="301" customFormat="1" ht="15" customHeight="1">
      <c r="D189" s="10"/>
      <c r="E189" s="10"/>
      <c r="F189" s="9"/>
      <c r="G189" s="9"/>
      <c r="H189" s="9"/>
      <c r="I189" s="9"/>
      <c r="J189" s="9"/>
      <c r="K189" s="9"/>
      <c r="L189" s="9"/>
      <c r="M189" s="9"/>
      <c r="N189" s="9"/>
      <c r="O189" s="9"/>
      <c r="P189" s="9"/>
      <c r="Q189" s="9"/>
    </row>
    <row r="190" spans="4:17" s="301" customFormat="1" ht="15" customHeight="1">
      <c r="D190" s="10"/>
      <c r="E190" s="10"/>
      <c r="F190" s="9"/>
      <c r="G190" s="9"/>
      <c r="H190" s="9"/>
      <c r="I190" s="9"/>
      <c r="J190" s="9"/>
      <c r="K190" s="9"/>
      <c r="L190" s="9"/>
      <c r="M190" s="9"/>
      <c r="N190" s="9"/>
      <c r="O190" s="9"/>
      <c r="P190" s="9"/>
      <c r="Q190" s="9"/>
    </row>
    <row r="191" spans="4:17" s="301" customFormat="1" ht="15" customHeight="1">
      <c r="D191" s="10"/>
      <c r="E191" s="10"/>
      <c r="F191" s="9"/>
      <c r="G191" s="9"/>
      <c r="H191" s="9"/>
      <c r="I191" s="9"/>
      <c r="J191" s="9"/>
      <c r="K191" s="9"/>
      <c r="L191" s="9"/>
      <c r="M191" s="9"/>
      <c r="N191" s="9"/>
      <c r="O191" s="9"/>
      <c r="P191" s="9"/>
      <c r="Q191" s="9"/>
    </row>
    <row r="192" spans="4:17" s="301" customFormat="1" ht="15" customHeight="1">
      <c r="D192" s="10"/>
      <c r="E192" s="10"/>
      <c r="F192" s="9"/>
      <c r="G192" s="9"/>
      <c r="H192" s="9"/>
      <c r="I192" s="9"/>
      <c r="J192" s="9"/>
      <c r="K192" s="9"/>
      <c r="L192" s="9"/>
      <c r="M192" s="9"/>
      <c r="N192" s="9"/>
      <c r="O192" s="9"/>
      <c r="P192" s="9"/>
      <c r="Q192" s="9"/>
    </row>
    <row r="193" spans="4:17" s="301" customFormat="1" ht="15" customHeight="1">
      <c r="D193" s="10"/>
      <c r="E193" s="10"/>
      <c r="F193" s="9"/>
      <c r="G193" s="9"/>
      <c r="H193" s="9"/>
      <c r="I193" s="9"/>
      <c r="J193" s="9"/>
      <c r="K193" s="9"/>
      <c r="L193" s="9"/>
      <c r="M193" s="9"/>
      <c r="N193" s="9"/>
      <c r="O193" s="9"/>
      <c r="P193" s="9"/>
      <c r="Q193" s="9"/>
    </row>
    <row r="194" spans="4:17" s="301" customFormat="1" ht="15" customHeight="1">
      <c r="D194" s="10"/>
      <c r="E194" s="10"/>
      <c r="F194" s="9"/>
      <c r="G194" s="9"/>
      <c r="H194" s="9"/>
      <c r="I194" s="9"/>
      <c r="J194" s="9"/>
      <c r="K194" s="9"/>
      <c r="L194" s="9"/>
      <c r="M194" s="9"/>
      <c r="N194" s="9"/>
      <c r="O194" s="9"/>
      <c r="P194" s="9"/>
      <c r="Q194" s="9"/>
    </row>
    <row r="195" spans="4:17" s="301" customFormat="1" ht="15" customHeight="1">
      <c r="D195" s="10"/>
      <c r="E195" s="10"/>
      <c r="F195" s="9"/>
      <c r="G195" s="9"/>
      <c r="H195" s="9"/>
      <c r="I195" s="9"/>
      <c r="J195" s="9"/>
      <c r="K195" s="9"/>
      <c r="L195" s="9"/>
      <c r="M195" s="9"/>
      <c r="N195" s="9"/>
      <c r="O195" s="9"/>
      <c r="P195" s="9"/>
      <c r="Q195" s="9"/>
    </row>
    <row r="196" spans="4:17" s="301" customFormat="1" ht="15" customHeight="1">
      <c r="D196" s="10"/>
      <c r="E196" s="10"/>
      <c r="F196" s="9"/>
      <c r="G196" s="9"/>
      <c r="H196" s="9"/>
      <c r="I196" s="9"/>
      <c r="J196" s="9"/>
      <c r="K196" s="9"/>
      <c r="L196" s="9"/>
      <c r="M196" s="9"/>
      <c r="N196" s="9"/>
      <c r="O196" s="9"/>
      <c r="P196" s="9"/>
      <c r="Q196" s="9"/>
    </row>
    <row r="197" spans="4:17" s="301" customFormat="1" ht="15" customHeight="1">
      <c r="D197" s="10"/>
      <c r="E197" s="10"/>
      <c r="F197" s="9"/>
      <c r="G197" s="9"/>
      <c r="H197" s="9"/>
      <c r="I197" s="9"/>
      <c r="J197" s="9"/>
      <c r="K197" s="9"/>
      <c r="L197" s="9"/>
      <c r="M197" s="9"/>
      <c r="N197" s="9"/>
      <c r="O197" s="9"/>
      <c r="P197" s="9"/>
      <c r="Q197" s="9"/>
    </row>
    <row r="198" spans="4:17" s="301" customFormat="1" ht="15" customHeight="1">
      <c r="D198" s="10"/>
      <c r="E198" s="10"/>
      <c r="F198" s="9"/>
      <c r="G198" s="9"/>
      <c r="H198" s="9"/>
      <c r="I198" s="9"/>
      <c r="J198" s="9"/>
      <c r="K198" s="9"/>
      <c r="L198" s="9"/>
      <c r="M198" s="9"/>
      <c r="N198" s="9"/>
      <c r="O198" s="9"/>
      <c r="P198" s="9"/>
      <c r="Q198" s="9"/>
    </row>
    <row r="199" spans="4:17" s="301" customFormat="1" ht="15" customHeight="1">
      <c r="D199" s="10"/>
      <c r="E199" s="10"/>
      <c r="F199" s="9"/>
      <c r="G199" s="9"/>
      <c r="H199" s="9"/>
      <c r="I199" s="9"/>
      <c r="J199" s="9"/>
      <c r="K199" s="9"/>
      <c r="L199" s="9"/>
      <c r="M199" s="9"/>
      <c r="N199" s="9"/>
      <c r="O199" s="9"/>
      <c r="P199" s="9"/>
      <c r="Q199" s="9"/>
    </row>
    <row r="200" spans="4:17" s="301" customFormat="1" ht="15" customHeight="1">
      <c r="D200" s="10"/>
      <c r="E200" s="10"/>
      <c r="F200" s="9"/>
      <c r="G200" s="9"/>
      <c r="H200" s="9"/>
      <c r="I200" s="9"/>
      <c r="J200" s="9"/>
      <c r="K200" s="9"/>
      <c r="L200" s="9"/>
      <c r="M200" s="9"/>
      <c r="N200" s="9"/>
      <c r="O200" s="9"/>
      <c r="P200" s="9"/>
      <c r="Q200" s="9"/>
    </row>
    <row r="201" spans="4:17" s="301" customFormat="1" ht="15" customHeight="1">
      <c r="D201" s="10"/>
      <c r="E201" s="10"/>
      <c r="F201" s="9"/>
      <c r="G201" s="9"/>
      <c r="H201" s="9"/>
      <c r="I201" s="9"/>
      <c r="J201" s="9"/>
      <c r="K201" s="9"/>
      <c r="L201" s="9"/>
      <c r="M201" s="9"/>
      <c r="N201" s="9"/>
      <c r="O201" s="9"/>
      <c r="P201" s="9"/>
      <c r="Q201" s="9"/>
    </row>
    <row r="202" spans="4:17" s="301" customFormat="1" ht="15" customHeight="1">
      <c r="D202" s="10"/>
      <c r="E202" s="10"/>
      <c r="F202" s="9"/>
      <c r="G202" s="9"/>
      <c r="H202" s="9"/>
      <c r="I202" s="9"/>
      <c r="J202" s="9"/>
      <c r="K202" s="9"/>
      <c r="L202" s="9"/>
      <c r="M202" s="9"/>
      <c r="N202" s="9"/>
      <c r="O202" s="9"/>
      <c r="P202" s="9"/>
      <c r="Q202" s="9"/>
    </row>
    <row r="203" spans="4:17" s="301" customFormat="1" ht="15" customHeight="1">
      <c r="D203" s="10"/>
      <c r="E203" s="10"/>
      <c r="F203" s="9"/>
      <c r="G203" s="9"/>
      <c r="H203" s="9"/>
      <c r="I203" s="9"/>
      <c r="J203" s="9"/>
      <c r="K203" s="9"/>
      <c r="L203" s="9"/>
      <c r="M203" s="9"/>
      <c r="N203" s="9"/>
      <c r="O203" s="9"/>
      <c r="P203" s="9"/>
      <c r="Q203" s="9"/>
    </row>
    <row r="204" spans="4:17" s="301" customFormat="1" ht="15" customHeight="1">
      <c r="D204" s="10"/>
      <c r="E204" s="10"/>
      <c r="F204" s="9"/>
      <c r="G204" s="9"/>
      <c r="H204" s="9"/>
      <c r="I204" s="9"/>
      <c r="J204" s="9"/>
      <c r="K204" s="9"/>
      <c r="L204" s="9"/>
      <c r="M204" s="9"/>
      <c r="N204" s="9"/>
      <c r="O204" s="9"/>
      <c r="P204" s="9"/>
      <c r="Q204" s="9"/>
    </row>
    <row r="205" spans="4:17" s="301" customFormat="1" ht="15" customHeight="1">
      <c r="D205" s="10"/>
      <c r="E205" s="10"/>
      <c r="F205" s="9"/>
      <c r="G205" s="9"/>
      <c r="H205" s="9"/>
      <c r="I205" s="9"/>
      <c r="J205" s="9"/>
      <c r="K205" s="9"/>
      <c r="L205" s="9"/>
      <c r="M205" s="9"/>
      <c r="N205" s="9"/>
      <c r="O205" s="9"/>
      <c r="P205" s="9"/>
      <c r="Q205" s="9"/>
    </row>
    <row r="206" spans="4:17" s="301" customFormat="1" ht="15" customHeight="1">
      <c r="D206" s="10"/>
      <c r="E206" s="10"/>
      <c r="F206" s="9"/>
      <c r="G206" s="9"/>
      <c r="H206" s="9"/>
      <c r="I206" s="9"/>
      <c r="J206" s="9"/>
      <c r="K206" s="9"/>
      <c r="L206" s="9"/>
      <c r="M206" s="9"/>
      <c r="N206" s="9"/>
      <c r="O206" s="9"/>
      <c r="P206" s="9"/>
      <c r="Q206" s="9"/>
    </row>
    <row r="207" spans="4:17" s="301" customFormat="1" ht="15" customHeight="1">
      <c r="D207" s="10"/>
      <c r="E207" s="10"/>
      <c r="F207" s="9"/>
      <c r="G207" s="9"/>
      <c r="H207" s="9"/>
      <c r="I207" s="9"/>
      <c r="J207" s="9"/>
      <c r="K207" s="9"/>
      <c r="L207" s="9"/>
      <c r="M207" s="9"/>
      <c r="N207" s="9"/>
      <c r="O207" s="9"/>
      <c r="P207" s="9"/>
      <c r="Q207" s="9"/>
    </row>
    <row r="208" spans="4:17" s="301" customFormat="1" ht="15" customHeight="1">
      <c r="D208" s="10"/>
      <c r="E208" s="10"/>
      <c r="F208" s="9"/>
      <c r="G208" s="9"/>
      <c r="H208" s="9"/>
      <c r="I208" s="9"/>
      <c r="J208" s="9"/>
      <c r="K208" s="9"/>
      <c r="L208" s="9"/>
      <c r="M208" s="9"/>
      <c r="N208" s="9"/>
      <c r="O208" s="9"/>
      <c r="P208" s="9"/>
      <c r="Q208" s="9"/>
    </row>
    <row r="209" spans="4:17" s="301" customFormat="1" ht="15" customHeight="1">
      <c r="D209" s="10"/>
      <c r="E209" s="10"/>
      <c r="F209" s="9"/>
      <c r="G209" s="9"/>
      <c r="H209" s="9"/>
      <c r="I209" s="9"/>
      <c r="J209" s="9"/>
      <c r="K209" s="9"/>
      <c r="L209" s="9"/>
      <c r="M209" s="9"/>
      <c r="N209" s="9"/>
      <c r="O209" s="9"/>
      <c r="P209" s="9"/>
      <c r="Q209" s="9"/>
    </row>
    <row r="210" spans="4:17" s="301" customFormat="1" ht="15" customHeight="1">
      <c r="D210" s="10"/>
      <c r="E210" s="10"/>
      <c r="F210" s="9"/>
      <c r="G210" s="9"/>
      <c r="H210" s="9"/>
      <c r="I210" s="9"/>
      <c r="J210" s="9"/>
      <c r="K210" s="9"/>
      <c r="L210" s="9"/>
      <c r="M210" s="9"/>
      <c r="N210" s="9"/>
      <c r="O210" s="9"/>
      <c r="P210" s="9"/>
      <c r="Q210" s="9"/>
    </row>
    <row r="211" spans="4:17" s="301" customFormat="1" ht="15" customHeight="1">
      <c r="D211" s="10"/>
      <c r="E211" s="10"/>
      <c r="F211" s="9"/>
      <c r="G211" s="9"/>
      <c r="H211" s="9"/>
      <c r="I211" s="9"/>
      <c r="J211" s="9"/>
      <c r="K211" s="9"/>
      <c r="L211" s="9"/>
      <c r="M211" s="9"/>
      <c r="N211" s="9"/>
      <c r="O211" s="9"/>
      <c r="P211" s="9"/>
      <c r="Q211" s="9"/>
    </row>
    <row r="212" spans="4:17" s="301" customFormat="1" ht="15" customHeight="1">
      <c r="D212" s="10"/>
      <c r="E212" s="10"/>
      <c r="F212" s="9"/>
      <c r="G212" s="9"/>
      <c r="H212" s="9"/>
      <c r="I212" s="9"/>
      <c r="J212" s="9"/>
      <c r="K212" s="9"/>
      <c r="L212" s="9"/>
      <c r="M212" s="9"/>
      <c r="N212" s="9"/>
      <c r="O212" s="9"/>
      <c r="P212" s="9"/>
      <c r="Q212" s="9"/>
    </row>
    <row r="213" spans="4:17" s="301" customFormat="1" ht="15" customHeight="1">
      <c r="D213" s="10"/>
      <c r="E213" s="10"/>
      <c r="F213" s="9"/>
      <c r="G213" s="9"/>
      <c r="H213" s="9"/>
      <c r="I213" s="9"/>
      <c r="J213" s="9"/>
      <c r="K213" s="9"/>
      <c r="L213" s="9"/>
      <c r="M213" s="9"/>
      <c r="N213" s="9"/>
      <c r="O213" s="9"/>
      <c r="P213" s="9"/>
      <c r="Q213" s="9"/>
    </row>
    <row r="214" spans="4:17" s="301" customFormat="1" ht="15" customHeight="1">
      <c r="D214" s="10"/>
      <c r="E214" s="10"/>
      <c r="F214" s="9"/>
      <c r="G214" s="9"/>
      <c r="H214" s="9"/>
      <c r="I214" s="9"/>
      <c r="J214" s="9"/>
      <c r="K214" s="9"/>
      <c r="L214" s="9"/>
      <c r="M214" s="9"/>
      <c r="N214" s="9"/>
      <c r="O214" s="9"/>
      <c r="P214" s="9"/>
      <c r="Q214" s="9"/>
    </row>
    <row r="215" spans="4:17" s="301" customFormat="1" ht="15" customHeight="1">
      <c r="D215" s="10"/>
      <c r="E215" s="10"/>
      <c r="F215" s="9"/>
      <c r="G215" s="9"/>
      <c r="H215" s="9"/>
      <c r="I215" s="9"/>
      <c r="J215" s="9"/>
      <c r="K215" s="9"/>
      <c r="L215" s="9"/>
      <c r="M215" s="9"/>
      <c r="N215" s="9"/>
      <c r="O215" s="9"/>
      <c r="P215" s="9"/>
      <c r="Q215" s="9"/>
    </row>
    <row r="216" spans="4:17" s="301" customFormat="1" ht="15" customHeight="1">
      <c r="D216" s="10"/>
      <c r="E216" s="10"/>
      <c r="F216" s="9"/>
      <c r="G216" s="9"/>
      <c r="H216" s="9"/>
      <c r="I216" s="9"/>
      <c r="J216" s="9"/>
      <c r="K216" s="9"/>
      <c r="L216" s="9"/>
      <c r="M216" s="9"/>
      <c r="N216" s="9"/>
      <c r="O216" s="9"/>
      <c r="P216" s="9"/>
      <c r="Q216" s="9"/>
    </row>
    <row r="217" spans="4:17" s="301" customFormat="1" ht="15" customHeight="1">
      <c r="D217" s="10"/>
      <c r="E217" s="10"/>
      <c r="F217" s="9"/>
      <c r="G217" s="9"/>
      <c r="H217" s="9"/>
      <c r="I217" s="9"/>
      <c r="J217" s="9"/>
      <c r="K217" s="9"/>
      <c r="L217" s="9"/>
      <c r="M217" s="9"/>
      <c r="N217" s="9"/>
      <c r="O217" s="9"/>
      <c r="P217" s="9"/>
      <c r="Q217" s="9"/>
    </row>
    <row r="218" spans="4:17" s="301" customFormat="1" ht="15" customHeight="1">
      <c r="D218" s="10"/>
      <c r="E218" s="10"/>
      <c r="F218" s="9"/>
      <c r="G218" s="9"/>
      <c r="H218" s="9"/>
      <c r="I218" s="9"/>
      <c r="J218" s="9"/>
      <c r="K218" s="9"/>
      <c r="L218" s="9"/>
      <c r="M218" s="9"/>
      <c r="N218" s="9"/>
      <c r="O218" s="9"/>
      <c r="P218" s="9"/>
      <c r="Q218" s="9"/>
    </row>
    <row r="219" spans="4:17" s="301" customFormat="1" ht="15" customHeight="1">
      <c r="D219" s="10"/>
      <c r="E219" s="10"/>
      <c r="F219" s="9"/>
      <c r="G219" s="9"/>
      <c r="H219" s="9"/>
      <c r="I219" s="9"/>
      <c r="J219" s="9"/>
      <c r="K219" s="9"/>
      <c r="L219" s="9"/>
      <c r="M219" s="9"/>
      <c r="N219" s="9"/>
      <c r="O219" s="9"/>
      <c r="P219" s="9"/>
      <c r="Q219" s="9"/>
    </row>
    <row r="220" spans="4:17" s="301" customFormat="1" ht="15" customHeight="1">
      <c r="D220" s="10"/>
      <c r="E220" s="10"/>
      <c r="F220" s="9"/>
      <c r="G220" s="9"/>
      <c r="H220" s="9"/>
      <c r="I220" s="9"/>
      <c r="J220" s="9"/>
      <c r="K220" s="9"/>
      <c r="L220" s="9"/>
      <c r="M220" s="9"/>
      <c r="N220" s="9"/>
      <c r="O220" s="9"/>
      <c r="P220" s="9"/>
      <c r="Q220" s="9"/>
    </row>
    <row r="221" spans="4:17" s="301" customFormat="1" ht="15" customHeight="1">
      <c r="D221" s="10"/>
      <c r="E221" s="10"/>
      <c r="F221" s="9"/>
      <c r="G221" s="9"/>
      <c r="H221" s="9"/>
      <c r="I221" s="9"/>
      <c r="J221" s="9"/>
      <c r="K221" s="9"/>
      <c r="L221" s="9"/>
      <c r="M221" s="9"/>
      <c r="N221" s="9"/>
      <c r="O221" s="9"/>
      <c r="P221" s="9"/>
      <c r="Q221" s="9"/>
    </row>
    <row r="222" spans="4:17" s="301" customFormat="1" ht="15" customHeight="1">
      <c r="D222" s="10"/>
      <c r="E222" s="10"/>
      <c r="F222" s="9"/>
      <c r="G222" s="9"/>
      <c r="H222" s="9"/>
      <c r="I222" s="9"/>
      <c r="J222" s="9"/>
      <c r="K222" s="9"/>
      <c r="L222" s="9"/>
      <c r="M222" s="9"/>
      <c r="N222" s="9"/>
      <c r="O222" s="9"/>
      <c r="P222" s="9"/>
      <c r="Q222" s="9"/>
    </row>
    <row r="223" spans="4:17" s="301" customFormat="1" ht="15" customHeight="1">
      <c r="D223" s="10"/>
      <c r="E223" s="10"/>
      <c r="F223" s="9"/>
      <c r="G223" s="9"/>
      <c r="H223" s="9"/>
      <c r="I223" s="9"/>
      <c r="J223" s="9"/>
      <c r="K223" s="9"/>
      <c r="L223" s="9"/>
      <c r="M223" s="9"/>
      <c r="N223" s="9"/>
      <c r="O223" s="9"/>
      <c r="P223" s="9"/>
      <c r="Q223" s="9"/>
    </row>
    <row r="224" spans="4:17" s="301" customFormat="1" ht="15" customHeight="1">
      <c r="D224" s="10"/>
      <c r="E224" s="10"/>
      <c r="F224" s="9"/>
      <c r="G224" s="9"/>
      <c r="H224" s="9"/>
      <c r="I224" s="9"/>
      <c r="J224" s="9"/>
      <c r="K224" s="9"/>
      <c r="L224" s="9"/>
      <c r="M224" s="9"/>
      <c r="N224" s="9"/>
      <c r="O224" s="9"/>
      <c r="P224" s="9"/>
      <c r="Q224" s="9"/>
    </row>
    <row r="225" spans="4:17" s="301" customFormat="1" ht="15" customHeight="1">
      <c r="D225" s="10"/>
      <c r="E225" s="10"/>
      <c r="F225" s="9"/>
      <c r="G225" s="9"/>
      <c r="H225" s="9"/>
      <c r="I225" s="9"/>
      <c r="J225" s="9"/>
      <c r="K225" s="9"/>
      <c r="L225" s="9"/>
      <c r="M225" s="9"/>
      <c r="N225" s="9"/>
      <c r="O225" s="9"/>
      <c r="P225" s="9"/>
      <c r="Q225" s="9"/>
    </row>
    <row r="226" spans="4:17" s="301" customFormat="1" ht="15" customHeight="1">
      <c r="D226" s="10"/>
      <c r="E226" s="10"/>
      <c r="F226" s="9"/>
      <c r="G226" s="9"/>
      <c r="H226" s="9"/>
      <c r="I226" s="9"/>
      <c r="J226" s="9"/>
      <c r="K226" s="9"/>
      <c r="L226" s="9"/>
      <c r="M226" s="9"/>
      <c r="N226" s="9"/>
      <c r="O226" s="9"/>
      <c r="P226" s="9"/>
      <c r="Q226" s="9"/>
    </row>
    <row r="227" spans="4:17" s="301" customFormat="1" ht="15" customHeight="1">
      <c r="D227" s="10"/>
      <c r="E227" s="10"/>
      <c r="F227" s="9"/>
      <c r="G227" s="9"/>
      <c r="H227" s="9"/>
      <c r="I227" s="9"/>
      <c r="J227" s="9"/>
      <c r="K227" s="9"/>
      <c r="L227" s="9"/>
      <c r="M227" s="9"/>
      <c r="N227" s="9"/>
      <c r="O227" s="9"/>
      <c r="P227" s="9"/>
      <c r="Q227" s="9"/>
    </row>
    <row r="228" spans="4:17" s="301" customFormat="1" ht="15" customHeight="1">
      <c r="D228" s="10"/>
      <c r="E228" s="10"/>
      <c r="F228" s="9"/>
      <c r="G228" s="9"/>
      <c r="H228" s="9"/>
      <c r="I228" s="9"/>
      <c r="J228" s="9"/>
      <c r="K228" s="9"/>
      <c r="L228" s="9"/>
      <c r="M228" s="9"/>
      <c r="N228" s="9"/>
      <c r="O228" s="9"/>
      <c r="P228" s="9"/>
      <c r="Q228" s="9"/>
    </row>
    <row r="229" spans="4:17" s="301" customFormat="1" ht="15" customHeight="1">
      <c r="D229" s="10"/>
      <c r="E229" s="10"/>
      <c r="F229" s="9"/>
      <c r="G229" s="9"/>
      <c r="H229" s="9"/>
      <c r="I229" s="9"/>
      <c r="J229" s="9"/>
      <c r="K229" s="9"/>
      <c r="L229" s="9"/>
      <c r="M229" s="9"/>
      <c r="N229" s="9"/>
      <c r="O229" s="9"/>
      <c r="P229" s="9"/>
      <c r="Q229" s="9"/>
    </row>
    <row r="230" spans="4:17" s="301" customFormat="1" ht="15" customHeight="1">
      <c r="D230" s="10"/>
      <c r="E230" s="10"/>
      <c r="F230" s="9"/>
      <c r="G230" s="9"/>
      <c r="H230" s="9"/>
      <c r="I230" s="9"/>
      <c r="J230" s="9"/>
      <c r="K230" s="9"/>
      <c r="L230" s="9"/>
      <c r="M230" s="9"/>
      <c r="N230" s="9"/>
      <c r="O230" s="9"/>
      <c r="P230" s="9"/>
      <c r="Q230" s="9"/>
    </row>
    <row r="231" spans="4:17" s="301" customFormat="1" ht="15" customHeight="1">
      <c r="D231" s="10"/>
      <c r="E231" s="10"/>
      <c r="F231" s="9"/>
      <c r="G231" s="9"/>
      <c r="H231" s="9"/>
      <c r="I231" s="9"/>
      <c r="J231" s="9"/>
      <c r="K231" s="9"/>
      <c r="L231" s="9"/>
      <c r="M231" s="9"/>
      <c r="N231" s="9"/>
      <c r="O231" s="9"/>
      <c r="P231" s="9"/>
      <c r="Q231" s="9"/>
    </row>
    <row r="232" spans="4:17" s="301" customFormat="1" ht="15" customHeight="1">
      <c r="D232" s="10"/>
      <c r="E232" s="10"/>
      <c r="F232" s="9"/>
      <c r="G232" s="9"/>
      <c r="H232" s="9"/>
      <c r="I232" s="9"/>
      <c r="J232" s="9"/>
      <c r="K232" s="9"/>
      <c r="L232" s="9"/>
      <c r="M232" s="9"/>
      <c r="N232" s="9"/>
      <c r="O232" s="9"/>
      <c r="P232" s="9"/>
      <c r="Q232" s="9"/>
    </row>
    <row r="233" spans="4:17" s="301" customFormat="1" ht="15" customHeight="1">
      <c r="D233" s="10"/>
      <c r="E233" s="10"/>
      <c r="F233" s="9"/>
      <c r="G233" s="9"/>
      <c r="H233" s="9"/>
      <c r="I233" s="9"/>
      <c r="J233" s="9"/>
      <c r="K233" s="9"/>
      <c r="L233" s="9"/>
      <c r="M233" s="9"/>
      <c r="N233" s="9"/>
      <c r="O233" s="9"/>
      <c r="P233" s="9"/>
      <c r="Q233" s="9"/>
    </row>
    <row r="234" spans="4:17" s="301" customFormat="1" ht="15" customHeight="1">
      <c r="D234" s="10"/>
      <c r="E234" s="10"/>
      <c r="F234" s="9"/>
      <c r="G234" s="9"/>
      <c r="H234" s="9"/>
      <c r="I234" s="9"/>
      <c r="J234" s="9"/>
      <c r="K234" s="9"/>
      <c r="L234" s="9"/>
      <c r="M234" s="9"/>
      <c r="N234" s="9"/>
      <c r="O234" s="9"/>
      <c r="P234" s="9"/>
      <c r="Q234" s="9"/>
    </row>
    <row r="235" spans="4:17" s="301" customFormat="1" ht="15" customHeight="1">
      <c r="D235" s="10"/>
      <c r="E235" s="10"/>
      <c r="F235" s="9"/>
      <c r="G235" s="9"/>
      <c r="H235" s="9"/>
      <c r="I235" s="9"/>
      <c r="J235" s="9"/>
      <c r="K235" s="9"/>
      <c r="L235" s="9"/>
      <c r="M235" s="9"/>
      <c r="N235" s="9"/>
      <c r="O235" s="9"/>
      <c r="P235" s="9"/>
      <c r="Q235" s="9"/>
    </row>
    <row r="236" spans="4:17" s="301" customFormat="1" ht="15" customHeight="1">
      <c r="D236" s="10"/>
      <c r="E236" s="10"/>
      <c r="F236" s="9"/>
      <c r="G236" s="9"/>
      <c r="H236" s="9"/>
      <c r="I236" s="9"/>
      <c r="J236" s="9"/>
      <c r="K236" s="9"/>
      <c r="L236" s="9"/>
      <c r="M236" s="9"/>
      <c r="N236" s="9"/>
      <c r="O236" s="9"/>
      <c r="P236" s="9"/>
      <c r="Q236" s="9"/>
    </row>
    <row r="237" spans="4:17" s="301" customFormat="1" ht="15" customHeight="1">
      <c r="D237" s="10"/>
      <c r="E237" s="10"/>
      <c r="F237" s="9"/>
      <c r="G237" s="9"/>
      <c r="H237" s="9"/>
      <c r="I237" s="9"/>
      <c r="J237" s="9"/>
      <c r="K237" s="9"/>
      <c r="L237" s="9"/>
      <c r="M237" s="9"/>
      <c r="N237" s="9"/>
      <c r="O237" s="9"/>
      <c r="P237" s="9"/>
      <c r="Q237" s="9"/>
    </row>
    <row r="238" spans="4:17" s="301" customFormat="1" ht="15" customHeight="1">
      <c r="D238" s="10"/>
      <c r="E238" s="10"/>
      <c r="F238" s="9"/>
      <c r="G238" s="9"/>
      <c r="H238" s="9"/>
      <c r="I238" s="9"/>
      <c r="J238" s="9"/>
      <c r="K238" s="9"/>
      <c r="L238" s="9"/>
      <c r="M238" s="9"/>
      <c r="N238" s="9"/>
      <c r="O238" s="9"/>
      <c r="P238" s="9"/>
      <c r="Q238" s="9"/>
    </row>
    <row r="239" spans="4:17" s="301" customFormat="1" ht="15" customHeight="1">
      <c r="D239" s="10"/>
      <c r="E239" s="10"/>
      <c r="F239" s="9"/>
      <c r="G239" s="9"/>
      <c r="H239" s="9"/>
      <c r="I239" s="9"/>
      <c r="J239" s="9"/>
      <c r="K239" s="9"/>
      <c r="L239" s="9"/>
      <c r="M239" s="9"/>
      <c r="N239" s="9"/>
      <c r="O239" s="9"/>
      <c r="P239" s="9"/>
      <c r="Q239" s="9"/>
    </row>
    <row r="240" spans="4:17" s="301" customFormat="1" ht="15" customHeight="1">
      <c r="D240" s="10"/>
      <c r="E240" s="10"/>
      <c r="F240" s="9"/>
      <c r="G240" s="9"/>
      <c r="H240" s="9"/>
      <c r="I240" s="9"/>
      <c r="J240" s="9"/>
      <c r="K240" s="9"/>
      <c r="L240" s="9"/>
      <c r="M240" s="9"/>
      <c r="N240" s="9"/>
      <c r="O240" s="9"/>
      <c r="P240" s="9"/>
      <c r="Q240" s="9"/>
    </row>
    <row r="241" spans="4:17" s="301" customFormat="1" ht="15" customHeight="1">
      <c r="D241" s="10"/>
      <c r="E241" s="10"/>
      <c r="F241" s="9"/>
      <c r="G241" s="9"/>
      <c r="H241" s="9"/>
      <c r="I241" s="9"/>
      <c r="J241" s="9"/>
      <c r="K241" s="9"/>
      <c r="L241" s="9"/>
      <c r="M241" s="9"/>
      <c r="N241" s="9"/>
      <c r="O241" s="9"/>
      <c r="P241" s="9"/>
      <c r="Q241" s="9"/>
    </row>
    <row r="242" spans="4:17" s="301" customFormat="1" ht="15" customHeight="1">
      <c r="D242" s="10"/>
      <c r="E242" s="10"/>
      <c r="F242" s="9"/>
      <c r="G242" s="9"/>
      <c r="H242" s="9"/>
      <c r="I242" s="9"/>
      <c r="J242" s="9"/>
      <c r="K242" s="9"/>
      <c r="L242" s="9"/>
      <c r="M242" s="9"/>
      <c r="N242" s="9"/>
      <c r="O242" s="9"/>
      <c r="P242" s="9"/>
      <c r="Q242" s="9"/>
    </row>
    <row r="243" spans="4:17" s="301" customFormat="1" ht="15" customHeight="1">
      <c r="D243" s="10"/>
      <c r="E243" s="10"/>
      <c r="F243" s="9"/>
      <c r="G243" s="9"/>
      <c r="H243" s="9"/>
      <c r="I243" s="9"/>
      <c r="J243" s="9"/>
      <c r="K243" s="9"/>
      <c r="L243" s="9"/>
      <c r="M243" s="9"/>
      <c r="N243" s="9"/>
      <c r="O243" s="9"/>
      <c r="P243" s="9"/>
      <c r="Q243" s="9"/>
    </row>
    <row r="244" spans="4:17" s="301" customFormat="1" ht="15" customHeight="1">
      <c r="D244" s="10"/>
      <c r="E244" s="10"/>
      <c r="F244" s="9"/>
      <c r="G244" s="9"/>
      <c r="H244" s="9"/>
      <c r="I244" s="9"/>
      <c r="J244" s="9"/>
      <c r="K244" s="9"/>
      <c r="L244" s="9"/>
      <c r="M244" s="9"/>
      <c r="N244" s="9"/>
      <c r="O244" s="9"/>
      <c r="P244" s="9"/>
      <c r="Q244" s="9"/>
    </row>
    <row r="245" spans="4:17" s="301" customFormat="1" ht="15" customHeight="1">
      <c r="D245" s="10"/>
      <c r="E245" s="10"/>
      <c r="F245" s="9"/>
      <c r="G245" s="9"/>
      <c r="H245" s="9"/>
      <c r="I245" s="9"/>
      <c r="J245" s="9"/>
      <c r="K245" s="9"/>
      <c r="L245" s="9"/>
      <c r="M245" s="9"/>
      <c r="N245" s="9"/>
      <c r="O245" s="9"/>
      <c r="P245" s="9"/>
      <c r="Q245" s="9"/>
    </row>
    <row r="246" spans="4:17" s="301" customFormat="1" ht="15" customHeight="1">
      <c r="D246" s="10"/>
      <c r="E246" s="10"/>
      <c r="F246" s="9"/>
      <c r="G246" s="9"/>
      <c r="H246" s="9"/>
      <c r="I246" s="9"/>
      <c r="J246" s="9"/>
      <c r="K246" s="9"/>
      <c r="L246" s="9"/>
      <c r="M246" s="9"/>
      <c r="N246" s="9"/>
      <c r="O246" s="9"/>
      <c r="P246" s="9"/>
      <c r="Q246" s="9"/>
    </row>
    <row r="247" spans="4:17" s="301" customFormat="1" ht="15" customHeight="1">
      <c r="D247" s="10"/>
      <c r="E247" s="10"/>
      <c r="F247" s="9"/>
      <c r="G247" s="9"/>
      <c r="H247" s="9"/>
      <c r="I247" s="9"/>
      <c r="J247" s="9"/>
      <c r="K247" s="9"/>
      <c r="L247" s="9"/>
      <c r="M247" s="9"/>
      <c r="N247" s="9"/>
      <c r="O247" s="9"/>
      <c r="P247" s="9"/>
      <c r="Q247" s="9"/>
    </row>
    <row r="248" spans="4:17" s="301" customFormat="1" ht="15" customHeight="1">
      <c r="D248" s="10"/>
      <c r="E248" s="10"/>
      <c r="F248" s="9"/>
      <c r="G248" s="9"/>
      <c r="H248" s="9"/>
      <c r="I248" s="9"/>
      <c r="J248" s="9"/>
      <c r="K248" s="9"/>
      <c r="L248" s="9"/>
      <c r="M248" s="9"/>
      <c r="N248" s="9"/>
      <c r="O248" s="9"/>
      <c r="P248" s="9"/>
      <c r="Q248" s="9"/>
    </row>
    <row r="249" spans="4:17" s="301" customFormat="1" ht="15" customHeight="1">
      <c r="D249" s="10"/>
      <c r="E249" s="10"/>
      <c r="F249" s="9"/>
      <c r="G249" s="9"/>
      <c r="H249" s="9"/>
      <c r="I249" s="9"/>
      <c r="J249" s="9"/>
      <c r="K249" s="9"/>
      <c r="L249" s="9"/>
      <c r="M249" s="9"/>
      <c r="N249" s="9"/>
      <c r="O249" s="9"/>
      <c r="P249" s="9"/>
      <c r="Q249" s="9"/>
    </row>
    <row r="250" spans="4:17" s="301" customFormat="1" ht="15" customHeight="1">
      <c r="D250" s="10"/>
      <c r="E250" s="10"/>
      <c r="F250" s="9"/>
      <c r="G250" s="9"/>
      <c r="H250" s="9"/>
      <c r="I250" s="9"/>
      <c r="J250" s="9"/>
      <c r="K250" s="9"/>
      <c r="L250" s="9"/>
      <c r="M250" s="9"/>
      <c r="N250" s="9"/>
      <c r="O250" s="9"/>
      <c r="P250" s="9"/>
      <c r="Q250" s="9"/>
    </row>
    <row r="251" spans="4:17" s="301" customFormat="1" ht="15" customHeight="1">
      <c r="D251" s="10"/>
      <c r="E251" s="10"/>
      <c r="F251" s="9"/>
      <c r="G251" s="9"/>
      <c r="H251" s="9"/>
      <c r="I251" s="9"/>
      <c r="J251" s="9"/>
      <c r="K251" s="9"/>
      <c r="L251" s="9"/>
      <c r="M251" s="9"/>
      <c r="N251" s="9"/>
      <c r="O251" s="9"/>
      <c r="P251" s="9"/>
      <c r="Q251" s="9"/>
    </row>
    <row r="252" spans="4:17" s="301" customFormat="1" ht="15" customHeight="1">
      <c r="D252" s="10"/>
      <c r="E252" s="10"/>
      <c r="F252" s="9"/>
      <c r="G252" s="9"/>
      <c r="H252" s="9"/>
      <c r="I252" s="9"/>
      <c r="J252" s="9"/>
      <c r="K252" s="9"/>
      <c r="L252" s="9"/>
      <c r="M252" s="9"/>
      <c r="N252" s="9"/>
      <c r="O252" s="9"/>
      <c r="P252" s="9"/>
      <c r="Q252" s="9"/>
    </row>
    <row r="253" spans="4:17" s="301" customFormat="1" ht="15" customHeight="1">
      <c r="D253" s="10"/>
      <c r="E253" s="10"/>
      <c r="F253" s="9"/>
      <c r="G253" s="9"/>
      <c r="H253" s="9"/>
      <c r="I253" s="9"/>
      <c r="J253" s="9"/>
      <c r="K253" s="9"/>
      <c r="L253" s="9"/>
      <c r="M253" s="9"/>
      <c r="N253" s="9"/>
      <c r="O253" s="9"/>
      <c r="P253" s="9"/>
      <c r="Q253" s="9"/>
    </row>
    <row r="254" spans="4:17" s="301" customFormat="1" ht="15" customHeight="1">
      <c r="D254" s="10"/>
      <c r="E254" s="10"/>
      <c r="F254" s="9"/>
      <c r="G254" s="9"/>
      <c r="H254" s="9"/>
      <c r="I254" s="9"/>
      <c r="J254" s="9"/>
      <c r="K254" s="9"/>
      <c r="L254" s="9"/>
      <c r="M254" s="9"/>
      <c r="N254" s="9"/>
      <c r="O254" s="9"/>
      <c r="P254" s="9"/>
      <c r="Q254" s="9"/>
    </row>
    <row r="255" spans="4:17" s="301" customFormat="1" ht="15" customHeight="1">
      <c r="D255" s="10"/>
      <c r="E255" s="10"/>
      <c r="F255" s="9"/>
      <c r="G255" s="9"/>
      <c r="H255" s="9"/>
      <c r="I255" s="9"/>
      <c r="J255" s="9"/>
      <c r="K255" s="9"/>
      <c r="L255" s="9"/>
      <c r="M255" s="9"/>
      <c r="N255" s="9"/>
      <c r="O255" s="9"/>
      <c r="P255" s="9"/>
      <c r="Q255" s="9"/>
    </row>
    <row r="256" spans="4:17" s="301" customFormat="1" ht="15" customHeight="1">
      <c r="D256" s="10"/>
      <c r="E256" s="10"/>
      <c r="F256" s="9"/>
      <c r="G256" s="9"/>
      <c r="H256" s="9"/>
      <c r="I256" s="9"/>
      <c r="J256" s="9"/>
      <c r="K256" s="9"/>
      <c r="L256" s="9"/>
      <c r="M256" s="9"/>
      <c r="N256" s="9"/>
      <c r="O256" s="9"/>
      <c r="P256" s="9"/>
      <c r="Q256" s="9"/>
    </row>
    <row r="257" spans="4:17" s="301" customFormat="1" ht="15" customHeight="1">
      <c r="D257" s="10"/>
      <c r="E257" s="10"/>
      <c r="F257" s="9"/>
      <c r="G257" s="9"/>
      <c r="H257" s="9"/>
      <c r="I257" s="9"/>
      <c r="J257" s="9"/>
      <c r="K257" s="9"/>
      <c r="L257" s="9"/>
      <c r="M257" s="9"/>
      <c r="N257" s="9"/>
      <c r="O257" s="9"/>
      <c r="P257" s="9"/>
      <c r="Q257" s="9"/>
    </row>
    <row r="258" spans="4:17" s="301" customFormat="1" ht="15" customHeight="1">
      <c r="D258" s="10"/>
      <c r="E258" s="10"/>
      <c r="F258" s="9"/>
      <c r="G258" s="9"/>
      <c r="H258" s="9"/>
      <c r="I258" s="9"/>
      <c r="J258" s="9"/>
      <c r="K258" s="9"/>
      <c r="L258" s="9"/>
      <c r="M258" s="9"/>
      <c r="N258" s="9"/>
      <c r="O258" s="9"/>
      <c r="P258" s="9"/>
      <c r="Q258" s="9"/>
    </row>
    <row r="259" spans="4:17" s="301" customFormat="1" ht="15" customHeight="1">
      <c r="D259" s="10"/>
      <c r="E259" s="10"/>
      <c r="F259" s="9"/>
      <c r="G259" s="9"/>
      <c r="H259" s="9"/>
      <c r="I259" s="9"/>
      <c r="J259" s="9"/>
      <c r="K259" s="9"/>
      <c r="L259" s="9"/>
      <c r="M259" s="9"/>
      <c r="N259" s="9"/>
      <c r="O259" s="9"/>
      <c r="P259" s="9"/>
      <c r="Q259" s="9"/>
    </row>
    <row r="260" spans="4:17" s="301" customFormat="1" ht="15" customHeight="1">
      <c r="D260" s="10"/>
      <c r="E260" s="10"/>
      <c r="F260" s="9"/>
      <c r="G260" s="9"/>
      <c r="H260" s="9"/>
      <c r="I260" s="9"/>
      <c r="J260" s="9"/>
      <c r="K260" s="9"/>
      <c r="L260" s="9"/>
      <c r="M260" s="9"/>
      <c r="N260" s="9"/>
      <c r="O260" s="9"/>
      <c r="P260" s="9"/>
      <c r="Q260" s="9"/>
    </row>
    <row r="261" spans="4:17" s="301" customFormat="1" ht="15" customHeight="1">
      <c r="D261" s="10"/>
      <c r="E261" s="10"/>
      <c r="F261" s="9"/>
      <c r="G261" s="9"/>
      <c r="H261" s="9"/>
      <c r="I261" s="9"/>
      <c r="J261" s="9"/>
      <c r="K261" s="9"/>
      <c r="L261" s="9"/>
      <c r="M261" s="9"/>
      <c r="N261" s="9"/>
      <c r="O261" s="9"/>
      <c r="P261" s="9"/>
      <c r="Q261" s="9"/>
    </row>
    <row r="262" spans="4:17" s="301" customFormat="1" ht="15" customHeight="1">
      <c r="D262" s="10"/>
      <c r="E262" s="10"/>
      <c r="F262" s="9"/>
      <c r="G262" s="9"/>
      <c r="H262" s="9"/>
      <c r="I262" s="9"/>
      <c r="J262" s="9"/>
      <c r="K262" s="9"/>
      <c r="L262" s="9"/>
      <c r="M262" s="9"/>
      <c r="N262" s="9"/>
      <c r="O262" s="9"/>
      <c r="P262" s="9"/>
      <c r="Q262" s="9"/>
    </row>
    <row r="263" spans="4:17" s="301" customFormat="1" ht="15" customHeight="1">
      <c r="D263" s="10"/>
      <c r="E263" s="10"/>
      <c r="F263" s="9"/>
      <c r="G263" s="9"/>
      <c r="H263" s="9"/>
      <c r="I263" s="9"/>
      <c r="J263" s="9"/>
      <c r="K263" s="9"/>
      <c r="L263" s="9"/>
      <c r="M263" s="9"/>
      <c r="N263" s="9"/>
      <c r="O263" s="9"/>
      <c r="P263" s="9"/>
      <c r="Q263" s="9"/>
    </row>
    <row r="264" spans="4:17" s="301" customFormat="1" ht="15" customHeight="1">
      <c r="D264" s="10"/>
      <c r="E264" s="10"/>
      <c r="F264" s="9"/>
      <c r="G264" s="9"/>
      <c r="H264" s="9"/>
      <c r="I264" s="9"/>
      <c r="J264" s="9"/>
      <c r="K264" s="9"/>
      <c r="L264" s="9"/>
      <c r="M264" s="9"/>
      <c r="N264" s="9"/>
      <c r="O264" s="9"/>
      <c r="P264" s="9"/>
      <c r="Q264" s="9"/>
    </row>
    <row r="265" spans="4:17" s="301" customFormat="1" ht="15" customHeight="1">
      <c r="D265" s="10"/>
      <c r="E265" s="10"/>
      <c r="F265" s="9"/>
      <c r="G265" s="9"/>
      <c r="H265" s="9"/>
      <c r="I265" s="9"/>
      <c r="J265" s="9"/>
      <c r="K265" s="9"/>
      <c r="L265" s="9"/>
      <c r="M265" s="9"/>
      <c r="N265" s="9"/>
      <c r="O265" s="9"/>
      <c r="P265" s="9"/>
      <c r="Q265" s="9"/>
    </row>
    <row r="266" spans="4:17" s="301" customFormat="1" ht="15" customHeight="1">
      <c r="D266" s="10"/>
      <c r="E266" s="10"/>
      <c r="F266" s="9"/>
      <c r="G266" s="9"/>
      <c r="H266" s="9"/>
      <c r="I266" s="9"/>
      <c r="J266" s="9"/>
      <c r="K266" s="9"/>
      <c r="L266" s="9"/>
      <c r="M266" s="9"/>
      <c r="N266" s="9"/>
      <c r="O266" s="9"/>
      <c r="P266" s="9"/>
      <c r="Q266" s="9"/>
    </row>
    <row r="267" spans="4:17" s="301" customFormat="1" ht="15" customHeight="1">
      <c r="D267" s="10"/>
      <c r="E267" s="10"/>
      <c r="F267" s="9"/>
      <c r="G267" s="9"/>
      <c r="H267" s="9"/>
      <c r="I267" s="9"/>
      <c r="J267" s="9"/>
      <c r="K267" s="9"/>
      <c r="L267" s="9"/>
      <c r="M267" s="9"/>
      <c r="N267" s="9"/>
      <c r="O267" s="9"/>
      <c r="P267" s="9"/>
      <c r="Q267" s="9"/>
    </row>
    <row r="268" spans="4:17" s="301" customFormat="1" ht="15" customHeight="1">
      <c r="D268" s="10"/>
      <c r="E268" s="10"/>
      <c r="F268" s="9"/>
      <c r="G268" s="9"/>
      <c r="H268" s="9"/>
      <c r="I268" s="9"/>
      <c r="J268" s="9"/>
      <c r="K268" s="9"/>
      <c r="L268" s="9"/>
      <c r="M268" s="9"/>
      <c r="N268" s="9"/>
      <c r="O268" s="9"/>
      <c r="P268" s="9"/>
      <c r="Q268" s="9"/>
    </row>
    <row r="269" spans="4:17" s="301" customFormat="1" ht="15" customHeight="1">
      <c r="D269" s="10"/>
      <c r="E269" s="10"/>
      <c r="F269" s="9"/>
      <c r="G269" s="9"/>
      <c r="H269" s="9"/>
      <c r="I269" s="9"/>
      <c r="J269" s="9"/>
      <c r="K269" s="9"/>
      <c r="L269" s="9"/>
      <c r="M269" s="9"/>
      <c r="N269" s="9"/>
      <c r="O269" s="9"/>
      <c r="P269" s="9"/>
      <c r="Q269" s="9"/>
    </row>
    <row r="270" spans="4:17" s="301" customFormat="1" ht="15" customHeight="1">
      <c r="D270" s="10"/>
      <c r="E270" s="10"/>
      <c r="F270" s="9"/>
      <c r="G270" s="9"/>
      <c r="H270" s="9"/>
      <c r="I270" s="9"/>
      <c r="J270" s="9"/>
      <c r="K270" s="9"/>
      <c r="L270" s="9"/>
      <c r="M270" s="9"/>
      <c r="N270" s="9"/>
      <c r="O270" s="9"/>
      <c r="P270" s="9"/>
      <c r="Q270" s="9"/>
    </row>
    <row r="271" spans="4:17" s="301" customFormat="1" ht="15" customHeight="1">
      <c r="D271" s="10"/>
      <c r="E271" s="10"/>
      <c r="F271" s="9"/>
      <c r="G271" s="9"/>
      <c r="H271" s="9"/>
      <c r="I271" s="9"/>
      <c r="J271" s="9"/>
      <c r="K271" s="9"/>
      <c r="L271" s="9"/>
      <c r="M271" s="9"/>
      <c r="N271" s="9"/>
      <c r="O271" s="9"/>
      <c r="P271" s="9"/>
      <c r="Q271" s="9"/>
    </row>
    <row r="272" spans="4:17" s="301" customFormat="1" ht="15" customHeight="1">
      <c r="D272" s="10"/>
      <c r="E272" s="10"/>
      <c r="F272" s="9"/>
      <c r="G272" s="9"/>
      <c r="H272" s="9"/>
      <c r="I272" s="9"/>
      <c r="J272" s="9"/>
      <c r="K272" s="9"/>
      <c r="L272" s="9"/>
      <c r="M272" s="9"/>
      <c r="N272" s="9"/>
      <c r="O272" s="9"/>
      <c r="P272" s="9"/>
      <c r="Q272" s="9"/>
    </row>
    <row r="273" spans="4:17" s="301" customFormat="1" ht="15" customHeight="1">
      <c r="D273" s="10"/>
      <c r="E273" s="10"/>
      <c r="F273" s="9"/>
      <c r="G273" s="9"/>
      <c r="H273" s="9"/>
      <c r="I273" s="9"/>
      <c r="J273" s="9"/>
      <c r="K273" s="9"/>
      <c r="L273" s="9"/>
      <c r="M273" s="9"/>
      <c r="N273" s="9"/>
      <c r="O273" s="9"/>
      <c r="P273" s="9"/>
      <c r="Q273" s="9"/>
    </row>
    <row r="274" spans="4:17" s="301" customFormat="1" ht="15" customHeight="1">
      <c r="D274" s="10"/>
      <c r="E274" s="10"/>
      <c r="F274" s="9"/>
      <c r="G274" s="9"/>
      <c r="H274" s="9"/>
      <c r="I274" s="9"/>
      <c r="J274" s="9"/>
      <c r="K274" s="9"/>
      <c r="L274" s="9"/>
      <c r="M274" s="9"/>
      <c r="N274" s="9"/>
      <c r="O274" s="9"/>
      <c r="P274" s="9"/>
      <c r="Q274" s="9"/>
    </row>
    <row r="275" spans="4:17" s="301" customFormat="1" ht="15" customHeight="1">
      <c r="D275" s="10"/>
      <c r="E275" s="10"/>
      <c r="F275" s="9"/>
      <c r="G275" s="9"/>
      <c r="H275" s="9"/>
      <c r="I275" s="9"/>
      <c r="J275" s="9"/>
      <c r="K275" s="9"/>
      <c r="L275" s="9"/>
      <c r="M275" s="9"/>
      <c r="N275" s="9"/>
      <c r="O275" s="9"/>
      <c r="P275" s="9"/>
      <c r="Q275" s="9"/>
    </row>
    <row r="276" spans="4:17" s="301" customFormat="1" ht="15" customHeight="1">
      <c r="D276" s="10"/>
      <c r="E276" s="10"/>
      <c r="F276" s="9"/>
      <c r="G276" s="9"/>
      <c r="H276" s="9"/>
      <c r="I276" s="9"/>
      <c r="J276" s="9"/>
      <c r="K276" s="9"/>
      <c r="L276" s="9"/>
      <c r="M276" s="9"/>
      <c r="N276" s="9"/>
      <c r="O276" s="9"/>
      <c r="P276" s="9"/>
      <c r="Q276" s="9"/>
    </row>
    <row r="277" spans="4:17" s="301" customFormat="1" ht="15" customHeight="1">
      <c r="D277" s="10"/>
      <c r="E277" s="10"/>
      <c r="F277" s="9"/>
      <c r="G277" s="9"/>
      <c r="H277" s="9"/>
      <c r="I277" s="9"/>
      <c r="J277" s="9"/>
      <c r="K277" s="9"/>
      <c r="L277" s="9"/>
      <c r="M277" s="9"/>
      <c r="N277" s="9"/>
      <c r="O277" s="9"/>
      <c r="P277" s="9"/>
      <c r="Q277" s="9"/>
    </row>
    <row r="278" spans="4:17" s="301" customFormat="1" ht="15" customHeight="1">
      <c r="D278" s="10"/>
      <c r="E278" s="10"/>
      <c r="F278" s="9"/>
      <c r="G278" s="9"/>
      <c r="H278" s="9"/>
      <c r="I278" s="9"/>
      <c r="J278" s="9"/>
      <c r="K278" s="9"/>
      <c r="L278" s="9"/>
      <c r="M278" s="9"/>
      <c r="N278" s="9"/>
      <c r="O278" s="9"/>
      <c r="P278" s="9"/>
      <c r="Q278" s="9"/>
    </row>
    <row r="279" spans="4:17" s="301" customFormat="1" ht="15" customHeight="1">
      <c r="D279" s="10"/>
      <c r="E279" s="10"/>
      <c r="F279" s="9"/>
      <c r="G279" s="9"/>
      <c r="H279" s="9"/>
      <c r="I279" s="9"/>
      <c r="J279" s="9"/>
      <c r="K279" s="9"/>
      <c r="L279" s="9"/>
      <c r="M279" s="9"/>
      <c r="N279" s="9"/>
      <c r="O279" s="9"/>
      <c r="P279" s="9"/>
      <c r="Q279" s="9"/>
    </row>
    <row r="280" spans="4:17" s="301" customFormat="1" ht="15" customHeight="1">
      <c r="D280" s="10"/>
      <c r="E280" s="10"/>
      <c r="F280" s="9"/>
      <c r="G280" s="9"/>
      <c r="H280" s="9"/>
      <c r="I280" s="9"/>
      <c r="J280" s="9"/>
      <c r="K280" s="9"/>
      <c r="L280" s="9"/>
      <c r="M280" s="9"/>
      <c r="N280" s="9"/>
      <c r="O280" s="9"/>
      <c r="P280" s="9"/>
      <c r="Q280" s="9"/>
    </row>
    <row r="281" spans="4:17" s="301" customFormat="1" ht="15" customHeight="1">
      <c r="D281" s="10"/>
      <c r="E281" s="10"/>
      <c r="F281" s="9"/>
      <c r="G281" s="9"/>
      <c r="H281" s="9"/>
      <c r="I281" s="9"/>
      <c r="J281" s="9"/>
      <c r="K281" s="9"/>
      <c r="L281" s="9"/>
      <c r="M281" s="9"/>
      <c r="N281" s="9"/>
      <c r="O281" s="9"/>
      <c r="P281" s="9"/>
      <c r="Q281" s="9"/>
    </row>
    <row r="282" spans="4:17" s="301" customFormat="1" ht="15" customHeight="1">
      <c r="D282" s="10"/>
      <c r="E282" s="10"/>
      <c r="F282" s="9"/>
      <c r="G282" s="9"/>
      <c r="H282" s="9"/>
      <c r="I282" s="9"/>
      <c r="J282" s="9"/>
      <c r="K282" s="9"/>
      <c r="L282" s="9"/>
      <c r="M282" s="9"/>
      <c r="N282" s="9"/>
      <c r="O282" s="9"/>
      <c r="P282" s="9"/>
      <c r="Q282" s="9"/>
    </row>
    <row r="283" spans="4:17" s="301" customFormat="1" ht="15" customHeight="1">
      <c r="D283" s="10"/>
      <c r="E283" s="10"/>
      <c r="F283" s="9"/>
      <c r="G283" s="9"/>
      <c r="H283" s="9"/>
      <c r="I283" s="9"/>
      <c r="J283" s="9"/>
      <c r="K283" s="9"/>
      <c r="L283" s="9"/>
      <c r="M283" s="9"/>
      <c r="N283" s="9"/>
      <c r="O283" s="9"/>
      <c r="P283" s="9"/>
      <c r="Q283" s="9"/>
    </row>
    <row r="284" spans="4:17" s="301" customFormat="1" ht="15" customHeight="1">
      <c r="D284" s="10"/>
      <c r="E284" s="10"/>
      <c r="F284" s="9"/>
      <c r="G284" s="9"/>
      <c r="H284" s="9"/>
      <c r="I284" s="9"/>
      <c r="J284" s="9"/>
      <c r="K284" s="9"/>
      <c r="L284" s="9"/>
      <c r="M284" s="9"/>
      <c r="N284" s="9"/>
      <c r="O284" s="9"/>
      <c r="P284" s="9"/>
      <c r="Q284" s="9"/>
    </row>
    <row r="285" spans="4:17" s="301" customFormat="1" ht="15" customHeight="1">
      <c r="D285" s="10"/>
      <c r="E285" s="10"/>
      <c r="F285" s="9"/>
      <c r="G285" s="9"/>
      <c r="H285" s="9"/>
      <c r="I285" s="9"/>
      <c r="J285" s="9"/>
      <c r="K285" s="9"/>
      <c r="L285" s="9"/>
      <c r="M285" s="9"/>
      <c r="N285" s="9"/>
      <c r="O285" s="9"/>
      <c r="P285" s="9"/>
      <c r="Q285" s="9"/>
    </row>
    <row r="286" spans="4:17" s="301" customFormat="1" ht="15" customHeight="1">
      <c r="D286" s="10"/>
      <c r="E286" s="10"/>
      <c r="F286" s="9"/>
      <c r="G286" s="9"/>
      <c r="H286" s="9"/>
      <c r="I286" s="9"/>
      <c r="J286" s="9"/>
      <c r="K286" s="9"/>
      <c r="L286" s="9"/>
      <c r="M286" s="9"/>
      <c r="N286" s="9"/>
      <c r="O286" s="9"/>
      <c r="P286" s="9"/>
      <c r="Q286" s="9"/>
    </row>
    <row r="287" spans="4:17" s="301" customFormat="1" ht="15" customHeight="1">
      <c r="D287" s="10"/>
      <c r="E287" s="10"/>
      <c r="F287" s="9"/>
      <c r="G287" s="9"/>
      <c r="H287" s="9"/>
      <c r="I287" s="9"/>
      <c r="J287" s="9"/>
      <c r="K287" s="9"/>
      <c r="L287" s="9"/>
      <c r="M287" s="9"/>
      <c r="N287" s="9"/>
      <c r="O287" s="9"/>
      <c r="P287" s="9"/>
      <c r="Q287" s="9"/>
    </row>
    <row r="288" spans="4:17" s="301" customFormat="1" ht="15" customHeight="1">
      <c r="D288" s="10"/>
      <c r="E288" s="10"/>
      <c r="F288" s="9"/>
      <c r="G288" s="9"/>
      <c r="H288" s="9"/>
      <c r="I288" s="9"/>
      <c r="J288" s="9"/>
      <c r="K288" s="9"/>
      <c r="L288" s="9"/>
      <c r="M288" s="9"/>
      <c r="N288" s="9"/>
      <c r="O288" s="9"/>
      <c r="P288" s="9"/>
      <c r="Q288" s="9"/>
    </row>
    <row r="289" spans="4:17" s="301" customFormat="1" ht="15" customHeight="1">
      <c r="D289" s="10"/>
      <c r="E289" s="10"/>
      <c r="F289" s="9"/>
      <c r="G289" s="9"/>
      <c r="H289" s="9"/>
      <c r="I289" s="9"/>
      <c r="J289" s="9"/>
      <c r="K289" s="9"/>
      <c r="L289" s="9"/>
      <c r="M289" s="9"/>
      <c r="N289" s="9"/>
      <c r="O289" s="9"/>
      <c r="P289" s="9"/>
      <c r="Q289" s="9"/>
    </row>
    <row r="290" spans="4:17" s="301" customFormat="1" ht="15" customHeight="1">
      <c r="D290" s="10"/>
      <c r="E290" s="10"/>
      <c r="F290" s="9"/>
      <c r="G290" s="9"/>
      <c r="H290" s="9"/>
      <c r="I290" s="9"/>
      <c r="J290" s="9"/>
      <c r="K290" s="9"/>
      <c r="L290" s="9"/>
      <c r="M290" s="9"/>
      <c r="N290" s="9"/>
      <c r="O290" s="9"/>
      <c r="P290" s="9"/>
      <c r="Q290" s="9"/>
    </row>
    <row r="291" spans="4:17" s="301" customFormat="1" ht="15" customHeight="1">
      <c r="D291" s="10"/>
      <c r="E291" s="10"/>
      <c r="F291" s="9"/>
      <c r="G291" s="9"/>
      <c r="H291" s="9"/>
      <c r="I291" s="9"/>
      <c r="J291" s="9"/>
      <c r="K291" s="9"/>
      <c r="L291" s="9"/>
      <c r="M291" s="9"/>
      <c r="N291" s="9"/>
      <c r="O291" s="9"/>
      <c r="P291" s="9"/>
      <c r="Q291" s="9"/>
    </row>
    <row r="292" spans="4:17" s="301" customFormat="1" ht="15" customHeight="1">
      <c r="D292" s="10"/>
      <c r="E292" s="10"/>
      <c r="F292" s="9"/>
      <c r="G292" s="9"/>
      <c r="H292" s="9"/>
      <c r="I292" s="9"/>
      <c r="J292" s="9"/>
      <c r="K292" s="9"/>
      <c r="L292" s="9"/>
      <c r="M292" s="9"/>
      <c r="N292" s="9"/>
      <c r="O292" s="9"/>
      <c r="P292" s="9"/>
      <c r="Q292" s="9"/>
    </row>
    <row r="293" spans="4:17" s="301" customFormat="1" ht="15" customHeight="1">
      <c r="D293" s="10"/>
      <c r="E293" s="10"/>
      <c r="F293" s="9"/>
      <c r="G293" s="9"/>
      <c r="H293" s="9"/>
      <c r="I293" s="9"/>
      <c r="J293" s="9"/>
      <c r="K293" s="9"/>
      <c r="L293" s="9"/>
      <c r="M293" s="9"/>
      <c r="N293" s="9"/>
      <c r="O293" s="9"/>
      <c r="P293" s="9"/>
      <c r="Q293" s="9"/>
    </row>
    <row r="294" spans="4:17" s="301" customFormat="1" ht="15" customHeight="1">
      <c r="D294" s="10"/>
      <c r="E294" s="10"/>
      <c r="F294" s="9"/>
      <c r="G294" s="9"/>
      <c r="H294" s="9"/>
      <c r="I294" s="9"/>
      <c r="J294" s="9"/>
      <c r="K294" s="9"/>
      <c r="L294" s="9"/>
      <c r="M294" s="9"/>
      <c r="N294" s="9"/>
      <c r="O294" s="9"/>
      <c r="P294" s="9"/>
      <c r="Q294" s="9"/>
    </row>
    <row r="295" spans="4:17" s="301" customFormat="1" ht="15" customHeight="1">
      <c r="D295" s="10"/>
      <c r="E295" s="10"/>
      <c r="F295" s="9"/>
      <c r="G295" s="9"/>
      <c r="H295" s="9"/>
      <c r="I295" s="9"/>
      <c r="J295" s="9"/>
      <c r="K295" s="9"/>
      <c r="L295" s="9"/>
      <c r="M295" s="9"/>
      <c r="N295" s="9"/>
      <c r="O295" s="9"/>
      <c r="P295" s="9"/>
      <c r="Q295" s="9"/>
    </row>
    <row r="296" spans="4:17" s="301" customFormat="1" ht="15" customHeight="1">
      <c r="D296" s="10"/>
      <c r="E296" s="10"/>
      <c r="F296" s="9"/>
      <c r="G296" s="9"/>
      <c r="H296" s="9"/>
      <c r="I296" s="9"/>
      <c r="J296" s="9"/>
      <c r="K296" s="9"/>
      <c r="L296" s="9"/>
      <c r="M296" s="9"/>
      <c r="N296" s="9"/>
      <c r="O296" s="9"/>
      <c r="P296" s="9"/>
      <c r="Q296" s="9"/>
    </row>
    <row r="297" spans="4:17" s="301" customFormat="1" ht="15" customHeight="1">
      <c r="D297" s="10"/>
      <c r="E297" s="10"/>
      <c r="F297" s="9"/>
      <c r="G297" s="9"/>
      <c r="H297" s="9"/>
      <c r="I297" s="9"/>
      <c r="J297" s="9"/>
      <c r="K297" s="9"/>
      <c r="L297" s="9"/>
      <c r="M297" s="9"/>
      <c r="N297" s="9"/>
      <c r="O297" s="9"/>
      <c r="P297" s="9"/>
      <c r="Q297" s="9"/>
    </row>
    <row r="298" spans="4:17" s="301" customFormat="1" ht="15" customHeight="1">
      <c r="D298" s="10"/>
      <c r="E298" s="10"/>
      <c r="F298" s="9"/>
      <c r="G298" s="9"/>
      <c r="H298" s="9"/>
      <c r="I298" s="9"/>
      <c r="J298" s="9"/>
      <c r="K298" s="9"/>
      <c r="L298" s="9"/>
      <c r="M298" s="9"/>
      <c r="N298" s="9"/>
      <c r="O298" s="9"/>
      <c r="P298" s="9"/>
      <c r="Q298" s="9"/>
    </row>
    <row r="299" spans="4:17" s="301" customFormat="1" ht="15" customHeight="1">
      <c r="D299" s="10"/>
      <c r="E299" s="10"/>
      <c r="F299" s="9"/>
      <c r="G299" s="9"/>
      <c r="H299" s="9"/>
      <c r="I299" s="9"/>
      <c r="J299" s="9"/>
      <c r="K299" s="9"/>
      <c r="L299" s="9"/>
      <c r="M299" s="9"/>
      <c r="N299" s="9"/>
      <c r="O299" s="9"/>
      <c r="P299" s="9"/>
      <c r="Q299" s="9"/>
    </row>
    <row r="300" spans="4:17" s="301" customFormat="1" ht="15" customHeight="1">
      <c r="D300" s="10"/>
      <c r="E300" s="10"/>
      <c r="F300" s="9"/>
      <c r="G300" s="9"/>
      <c r="H300" s="9"/>
      <c r="I300" s="9"/>
      <c r="J300" s="9"/>
      <c r="K300" s="9"/>
      <c r="L300" s="9"/>
      <c r="M300" s="9"/>
      <c r="N300" s="9"/>
      <c r="O300" s="9"/>
      <c r="P300" s="9"/>
      <c r="Q300" s="9"/>
    </row>
    <row r="301" spans="4:17" s="301" customFormat="1" ht="15" customHeight="1">
      <c r="D301" s="10"/>
      <c r="E301" s="10"/>
      <c r="F301" s="9"/>
      <c r="G301" s="9"/>
      <c r="H301" s="9"/>
      <c r="I301" s="9"/>
      <c r="J301" s="9"/>
      <c r="K301" s="9"/>
      <c r="L301" s="9"/>
      <c r="M301" s="9"/>
      <c r="N301" s="9"/>
      <c r="O301" s="9"/>
      <c r="P301" s="9"/>
      <c r="Q301" s="9"/>
    </row>
    <row r="302" spans="4:17" s="301" customFormat="1" ht="15" customHeight="1">
      <c r="D302" s="10"/>
      <c r="E302" s="10"/>
      <c r="F302" s="9"/>
      <c r="G302" s="9"/>
      <c r="H302" s="9"/>
      <c r="I302" s="9"/>
      <c r="J302" s="9"/>
      <c r="K302" s="9"/>
      <c r="L302" s="9"/>
      <c r="M302" s="9"/>
      <c r="N302" s="9"/>
      <c r="O302" s="9"/>
      <c r="P302" s="9"/>
      <c r="Q302" s="9"/>
    </row>
    <row r="303" spans="4:17" s="301" customFormat="1" ht="15" customHeight="1">
      <c r="D303" s="10"/>
      <c r="E303" s="10"/>
      <c r="F303" s="9"/>
      <c r="G303" s="9"/>
      <c r="H303" s="9"/>
      <c r="I303" s="9"/>
      <c r="J303" s="9"/>
      <c r="K303" s="9"/>
      <c r="L303" s="9"/>
      <c r="M303" s="9"/>
      <c r="N303" s="9"/>
      <c r="O303" s="9"/>
      <c r="P303" s="9"/>
      <c r="Q303" s="9"/>
    </row>
    <row r="304" spans="4:17" s="301" customFormat="1" ht="15" customHeight="1">
      <c r="D304" s="10"/>
      <c r="E304" s="10"/>
      <c r="F304" s="9"/>
      <c r="G304" s="9"/>
      <c r="H304" s="9"/>
      <c r="I304" s="9"/>
      <c r="J304" s="9"/>
      <c r="K304" s="9"/>
      <c r="L304" s="9"/>
      <c r="M304" s="9"/>
      <c r="N304" s="9"/>
      <c r="O304" s="9"/>
      <c r="P304" s="9"/>
      <c r="Q304" s="9"/>
    </row>
    <row r="305" spans="4:17" s="301" customFormat="1" ht="15" customHeight="1">
      <c r="D305" s="10"/>
      <c r="E305" s="10"/>
      <c r="F305" s="9"/>
      <c r="G305" s="9"/>
      <c r="H305" s="9"/>
      <c r="I305" s="9"/>
      <c r="J305" s="9"/>
      <c r="K305" s="9"/>
      <c r="L305" s="9"/>
      <c r="M305" s="9"/>
      <c r="N305" s="9"/>
      <c r="O305" s="9"/>
      <c r="P305" s="9"/>
      <c r="Q305" s="9"/>
    </row>
    <row r="306" spans="4:17" s="301" customFormat="1" ht="15" customHeight="1">
      <c r="D306" s="10"/>
      <c r="E306" s="10"/>
      <c r="F306" s="9"/>
      <c r="G306" s="9"/>
      <c r="H306" s="9"/>
      <c r="I306" s="9"/>
      <c r="J306" s="9"/>
      <c r="K306" s="9"/>
      <c r="L306" s="9"/>
      <c r="M306" s="9"/>
      <c r="N306" s="9"/>
      <c r="O306" s="9"/>
      <c r="P306" s="9"/>
      <c r="Q306" s="9"/>
    </row>
    <row r="307" spans="4:17" s="301" customFormat="1" ht="15" customHeight="1">
      <c r="D307" s="10"/>
      <c r="E307" s="10"/>
      <c r="F307" s="9"/>
      <c r="G307" s="9"/>
      <c r="H307" s="9"/>
      <c r="I307" s="9"/>
      <c r="J307" s="9"/>
      <c r="K307" s="9"/>
      <c r="L307" s="9"/>
      <c r="M307" s="9"/>
      <c r="N307" s="9"/>
      <c r="O307" s="9"/>
      <c r="P307" s="9"/>
      <c r="Q307" s="9"/>
    </row>
    <row r="308" spans="4:17" s="301" customFormat="1" ht="15" customHeight="1">
      <c r="D308" s="10"/>
      <c r="E308" s="10"/>
      <c r="F308" s="9"/>
      <c r="G308" s="9"/>
      <c r="H308" s="9"/>
      <c r="I308" s="9"/>
      <c r="J308" s="9"/>
      <c r="K308" s="9"/>
      <c r="L308" s="9"/>
      <c r="M308" s="9"/>
      <c r="N308" s="9"/>
      <c r="O308" s="9"/>
      <c r="P308" s="9"/>
      <c r="Q308" s="9"/>
    </row>
    <row r="309" spans="4:17" s="301" customFormat="1" ht="15" customHeight="1">
      <c r="D309" s="10"/>
      <c r="E309" s="10"/>
      <c r="F309" s="9"/>
      <c r="G309" s="9"/>
      <c r="H309" s="9"/>
      <c r="I309" s="9"/>
      <c r="J309" s="9"/>
      <c r="K309" s="9"/>
      <c r="L309" s="9"/>
      <c r="M309" s="9"/>
      <c r="N309" s="9"/>
      <c r="O309" s="9"/>
      <c r="P309" s="9"/>
      <c r="Q309" s="9"/>
    </row>
    <row r="310" spans="4:17" s="301" customFormat="1" ht="15" customHeight="1">
      <c r="D310" s="10"/>
      <c r="E310" s="10"/>
      <c r="F310" s="9"/>
      <c r="G310" s="9"/>
      <c r="H310" s="9"/>
      <c r="I310" s="9"/>
      <c r="J310" s="9"/>
      <c r="K310" s="9"/>
      <c r="L310" s="9"/>
      <c r="M310" s="9"/>
      <c r="N310" s="9"/>
      <c r="O310" s="9"/>
      <c r="P310" s="9"/>
      <c r="Q310" s="9"/>
    </row>
    <row r="311" spans="4:17" s="301" customFormat="1" ht="15" customHeight="1">
      <c r="D311" s="10"/>
      <c r="E311" s="10"/>
      <c r="F311" s="9"/>
      <c r="G311" s="9"/>
      <c r="H311" s="9"/>
      <c r="I311" s="9"/>
      <c r="J311" s="9"/>
      <c r="K311" s="9"/>
      <c r="L311" s="9"/>
      <c r="M311" s="9"/>
      <c r="N311" s="9"/>
      <c r="O311" s="9"/>
      <c r="P311" s="9"/>
      <c r="Q311" s="9"/>
    </row>
    <row r="312" spans="4:17" s="301" customFormat="1" ht="15" customHeight="1">
      <c r="D312" s="10"/>
      <c r="E312" s="10"/>
      <c r="F312" s="9"/>
      <c r="G312" s="9"/>
      <c r="H312" s="9"/>
      <c r="I312" s="9"/>
      <c r="J312" s="9"/>
      <c r="K312" s="9"/>
      <c r="L312" s="9"/>
      <c r="M312" s="9"/>
      <c r="N312" s="9"/>
      <c r="O312" s="9"/>
      <c r="P312" s="9"/>
      <c r="Q312" s="9"/>
    </row>
    <row r="313" spans="4:17" s="301" customFormat="1" ht="15" customHeight="1">
      <c r="D313" s="10"/>
      <c r="E313" s="10"/>
      <c r="F313" s="9"/>
      <c r="G313" s="9"/>
      <c r="H313" s="9"/>
      <c r="I313" s="9"/>
      <c r="J313" s="9"/>
      <c r="K313" s="9"/>
      <c r="L313" s="9"/>
      <c r="M313" s="9"/>
      <c r="N313" s="9"/>
      <c r="O313" s="9"/>
      <c r="P313" s="9"/>
      <c r="Q313" s="9"/>
    </row>
    <row r="314" spans="4:17" s="301" customFormat="1" ht="15" customHeight="1">
      <c r="D314" s="10"/>
      <c r="E314" s="10"/>
      <c r="F314" s="9"/>
      <c r="G314" s="9"/>
      <c r="H314" s="9"/>
      <c r="I314" s="9"/>
      <c r="J314" s="9"/>
      <c r="K314" s="9"/>
      <c r="L314" s="9"/>
      <c r="M314" s="9"/>
      <c r="N314" s="9"/>
      <c r="O314" s="9"/>
      <c r="P314" s="9"/>
      <c r="Q314" s="9"/>
    </row>
    <row r="315" spans="4:17" s="301" customFormat="1" ht="15" customHeight="1">
      <c r="D315" s="10"/>
      <c r="E315" s="10"/>
      <c r="F315" s="9"/>
      <c r="G315" s="9"/>
      <c r="H315" s="9"/>
      <c r="I315" s="9"/>
      <c r="J315" s="9"/>
      <c r="K315" s="9"/>
      <c r="L315" s="9"/>
      <c r="M315" s="9"/>
      <c r="N315" s="9"/>
      <c r="O315" s="9"/>
      <c r="P315" s="9"/>
      <c r="Q315" s="9"/>
    </row>
    <row r="316" spans="4:17" s="301" customFormat="1" ht="15" customHeight="1">
      <c r="D316" s="10"/>
      <c r="E316" s="10"/>
      <c r="F316" s="9"/>
      <c r="G316" s="9"/>
      <c r="H316" s="9"/>
      <c r="I316" s="9"/>
      <c r="J316" s="9"/>
      <c r="K316" s="9"/>
      <c r="L316" s="9"/>
      <c r="M316" s="9"/>
      <c r="N316" s="9"/>
      <c r="O316" s="9"/>
      <c r="P316" s="9"/>
      <c r="Q316" s="9"/>
    </row>
    <row r="317" spans="4:17" s="301" customFormat="1" ht="15" customHeight="1">
      <c r="D317" s="10"/>
      <c r="E317" s="10"/>
      <c r="F317" s="9"/>
      <c r="G317" s="9"/>
      <c r="H317" s="9"/>
      <c r="I317" s="9"/>
      <c r="J317" s="9"/>
      <c r="K317" s="9"/>
      <c r="L317" s="9"/>
      <c r="M317" s="9"/>
      <c r="N317" s="9"/>
      <c r="O317" s="9"/>
      <c r="P317" s="9"/>
      <c r="Q317" s="9"/>
    </row>
    <row r="318" spans="4:17" s="301" customFormat="1" ht="15" customHeight="1">
      <c r="D318" s="10"/>
      <c r="E318" s="10"/>
      <c r="F318" s="9"/>
      <c r="G318" s="9"/>
      <c r="H318" s="9"/>
      <c r="I318" s="9"/>
      <c r="J318" s="9"/>
      <c r="K318" s="9"/>
      <c r="L318" s="9"/>
      <c r="M318" s="9"/>
      <c r="N318" s="9"/>
      <c r="O318" s="9"/>
      <c r="P318" s="9"/>
      <c r="Q318" s="9"/>
    </row>
    <row r="319" spans="4:17" s="301" customFormat="1" ht="15" customHeight="1">
      <c r="D319" s="10"/>
      <c r="E319" s="10"/>
      <c r="F319" s="9"/>
      <c r="G319" s="9"/>
      <c r="H319" s="9"/>
      <c r="I319" s="9"/>
      <c r="J319" s="9"/>
      <c r="K319" s="9"/>
      <c r="L319" s="9"/>
      <c r="M319" s="9"/>
      <c r="N319" s="9"/>
      <c r="O319" s="9"/>
      <c r="P319" s="9"/>
      <c r="Q319" s="9"/>
    </row>
    <row r="320" spans="4:17" s="301" customFormat="1" ht="15" customHeight="1">
      <c r="D320" s="10"/>
      <c r="E320" s="10"/>
      <c r="F320" s="9"/>
      <c r="G320" s="9"/>
      <c r="H320" s="9"/>
      <c r="I320" s="9"/>
      <c r="J320" s="9"/>
      <c r="K320" s="9"/>
      <c r="L320" s="9"/>
      <c r="M320" s="9"/>
      <c r="N320" s="9"/>
      <c r="O320" s="9"/>
      <c r="P320" s="9"/>
      <c r="Q320" s="9"/>
    </row>
    <row r="321" spans="4:17" s="301" customFormat="1" ht="15" customHeight="1">
      <c r="D321" s="10"/>
      <c r="E321" s="10"/>
      <c r="F321" s="9"/>
      <c r="G321" s="9"/>
      <c r="H321" s="9"/>
      <c r="I321" s="9"/>
      <c r="J321" s="9"/>
      <c r="K321" s="9"/>
      <c r="L321" s="9"/>
      <c r="M321" s="9"/>
      <c r="N321" s="9"/>
      <c r="O321" s="9"/>
      <c r="P321" s="9"/>
      <c r="Q321" s="9"/>
    </row>
    <row r="322" spans="4:17" s="301" customFormat="1" ht="15" customHeight="1">
      <c r="D322" s="10"/>
      <c r="E322" s="10"/>
      <c r="F322" s="9"/>
      <c r="G322" s="9"/>
      <c r="H322" s="9"/>
      <c r="I322" s="9"/>
      <c r="J322" s="9"/>
      <c r="K322" s="9"/>
      <c r="L322" s="9"/>
      <c r="M322" s="9"/>
      <c r="N322" s="9"/>
      <c r="O322" s="9"/>
      <c r="P322" s="9"/>
      <c r="Q322" s="9"/>
    </row>
    <row r="323" spans="4:17" s="301" customFormat="1" ht="15" customHeight="1">
      <c r="D323" s="10"/>
      <c r="E323" s="10"/>
      <c r="F323" s="9"/>
      <c r="G323" s="9"/>
      <c r="H323" s="9"/>
      <c r="I323" s="9"/>
      <c r="J323" s="9"/>
      <c r="K323" s="9"/>
      <c r="L323" s="9"/>
      <c r="M323" s="9"/>
      <c r="N323" s="9"/>
      <c r="O323" s="9"/>
      <c r="P323" s="9"/>
      <c r="Q323" s="9"/>
    </row>
    <row r="324" spans="4:17" s="301" customFormat="1" ht="15" customHeight="1">
      <c r="D324" s="10"/>
      <c r="E324" s="10"/>
      <c r="F324" s="9"/>
      <c r="G324" s="9"/>
      <c r="H324" s="9"/>
      <c r="I324" s="9"/>
      <c r="J324" s="9"/>
      <c r="K324" s="9"/>
      <c r="L324" s="9"/>
      <c r="M324" s="9"/>
      <c r="N324" s="9"/>
      <c r="O324" s="9"/>
      <c r="P324" s="9"/>
      <c r="Q324" s="9"/>
    </row>
    <row r="325" spans="4:17" s="301" customFormat="1" ht="15" customHeight="1">
      <c r="D325" s="10"/>
      <c r="E325" s="10"/>
      <c r="F325" s="9"/>
      <c r="G325" s="9"/>
      <c r="H325" s="9"/>
      <c r="I325" s="9"/>
      <c r="J325" s="9"/>
      <c r="K325" s="9"/>
      <c r="L325" s="9"/>
      <c r="M325" s="9"/>
      <c r="N325" s="9"/>
      <c r="O325" s="9"/>
      <c r="P325" s="9"/>
      <c r="Q325" s="9"/>
    </row>
    <row r="326" spans="4:17" s="301" customFormat="1" ht="15" customHeight="1">
      <c r="D326" s="10"/>
      <c r="E326" s="10"/>
      <c r="F326" s="9"/>
      <c r="G326" s="9"/>
      <c r="H326" s="9"/>
      <c r="I326" s="9"/>
      <c r="J326" s="9"/>
      <c r="K326" s="9"/>
      <c r="L326" s="9"/>
      <c r="M326" s="9"/>
      <c r="N326" s="9"/>
      <c r="O326" s="9"/>
      <c r="P326" s="9"/>
      <c r="Q326" s="9"/>
    </row>
    <row r="327" spans="4:17" s="301" customFormat="1" ht="15" customHeight="1">
      <c r="D327" s="10"/>
      <c r="E327" s="10"/>
      <c r="F327" s="9"/>
      <c r="G327" s="9"/>
      <c r="H327" s="9"/>
      <c r="I327" s="9"/>
      <c r="J327" s="9"/>
      <c r="K327" s="9"/>
      <c r="L327" s="9"/>
      <c r="M327" s="9"/>
      <c r="N327" s="9"/>
      <c r="O327" s="9"/>
      <c r="P327" s="9"/>
      <c r="Q327" s="9"/>
    </row>
    <row r="328" spans="4:17" s="301" customFormat="1" ht="15" customHeight="1">
      <c r="D328" s="10"/>
      <c r="E328" s="10"/>
      <c r="F328" s="9"/>
      <c r="G328" s="9"/>
      <c r="H328" s="9"/>
      <c r="I328" s="9"/>
      <c r="J328" s="9"/>
      <c r="K328" s="9"/>
      <c r="L328" s="9"/>
      <c r="M328" s="9"/>
      <c r="N328" s="9"/>
      <c r="O328" s="9"/>
      <c r="P328" s="9"/>
      <c r="Q328" s="9"/>
    </row>
    <row r="329" spans="4:17" s="301" customFormat="1" ht="15" customHeight="1">
      <c r="D329" s="10"/>
      <c r="E329" s="10"/>
      <c r="F329" s="9"/>
      <c r="G329" s="9"/>
      <c r="H329" s="9"/>
      <c r="I329" s="9"/>
      <c r="J329" s="9"/>
      <c r="K329" s="9"/>
      <c r="L329" s="9"/>
      <c r="M329" s="9"/>
      <c r="N329" s="9"/>
      <c r="O329" s="9"/>
      <c r="P329" s="9"/>
      <c r="Q329" s="9"/>
    </row>
    <row r="330" spans="4:17" s="301" customFormat="1" ht="15" customHeight="1">
      <c r="D330" s="10"/>
      <c r="E330" s="10"/>
      <c r="F330" s="9"/>
      <c r="G330" s="9"/>
      <c r="H330" s="9"/>
      <c r="I330" s="9"/>
      <c r="J330" s="9"/>
      <c r="K330" s="9"/>
      <c r="L330" s="9"/>
      <c r="M330" s="9"/>
      <c r="N330" s="9"/>
      <c r="O330" s="9"/>
      <c r="P330" s="9"/>
      <c r="Q330" s="9"/>
    </row>
    <row r="331" spans="4:17" s="301" customFormat="1" ht="15" customHeight="1">
      <c r="D331" s="10"/>
      <c r="E331" s="10"/>
      <c r="F331" s="9"/>
      <c r="G331" s="9"/>
      <c r="H331" s="9"/>
      <c r="I331" s="9"/>
      <c r="J331" s="9"/>
      <c r="K331" s="9"/>
      <c r="L331" s="9"/>
      <c r="M331" s="9"/>
      <c r="N331" s="9"/>
      <c r="O331" s="9"/>
      <c r="P331" s="9"/>
      <c r="Q331" s="9"/>
    </row>
    <row r="332" spans="4:17" s="301" customFormat="1" ht="15" customHeight="1">
      <c r="D332" s="10"/>
      <c r="E332" s="10"/>
      <c r="F332" s="9"/>
      <c r="G332" s="9"/>
      <c r="H332" s="9"/>
      <c r="I332" s="9"/>
      <c r="J332" s="9"/>
      <c r="K332" s="9"/>
      <c r="L332" s="9"/>
      <c r="M332" s="9"/>
      <c r="N332" s="9"/>
      <c r="O332" s="9"/>
      <c r="P332" s="9"/>
      <c r="Q332" s="9"/>
    </row>
    <row r="333" spans="4:17" s="301" customFormat="1" ht="15" customHeight="1">
      <c r="D333" s="10"/>
      <c r="E333" s="10"/>
      <c r="F333" s="9"/>
      <c r="G333" s="9"/>
      <c r="H333" s="9"/>
      <c r="I333" s="9"/>
      <c r="J333" s="9"/>
      <c r="K333" s="9"/>
      <c r="L333" s="9"/>
      <c r="M333" s="9"/>
      <c r="N333" s="9"/>
      <c r="O333" s="9"/>
      <c r="P333" s="9"/>
      <c r="Q333" s="9"/>
    </row>
    <row r="334" spans="4:17" s="301" customFormat="1" ht="15" customHeight="1">
      <c r="D334" s="10"/>
      <c r="E334" s="10"/>
      <c r="F334" s="9"/>
      <c r="G334" s="9"/>
      <c r="H334" s="9"/>
      <c r="I334" s="9"/>
      <c r="J334" s="9"/>
      <c r="K334" s="9"/>
      <c r="L334" s="9"/>
      <c r="M334" s="9"/>
      <c r="N334" s="9"/>
      <c r="O334" s="9"/>
      <c r="P334" s="9"/>
      <c r="Q334" s="9"/>
    </row>
    <row r="335" spans="4:17" s="301" customFormat="1" ht="15" customHeight="1">
      <c r="D335" s="10"/>
      <c r="E335" s="10"/>
      <c r="F335" s="9"/>
      <c r="G335" s="9"/>
      <c r="H335" s="9"/>
      <c r="I335" s="9"/>
      <c r="J335" s="9"/>
      <c r="K335" s="9"/>
      <c r="L335" s="9"/>
      <c r="M335" s="9"/>
      <c r="N335" s="9"/>
      <c r="O335" s="9"/>
      <c r="P335" s="9"/>
      <c r="Q335" s="9"/>
    </row>
    <row r="336" spans="4:17" s="301" customFormat="1" ht="15" customHeight="1">
      <c r="D336" s="10"/>
      <c r="E336" s="10"/>
      <c r="F336" s="9"/>
      <c r="G336" s="9"/>
      <c r="H336" s="9"/>
      <c r="I336" s="9"/>
      <c r="J336" s="9"/>
      <c r="K336" s="9"/>
      <c r="L336" s="9"/>
      <c r="M336" s="9"/>
      <c r="N336" s="9"/>
      <c r="O336" s="9"/>
      <c r="P336" s="9"/>
      <c r="Q336" s="9"/>
    </row>
    <row r="337" spans="4:17" s="301" customFormat="1" ht="15" customHeight="1">
      <c r="D337" s="10"/>
      <c r="E337" s="10"/>
      <c r="F337" s="9"/>
      <c r="G337" s="9"/>
      <c r="H337" s="9"/>
      <c r="I337" s="9"/>
      <c r="J337" s="9"/>
      <c r="K337" s="9"/>
      <c r="L337" s="9"/>
      <c r="M337" s="9"/>
      <c r="N337" s="9"/>
      <c r="O337" s="9"/>
      <c r="P337" s="9"/>
      <c r="Q337" s="9"/>
    </row>
    <row r="338" spans="4:17" s="301" customFormat="1" ht="15" customHeight="1">
      <c r="D338" s="10"/>
      <c r="E338" s="10"/>
      <c r="F338" s="9"/>
      <c r="G338" s="9"/>
      <c r="H338" s="9"/>
      <c r="I338" s="9"/>
      <c r="J338" s="9"/>
      <c r="K338" s="9"/>
      <c r="L338" s="9"/>
      <c r="M338" s="9"/>
      <c r="N338" s="9"/>
      <c r="O338" s="9"/>
      <c r="P338" s="9"/>
      <c r="Q338" s="9"/>
    </row>
    <row r="339" spans="4:17" s="301" customFormat="1" ht="15" customHeight="1">
      <c r="D339" s="10"/>
      <c r="E339" s="10"/>
      <c r="F339" s="9"/>
      <c r="G339" s="9"/>
      <c r="H339" s="9"/>
      <c r="I339" s="9"/>
      <c r="J339" s="9"/>
      <c r="K339" s="9"/>
      <c r="L339" s="9"/>
      <c r="M339" s="9"/>
      <c r="N339" s="9"/>
      <c r="O339" s="9"/>
      <c r="P339" s="9"/>
      <c r="Q339" s="9"/>
    </row>
    <row r="340" spans="4:17" s="301" customFormat="1" ht="15" customHeight="1">
      <c r="D340" s="10"/>
      <c r="E340" s="10"/>
      <c r="F340" s="9"/>
      <c r="G340" s="9"/>
      <c r="H340" s="9"/>
      <c r="I340" s="9"/>
      <c r="J340" s="9"/>
      <c r="K340" s="9"/>
      <c r="L340" s="9"/>
      <c r="M340" s="9"/>
      <c r="N340" s="9"/>
      <c r="O340" s="9"/>
      <c r="P340" s="9"/>
      <c r="Q340" s="9"/>
    </row>
    <row r="341" spans="4:17" s="301" customFormat="1" ht="15" customHeight="1">
      <c r="D341" s="10"/>
      <c r="E341" s="10"/>
      <c r="F341" s="9"/>
      <c r="G341" s="9"/>
      <c r="H341" s="9"/>
      <c r="I341" s="9"/>
      <c r="J341" s="9"/>
      <c r="K341" s="9"/>
      <c r="L341" s="9"/>
      <c r="M341" s="9"/>
      <c r="N341" s="9"/>
      <c r="O341" s="9"/>
      <c r="P341" s="9"/>
      <c r="Q341" s="9"/>
    </row>
    <row r="342" spans="4:17" s="301" customFormat="1" ht="15" customHeight="1">
      <c r="D342" s="10"/>
      <c r="E342" s="10"/>
      <c r="F342" s="9"/>
      <c r="G342" s="9"/>
      <c r="H342" s="9"/>
      <c r="I342" s="9"/>
      <c r="J342" s="9"/>
      <c r="K342" s="9"/>
      <c r="L342" s="9"/>
      <c r="M342" s="9"/>
      <c r="N342" s="9"/>
      <c r="O342" s="9"/>
      <c r="P342" s="9"/>
      <c r="Q342" s="9"/>
    </row>
    <row r="343" spans="4:17" s="301" customFormat="1" ht="15" customHeight="1">
      <c r="D343" s="10"/>
      <c r="E343" s="10"/>
      <c r="F343" s="9"/>
      <c r="G343" s="9"/>
      <c r="H343" s="9"/>
      <c r="I343" s="9"/>
      <c r="J343" s="9"/>
      <c r="K343" s="9"/>
      <c r="L343" s="9"/>
      <c r="M343" s="9"/>
      <c r="N343" s="9"/>
      <c r="O343" s="9"/>
      <c r="P343" s="9"/>
      <c r="Q343" s="9"/>
    </row>
    <row r="344" spans="4:17" s="301" customFormat="1" ht="15" customHeight="1">
      <c r="D344" s="10"/>
      <c r="E344" s="10"/>
      <c r="F344" s="9"/>
      <c r="G344" s="9"/>
      <c r="H344" s="9"/>
      <c r="I344" s="9"/>
      <c r="J344" s="9"/>
      <c r="K344" s="9"/>
      <c r="L344" s="9"/>
      <c r="M344" s="9"/>
      <c r="N344" s="9"/>
      <c r="O344" s="9"/>
      <c r="P344" s="9"/>
      <c r="Q344" s="9"/>
    </row>
    <row r="345" spans="4:17" s="301" customFormat="1" ht="15" customHeight="1">
      <c r="D345" s="10"/>
      <c r="E345" s="10"/>
      <c r="F345" s="9"/>
      <c r="G345" s="9"/>
      <c r="H345" s="9"/>
      <c r="I345" s="9"/>
      <c r="J345" s="9"/>
      <c r="K345" s="9"/>
      <c r="L345" s="9"/>
      <c r="M345" s="9"/>
      <c r="N345" s="9"/>
      <c r="O345" s="9"/>
      <c r="P345" s="9"/>
      <c r="Q345" s="9"/>
    </row>
    <row r="346" spans="4:17" s="301" customFormat="1" ht="15" customHeight="1">
      <c r="D346" s="10"/>
      <c r="E346" s="10"/>
      <c r="F346" s="9"/>
      <c r="G346" s="9"/>
      <c r="H346" s="9"/>
      <c r="I346" s="9"/>
      <c r="J346" s="9"/>
      <c r="K346" s="9"/>
      <c r="L346" s="9"/>
      <c r="M346" s="9"/>
      <c r="N346" s="9"/>
      <c r="O346" s="9"/>
      <c r="P346" s="9"/>
      <c r="Q346" s="9"/>
    </row>
    <row r="347" spans="4:17" s="301" customFormat="1" ht="15" customHeight="1">
      <c r="D347" s="10"/>
      <c r="E347" s="10"/>
      <c r="F347" s="9"/>
      <c r="G347" s="9"/>
      <c r="H347" s="9"/>
      <c r="I347" s="9"/>
      <c r="J347" s="9"/>
      <c r="K347" s="9"/>
      <c r="L347" s="9"/>
      <c r="M347" s="9"/>
      <c r="N347" s="9"/>
      <c r="O347" s="9"/>
      <c r="P347" s="9"/>
      <c r="Q347" s="9"/>
    </row>
    <row r="348" spans="4:17" s="301" customFormat="1" ht="15" customHeight="1">
      <c r="D348" s="10"/>
      <c r="E348" s="10"/>
      <c r="F348" s="9"/>
      <c r="G348" s="9"/>
      <c r="H348" s="9"/>
      <c r="I348" s="9"/>
      <c r="J348" s="9"/>
      <c r="K348" s="9"/>
      <c r="L348" s="9"/>
      <c r="M348" s="9"/>
      <c r="N348" s="9"/>
      <c r="O348" s="9"/>
      <c r="P348" s="9"/>
      <c r="Q348" s="9"/>
    </row>
    <row r="349" spans="4:17" s="301" customFormat="1" ht="15" customHeight="1">
      <c r="D349" s="10"/>
      <c r="E349" s="10"/>
      <c r="F349" s="9"/>
      <c r="G349" s="9"/>
      <c r="H349" s="9"/>
      <c r="I349" s="9"/>
      <c r="J349" s="9"/>
      <c r="K349" s="9"/>
      <c r="L349" s="9"/>
      <c r="M349" s="9"/>
      <c r="N349" s="9"/>
      <c r="O349" s="9"/>
      <c r="P349" s="9"/>
      <c r="Q349" s="9"/>
    </row>
    <row r="350" spans="4:17" s="301" customFormat="1" ht="15" customHeight="1">
      <c r="D350" s="10"/>
      <c r="E350" s="10"/>
      <c r="F350" s="9"/>
      <c r="G350" s="9"/>
      <c r="H350" s="9"/>
      <c r="I350" s="9"/>
      <c r="J350" s="9"/>
      <c r="K350" s="9"/>
      <c r="L350" s="9"/>
      <c r="M350" s="9"/>
      <c r="N350" s="9"/>
      <c r="O350" s="9"/>
      <c r="P350" s="9"/>
      <c r="Q350" s="9"/>
    </row>
    <row r="351" spans="4:17" s="301" customFormat="1" ht="15" customHeight="1">
      <c r="D351" s="10"/>
      <c r="E351" s="10"/>
      <c r="F351" s="9"/>
      <c r="G351" s="9"/>
      <c r="H351" s="9"/>
      <c r="I351" s="9"/>
      <c r="J351" s="9"/>
      <c r="K351" s="9"/>
      <c r="L351" s="9"/>
      <c r="M351" s="9"/>
      <c r="N351" s="9"/>
      <c r="O351" s="9"/>
      <c r="P351" s="9"/>
      <c r="Q351" s="9"/>
    </row>
    <row r="352" spans="4:17" s="301" customFormat="1" ht="15" customHeight="1">
      <c r="D352" s="10"/>
      <c r="E352" s="10"/>
      <c r="F352" s="9"/>
      <c r="G352" s="9"/>
      <c r="H352" s="9"/>
      <c r="I352" s="9"/>
      <c r="J352" s="9"/>
      <c r="K352" s="9"/>
      <c r="L352" s="9"/>
      <c r="M352" s="9"/>
      <c r="N352" s="9"/>
      <c r="O352" s="9"/>
      <c r="P352" s="9"/>
      <c r="Q352" s="9"/>
    </row>
    <row r="353" spans="4:17" s="301" customFormat="1" ht="15" customHeight="1">
      <c r="D353" s="10"/>
      <c r="E353" s="10"/>
      <c r="F353" s="9"/>
      <c r="G353" s="9"/>
      <c r="H353" s="9"/>
      <c r="I353" s="9"/>
      <c r="J353" s="9"/>
      <c r="K353" s="9"/>
      <c r="L353" s="9"/>
      <c r="M353" s="9"/>
      <c r="N353" s="9"/>
      <c r="O353" s="9"/>
      <c r="P353" s="9"/>
      <c r="Q353" s="9"/>
    </row>
    <row r="354" spans="4:17" s="301" customFormat="1" ht="15" customHeight="1">
      <c r="D354" s="10"/>
      <c r="E354" s="10"/>
      <c r="F354" s="9"/>
      <c r="G354" s="9"/>
      <c r="H354" s="9"/>
      <c r="I354" s="9"/>
      <c r="J354" s="9"/>
      <c r="K354" s="9"/>
      <c r="L354" s="9"/>
      <c r="M354" s="9"/>
      <c r="N354" s="9"/>
      <c r="O354" s="9"/>
      <c r="P354" s="9"/>
      <c r="Q354" s="9"/>
    </row>
    <row r="355" spans="4:17" s="301" customFormat="1" ht="15" customHeight="1">
      <c r="D355" s="10"/>
      <c r="E355" s="10"/>
      <c r="F355" s="9"/>
      <c r="G355" s="9"/>
      <c r="H355" s="9"/>
      <c r="I355" s="9"/>
      <c r="J355" s="9"/>
      <c r="K355" s="9"/>
      <c r="L355" s="9"/>
      <c r="M355" s="9"/>
      <c r="N355" s="9"/>
      <c r="O355" s="9"/>
      <c r="P355" s="9"/>
      <c r="Q355" s="9"/>
    </row>
    <row r="356" spans="4:17" s="301" customFormat="1" ht="15" customHeight="1">
      <c r="D356" s="10"/>
      <c r="E356" s="10"/>
      <c r="F356" s="9"/>
      <c r="G356" s="9"/>
      <c r="H356" s="9"/>
      <c r="I356" s="9"/>
      <c r="J356" s="9"/>
      <c r="K356" s="9"/>
      <c r="L356" s="9"/>
      <c r="M356" s="9"/>
      <c r="N356" s="9"/>
      <c r="O356" s="9"/>
      <c r="P356" s="9"/>
      <c r="Q356" s="9"/>
    </row>
    <row r="357" spans="4:17" s="301" customFormat="1" ht="15" customHeight="1">
      <c r="D357" s="10"/>
      <c r="E357" s="10"/>
      <c r="F357" s="9"/>
      <c r="G357" s="9"/>
      <c r="H357" s="9"/>
      <c r="I357" s="9"/>
      <c r="J357" s="9"/>
      <c r="K357" s="9"/>
      <c r="L357" s="9"/>
      <c r="M357" s="9"/>
      <c r="N357" s="9"/>
      <c r="O357" s="9"/>
      <c r="P357" s="9"/>
      <c r="Q357" s="9"/>
    </row>
    <row r="358" spans="4:17" s="301" customFormat="1" ht="15" customHeight="1">
      <c r="D358" s="10"/>
      <c r="E358" s="10"/>
      <c r="F358" s="9"/>
      <c r="G358" s="9"/>
      <c r="H358" s="9"/>
      <c r="I358" s="9"/>
      <c r="J358" s="9"/>
      <c r="K358" s="9"/>
      <c r="L358" s="9"/>
      <c r="M358" s="9"/>
      <c r="N358" s="9"/>
      <c r="O358" s="9"/>
      <c r="P358" s="9"/>
      <c r="Q358" s="9"/>
    </row>
    <row r="359" spans="4:17" s="301" customFormat="1" ht="15" customHeight="1">
      <c r="D359" s="10"/>
      <c r="E359" s="10"/>
      <c r="F359" s="9"/>
      <c r="G359" s="9"/>
      <c r="H359" s="9"/>
      <c r="I359" s="9"/>
      <c r="J359" s="9"/>
      <c r="K359" s="9"/>
      <c r="L359" s="9"/>
      <c r="M359" s="9"/>
      <c r="N359" s="9"/>
      <c r="O359" s="9"/>
      <c r="P359" s="9"/>
      <c r="Q359" s="9"/>
    </row>
    <row r="360" spans="4:17" s="301" customFormat="1" ht="15" customHeight="1">
      <c r="D360" s="10"/>
      <c r="E360" s="10"/>
      <c r="F360" s="9"/>
      <c r="G360" s="9"/>
      <c r="H360" s="9"/>
      <c r="I360" s="9"/>
      <c r="J360" s="9"/>
      <c r="K360" s="9"/>
      <c r="L360" s="9"/>
      <c r="M360" s="9"/>
      <c r="N360" s="9"/>
      <c r="O360" s="9"/>
      <c r="P360" s="9"/>
      <c r="Q360" s="9"/>
    </row>
    <row r="361" spans="4:17" s="301" customFormat="1" ht="15" customHeight="1">
      <c r="D361" s="10"/>
      <c r="E361" s="10"/>
      <c r="F361" s="9"/>
      <c r="G361" s="9"/>
      <c r="H361" s="9"/>
      <c r="I361" s="9"/>
      <c r="J361" s="9"/>
      <c r="K361" s="9"/>
      <c r="L361" s="9"/>
      <c r="M361" s="9"/>
      <c r="N361" s="9"/>
      <c r="O361" s="9"/>
      <c r="P361" s="9"/>
      <c r="Q361" s="9"/>
    </row>
    <row r="362" spans="4:17" s="301" customFormat="1" ht="15" customHeight="1">
      <c r="D362" s="10"/>
      <c r="E362" s="10"/>
      <c r="F362" s="9"/>
      <c r="G362" s="9"/>
      <c r="H362" s="9"/>
      <c r="I362" s="9"/>
      <c r="J362" s="9"/>
      <c r="K362" s="9"/>
      <c r="L362" s="9"/>
      <c r="M362" s="9"/>
      <c r="N362" s="9"/>
      <c r="O362" s="9"/>
      <c r="P362" s="9"/>
      <c r="Q362" s="9"/>
    </row>
    <row r="363" spans="4:17" s="301" customFormat="1" ht="15" customHeight="1">
      <c r="D363" s="10"/>
      <c r="E363" s="10"/>
      <c r="F363" s="9"/>
      <c r="G363" s="9"/>
      <c r="H363" s="9"/>
      <c r="I363" s="9"/>
      <c r="J363" s="9"/>
      <c r="K363" s="9"/>
      <c r="L363" s="9"/>
      <c r="M363" s="9"/>
      <c r="N363" s="9"/>
      <c r="O363" s="9"/>
      <c r="P363" s="9"/>
      <c r="Q363" s="9"/>
    </row>
    <row r="364" spans="4:17" s="301" customFormat="1" ht="15" customHeight="1">
      <c r="D364" s="10"/>
      <c r="E364" s="10"/>
      <c r="F364" s="9"/>
      <c r="G364" s="9"/>
      <c r="H364" s="9"/>
      <c r="I364" s="9"/>
      <c r="J364" s="9"/>
      <c r="K364" s="9"/>
      <c r="L364" s="9"/>
      <c r="M364" s="9"/>
      <c r="N364" s="9"/>
      <c r="O364" s="9"/>
      <c r="P364" s="9"/>
      <c r="Q364" s="9"/>
    </row>
    <row r="365" spans="4:17" s="301" customFormat="1" ht="15" customHeight="1">
      <c r="D365" s="10"/>
      <c r="E365" s="10"/>
      <c r="F365" s="9"/>
      <c r="G365" s="9"/>
      <c r="H365" s="9"/>
      <c r="I365" s="9"/>
      <c r="J365" s="9"/>
      <c r="K365" s="9"/>
      <c r="L365" s="9"/>
      <c r="M365" s="9"/>
      <c r="N365" s="9"/>
      <c r="O365" s="9"/>
      <c r="P365" s="9"/>
      <c r="Q365" s="9"/>
    </row>
    <row r="366" spans="4:17" s="301" customFormat="1" ht="15" customHeight="1">
      <c r="D366" s="10"/>
      <c r="E366" s="10"/>
      <c r="F366" s="9"/>
      <c r="G366" s="9"/>
      <c r="H366" s="9"/>
      <c r="I366" s="9"/>
      <c r="J366" s="9"/>
      <c r="K366" s="9"/>
      <c r="L366" s="9"/>
      <c r="M366" s="9"/>
      <c r="N366" s="9"/>
      <c r="O366" s="9"/>
      <c r="P366" s="9"/>
      <c r="Q366" s="9"/>
    </row>
    <row r="367" spans="4:17" s="301" customFormat="1" ht="15" customHeight="1">
      <c r="D367" s="10"/>
      <c r="E367" s="10"/>
      <c r="F367" s="9"/>
      <c r="G367" s="9"/>
      <c r="H367" s="9"/>
      <c r="I367" s="9"/>
      <c r="J367" s="9"/>
      <c r="K367" s="9"/>
      <c r="L367" s="9"/>
      <c r="M367" s="9"/>
      <c r="N367" s="9"/>
      <c r="O367" s="9"/>
      <c r="P367" s="9"/>
      <c r="Q367" s="9"/>
    </row>
    <row r="368" spans="4:17" s="301" customFormat="1" ht="15" customHeight="1">
      <c r="D368" s="10"/>
      <c r="E368" s="10"/>
      <c r="F368" s="9"/>
      <c r="G368" s="9"/>
      <c r="H368" s="9"/>
      <c r="I368" s="9"/>
      <c r="J368" s="9"/>
      <c r="K368" s="9"/>
      <c r="L368" s="9"/>
      <c r="M368" s="9"/>
      <c r="N368" s="9"/>
      <c r="O368" s="9"/>
      <c r="P368" s="9"/>
      <c r="Q368" s="9"/>
    </row>
    <row r="369" spans="4:17" s="301" customFormat="1" ht="15" customHeight="1">
      <c r="D369" s="10"/>
      <c r="E369" s="10"/>
      <c r="F369" s="9"/>
      <c r="G369" s="9"/>
      <c r="H369" s="9"/>
      <c r="I369" s="9"/>
      <c r="J369" s="9"/>
      <c r="K369" s="9"/>
      <c r="L369" s="9"/>
      <c r="M369" s="9"/>
      <c r="N369" s="9"/>
      <c r="O369" s="9"/>
      <c r="P369" s="9"/>
      <c r="Q369" s="9"/>
    </row>
    <row r="370" spans="4:17" s="301" customFormat="1" ht="15" customHeight="1">
      <c r="D370" s="10"/>
      <c r="E370" s="10"/>
      <c r="F370" s="9"/>
      <c r="G370" s="9"/>
      <c r="H370" s="9"/>
      <c r="I370" s="9"/>
      <c r="J370" s="9"/>
      <c r="K370" s="9"/>
      <c r="L370" s="9"/>
      <c r="M370" s="9"/>
      <c r="N370" s="9"/>
      <c r="O370" s="9"/>
      <c r="P370" s="9"/>
      <c r="Q370" s="9"/>
    </row>
    <row r="371" spans="4:17" s="301" customFormat="1" ht="15" customHeight="1">
      <c r="D371" s="10"/>
      <c r="E371" s="10"/>
      <c r="F371" s="9"/>
      <c r="G371" s="9"/>
      <c r="H371" s="9"/>
      <c r="I371" s="9"/>
      <c r="J371" s="9"/>
      <c r="K371" s="9"/>
      <c r="L371" s="9"/>
      <c r="M371" s="9"/>
      <c r="N371" s="9"/>
      <c r="O371" s="9"/>
      <c r="P371" s="9"/>
      <c r="Q371" s="9"/>
    </row>
    <row r="372" spans="4:17" s="301" customFormat="1" ht="15" customHeight="1">
      <c r="D372" s="10"/>
      <c r="E372" s="10"/>
      <c r="F372" s="9"/>
      <c r="G372" s="9"/>
      <c r="H372" s="9"/>
      <c r="I372" s="9"/>
      <c r="J372" s="9"/>
      <c r="K372" s="9"/>
      <c r="L372" s="9"/>
      <c r="M372" s="9"/>
      <c r="N372" s="9"/>
      <c r="O372" s="9"/>
      <c r="P372" s="9"/>
      <c r="Q372" s="9"/>
    </row>
    <row r="373" spans="4:17" s="301" customFormat="1" ht="15" customHeight="1">
      <c r="D373" s="10"/>
      <c r="E373" s="10"/>
      <c r="F373" s="9"/>
      <c r="G373" s="9"/>
      <c r="H373" s="9"/>
      <c r="I373" s="9"/>
      <c r="J373" s="9"/>
      <c r="K373" s="9"/>
      <c r="L373" s="9"/>
      <c r="M373" s="9"/>
      <c r="N373" s="9"/>
      <c r="O373" s="9"/>
      <c r="P373" s="9"/>
      <c r="Q373" s="9"/>
    </row>
    <row r="374" spans="4:17" s="301" customFormat="1" ht="15" customHeight="1">
      <c r="D374" s="10"/>
      <c r="E374" s="10"/>
      <c r="F374" s="9"/>
      <c r="G374" s="9"/>
      <c r="H374" s="9"/>
      <c r="I374" s="9"/>
      <c r="J374" s="9"/>
      <c r="K374" s="9"/>
      <c r="L374" s="9"/>
      <c r="M374" s="9"/>
      <c r="N374" s="9"/>
      <c r="O374" s="9"/>
      <c r="P374" s="9"/>
      <c r="Q374" s="9"/>
    </row>
    <row r="375" spans="4:17" s="301" customFormat="1" ht="15" customHeight="1">
      <c r="D375" s="10"/>
      <c r="E375" s="10"/>
      <c r="F375" s="9"/>
      <c r="G375" s="9"/>
      <c r="H375" s="9"/>
      <c r="I375" s="9"/>
      <c r="J375" s="9"/>
      <c r="K375" s="9"/>
      <c r="L375" s="9"/>
      <c r="M375" s="9"/>
      <c r="N375" s="9"/>
      <c r="O375" s="9"/>
      <c r="P375" s="9"/>
      <c r="Q375" s="9"/>
    </row>
    <row r="376" spans="4:17" s="301" customFormat="1" ht="15" customHeight="1">
      <c r="D376" s="10"/>
      <c r="E376" s="10"/>
      <c r="F376" s="9"/>
      <c r="G376" s="9"/>
      <c r="H376" s="9"/>
      <c r="I376" s="9"/>
      <c r="J376" s="9"/>
      <c r="K376" s="9"/>
      <c r="L376" s="9"/>
      <c r="M376" s="9"/>
      <c r="N376" s="9"/>
      <c r="O376" s="9"/>
      <c r="P376" s="9"/>
      <c r="Q376" s="9"/>
    </row>
    <row r="377" spans="4:17" s="301" customFormat="1" ht="15" customHeight="1">
      <c r="D377" s="10"/>
      <c r="E377" s="10"/>
      <c r="F377" s="9"/>
      <c r="G377" s="9"/>
      <c r="H377" s="9"/>
      <c r="I377" s="9"/>
      <c r="J377" s="9"/>
      <c r="K377" s="9"/>
      <c r="L377" s="9"/>
      <c r="M377" s="9"/>
      <c r="N377" s="9"/>
      <c r="O377" s="9"/>
      <c r="P377" s="9"/>
      <c r="Q377" s="9"/>
    </row>
    <row r="378" spans="4:17" s="301" customFormat="1" ht="15" customHeight="1">
      <c r="D378" s="10"/>
      <c r="E378" s="10"/>
      <c r="F378" s="9"/>
      <c r="G378" s="9"/>
      <c r="H378" s="9"/>
      <c r="I378" s="9"/>
      <c r="J378" s="9"/>
      <c r="K378" s="9"/>
      <c r="L378" s="9"/>
      <c r="M378" s="9"/>
      <c r="N378" s="9"/>
      <c r="O378" s="9"/>
      <c r="P378" s="9"/>
      <c r="Q378" s="9"/>
    </row>
    <row r="379" spans="4:17" s="301" customFormat="1" ht="15" customHeight="1">
      <c r="D379" s="10"/>
      <c r="E379" s="10"/>
      <c r="F379" s="9"/>
      <c r="G379" s="9"/>
      <c r="H379" s="9"/>
      <c r="I379" s="9"/>
      <c r="J379" s="9"/>
      <c r="K379" s="9"/>
      <c r="L379" s="9"/>
      <c r="M379" s="9"/>
      <c r="N379" s="9"/>
      <c r="O379" s="9"/>
      <c r="P379" s="9"/>
      <c r="Q379" s="9"/>
    </row>
    <row r="380" spans="4:17" s="301" customFormat="1" ht="15" customHeight="1">
      <c r="D380" s="10"/>
      <c r="E380" s="10"/>
      <c r="F380" s="9"/>
      <c r="G380" s="9"/>
      <c r="H380" s="9"/>
      <c r="I380" s="9"/>
      <c r="J380" s="9"/>
      <c r="K380" s="9"/>
      <c r="L380" s="9"/>
      <c r="M380" s="9"/>
      <c r="N380" s="9"/>
      <c r="O380" s="9"/>
      <c r="P380" s="9"/>
      <c r="Q380" s="9"/>
    </row>
    <row r="381" spans="4:17" s="301" customFormat="1" ht="15" customHeight="1">
      <c r="D381" s="10"/>
      <c r="E381" s="10"/>
      <c r="F381" s="9"/>
      <c r="G381" s="9"/>
      <c r="H381" s="9"/>
      <c r="I381" s="9"/>
      <c r="J381" s="9"/>
      <c r="K381" s="9"/>
      <c r="L381" s="9"/>
      <c r="M381" s="9"/>
      <c r="N381" s="9"/>
      <c r="O381" s="9"/>
      <c r="P381" s="9"/>
      <c r="Q381" s="9"/>
    </row>
    <row r="382" spans="4:17" s="301" customFormat="1" ht="15" customHeight="1">
      <c r="D382" s="10"/>
      <c r="E382" s="10"/>
      <c r="F382" s="9"/>
      <c r="G382" s="9"/>
      <c r="H382" s="9"/>
      <c r="I382" s="9"/>
      <c r="J382" s="9"/>
      <c r="K382" s="9"/>
      <c r="L382" s="9"/>
      <c r="M382" s="9"/>
      <c r="N382" s="9"/>
      <c r="O382" s="9"/>
      <c r="P382" s="9"/>
      <c r="Q382" s="9"/>
    </row>
    <row r="383" spans="4:17" s="301" customFormat="1" ht="15" customHeight="1">
      <c r="D383" s="10"/>
      <c r="E383" s="10"/>
      <c r="F383" s="9"/>
      <c r="G383" s="9"/>
      <c r="H383" s="9"/>
      <c r="I383" s="9"/>
      <c r="J383" s="9"/>
      <c r="K383" s="9"/>
      <c r="L383" s="9"/>
      <c r="M383" s="9"/>
      <c r="N383" s="9"/>
      <c r="O383" s="9"/>
      <c r="P383" s="9"/>
      <c r="Q383" s="9"/>
    </row>
    <row r="384" spans="4:17" s="301" customFormat="1" ht="15" customHeight="1">
      <c r="D384" s="10"/>
      <c r="E384" s="10"/>
      <c r="F384" s="9"/>
      <c r="G384" s="9"/>
      <c r="H384" s="9"/>
      <c r="I384" s="9"/>
      <c r="J384" s="9"/>
      <c r="K384" s="9"/>
      <c r="L384" s="9"/>
      <c r="M384" s="9"/>
      <c r="N384" s="9"/>
      <c r="O384" s="9"/>
      <c r="P384" s="9"/>
      <c r="Q384" s="9"/>
    </row>
    <row r="385" spans="4:17" s="301" customFormat="1" ht="15" customHeight="1">
      <c r="D385" s="10"/>
      <c r="E385" s="10"/>
      <c r="F385" s="9"/>
      <c r="G385" s="9"/>
      <c r="H385" s="9"/>
      <c r="I385" s="9"/>
      <c r="J385" s="9"/>
      <c r="K385" s="9"/>
      <c r="L385" s="9"/>
      <c r="M385" s="9"/>
      <c r="N385" s="9"/>
      <c r="O385" s="9"/>
      <c r="P385" s="9"/>
      <c r="Q385" s="9"/>
    </row>
    <row r="386" spans="4:17" s="301" customFormat="1" ht="15" customHeight="1">
      <c r="D386" s="10"/>
      <c r="E386" s="10"/>
      <c r="F386" s="9"/>
      <c r="G386" s="9"/>
      <c r="H386" s="9"/>
      <c r="I386" s="9"/>
      <c r="J386" s="9"/>
      <c r="K386" s="9"/>
      <c r="L386" s="9"/>
      <c r="M386" s="9"/>
      <c r="N386" s="9"/>
      <c r="O386" s="9"/>
      <c r="P386" s="9"/>
      <c r="Q386" s="9"/>
    </row>
    <row r="387" spans="4:17" s="301" customFormat="1" ht="15" customHeight="1">
      <c r="D387" s="10"/>
      <c r="E387" s="10"/>
      <c r="F387" s="9"/>
      <c r="G387" s="9"/>
      <c r="H387" s="9"/>
      <c r="I387" s="9"/>
      <c r="J387" s="9"/>
      <c r="K387" s="9"/>
      <c r="L387" s="9"/>
      <c r="M387" s="9"/>
      <c r="N387" s="9"/>
      <c r="O387" s="9"/>
      <c r="P387" s="9"/>
      <c r="Q387" s="9"/>
    </row>
    <row r="388" spans="4:17" s="301" customFormat="1" ht="15" customHeight="1">
      <c r="D388" s="10"/>
      <c r="E388" s="10"/>
      <c r="F388" s="9"/>
      <c r="G388" s="9"/>
      <c r="H388" s="9"/>
      <c r="I388" s="9"/>
      <c r="J388" s="9"/>
      <c r="K388" s="9"/>
      <c r="L388" s="9"/>
      <c r="M388" s="9"/>
      <c r="N388" s="9"/>
      <c r="O388" s="9"/>
      <c r="P388" s="9"/>
      <c r="Q388" s="9"/>
    </row>
    <row r="389" spans="4:17" s="301" customFormat="1" ht="15" customHeight="1">
      <c r="D389" s="10"/>
      <c r="E389" s="10"/>
      <c r="F389" s="9"/>
      <c r="G389" s="9"/>
      <c r="H389" s="9"/>
      <c r="I389" s="9"/>
      <c r="J389" s="9"/>
      <c r="K389" s="9"/>
      <c r="L389" s="9"/>
      <c r="M389" s="9"/>
      <c r="N389" s="9"/>
      <c r="O389" s="9"/>
      <c r="P389" s="9"/>
      <c r="Q389" s="9"/>
    </row>
    <row r="390" spans="4:17" s="301" customFormat="1" ht="15" customHeight="1">
      <c r="D390" s="10"/>
      <c r="E390" s="10"/>
      <c r="F390" s="9"/>
      <c r="G390" s="9"/>
      <c r="H390" s="9"/>
      <c r="I390" s="9"/>
      <c r="J390" s="9"/>
      <c r="K390" s="9"/>
      <c r="L390" s="9"/>
      <c r="M390" s="9"/>
      <c r="N390" s="9"/>
      <c r="O390" s="9"/>
      <c r="P390" s="9"/>
      <c r="Q390" s="9"/>
    </row>
    <row r="391" spans="4:17" s="301" customFormat="1" ht="15" customHeight="1">
      <c r="D391" s="10"/>
      <c r="E391" s="10"/>
      <c r="F391" s="9"/>
      <c r="G391" s="9"/>
      <c r="H391" s="9"/>
      <c r="I391" s="9"/>
      <c r="J391" s="9"/>
      <c r="K391" s="9"/>
      <c r="L391" s="9"/>
      <c r="M391" s="9"/>
      <c r="N391" s="9"/>
      <c r="O391" s="9"/>
      <c r="P391" s="9"/>
      <c r="Q391" s="9"/>
    </row>
    <row r="392" spans="4:17" s="301" customFormat="1" ht="15" customHeight="1">
      <c r="D392" s="10"/>
      <c r="E392" s="10"/>
      <c r="F392" s="9"/>
      <c r="G392" s="9"/>
      <c r="H392" s="9"/>
      <c r="I392" s="9"/>
      <c r="J392" s="9"/>
      <c r="K392" s="9"/>
      <c r="L392" s="9"/>
      <c r="M392" s="9"/>
      <c r="N392" s="9"/>
      <c r="O392" s="9"/>
      <c r="P392" s="9"/>
      <c r="Q392" s="9"/>
    </row>
    <row r="393" spans="4:17" s="301" customFormat="1" ht="15" customHeight="1">
      <c r="D393" s="10"/>
      <c r="E393" s="10"/>
      <c r="F393" s="9"/>
      <c r="G393" s="9"/>
      <c r="H393" s="9"/>
      <c r="I393" s="9"/>
      <c r="J393" s="9"/>
      <c r="K393" s="9"/>
      <c r="L393" s="9"/>
      <c r="M393" s="9"/>
      <c r="N393" s="9"/>
      <c r="O393" s="9"/>
      <c r="P393" s="9"/>
      <c r="Q393" s="9"/>
    </row>
    <row r="394" spans="4:17" s="301" customFormat="1" ht="15" customHeight="1">
      <c r="D394" s="10"/>
      <c r="E394" s="10"/>
      <c r="F394" s="9"/>
      <c r="G394" s="9"/>
      <c r="H394" s="9"/>
      <c r="I394" s="9"/>
      <c r="J394" s="9"/>
      <c r="K394" s="9"/>
      <c r="L394" s="9"/>
      <c r="M394" s="9"/>
      <c r="N394" s="9"/>
      <c r="O394" s="9"/>
      <c r="P394" s="9"/>
      <c r="Q394" s="9"/>
    </row>
    <row r="395" spans="4:17" s="301" customFormat="1" ht="15" customHeight="1">
      <c r="D395" s="10"/>
      <c r="E395" s="10"/>
      <c r="F395" s="9"/>
      <c r="G395" s="9"/>
      <c r="H395" s="9"/>
      <c r="I395" s="9"/>
      <c r="J395" s="9"/>
      <c r="K395" s="9"/>
      <c r="L395" s="9"/>
      <c r="M395" s="9"/>
      <c r="N395" s="9"/>
      <c r="O395" s="9"/>
      <c r="P395" s="9"/>
      <c r="Q395" s="9"/>
    </row>
    <row r="396" spans="4:17" s="301" customFormat="1" ht="15" customHeight="1">
      <c r="D396" s="10"/>
      <c r="E396" s="10"/>
      <c r="F396" s="9"/>
      <c r="G396" s="9"/>
      <c r="H396" s="9"/>
      <c r="I396" s="9"/>
      <c r="J396" s="9"/>
      <c r="K396" s="9"/>
      <c r="L396" s="9"/>
      <c r="M396" s="9"/>
      <c r="N396" s="9"/>
      <c r="O396" s="9"/>
      <c r="P396" s="9"/>
      <c r="Q396" s="9"/>
    </row>
    <row r="397" spans="4:17" s="301" customFormat="1" ht="15" customHeight="1">
      <c r="D397" s="10"/>
      <c r="E397" s="10"/>
      <c r="F397" s="9"/>
      <c r="G397" s="9"/>
      <c r="H397" s="9"/>
      <c r="I397" s="9"/>
      <c r="J397" s="9"/>
      <c r="K397" s="9"/>
      <c r="L397" s="9"/>
      <c r="M397" s="9"/>
      <c r="N397" s="9"/>
      <c r="O397" s="9"/>
      <c r="P397" s="9"/>
      <c r="Q397" s="9"/>
    </row>
    <row r="398" spans="4:17" s="301" customFormat="1" ht="15" customHeight="1">
      <c r="D398" s="10"/>
      <c r="E398" s="10"/>
      <c r="F398" s="9"/>
      <c r="G398" s="9"/>
      <c r="H398" s="9"/>
      <c r="I398" s="9"/>
      <c r="J398" s="9"/>
      <c r="K398" s="9"/>
      <c r="L398" s="9"/>
      <c r="M398" s="9"/>
      <c r="N398" s="9"/>
      <c r="O398" s="9"/>
      <c r="P398" s="9"/>
      <c r="Q398" s="9"/>
    </row>
    <row r="399" spans="4:17" s="301" customFormat="1" ht="15" customHeight="1">
      <c r="D399" s="10"/>
      <c r="E399" s="10"/>
      <c r="F399" s="9"/>
      <c r="G399" s="9"/>
      <c r="H399" s="9"/>
      <c r="I399" s="9"/>
      <c r="J399" s="9"/>
      <c r="K399" s="9"/>
      <c r="L399" s="9"/>
      <c r="M399" s="9"/>
      <c r="N399" s="9"/>
      <c r="O399" s="9"/>
      <c r="P399" s="9"/>
      <c r="Q399" s="9"/>
    </row>
    <row r="400" spans="4:17" s="301" customFormat="1" ht="15" customHeight="1">
      <c r="D400" s="10"/>
      <c r="E400" s="10"/>
      <c r="F400" s="9"/>
      <c r="G400" s="9"/>
      <c r="H400" s="9"/>
      <c r="I400" s="9"/>
      <c r="J400" s="9"/>
      <c r="K400" s="9"/>
      <c r="L400" s="9"/>
      <c r="M400" s="9"/>
      <c r="N400" s="9"/>
      <c r="O400" s="9"/>
      <c r="P400" s="9"/>
      <c r="Q400" s="9"/>
    </row>
    <row r="401" spans="4:17" s="301" customFormat="1" ht="15" customHeight="1">
      <c r="D401" s="10"/>
      <c r="E401" s="10"/>
      <c r="F401" s="9"/>
      <c r="G401" s="9"/>
      <c r="H401" s="9"/>
      <c r="I401" s="9"/>
      <c r="J401" s="9"/>
      <c r="K401" s="9"/>
      <c r="L401" s="9"/>
      <c r="M401" s="9"/>
      <c r="N401" s="9"/>
      <c r="O401" s="9"/>
      <c r="P401" s="9"/>
      <c r="Q401" s="9"/>
    </row>
    <row r="402" spans="4:17" s="301" customFormat="1" ht="15" customHeight="1">
      <c r="D402" s="10"/>
      <c r="E402" s="10"/>
      <c r="F402" s="9"/>
      <c r="G402" s="9"/>
      <c r="H402" s="9"/>
      <c r="I402" s="9"/>
      <c r="J402" s="9"/>
      <c r="K402" s="9"/>
      <c r="L402" s="9"/>
      <c r="M402" s="9"/>
      <c r="N402" s="9"/>
      <c r="O402" s="9"/>
      <c r="P402" s="9"/>
      <c r="Q402" s="9"/>
    </row>
    <row r="403" spans="4:17" s="301" customFormat="1" ht="15" customHeight="1">
      <c r="D403" s="10"/>
      <c r="E403" s="10"/>
      <c r="F403" s="9"/>
      <c r="G403" s="9"/>
      <c r="H403" s="9"/>
      <c r="I403" s="9"/>
      <c r="J403" s="9"/>
      <c r="K403" s="9"/>
      <c r="L403" s="9"/>
      <c r="M403" s="9"/>
      <c r="N403" s="9"/>
      <c r="O403" s="9"/>
      <c r="P403" s="9"/>
      <c r="Q403" s="9"/>
    </row>
    <row r="404" spans="4:17" s="301" customFormat="1" ht="15" customHeight="1">
      <c r="D404" s="10"/>
      <c r="E404" s="10"/>
      <c r="F404" s="9"/>
      <c r="G404" s="9"/>
      <c r="H404" s="9"/>
      <c r="I404" s="9"/>
      <c r="J404" s="9"/>
      <c r="K404" s="9"/>
      <c r="L404" s="9"/>
      <c r="M404" s="9"/>
      <c r="N404" s="9"/>
      <c r="O404" s="9"/>
      <c r="P404" s="9"/>
      <c r="Q404" s="9"/>
    </row>
    <row r="405" spans="4:17" s="301" customFormat="1" ht="15" customHeight="1">
      <c r="D405" s="10"/>
      <c r="E405" s="10"/>
      <c r="F405" s="9"/>
      <c r="G405" s="9"/>
      <c r="H405" s="9"/>
      <c r="I405" s="9"/>
      <c r="J405" s="9"/>
      <c r="K405" s="9"/>
      <c r="L405" s="9"/>
      <c r="M405" s="9"/>
      <c r="N405" s="9"/>
      <c r="O405" s="9"/>
      <c r="P405" s="9"/>
      <c r="Q405" s="9"/>
    </row>
    <row r="406" spans="4:17" s="301" customFormat="1" ht="15" customHeight="1">
      <c r="D406" s="10"/>
      <c r="E406" s="10"/>
      <c r="F406" s="9"/>
      <c r="G406" s="9"/>
      <c r="H406" s="9"/>
      <c r="I406" s="9"/>
      <c r="J406" s="9"/>
      <c r="K406" s="9"/>
      <c r="L406" s="9"/>
      <c r="M406" s="9"/>
      <c r="N406" s="9"/>
      <c r="O406" s="9"/>
      <c r="P406" s="9"/>
      <c r="Q406" s="9"/>
    </row>
    <row r="407" spans="4:17" s="301" customFormat="1" ht="15" customHeight="1">
      <c r="D407" s="10"/>
      <c r="E407" s="10"/>
      <c r="F407" s="9"/>
      <c r="G407" s="9"/>
      <c r="H407" s="9"/>
      <c r="I407" s="9"/>
      <c r="J407" s="9"/>
      <c r="K407" s="9"/>
      <c r="L407" s="9"/>
      <c r="M407" s="9"/>
      <c r="N407" s="9"/>
      <c r="O407" s="9"/>
      <c r="P407" s="9"/>
      <c r="Q407" s="9"/>
    </row>
    <row r="408" spans="4:17" s="301" customFormat="1" ht="15" customHeight="1">
      <c r="D408" s="10"/>
      <c r="E408" s="10"/>
      <c r="F408" s="9"/>
      <c r="G408" s="9"/>
      <c r="H408" s="9"/>
      <c r="I408" s="9"/>
      <c r="J408" s="9"/>
      <c r="K408" s="9"/>
      <c r="L408" s="9"/>
      <c r="M408" s="9"/>
      <c r="N408" s="9"/>
      <c r="O408" s="9"/>
      <c r="P408" s="9"/>
      <c r="Q408" s="9"/>
    </row>
    <row r="409" spans="4:17" s="301" customFormat="1" ht="15" customHeight="1">
      <c r="D409" s="10"/>
      <c r="E409" s="10"/>
      <c r="F409" s="9"/>
      <c r="G409" s="9"/>
      <c r="H409" s="9"/>
      <c r="I409" s="9"/>
      <c r="J409" s="9"/>
      <c r="K409" s="9"/>
      <c r="L409" s="9"/>
      <c r="M409" s="9"/>
      <c r="N409" s="9"/>
      <c r="O409" s="9"/>
      <c r="P409" s="9"/>
      <c r="Q409" s="9"/>
    </row>
    <row r="410" spans="4:17" s="301" customFormat="1" ht="15" customHeight="1">
      <c r="D410" s="10"/>
      <c r="E410" s="10"/>
      <c r="F410" s="9"/>
      <c r="G410" s="9"/>
      <c r="H410" s="9"/>
      <c r="I410" s="9"/>
      <c r="J410" s="9"/>
      <c r="K410" s="9"/>
      <c r="L410" s="9"/>
      <c r="M410" s="9"/>
      <c r="N410" s="9"/>
      <c r="O410" s="9"/>
      <c r="P410" s="9"/>
      <c r="Q410" s="9"/>
    </row>
    <row r="411" spans="4:17" s="301" customFormat="1" ht="15" customHeight="1">
      <c r="D411" s="10"/>
      <c r="E411" s="10"/>
      <c r="F411" s="9"/>
      <c r="G411" s="9"/>
      <c r="H411" s="9"/>
      <c r="I411" s="9"/>
      <c r="J411" s="9"/>
      <c r="K411" s="9"/>
      <c r="L411" s="9"/>
      <c r="M411" s="9"/>
      <c r="N411" s="9"/>
      <c r="O411" s="9"/>
      <c r="P411" s="9"/>
      <c r="Q411" s="9"/>
    </row>
    <row r="412" spans="4:17" s="301" customFormat="1" ht="15" customHeight="1">
      <c r="D412" s="10"/>
      <c r="E412" s="10"/>
      <c r="F412" s="9"/>
      <c r="G412" s="9"/>
      <c r="H412" s="9"/>
      <c r="I412" s="9"/>
      <c r="J412" s="9"/>
      <c r="K412" s="9"/>
      <c r="L412" s="9"/>
      <c r="M412" s="9"/>
      <c r="N412" s="9"/>
      <c r="O412" s="9"/>
      <c r="P412" s="9"/>
      <c r="Q412" s="9"/>
    </row>
    <row r="413" spans="4:17" s="301" customFormat="1" ht="15" customHeight="1">
      <c r="D413" s="10"/>
      <c r="E413" s="10"/>
      <c r="F413" s="9"/>
      <c r="G413" s="9"/>
      <c r="H413" s="9"/>
      <c r="I413" s="9"/>
      <c r="J413" s="9"/>
      <c r="K413" s="9"/>
      <c r="L413" s="9"/>
      <c r="M413" s="9"/>
      <c r="N413" s="9"/>
      <c r="O413" s="9"/>
      <c r="P413" s="9"/>
      <c r="Q413" s="9"/>
    </row>
    <row r="414" spans="4:17" s="301" customFormat="1" ht="15" customHeight="1">
      <c r="D414" s="10"/>
      <c r="E414" s="10"/>
      <c r="F414" s="9"/>
      <c r="G414" s="9"/>
      <c r="H414" s="9"/>
      <c r="I414" s="9"/>
      <c r="J414" s="9"/>
      <c r="K414" s="9"/>
      <c r="L414" s="9"/>
      <c r="M414" s="9"/>
      <c r="N414" s="9"/>
      <c r="O414" s="9"/>
      <c r="P414" s="9"/>
      <c r="Q414" s="9"/>
    </row>
    <row r="415" spans="4:17" s="301" customFormat="1" ht="15" customHeight="1">
      <c r="D415" s="10"/>
      <c r="E415" s="10"/>
      <c r="F415" s="9"/>
      <c r="G415" s="9"/>
      <c r="H415" s="9"/>
      <c r="I415" s="9"/>
      <c r="J415" s="9"/>
      <c r="K415" s="9"/>
      <c r="L415" s="9"/>
      <c r="M415" s="9"/>
      <c r="N415" s="9"/>
      <c r="O415" s="9"/>
      <c r="P415" s="9"/>
      <c r="Q415" s="9"/>
    </row>
    <row r="416" spans="4:17" s="301" customFormat="1" ht="15" customHeight="1">
      <c r="D416" s="10"/>
      <c r="E416" s="10"/>
      <c r="F416" s="9"/>
      <c r="G416" s="9"/>
      <c r="H416" s="9"/>
      <c r="I416" s="9"/>
      <c r="J416" s="9"/>
      <c r="K416" s="9"/>
      <c r="L416" s="9"/>
      <c r="M416" s="9"/>
      <c r="N416" s="9"/>
      <c r="O416" s="9"/>
      <c r="P416" s="9"/>
      <c r="Q416" s="9"/>
    </row>
    <row r="417" spans="4:17" s="301" customFormat="1" ht="15" customHeight="1">
      <c r="D417" s="10"/>
      <c r="E417" s="10"/>
      <c r="F417" s="9"/>
      <c r="G417" s="9"/>
      <c r="H417" s="9"/>
      <c r="I417" s="9"/>
      <c r="J417" s="9"/>
      <c r="K417" s="9"/>
      <c r="L417" s="9"/>
      <c r="M417" s="9"/>
      <c r="N417" s="9"/>
      <c r="O417" s="9"/>
      <c r="P417" s="9"/>
      <c r="Q417" s="9"/>
    </row>
    <row r="418" spans="4:17" s="301" customFormat="1" ht="15" customHeight="1">
      <c r="D418" s="10"/>
      <c r="E418" s="10"/>
      <c r="F418" s="9"/>
      <c r="G418" s="9"/>
      <c r="H418" s="9"/>
      <c r="I418" s="9"/>
      <c r="J418" s="9"/>
      <c r="K418" s="9"/>
      <c r="L418" s="9"/>
      <c r="M418" s="9"/>
      <c r="N418" s="9"/>
      <c r="O418" s="9"/>
      <c r="P418" s="9"/>
      <c r="Q418" s="9"/>
    </row>
    <row r="419" spans="4:17" s="301" customFormat="1" ht="15" customHeight="1">
      <c r="D419" s="10"/>
      <c r="E419" s="10"/>
      <c r="F419" s="9"/>
      <c r="G419" s="9"/>
      <c r="H419" s="9"/>
      <c r="I419" s="9"/>
      <c r="J419" s="9"/>
      <c r="K419" s="9"/>
      <c r="L419" s="9"/>
      <c r="M419" s="9"/>
      <c r="N419" s="9"/>
      <c r="O419" s="9"/>
      <c r="P419" s="9"/>
      <c r="Q419" s="9"/>
    </row>
    <row r="420" spans="4:17" s="301" customFormat="1" ht="15" customHeight="1">
      <c r="D420" s="10"/>
      <c r="E420" s="10"/>
      <c r="F420" s="9"/>
      <c r="G420" s="9"/>
      <c r="H420" s="9"/>
      <c r="I420" s="9"/>
      <c r="J420" s="9"/>
      <c r="K420" s="9"/>
      <c r="L420" s="9"/>
      <c r="M420" s="9"/>
      <c r="N420" s="9"/>
      <c r="O420" s="9"/>
      <c r="P420" s="9"/>
      <c r="Q420" s="9"/>
    </row>
    <row r="421" spans="4:17" s="301" customFormat="1" ht="15" customHeight="1">
      <c r="D421" s="10"/>
      <c r="E421" s="10"/>
      <c r="F421" s="9"/>
      <c r="G421" s="9"/>
      <c r="H421" s="9"/>
      <c r="I421" s="9"/>
      <c r="J421" s="9"/>
      <c r="K421" s="9"/>
      <c r="L421" s="9"/>
      <c r="M421" s="9"/>
      <c r="N421" s="9"/>
      <c r="O421" s="9"/>
      <c r="P421" s="9"/>
      <c r="Q421" s="9"/>
    </row>
    <row r="422" spans="4:17" s="301" customFormat="1" ht="15" customHeight="1">
      <c r="D422" s="10"/>
      <c r="E422" s="10"/>
      <c r="F422" s="9"/>
      <c r="G422" s="9"/>
      <c r="H422" s="9"/>
      <c r="I422" s="9"/>
      <c r="J422" s="9"/>
      <c r="K422" s="9"/>
      <c r="L422" s="9"/>
      <c r="M422" s="9"/>
      <c r="N422" s="9"/>
      <c r="O422" s="9"/>
      <c r="P422" s="9"/>
      <c r="Q422" s="9"/>
    </row>
    <row r="423" spans="4:17" s="301" customFormat="1" ht="15" customHeight="1">
      <c r="D423" s="10"/>
      <c r="E423" s="10"/>
      <c r="F423" s="9"/>
      <c r="G423" s="9"/>
      <c r="H423" s="9"/>
      <c r="I423" s="9"/>
      <c r="J423" s="9"/>
      <c r="K423" s="9"/>
      <c r="L423" s="9"/>
      <c r="M423" s="9"/>
      <c r="N423" s="9"/>
      <c r="O423" s="9"/>
      <c r="P423" s="9"/>
      <c r="Q423" s="9"/>
    </row>
    <row r="424" spans="4:17" s="301" customFormat="1" ht="15" customHeight="1">
      <c r="D424" s="10"/>
      <c r="E424" s="10"/>
      <c r="F424" s="9"/>
      <c r="G424" s="9"/>
      <c r="H424" s="9"/>
      <c r="I424" s="9"/>
      <c r="J424" s="9"/>
      <c r="K424" s="9"/>
      <c r="L424" s="9"/>
      <c r="M424" s="9"/>
      <c r="N424" s="9"/>
      <c r="O424" s="9"/>
      <c r="P424" s="9"/>
      <c r="Q424" s="9"/>
    </row>
    <row r="425" spans="4:17" s="301" customFormat="1" ht="15" customHeight="1">
      <c r="D425" s="10"/>
      <c r="E425" s="10"/>
      <c r="F425" s="9"/>
      <c r="G425" s="9"/>
      <c r="H425" s="9"/>
      <c r="I425" s="9"/>
      <c r="J425" s="9"/>
      <c r="K425" s="9"/>
      <c r="L425" s="9"/>
      <c r="M425" s="9"/>
      <c r="N425" s="9"/>
      <c r="O425" s="9"/>
      <c r="P425" s="9"/>
      <c r="Q425" s="9"/>
    </row>
    <row r="426" spans="4:17" s="301" customFormat="1" ht="15" customHeight="1">
      <c r="D426" s="10"/>
      <c r="E426" s="10"/>
      <c r="F426" s="9"/>
      <c r="G426" s="9"/>
      <c r="H426" s="9"/>
      <c r="I426" s="9"/>
      <c r="J426" s="9"/>
      <c r="K426" s="9"/>
      <c r="L426" s="9"/>
      <c r="M426" s="9"/>
      <c r="N426" s="9"/>
      <c r="O426" s="9"/>
      <c r="P426" s="9"/>
      <c r="Q426" s="9"/>
    </row>
    <row r="427" spans="4:17" s="301" customFormat="1" ht="15" customHeight="1">
      <c r="D427" s="10"/>
      <c r="E427" s="10"/>
      <c r="F427" s="9"/>
      <c r="G427" s="9"/>
      <c r="H427" s="9"/>
      <c r="I427" s="9"/>
      <c r="J427" s="9"/>
      <c r="K427" s="9"/>
      <c r="L427" s="9"/>
      <c r="M427" s="9"/>
      <c r="N427" s="9"/>
      <c r="O427" s="9"/>
      <c r="P427" s="9"/>
      <c r="Q427" s="9"/>
    </row>
    <row r="428" spans="4:17" s="301" customFormat="1" ht="15" customHeight="1">
      <c r="D428" s="10"/>
      <c r="E428" s="10"/>
      <c r="F428" s="9"/>
      <c r="G428" s="9"/>
      <c r="H428" s="9"/>
      <c r="I428" s="9"/>
      <c r="J428" s="9"/>
      <c r="K428" s="9"/>
      <c r="L428" s="9"/>
      <c r="M428" s="9"/>
      <c r="N428" s="9"/>
      <c r="O428" s="9"/>
      <c r="P428" s="9"/>
      <c r="Q428" s="9"/>
    </row>
    <row r="429" spans="4:17" s="301" customFormat="1" ht="15" customHeight="1">
      <c r="D429" s="10"/>
      <c r="E429" s="10"/>
      <c r="F429" s="9"/>
      <c r="G429" s="9"/>
      <c r="H429" s="9"/>
      <c r="I429" s="9"/>
      <c r="J429" s="9"/>
      <c r="K429" s="9"/>
      <c r="L429" s="9"/>
      <c r="M429" s="9"/>
      <c r="N429" s="9"/>
      <c r="O429" s="9"/>
      <c r="P429" s="9"/>
      <c r="Q429" s="9"/>
    </row>
    <row r="430" spans="4:17" s="301" customFormat="1" ht="15" customHeight="1">
      <c r="D430" s="10"/>
      <c r="E430" s="10"/>
      <c r="F430" s="9"/>
      <c r="G430" s="9"/>
      <c r="H430" s="9"/>
      <c r="I430" s="9"/>
      <c r="J430" s="9"/>
      <c r="K430" s="9"/>
      <c r="L430" s="9"/>
      <c r="M430" s="9"/>
      <c r="N430" s="9"/>
      <c r="O430" s="9"/>
      <c r="P430" s="9"/>
      <c r="Q430" s="9"/>
    </row>
    <row r="431" spans="4:17" s="301" customFormat="1" ht="15" customHeight="1">
      <c r="D431" s="10"/>
      <c r="E431" s="10"/>
      <c r="F431" s="9"/>
      <c r="G431" s="9"/>
      <c r="H431" s="9"/>
      <c r="I431" s="9"/>
      <c r="J431" s="9"/>
      <c r="K431" s="9"/>
      <c r="L431" s="9"/>
      <c r="M431" s="9"/>
      <c r="N431" s="9"/>
      <c r="O431" s="9"/>
      <c r="P431" s="9"/>
      <c r="Q431" s="9"/>
    </row>
    <row r="432" spans="4:17" s="301" customFormat="1" ht="15" customHeight="1">
      <c r="D432" s="10"/>
      <c r="E432" s="10"/>
      <c r="F432" s="9"/>
      <c r="G432" s="9"/>
      <c r="H432" s="9"/>
      <c r="I432" s="9"/>
      <c r="J432" s="9"/>
      <c r="K432" s="9"/>
      <c r="L432" s="9"/>
      <c r="M432" s="9"/>
      <c r="N432" s="9"/>
      <c r="O432" s="9"/>
      <c r="P432" s="9"/>
      <c r="Q432" s="9"/>
    </row>
    <row r="433" spans="4:17" s="301" customFormat="1" ht="15" customHeight="1">
      <c r="D433" s="10"/>
      <c r="E433" s="10"/>
      <c r="F433" s="9"/>
      <c r="G433" s="9"/>
      <c r="H433" s="9"/>
      <c r="I433" s="9"/>
      <c r="J433" s="9"/>
      <c r="K433" s="9"/>
      <c r="L433" s="9"/>
      <c r="M433" s="9"/>
      <c r="N433" s="9"/>
      <c r="O433" s="9"/>
      <c r="P433" s="9"/>
      <c r="Q433" s="9"/>
    </row>
    <row r="434" spans="4:17" s="301" customFormat="1" ht="15" customHeight="1">
      <c r="D434" s="10"/>
      <c r="E434" s="10"/>
      <c r="F434" s="9"/>
      <c r="G434" s="9"/>
      <c r="H434" s="9"/>
      <c r="I434" s="9"/>
      <c r="J434" s="9"/>
      <c r="K434" s="9"/>
      <c r="L434" s="9"/>
      <c r="M434" s="9"/>
      <c r="N434" s="9"/>
      <c r="O434" s="9"/>
      <c r="P434" s="9"/>
      <c r="Q434" s="9"/>
    </row>
    <row r="435" spans="4:17" s="301" customFormat="1" ht="15" customHeight="1">
      <c r="D435" s="10"/>
      <c r="E435" s="10"/>
      <c r="F435" s="9"/>
      <c r="G435" s="9"/>
      <c r="H435" s="9"/>
      <c r="I435" s="9"/>
      <c r="J435" s="9"/>
      <c r="K435" s="9"/>
      <c r="L435" s="9"/>
      <c r="M435" s="9"/>
      <c r="N435" s="9"/>
      <c r="O435" s="9"/>
      <c r="P435" s="9"/>
      <c r="Q435" s="9"/>
    </row>
    <row r="436" spans="4:17" s="301" customFormat="1" ht="15" customHeight="1">
      <c r="D436" s="10"/>
      <c r="E436" s="10"/>
      <c r="F436" s="9"/>
      <c r="G436" s="9"/>
      <c r="H436" s="9"/>
      <c r="I436" s="9"/>
      <c r="J436" s="9"/>
      <c r="K436" s="9"/>
      <c r="L436" s="9"/>
      <c r="M436" s="9"/>
      <c r="N436" s="9"/>
      <c r="O436" s="9"/>
      <c r="P436" s="9"/>
      <c r="Q436" s="9"/>
    </row>
    <row r="437" spans="4:17" s="301" customFormat="1" ht="15" customHeight="1">
      <c r="D437" s="10"/>
      <c r="E437" s="10"/>
      <c r="F437" s="9"/>
      <c r="G437" s="9"/>
      <c r="H437" s="9"/>
      <c r="I437" s="9"/>
      <c r="J437" s="9"/>
      <c r="K437" s="9"/>
      <c r="L437" s="9"/>
      <c r="M437" s="9"/>
      <c r="N437" s="9"/>
      <c r="O437" s="9"/>
      <c r="P437" s="9"/>
      <c r="Q437" s="9"/>
    </row>
    <row r="438" spans="4:17" s="301" customFormat="1" ht="15" customHeight="1">
      <c r="D438" s="10"/>
      <c r="E438" s="10"/>
      <c r="F438" s="9"/>
      <c r="G438" s="9"/>
      <c r="H438" s="9"/>
      <c r="I438" s="9"/>
      <c r="J438" s="9"/>
      <c r="K438" s="9"/>
      <c r="L438" s="9"/>
      <c r="M438" s="9"/>
      <c r="N438" s="9"/>
      <c r="O438" s="9"/>
      <c r="P438" s="9"/>
      <c r="Q438" s="9"/>
    </row>
    <row r="439" spans="4:17" s="301" customFormat="1" ht="15" customHeight="1">
      <c r="D439" s="10"/>
      <c r="E439" s="10"/>
      <c r="F439" s="9"/>
      <c r="G439" s="9"/>
      <c r="H439" s="9"/>
      <c r="I439" s="9"/>
      <c r="J439" s="9"/>
      <c r="K439" s="9"/>
      <c r="L439" s="9"/>
      <c r="M439" s="9"/>
      <c r="N439" s="9"/>
      <c r="O439" s="9"/>
      <c r="P439" s="9"/>
      <c r="Q439" s="9"/>
    </row>
    <row r="440" spans="4:17" s="301" customFormat="1" ht="15" customHeight="1">
      <c r="D440" s="10"/>
      <c r="E440" s="10"/>
      <c r="F440" s="9"/>
      <c r="G440" s="9"/>
      <c r="H440" s="9"/>
      <c r="I440" s="9"/>
      <c r="J440" s="9"/>
      <c r="K440" s="9"/>
      <c r="L440" s="9"/>
      <c r="M440" s="9"/>
      <c r="N440" s="9"/>
      <c r="O440" s="9"/>
      <c r="P440" s="9"/>
      <c r="Q440" s="9"/>
    </row>
    <row r="441" spans="4:17" s="301" customFormat="1" ht="15" customHeight="1">
      <c r="D441" s="10"/>
      <c r="E441" s="10"/>
      <c r="F441" s="9"/>
      <c r="G441" s="9"/>
      <c r="H441" s="9"/>
      <c r="I441" s="9"/>
      <c r="J441" s="9"/>
      <c r="K441" s="9"/>
      <c r="L441" s="9"/>
      <c r="M441" s="9"/>
      <c r="N441" s="9"/>
      <c r="O441" s="9"/>
      <c r="P441" s="9"/>
      <c r="Q441" s="9"/>
    </row>
    <row r="442" spans="4:17" s="301" customFormat="1" ht="15" customHeight="1">
      <c r="D442" s="10"/>
      <c r="E442" s="10"/>
      <c r="F442" s="9"/>
      <c r="G442" s="9"/>
      <c r="H442" s="9"/>
      <c r="I442" s="9"/>
      <c r="J442" s="9"/>
      <c r="K442" s="9"/>
      <c r="L442" s="9"/>
      <c r="M442" s="9"/>
      <c r="N442" s="9"/>
      <c r="O442" s="9"/>
      <c r="P442" s="9"/>
      <c r="Q442" s="9"/>
    </row>
    <row r="443" spans="4:17" s="301" customFormat="1" ht="15" customHeight="1">
      <c r="D443" s="10"/>
      <c r="E443" s="10"/>
      <c r="F443" s="9"/>
      <c r="G443" s="9"/>
      <c r="H443" s="9"/>
      <c r="I443" s="9"/>
      <c r="J443" s="9"/>
      <c r="K443" s="9"/>
      <c r="L443" s="9"/>
      <c r="M443" s="9"/>
      <c r="N443" s="9"/>
      <c r="O443" s="9"/>
      <c r="P443" s="9"/>
      <c r="Q443" s="9"/>
    </row>
    <row r="444" spans="4:17" s="301" customFormat="1" ht="15" customHeight="1">
      <c r="D444" s="10"/>
      <c r="E444" s="10"/>
      <c r="F444" s="9"/>
      <c r="G444" s="9"/>
      <c r="H444" s="9"/>
      <c r="I444" s="9"/>
      <c r="J444" s="9"/>
      <c r="K444" s="9"/>
      <c r="L444" s="9"/>
      <c r="M444" s="9"/>
      <c r="N444" s="9"/>
      <c r="O444" s="9"/>
      <c r="P444" s="9"/>
      <c r="Q444" s="9"/>
    </row>
    <row r="445" spans="4:17" s="301" customFormat="1" ht="15" customHeight="1">
      <c r="D445" s="10"/>
      <c r="E445" s="10"/>
      <c r="F445" s="9"/>
      <c r="G445" s="9"/>
      <c r="H445" s="9"/>
      <c r="I445" s="9"/>
      <c r="J445" s="9"/>
      <c r="K445" s="9"/>
      <c r="L445" s="9"/>
      <c r="M445" s="9"/>
      <c r="N445" s="9"/>
      <c r="O445" s="9"/>
      <c r="P445" s="9"/>
      <c r="Q445" s="9"/>
    </row>
    <row r="446" spans="4:17" s="301" customFormat="1" ht="15" customHeight="1">
      <c r="D446" s="10"/>
      <c r="E446" s="10"/>
      <c r="F446" s="9"/>
      <c r="G446" s="9"/>
      <c r="H446" s="9"/>
      <c r="I446" s="9"/>
      <c r="J446" s="9"/>
      <c r="K446" s="9"/>
      <c r="L446" s="9"/>
      <c r="M446" s="9"/>
      <c r="N446" s="9"/>
      <c r="O446" s="9"/>
      <c r="P446" s="9"/>
      <c r="Q446" s="9"/>
    </row>
    <row r="447" spans="4:17" s="301" customFormat="1" ht="15" customHeight="1">
      <c r="D447" s="10"/>
      <c r="E447" s="10"/>
      <c r="F447" s="9"/>
      <c r="G447" s="9"/>
      <c r="H447" s="9"/>
      <c r="I447" s="9"/>
      <c r="J447" s="9"/>
      <c r="K447" s="9"/>
      <c r="L447" s="9"/>
      <c r="M447" s="9"/>
      <c r="N447" s="9"/>
      <c r="O447" s="9"/>
      <c r="P447" s="9"/>
      <c r="Q447" s="9"/>
    </row>
    <row r="448" spans="4:17" s="301" customFormat="1" ht="15" customHeight="1">
      <c r="D448" s="10"/>
      <c r="E448" s="10"/>
      <c r="F448" s="9"/>
      <c r="G448" s="9"/>
      <c r="H448" s="9"/>
      <c r="I448" s="9"/>
      <c r="J448" s="9"/>
      <c r="K448" s="9"/>
      <c r="L448" s="9"/>
      <c r="M448" s="9"/>
      <c r="N448" s="9"/>
      <c r="O448" s="9"/>
      <c r="P448" s="9"/>
      <c r="Q448" s="9"/>
    </row>
    <row r="449" spans="4:17" s="301" customFormat="1" ht="15" customHeight="1">
      <c r="D449" s="10"/>
      <c r="E449" s="10"/>
      <c r="F449" s="9"/>
      <c r="G449" s="9"/>
      <c r="H449" s="9"/>
      <c r="I449" s="9"/>
      <c r="J449" s="9"/>
      <c r="K449" s="9"/>
      <c r="L449" s="9"/>
      <c r="M449" s="9"/>
      <c r="N449" s="9"/>
      <c r="O449" s="9"/>
      <c r="P449" s="9"/>
      <c r="Q449" s="9"/>
    </row>
    <row r="450" spans="4:17" s="301" customFormat="1" ht="15" customHeight="1">
      <c r="D450" s="10"/>
      <c r="E450" s="10"/>
      <c r="F450" s="9"/>
      <c r="G450" s="9"/>
      <c r="H450" s="9"/>
      <c r="I450" s="9"/>
      <c r="J450" s="9"/>
      <c r="K450" s="9"/>
      <c r="L450" s="9"/>
      <c r="M450" s="9"/>
      <c r="N450" s="9"/>
      <c r="O450" s="9"/>
      <c r="P450" s="9"/>
      <c r="Q450" s="9"/>
    </row>
    <row r="451" spans="4:17" s="301" customFormat="1" ht="15" customHeight="1">
      <c r="D451" s="10"/>
      <c r="E451" s="10"/>
      <c r="F451" s="9"/>
      <c r="G451" s="9"/>
      <c r="H451" s="9"/>
      <c r="I451" s="9"/>
      <c r="J451" s="9"/>
      <c r="K451" s="9"/>
      <c r="L451" s="9"/>
      <c r="M451" s="9"/>
      <c r="N451" s="9"/>
      <c r="O451" s="9"/>
      <c r="P451" s="9"/>
      <c r="Q451" s="9"/>
    </row>
    <row r="452" spans="4:17" s="301" customFormat="1" ht="15" customHeight="1">
      <c r="D452" s="10"/>
      <c r="E452" s="10"/>
      <c r="F452" s="9"/>
      <c r="G452" s="9"/>
      <c r="H452" s="9"/>
      <c r="I452" s="9"/>
      <c r="J452" s="9"/>
      <c r="K452" s="9"/>
      <c r="L452" s="9"/>
      <c r="M452" s="9"/>
      <c r="N452" s="9"/>
      <c r="O452" s="9"/>
      <c r="P452" s="9"/>
      <c r="Q452" s="9"/>
    </row>
    <row r="453" spans="4:17" s="301" customFormat="1" ht="15" customHeight="1">
      <c r="D453" s="10"/>
      <c r="E453" s="10"/>
      <c r="F453" s="9"/>
      <c r="G453" s="9"/>
      <c r="H453" s="9"/>
      <c r="I453" s="9"/>
      <c r="J453" s="9"/>
      <c r="K453" s="9"/>
      <c r="L453" s="9"/>
      <c r="M453" s="9"/>
      <c r="N453" s="9"/>
      <c r="O453" s="9"/>
      <c r="P453" s="9"/>
      <c r="Q453" s="9"/>
    </row>
    <row r="454" spans="4:17" s="301" customFormat="1" ht="15" customHeight="1">
      <c r="D454" s="10"/>
      <c r="E454" s="10"/>
      <c r="F454" s="9"/>
      <c r="G454" s="9"/>
      <c r="H454" s="9"/>
      <c r="I454" s="9"/>
      <c r="J454" s="9"/>
      <c r="K454" s="9"/>
      <c r="L454" s="9"/>
      <c r="M454" s="9"/>
      <c r="N454" s="9"/>
      <c r="O454" s="9"/>
      <c r="P454" s="9"/>
      <c r="Q454" s="9"/>
    </row>
    <row r="455" spans="4:17" s="301" customFormat="1" ht="15" customHeight="1">
      <c r="D455" s="10"/>
      <c r="E455" s="10"/>
      <c r="F455" s="9"/>
      <c r="G455" s="9"/>
      <c r="H455" s="9"/>
      <c r="I455" s="9"/>
      <c r="J455" s="9"/>
      <c r="K455" s="9"/>
      <c r="L455" s="9"/>
      <c r="M455" s="9"/>
      <c r="N455" s="9"/>
      <c r="O455" s="9"/>
      <c r="P455" s="9"/>
      <c r="Q455" s="9"/>
    </row>
    <row r="456" spans="4:17" s="301" customFormat="1" ht="15" customHeight="1">
      <c r="D456" s="10"/>
      <c r="E456" s="10"/>
      <c r="F456" s="9"/>
      <c r="G456" s="9"/>
      <c r="H456" s="9"/>
      <c r="I456" s="9"/>
      <c r="J456" s="9"/>
      <c r="K456" s="9"/>
      <c r="L456" s="9"/>
      <c r="M456" s="9"/>
      <c r="N456" s="9"/>
      <c r="O456" s="9"/>
      <c r="P456" s="9"/>
      <c r="Q456" s="9"/>
    </row>
    <row r="457" spans="4:17" s="301" customFormat="1" ht="15" customHeight="1">
      <c r="D457" s="10"/>
      <c r="E457" s="10"/>
      <c r="F457" s="9"/>
      <c r="G457" s="9"/>
      <c r="H457" s="9"/>
      <c r="I457" s="9"/>
      <c r="J457" s="9"/>
      <c r="K457" s="9"/>
      <c r="L457" s="9"/>
      <c r="M457" s="9"/>
      <c r="N457" s="9"/>
      <c r="O457" s="9"/>
      <c r="P457" s="9"/>
      <c r="Q457" s="9"/>
    </row>
    <row r="458" spans="4:17" s="301" customFormat="1" ht="15" customHeight="1">
      <c r="D458" s="10"/>
      <c r="E458" s="10"/>
      <c r="F458" s="9"/>
      <c r="G458" s="9"/>
      <c r="H458" s="9"/>
      <c r="I458" s="9"/>
      <c r="J458" s="9"/>
      <c r="K458" s="9"/>
      <c r="L458" s="9"/>
      <c r="M458" s="9"/>
      <c r="N458" s="9"/>
      <c r="O458" s="9"/>
      <c r="P458" s="9"/>
      <c r="Q458" s="9"/>
    </row>
    <row r="459" spans="4:17" s="301" customFormat="1" ht="15" customHeight="1">
      <c r="D459" s="10"/>
      <c r="E459" s="10"/>
      <c r="F459" s="9"/>
      <c r="G459" s="9"/>
      <c r="H459" s="9"/>
      <c r="I459" s="9"/>
      <c r="J459" s="9"/>
      <c r="K459" s="9"/>
      <c r="L459" s="9"/>
      <c r="M459" s="9"/>
      <c r="N459" s="9"/>
      <c r="O459" s="9"/>
      <c r="P459" s="9"/>
      <c r="Q459" s="9"/>
    </row>
    <row r="460" spans="4:17" s="301" customFormat="1" ht="15" customHeight="1">
      <c r="D460" s="10"/>
      <c r="E460" s="10"/>
      <c r="F460" s="9"/>
      <c r="G460" s="9"/>
      <c r="H460" s="9"/>
      <c r="I460" s="9"/>
      <c r="J460" s="9"/>
      <c r="K460" s="9"/>
      <c r="L460" s="9"/>
      <c r="M460" s="9"/>
      <c r="N460" s="9"/>
      <c r="O460" s="9"/>
      <c r="P460" s="9"/>
      <c r="Q460" s="9"/>
    </row>
    <row r="461" spans="4:17" s="301" customFormat="1" ht="15" customHeight="1">
      <c r="D461" s="10"/>
      <c r="E461" s="10"/>
      <c r="F461" s="9"/>
      <c r="G461" s="9"/>
      <c r="H461" s="9"/>
      <c r="I461" s="9"/>
      <c r="J461" s="9"/>
      <c r="K461" s="9"/>
      <c r="L461" s="9"/>
      <c r="M461" s="9"/>
      <c r="N461" s="9"/>
      <c r="O461" s="9"/>
      <c r="P461" s="9"/>
      <c r="Q461" s="9"/>
    </row>
    <row r="462" spans="4:17" s="301" customFormat="1" ht="15" customHeight="1">
      <c r="D462" s="10"/>
      <c r="E462" s="10"/>
      <c r="F462" s="9"/>
      <c r="G462" s="9"/>
      <c r="H462" s="9"/>
      <c r="I462" s="9"/>
      <c r="J462" s="9"/>
      <c r="K462" s="9"/>
      <c r="L462" s="9"/>
      <c r="M462" s="9"/>
      <c r="N462" s="9"/>
      <c r="O462" s="9"/>
      <c r="P462" s="9"/>
      <c r="Q462" s="9"/>
    </row>
    <row r="463" spans="4:17" s="301" customFormat="1" ht="15" customHeight="1">
      <c r="D463" s="10"/>
      <c r="E463" s="10"/>
      <c r="F463" s="9"/>
      <c r="G463" s="9"/>
      <c r="H463" s="9"/>
      <c r="I463" s="9"/>
      <c r="J463" s="9"/>
      <c r="K463" s="9"/>
      <c r="L463" s="9"/>
      <c r="M463" s="9"/>
      <c r="N463" s="9"/>
      <c r="O463" s="9"/>
      <c r="P463" s="9"/>
      <c r="Q463" s="9"/>
    </row>
    <row r="464" spans="4:17" s="301" customFormat="1" ht="15" customHeight="1">
      <c r="D464" s="10"/>
      <c r="E464" s="10"/>
      <c r="F464" s="9"/>
      <c r="G464" s="9"/>
      <c r="H464" s="9"/>
      <c r="I464" s="9"/>
      <c r="J464" s="9"/>
      <c r="K464" s="9"/>
      <c r="L464" s="9"/>
      <c r="M464" s="9"/>
      <c r="N464" s="9"/>
      <c r="O464" s="9"/>
      <c r="P464" s="9"/>
      <c r="Q464" s="9"/>
    </row>
    <row r="465" spans="4:17" s="301" customFormat="1" ht="15" customHeight="1">
      <c r="D465" s="10"/>
      <c r="E465" s="10"/>
      <c r="F465" s="9"/>
      <c r="G465" s="9"/>
      <c r="H465" s="9"/>
      <c r="I465" s="9"/>
      <c r="J465" s="9"/>
      <c r="K465" s="9"/>
      <c r="L465" s="9"/>
      <c r="M465" s="9"/>
      <c r="N465" s="9"/>
      <c r="O465" s="9"/>
      <c r="P465" s="9"/>
      <c r="Q465" s="9"/>
    </row>
    <row r="466" spans="4:17" s="301" customFormat="1" ht="15" customHeight="1">
      <c r="D466" s="10"/>
      <c r="E466" s="10"/>
      <c r="F466" s="9"/>
      <c r="G466" s="9"/>
      <c r="H466" s="9"/>
      <c r="I466" s="9"/>
      <c r="J466" s="9"/>
      <c r="K466" s="9"/>
      <c r="L466" s="9"/>
      <c r="M466" s="9"/>
      <c r="N466" s="9"/>
      <c r="O466" s="9"/>
      <c r="P466" s="9"/>
      <c r="Q466" s="9"/>
    </row>
    <row r="467" spans="4:17" s="301" customFormat="1" ht="15" customHeight="1">
      <c r="D467" s="10"/>
      <c r="E467" s="10"/>
      <c r="F467" s="9"/>
      <c r="G467" s="9"/>
      <c r="H467" s="9"/>
      <c r="I467" s="9"/>
      <c r="J467" s="9"/>
      <c r="K467" s="9"/>
      <c r="L467" s="9"/>
      <c r="M467" s="9"/>
      <c r="N467" s="9"/>
      <c r="O467" s="9"/>
      <c r="P467" s="9"/>
      <c r="Q467" s="9"/>
    </row>
    <row r="468" spans="4:17" s="301" customFormat="1" ht="15" customHeight="1">
      <c r="D468" s="10"/>
      <c r="E468" s="10"/>
      <c r="F468" s="9"/>
      <c r="G468" s="9"/>
      <c r="H468" s="9"/>
      <c r="I468" s="9"/>
      <c r="J468" s="9"/>
      <c r="K468" s="9"/>
      <c r="L468" s="9"/>
      <c r="M468" s="9"/>
      <c r="N468" s="9"/>
      <c r="O468" s="9"/>
      <c r="P468" s="9"/>
      <c r="Q468" s="9"/>
    </row>
    <row r="469" spans="4:17" s="301" customFormat="1" ht="15" customHeight="1">
      <c r="D469" s="10"/>
      <c r="E469" s="10"/>
      <c r="F469" s="9"/>
      <c r="G469" s="9"/>
      <c r="H469" s="9"/>
      <c r="I469" s="9"/>
      <c r="J469" s="9"/>
      <c r="K469" s="9"/>
      <c r="L469" s="9"/>
      <c r="M469" s="9"/>
      <c r="N469" s="9"/>
      <c r="O469" s="9"/>
      <c r="P469" s="9"/>
      <c r="Q469" s="9"/>
    </row>
    <row r="470" spans="4:17" s="301" customFormat="1" ht="15" customHeight="1">
      <c r="D470" s="10"/>
      <c r="E470" s="10"/>
      <c r="F470" s="9"/>
      <c r="G470" s="9"/>
      <c r="H470" s="9"/>
      <c r="I470" s="9"/>
      <c r="J470" s="9"/>
      <c r="K470" s="9"/>
      <c r="L470" s="9"/>
      <c r="M470" s="9"/>
      <c r="N470" s="9"/>
      <c r="O470" s="9"/>
      <c r="P470" s="9"/>
      <c r="Q470" s="9"/>
    </row>
    <row r="471" spans="4:17" s="301" customFormat="1" ht="15" customHeight="1">
      <c r="D471" s="10"/>
      <c r="E471" s="10"/>
      <c r="F471" s="9"/>
      <c r="G471" s="9"/>
      <c r="H471" s="9"/>
      <c r="I471" s="9"/>
      <c r="J471" s="9"/>
      <c r="K471" s="9"/>
      <c r="L471" s="9"/>
      <c r="M471" s="9"/>
      <c r="N471" s="9"/>
      <c r="O471" s="9"/>
      <c r="P471" s="9"/>
      <c r="Q471" s="9"/>
    </row>
    <row r="472" spans="4:17" s="301" customFormat="1" ht="15" customHeight="1">
      <c r="D472" s="10"/>
      <c r="E472" s="10"/>
      <c r="F472" s="9"/>
      <c r="G472" s="9"/>
      <c r="H472" s="9"/>
      <c r="I472" s="9"/>
      <c r="J472" s="9"/>
      <c r="K472" s="9"/>
      <c r="L472" s="9"/>
      <c r="M472" s="9"/>
      <c r="N472" s="9"/>
      <c r="O472" s="9"/>
      <c r="P472" s="9"/>
      <c r="Q472" s="9"/>
    </row>
    <row r="473" spans="4:17" s="301" customFormat="1" ht="15" customHeight="1">
      <c r="D473" s="10"/>
      <c r="E473" s="10"/>
      <c r="F473" s="9"/>
      <c r="G473" s="9"/>
      <c r="H473" s="9"/>
      <c r="I473" s="9"/>
      <c r="J473" s="9"/>
      <c r="K473" s="9"/>
      <c r="L473" s="9"/>
      <c r="M473" s="9"/>
      <c r="N473" s="9"/>
      <c r="O473" s="9"/>
      <c r="P473" s="9"/>
      <c r="Q473" s="9"/>
    </row>
    <row r="474" spans="4:17" s="301" customFormat="1" ht="15" customHeight="1">
      <c r="D474" s="10"/>
      <c r="E474" s="10"/>
      <c r="F474" s="9"/>
      <c r="G474" s="9"/>
      <c r="H474" s="9"/>
      <c r="I474" s="9"/>
      <c r="J474" s="9"/>
      <c r="K474" s="9"/>
      <c r="L474" s="9"/>
      <c r="M474" s="9"/>
      <c r="N474" s="9"/>
      <c r="O474" s="9"/>
      <c r="P474" s="9"/>
      <c r="Q474" s="9"/>
    </row>
    <row r="475" spans="4:17" s="301" customFormat="1" ht="15" customHeight="1">
      <c r="D475" s="10"/>
      <c r="E475" s="10"/>
      <c r="F475" s="9"/>
      <c r="G475" s="9"/>
      <c r="H475" s="9"/>
      <c r="I475" s="9"/>
      <c r="J475" s="9"/>
      <c r="K475" s="9"/>
      <c r="L475" s="9"/>
      <c r="M475" s="9"/>
      <c r="N475" s="9"/>
      <c r="O475" s="9"/>
      <c r="P475" s="9"/>
      <c r="Q475" s="9"/>
    </row>
    <row r="476" spans="4:17" s="301" customFormat="1" ht="15" customHeight="1">
      <c r="D476" s="10"/>
      <c r="E476" s="10"/>
      <c r="F476" s="9"/>
      <c r="G476" s="9"/>
      <c r="H476" s="9"/>
      <c r="I476" s="9"/>
      <c r="J476" s="9"/>
      <c r="K476" s="9"/>
      <c r="L476" s="9"/>
      <c r="M476" s="9"/>
      <c r="N476" s="9"/>
      <c r="O476" s="9"/>
      <c r="P476" s="9"/>
      <c r="Q476" s="9"/>
    </row>
    <row r="477" spans="4:17" s="301" customFormat="1" ht="15" customHeight="1">
      <c r="D477" s="10"/>
      <c r="E477" s="10"/>
      <c r="F477" s="9"/>
      <c r="G477" s="9"/>
      <c r="H477" s="9"/>
      <c r="I477" s="9"/>
      <c r="J477" s="9"/>
      <c r="K477" s="9"/>
      <c r="L477" s="9"/>
      <c r="M477" s="9"/>
      <c r="N477" s="9"/>
      <c r="O477" s="9"/>
      <c r="P477" s="9"/>
      <c r="Q477" s="9"/>
    </row>
    <row r="478" spans="4:17" s="301" customFormat="1" ht="15" customHeight="1">
      <c r="D478" s="10"/>
      <c r="E478" s="10"/>
      <c r="F478" s="9"/>
      <c r="G478" s="9"/>
      <c r="H478" s="9"/>
      <c r="I478" s="9"/>
      <c r="J478" s="9"/>
      <c r="K478" s="9"/>
      <c r="L478" s="9"/>
      <c r="M478" s="9"/>
      <c r="N478" s="9"/>
      <c r="O478" s="9"/>
      <c r="P478" s="9"/>
      <c r="Q478" s="9"/>
    </row>
    <row r="479" spans="4:17" s="301" customFormat="1" ht="15" customHeight="1">
      <c r="D479" s="10"/>
      <c r="E479" s="10"/>
      <c r="F479" s="9"/>
      <c r="G479" s="9"/>
      <c r="H479" s="9"/>
      <c r="I479" s="9"/>
      <c r="J479" s="9"/>
      <c r="K479" s="9"/>
      <c r="L479" s="9"/>
      <c r="M479" s="9"/>
      <c r="N479" s="9"/>
      <c r="O479" s="9"/>
      <c r="P479" s="9"/>
      <c r="Q479" s="9"/>
    </row>
    <row r="480" spans="4:17" s="301" customFormat="1" ht="15" customHeight="1">
      <c r="D480" s="10"/>
      <c r="E480" s="10"/>
      <c r="F480" s="9"/>
      <c r="G480" s="9"/>
      <c r="H480" s="9"/>
      <c r="I480" s="9"/>
      <c r="J480" s="9"/>
      <c r="K480" s="9"/>
      <c r="L480" s="9"/>
      <c r="M480" s="9"/>
      <c r="N480" s="9"/>
      <c r="O480" s="9"/>
      <c r="P480" s="9"/>
      <c r="Q480" s="9"/>
    </row>
    <row r="481" spans="4:17" s="301" customFormat="1" ht="15" customHeight="1">
      <c r="D481" s="10"/>
      <c r="E481" s="10"/>
      <c r="F481" s="9"/>
      <c r="G481" s="9"/>
      <c r="H481" s="9"/>
      <c r="I481" s="9"/>
      <c r="J481" s="9"/>
      <c r="K481" s="9"/>
      <c r="L481" s="9"/>
      <c r="M481" s="9"/>
      <c r="N481" s="9"/>
      <c r="O481" s="9"/>
      <c r="P481" s="9"/>
      <c r="Q481" s="9"/>
    </row>
    <row r="482" spans="4:17" s="301" customFormat="1" ht="15" customHeight="1">
      <c r="D482" s="10"/>
      <c r="E482" s="10"/>
      <c r="F482" s="9"/>
      <c r="G482" s="9"/>
      <c r="H482" s="9"/>
      <c r="I482" s="9"/>
      <c r="J482" s="9"/>
      <c r="K482" s="9"/>
      <c r="L482" s="9"/>
      <c r="M482" s="9"/>
      <c r="N482" s="9"/>
      <c r="O482" s="9"/>
      <c r="P482" s="9"/>
      <c r="Q482" s="9"/>
    </row>
    <row r="483" spans="4:17" s="301" customFormat="1" ht="15" customHeight="1">
      <c r="D483" s="10"/>
      <c r="E483" s="10"/>
      <c r="F483" s="9"/>
      <c r="G483" s="9"/>
      <c r="H483" s="9"/>
      <c r="I483" s="9"/>
      <c r="J483" s="9"/>
      <c r="K483" s="9"/>
      <c r="L483" s="9"/>
      <c r="M483" s="9"/>
      <c r="N483" s="9"/>
      <c r="O483" s="9"/>
      <c r="P483" s="9"/>
      <c r="Q483" s="9"/>
    </row>
    <row r="484" spans="4:17" s="301" customFormat="1" ht="15" customHeight="1">
      <c r="D484" s="10"/>
      <c r="E484" s="10"/>
      <c r="F484" s="9"/>
      <c r="G484" s="9"/>
      <c r="H484" s="9"/>
      <c r="I484" s="9"/>
      <c r="J484" s="9"/>
      <c r="K484" s="9"/>
      <c r="L484" s="9"/>
      <c r="M484" s="9"/>
      <c r="N484" s="9"/>
      <c r="O484" s="9"/>
      <c r="P484" s="9"/>
      <c r="Q484" s="9"/>
    </row>
    <row r="485" spans="4:17" s="301" customFormat="1" ht="15" customHeight="1">
      <c r="D485" s="10"/>
      <c r="E485" s="10"/>
      <c r="F485" s="9"/>
      <c r="G485" s="9"/>
      <c r="H485" s="9"/>
      <c r="I485" s="9"/>
      <c r="J485" s="9"/>
      <c r="K485" s="9"/>
      <c r="L485" s="9"/>
      <c r="M485" s="9"/>
      <c r="N485" s="9"/>
      <c r="O485" s="9"/>
      <c r="P485" s="9"/>
      <c r="Q485" s="9"/>
    </row>
    <row r="486" spans="4:17" s="301" customFormat="1" ht="15" customHeight="1">
      <c r="D486" s="10"/>
      <c r="E486" s="10"/>
      <c r="F486" s="9"/>
      <c r="G486" s="9"/>
      <c r="H486" s="9"/>
      <c r="I486" s="9"/>
      <c r="J486" s="9"/>
      <c r="K486" s="9"/>
      <c r="L486" s="9"/>
      <c r="M486" s="9"/>
      <c r="N486" s="9"/>
      <c r="O486" s="9"/>
      <c r="P486" s="9"/>
      <c r="Q486" s="9"/>
    </row>
    <row r="487" spans="4:17" s="301" customFormat="1" ht="15" customHeight="1">
      <c r="D487" s="10"/>
      <c r="E487" s="10"/>
      <c r="F487" s="9"/>
      <c r="G487" s="9"/>
      <c r="H487" s="9"/>
      <c r="I487" s="9"/>
      <c r="J487" s="9"/>
      <c r="K487" s="9"/>
      <c r="L487" s="9"/>
      <c r="M487" s="9"/>
      <c r="N487" s="9"/>
      <c r="O487" s="9"/>
      <c r="P487" s="9"/>
      <c r="Q487" s="9"/>
    </row>
    <row r="488" spans="4:17" s="301" customFormat="1" ht="15" customHeight="1">
      <c r="D488" s="10"/>
      <c r="E488" s="10"/>
      <c r="F488" s="9"/>
      <c r="G488" s="9"/>
      <c r="H488" s="9"/>
      <c r="I488" s="9"/>
      <c r="J488" s="9"/>
      <c r="K488" s="9"/>
      <c r="L488" s="9"/>
      <c r="M488" s="9"/>
      <c r="N488" s="9"/>
      <c r="O488" s="9"/>
      <c r="P488" s="9"/>
      <c r="Q488" s="9"/>
    </row>
    <row r="489" spans="4:17" s="301" customFormat="1" ht="15" customHeight="1">
      <c r="D489" s="10"/>
      <c r="E489" s="10"/>
      <c r="F489" s="9"/>
      <c r="G489" s="9"/>
      <c r="H489" s="9"/>
      <c r="I489" s="9"/>
      <c r="J489" s="9"/>
      <c r="K489" s="9"/>
      <c r="L489" s="9"/>
      <c r="M489" s="9"/>
      <c r="N489" s="9"/>
      <c r="O489" s="9"/>
      <c r="P489" s="9"/>
      <c r="Q489" s="9"/>
    </row>
    <row r="490" spans="4:17" s="301" customFormat="1" ht="15" customHeight="1">
      <c r="D490" s="10"/>
      <c r="E490" s="10"/>
      <c r="F490" s="9"/>
      <c r="G490" s="9"/>
      <c r="H490" s="9"/>
      <c r="I490" s="9"/>
      <c r="J490" s="9"/>
      <c r="K490" s="9"/>
      <c r="L490" s="9"/>
      <c r="M490" s="9"/>
      <c r="N490" s="9"/>
      <c r="O490" s="9"/>
      <c r="P490" s="9"/>
      <c r="Q490" s="9"/>
    </row>
    <row r="491" spans="4:17" s="301" customFormat="1" ht="15" customHeight="1">
      <c r="D491" s="10"/>
      <c r="E491" s="10"/>
      <c r="F491" s="9"/>
      <c r="G491" s="9"/>
      <c r="H491" s="9"/>
      <c r="I491" s="9"/>
      <c r="J491" s="9"/>
      <c r="K491" s="9"/>
      <c r="L491" s="9"/>
      <c r="M491" s="9"/>
      <c r="N491" s="9"/>
      <c r="O491" s="9"/>
      <c r="P491" s="9"/>
      <c r="Q491" s="9"/>
    </row>
    <row r="492" spans="4:17" s="301" customFormat="1" ht="15" customHeight="1">
      <c r="D492" s="10"/>
      <c r="E492" s="10"/>
      <c r="F492" s="9"/>
      <c r="G492" s="9"/>
      <c r="H492" s="9"/>
      <c r="I492" s="9"/>
      <c r="J492" s="9"/>
      <c r="K492" s="9"/>
      <c r="L492" s="9"/>
      <c r="M492" s="9"/>
      <c r="N492" s="9"/>
      <c r="O492" s="9"/>
      <c r="P492" s="9"/>
      <c r="Q492" s="9"/>
    </row>
    <row r="493" spans="4:17" s="301" customFormat="1" ht="15" customHeight="1">
      <c r="D493" s="10"/>
      <c r="E493" s="10"/>
      <c r="F493" s="9"/>
      <c r="G493" s="9"/>
      <c r="H493" s="9"/>
      <c r="I493" s="9"/>
      <c r="J493" s="9"/>
      <c r="K493" s="9"/>
      <c r="L493" s="9"/>
      <c r="M493" s="9"/>
      <c r="N493" s="9"/>
      <c r="O493" s="9"/>
      <c r="P493" s="9"/>
      <c r="Q493" s="9"/>
    </row>
    <row r="494" spans="4:17" s="301" customFormat="1" ht="15" customHeight="1">
      <c r="D494" s="10"/>
      <c r="E494" s="10"/>
      <c r="F494" s="9"/>
      <c r="G494" s="9"/>
      <c r="H494" s="9"/>
      <c r="I494" s="9"/>
      <c r="J494" s="9"/>
      <c r="K494" s="9"/>
      <c r="L494" s="9"/>
      <c r="M494" s="9"/>
      <c r="N494" s="9"/>
      <c r="O494" s="9"/>
      <c r="P494" s="9"/>
      <c r="Q494" s="9"/>
    </row>
    <row r="495" spans="4:17" s="301" customFormat="1" ht="15" customHeight="1">
      <c r="D495" s="10"/>
      <c r="E495" s="10"/>
      <c r="F495" s="9"/>
      <c r="G495" s="9"/>
      <c r="H495" s="9"/>
      <c r="I495" s="9"/>
      <c r="J495" s="9"/>
      <c r="K495" s="9"/>
      <c r="L495" s="9"/>
      <c r="M495" s="9"/>
      <c r="N495" s="9"/>
      <c r="O495" s="9"/>
      <c r="P495" s="9"/>
      <c r="Q495" s="9"/>
    </row>
    <row r="496" spans="4:17" s="301" customFormat="1" ht="15" customHeight="1">
      <c r="D496" s="10"/>
      <c r="E496" s="10"/>
      <c r="F496" s="9"/>
      <c r="G496" s="9"/>
      <c r="H496" s="9"/>
      <c r="I496" s="9"/>
      <c r="J496" s="9"/>
      <c r="K496" s="9"/>
      <c r="L496" s="9"/>
      <c r="M496" s="9"/>
      <c r="N496" s="9"/>
      <c r="O496" s="9"/>
      <c r="P496" s="9"/>
      <c r="Q496" s="9"/>
    </row>
    <row r="497" spans="4:17" s="301" customFormat="1" ht="15" customHeight="1">
      <c r="D497" s="10"/>
      <c r="E497" s="10"/>
      <c r="F497" s="9"/>
      <c r="G497" s="9"/>
      <c r="H497" s="9"/>
      <c r="I497" s="9"/>
      <c r="J497" s="9"/>
      <c r="K497" s="9"/>
      <c r="L497" s="9"/>
      <c r="M497" s="9"/>
      <c r="N497" s="9"/>
      <c r="O497" s="9"/>
      <c r="P497" s="9"/>
      <c r="Q497" s="9"/>
    </row>
    <row r="498" spans="4:17" s="301" customFormat="1" ht="15" customHeight="1">
      <c r="D498" s="10"/>
      <c r="E498" s="10"/>
      <c r="F498" s="9"/>
      <c r="G498" s="9"/>
      <c r="H498" s="9"/>
      <c r="I498" s="9"/>
      <c r="J498" s="9"/>
      <c r="K498" s="9"/>
      <c r="L498" s="9"/>
      <c r="M498" s="9"/>
      <c r="N498" s="9"/>
      <c r="O498" s="9"/>
      <c r="P498" s="9"/>
      <c r="Q498" s="9"/>
    </row>
    <row r="499" spans="4:17" s="301" customFormat="1" ht="15" customHeight="1">
      <c r="D499" s="10"/>
      <c r="E499" s="10"/>
      <c r="F499" s="9"/>
      <c r="G499" s="9"/>
      <c r="H499" s="9"/>
      <c r="I499" s="9"/>
      <c r="J499" s="9"/>
      <c r="K499" s="9"/>
      <c r="L499" s="9"/>
      <c r="M499" s="9"/>
      <c r="N499" s="9"/>
      <c r="O499" s="9"/>
      <c r="P499" s="9"/>
      <c r="Q499" s="9"/>
    </row>
    <row r="500" spans="4:17" s="301" customFormat="1" ht="15" customHeight="1">
      <c r="D500" s="10"/>
      <c r="E500" s="10"/>
      <c r="F500" s="9"/>
      <c r="G500" s="9"/>
      <c r="H500" s="9"/>
      <c r="I500" s="9"/>
      <c r="J500" s="9"/>
      <c r="K500" s="9"/>
      <c r="L500" s="9"/>
      <c r="M500" s="9"/>
      <c r="N500" s="9"/>
      <c r="O500" s="9"/>
      <c r="P500" s="9"/>
      <c r="Q500" s="9"/>
    </row>
    <row r="501" spans="4:17" s="301" customFormat="1" ht="15" customHeight="1">
      <c r="D501" s="10"/>
      <c r="E501" s="10"/>
      <c r="F501" s="9"/>
      <c r="G501" s="9"/>
      <c r="H501" s="9"/>
      <c r="I501" s="9"/>
      <c r="J501" s="9"/>
      <c r="K501" s="9"/>
      <c r="L501" s="9"/>
      <c r="M501" s="9"/>
      <c r="N501" s="9"/>
      <c r="O501" s="9"/>
      <c r="P501" s="9"/>
      <c r="Q501" s="9"/>
    </row>
    <row r="502" spans="4:17" s="301" customFormat="1" ht="15" customHeight="1">
      <c r="D502" s="10"/>
      <c r="E502" s="10"/>
      <c r="F502" s="9"/>
      <c r="G502" s="9"/>
      <c r="H502" s="9"/>
      <c r="I502" s="9"/>
      <c r="J502" s="9"/>
      <c r="K502" s="9"/>
      <c r="L502" s="9"/>
      <c r="M502" s="9"/>
      <c r="N502" s="9"/>
      <c r="O502" s="9"/>
      <c r="P502" s="9"/>
      <c r="Q502" s="9"/>
    </row>
    <row r="503" spans="4:17" s="301" customFormat="1" ht="15" customHeight="1">
      <c r="D503" s="10"/>
      <c r="E503" s="10"/>
      <c r="F503" s="9"/>
      <c r="G503" s="9"/>
      <c r="H503" s="9"/>
      <c r="I503" s="9"/>
      <c r="J503" s="9"/>
      <c r="K503" s="9"/>
      <c r="L503" s="9"/>
      <c r="M503" s="9"/>
      <c r="N503" s="9"/>
      <c r="O503" s="9"/>
      <c r="P503" s="9"/>
      <c r="Q503" s="9"/>
    </row>
    <row r="504" spans="4:17" s="301" customFormat="1" ht="15" customHeight="1">
      <c r="D504" s="10"/>
      <c r="E504" s="10"/>
      <c r="F504" s="9"/>
      <c r="G504" s="9"/>
      <c r="H504" s="9"/>
      <c r="I504" s="9"/>
      <c r="J504" s="9"/>
      <c r="K504" s="9"/>
      <c r="L504" s="9"/>
      <c r="M504" s="9"/>
      <c r="N504" s="9"/>
      <c r="O504" s="9"/>
      <c r="P504" s="9"/>
      <c r="Q504" s="9"/>
    </row>
    <row r="505" spans="4:17" s="301" customFormat="1" ht="15" customHeight="1">
      <c r="D505" s="10"/>
      <c r="E505" s="10"/>
      <c r="F505" s="9"/>
      <c r="G505" s="9"/>
      <c r="H505" s="9"/>
      <c r="I505" s="9"/>
      <c r="J505" s="9"/>
      <c r="K505" s="9"/>
      <c r="L505" s="9"/>
      <c r="M505" s="9"/>
      <c r="N505" s="9"/>
      <c r="O505" s="9"/>
      <c r="P505" s="9"/>
      <c r="Q505" s="9"/>
    </row>
    <row r="506" spans="4:17" s="301" customFormat="1" ht="15" customHeight="1">
      <c r="D506" s="10"/>
      <c r="E506" s="10"/>
      <c r="F506" s="9"/>
      <c r="G506" s="9"/>
      <c r="H506" s="9"/>
      <c r="I506" s="9"/>
      <c r="J506" s="9"/>
      <c r="K506" s="9"/>
      <c r="L506" s="9"/>
      <c r="M506" s="9"/>
      <c r="N506" s="9"/>
      <c r="O506" s="9"/>
      <c r="P506" s="9"/>
      <c r="Q506" s="9"/>
    </row>
    <row r="507" spans="4:17" s="301" customFormat="1" ht="15" customHeight="1">
      <c r="D507" s="10"/>
      <c r="E507" s="10"/>
      <c r="F507" s="9"/>
      <c r="G507" s="9"/>
      <c r="H507" s="9"/>
      <c r="I507" s="9"/>
      <c r="J507" s="9"/>
      <c r="K507" s="9"/>
      <c r="L507" s="9"/>
      <c r="M507" s="9"/>
      <c r="N507" s="9"/>
      <c r="O507" s="9"/>
      <c r="P507" s="9"/>
      <c r="Q507" s="9"/>
    </row>
    <row r="508" spans="4:17" s="301" customFormat="1" ht="15" customHeight="1">
      <c r="D508" s="10"/>
      <c r="E508" s="10"/>
      <c r="F508" s="9"/>
      <c r="G508" s="9"/>
      <c r="H508" s="9"/>
      <c r="I508" s="9"/>
      <c r="J508" s="9"/>
      <c r="K508" s="9"/>
      <c r="L508" s="9"/>
      <c r="M508" s="9"/>
      <c r="N508" s="9"/>
      <c r="O508" s="9"/>
      <c r="P508" s="9"/>
      <c r="Q508" s="9"/>
    </row>
    <row r="509" spans="4:17" s="301" customFormat="1" ht="15" customHeight="1">
      <c r="D509" s="10"/>
      <c r="E509" s="10"/>
      <c r="F509" s="9"/>
      <c r="G509" s="9"/>
      <c r="H509" s="9"/>
      <c r="I509" s="9"/>
      <c r="J509" s="9"/>
      <c r="K509" s="9"/>
      <c r="L509" s="9"/>
      <c r="M509" s="9"/>
      <c r="N509" s="9"/>
      <c r="O509" s="9"/>
      <c r="P509" s="9"/>
      <c r="Q509" s="9"/>
    </row>
    <row r="510" spans="4:17" s="301" customFormat="1" ht="15" customHeight="1">
      <c r="D510" s="10"/>
      <c r="E510" s="10"/>
      <c r="F510" s="9"/>
      <c r="G510" s="9"/>
      <c r="H510" s="9"/>
      <c r="I510" s="9"/>
      <c r="J510" s="9"/>
      <c r="K510" s="9"/>
      <c r="L510" s="9"/>
      <c r="M510" s="9"/>
      <c r="N510" s="9"/>
      <c r="O510" s="9"/>
      <c r="P510" s="9"/>
      <c r="Q510" s="9"/>
    </row>
    <row r="511" spans="4:17" s="301" customFormat="1" ht="15" customHeight="1">
      <c r="D511" s="10"/>
      <c r="E511" s="10"/>
      <c r="F511" s="9"/>
      <c r="G511" s="9"/>
      <c r="H511" s="9"/>
      <c r="I511" s="9"/>
      <c r="J511" s="9"/>
      <c r="K511" s="9"/>
      <c r="L511" s="9"/>
      <c r="M511" s="9"/>
      <c r="N511" s="9"/>
      <c r="O511" s="9"/>
      <c r="P511" s="9"/>
      <c r="Q511" s="9"/>
    </row>
    <row r="512" spans="4:17" s="301" customFormat="1" ht="15" customHeight="1">
      <c r="D512" s="10"/>
      <c r="E512" s="10"/>
      <c r="F512" s="9"/>
      <c r="G512" s="9"/>
      <c r="H512" s="9"/>
      <c r="I512" s="9"/>
      <c r="J512" s="9"/>
      <c r="K512" s="9"/>
      <c r="L512" s="9"/>
      <c r="M512" s="9"/>
      <c r="N512" s="9"/>
      <c r="O512" s="9"/>
      <c r="P512" s="9"/>
      <c r="Q512" s="9"/>
    </row>
    <row r="513" spans="4:17" s="301" customFormat="1" ht="15" customHeight="1">
      <c r="D513" s="10"/>
      <c r="E513" s="10"/>
      <c r="F513" s="9"/>
      <c r="G513" s="9"/>
      <c r="H513" s="9"/>
      <c r="I513" s="9"/>
      <c r="J513" s="9"/>
      <c r="K513" s="9"/>
      <c r="L513" s="9"/>
      <c r="M513" s="9"/>
      <c r="N513" s="9"/>
      <c r="O513" s="9"/>
      <c r="P513" s="9"/>
      <c r="Q513" s="9"/>
    </row>
    <row r="514" spans="4:17" s="301" customFormat="1" ht="15" customHeight="1">
      <c r="D514" s="10"/>
      <c r="E514" s="10"/>
      <c r="F514" s="9"/>
      <c r="G514" s="9"/>
      <c r="H514" s="9"/>
      <c r="I514" s="9"/>
      <c r="J514" s="9"/>
      <c r="K514" s="9"/>
      <c r="L514" s="9"/>
      <c r="M514" s="9"/>
      <c r="N514" s="9"/>
      <c r="O514" s="9"/>
      <c r="P514" s="9"/>
      <c r="Q514" s="9"/>
    </row>
    <row r="515" spans="4:17" s="301" customFormat="1" ht="15" customHeight="1">
      <c r="D515" s="10"/>
      <c r="E515" s="10"/>
      <c r="F515" s="9"/>
      <c r="G515" s="9"/>
      <c r="H515" s="9"/>
      <c r="I515" s="9"/>
      <c r="J515" s="9"/>
      <c r="K515" s="9"/>
      <c r="L515" s="9"/>
      <c r="M515" s="9"/>
      <c r="N515" s="9"/>
      <c r="O515" s="9"/>
      <c r="P515" s="9"/>
      <c r="Q515" s="9"/>
    </row>
    <row r="516" spans="4:17" s="301" customFormat="1" ht="15" customHeight="1">
      <c r="D516" s="10"/>
      <c r="E516" s="10"/>
      <c r="F516" s="9"/>
      <c r="G516" s="9"/>
      <c r="H516" s="9"/>
      <c r="I516" s="9"/>
      <c r="J516" s="9"/>
      <c r="K516" s="9"/>
      <c r="L516" s="9"/>
      <c r="M516" s="9"/>
      <c r="N516" s="9"/>
      <c r="O516" s="9"/>
      <c r="P516" s="9"/>
      <c r="Q516" s="9"/>
    </row>
    <row r="517" spans="4:17" s="301" customFormat="1" ht="15" customHeight="1">
      <c r="D517" s="10"/>
      <c r="E517" s="10"/>
      <c r="F517" s="9"/>
      <c r="G517" s="9"/>
      <c r="H517" s="9"/>
      <c r="I517" s="9"/>
      <c r="J517" s="9"/>
      <c r="K517" s="9"/>
      <c r="L517" s="9"/>
      <c r="M517" s="9"/>
      <c r="N517" s="9"/>
      <c r="O517" s="9"/>
      <c r="P517" s="9"/>
      <c r="Q517" s="9"/>
    </row>
    <row r="518" spans="4:17" s="301" customFormat="1" ht="15" customHeight="1">
      <c r="D518" s="10"/>
      <c r="E518" s="10"/>
      <c r="F518" s="9"/>
      <c r="G518" s="9"/>
      <c r="H518" s="9"/>
      <c r="I518" s="9"/>
      <c r="J518" s="9"/>
      <c r="K518" s="9"/>
      <c r="L518" s="9"/>
      <c r="M518" s="9"/>
      <c r="N518" s="9"/>
      <c r="O518" s="9"/>
      <c r="P518" s="9"/>
      <c r="Q518" s="9"/>
    </row>
    <row r="519" spans="4:17" s="301" customFormat="1" ht="15" customHeight="1">
      <c r="D519" s="10"/>
      <c r="E519" s="10"/>
      <c r="F519" s="9"/>
      <c r="G519" s="9"/>
      <c r="H519" s="9"/>
      <c r="I519" s="9"/>
      <c r="J519" s="9"/>
      <c r="K519" s="9"/>
      <c r="L519" s="9"/>
      <c r="M519" s="9"/>
      <c r="N519" s="9"/>
      <c r="O519" s="9"/>
      <c r="P519" s="9"/>
      <c r="Q519" s="9"/>
    </row>
    <row r="520" spans="4:17" s="301" customFormat="1" ht="15" customHeight="1">
      <c r="D520" s="10"/>
      <c r="E520" s="10"/>
      <c r="F520" s="9"/>
      <c r="G520" s="9"/>
      <c r="H520" s="9"/>
      <c r="I520" s="9"/>
      <c r="J520" s="9"/>
      <c r="K520" s="9"/>
      <c r="L520" s="9"/>
      <c r="M520" s="9"/>
      <c r="N520" s="9"/>
      <c r="O520" s="9"/>
      <c r="P520" s="9"/>
      <c r="Q520" s="9"/>
    </row>
    <row r="521" spans="4:17" s="301" customFormat="1" ht="15" customHeight="1">
      <c r="D521" s="10"/>
      <c r="E521" s="10"/>
      <c r="F521" s="9"/>
      <c r="G521" s="9"/>
      <c r="H521" s="9"/>
      <c r="I521" s="9"/>
      <c r="J521" s="9"/>
      <c r="K521" s="9"/>
      <c r="L521" s="9"/>
      <c r="M521" s="9"/>
      <c r="N521" s="9"/>
      <c r="O521" s="9"/>
      <c r="P521" s="9"/>
      <c r="Q521" s="9"/>
    </row>
    <row r="522" spans="4:17" s="301" customFormat="1" ht="15" customHeight="1">
      <c r="D522" s="10"/>
      <c r="E522" s="10"/>
      <c r="F522" s="9"/>
      <c r="G522" s="9"/>
      <c r="H522" s="9"/>
      <c r="I522" s="9"/>
      <c r="J522" s="9"/>
      <c r="K522" s="9"/>
      <c r="L522" s="9"/>
      <c r="M522" s="9"/>
      <c r="N522" s="9"/>
      <c r="O522" s="9"/>
      <c r="P522" s="9"/>
      <c r="Q522" s="9"/>
    </row>
    <row r="523" spans="4:17" s="301" customFormat="1" ht="15" customHeight="1">
      <c r="D523" s="10"/>
      <c r="E523" s="10"/>
      <c r="F523" s="9"/>
      <c r="G523" s="9"/>
      <c r="H523" s="9"/>
      <c r="I523" s="9"/>
      <c r="J523" s="9"/>
      <c r="K523" s="9"/>
      <c r="L523" s="9"/>
      <c r="M523" s="9"/>
      <c r="N523" s="9"/>
      <c r="O523" s="9"/>
      <c r="P523" s="9"/>
      <c r="Q523" s="9"/>
    </row>
    <row r="524" spans="4:17" s="301" customFormat="1" ht="15" customHeight="1">
      <c r="D524" s="10"/>
      <c r="E524" s="10"/>
      <c r="F524" s="9"/>
      <c r="G524" s="9"/>
      <c r="H524" s="9"/>
      <c r="I524" s="9"/>
      <c r="J524" s="9"/>
      <c r="K524" s="9"/>
      <c r="L524" s="9"/>
      <c r="M524" s="9"/>
      <c r="N524" s="9"/>
      <c r="O524" s="9"/>
      <c r="P524" s="9"/>
      <c r="Q524" s="9"/>
    </row>
    <row r="525" spans="4:17" s="301" customFormat="1" ht="15" customHeight="1">
      <c r="D525" s="10"/>
      <c r="E525" s="10"/>
      <c r="F525" s="9"/>
      <c r="G525" s="9"/>
      <c r="H525" s="9"/>
      <c r="I525" s="9"/>
      <c r="J525" s="9"/>
      <c r="K525" s="9"/>
      <c r="L525" s="9"/>
      <c r="M525" s="9"/>
      <c r="N525" s="9"/>
      <c r="O525" s="9"/>
      <c r="P525" s="9"/>
      <c r="Q525" s="9"/>
    </row>
    <row r="526" spans="4:17" s="301" customFormat="1" ht="15" customHeight="1">
      <c r="D526" s="10"/>
      <c r="E526" s="10"/>
      <c r="F526" s="9"/>
      <c r="G526" s="9"/>
      <c r="H526" s="9"/>
      <c r="I526" s="9"/>
      <c r="J526" s="9"/>
      <c r="K526" s="9"/>
      <c r="L526" s="9"/>
      <c r="M526" s="9"/>
      <c r="N526" s="9"/>
      <c r="O526" s="9"/>
      <c r="P526" s="9"/>
      <c r="Q526" s="9"/>
    </row>
    <row r="527" spans="4:17" s="301" customFormat="1" ht="15" customHeight="1">
      <c r="D527" s="10"/>
      <c r="E527" s="10"/>
      <c r="F527" s="9"/>
      <c r="G527" s="9"/>
      <c r="H527" s="9"/>
      <c r="I527" s="9"/>
      <c r="J527" s="9"/>
      <c r="K527" s="9"/>
      <c r="L527" s="9"/>
      <c r="M527" s="9"/>
      <c r="N527" s="9"/>
      <c r="O527" s="9"/>
      <c r="P527" s="9"/>
      <c r="Q527" s="9"/>
    </row>
    <row r="528" spans="4:17" s="301" customFormat="1" ht="15" customHeight="1">
      <c r="D528" s="10"/>
      <c r="E528" s="10"/>
      <c r="F528" s="9"/>
      <c r="G528" s="9"/>
      <c r="H528" s="9"/>
      <c r="I528" s="9"/>
      <c r="J528" s="9"/>
      <c r="K528" s="9"/>
      <c r="L528" s="9"/>
      <c r="M528" s="9"/>
      <c r="N528" s="9"/>
      <c r="O528" s="9"/>
      <c r="P528" s="9"/>
      <c r="Q528" s="9"/>
    </row>
    <row r="529" spans="4:17" s="301" customFormat="1" ht="15" customHeight="1">
      <c r="D529" s="10"/>
      <c r="E529" s="10"/>
      <c r="F529" s="9"/>
      <c r="G529" s="9"/>
      <c r="H529" s="9"/>
      <c r="I529" s="9"/>
      <c r="J529" s="9"/>
      <c r="K529" s="9"/>
      <c r="L529" s="9"/>
      <c r="M529" s="9"/>
      <c r="N529" s="9"/>
      <c r="O529" s="9"/>
      <c r="P529" s="9"/>
      <c r="Q529" s="9"/>
    </row>
    <row r="530" spans="4:17" s="301" customFormat="1" ht="15" customHeight="1">
      <c r="D530" s="10"/>
      <c r="E530" s="10"/>
      <c r="F530" s="9"/>
      <c r="G530" s="9"/>
      <c r="H530" s="9"/>
      <c r="I530" s="9"/>
      <c r="J530" s="9"/>
      <c r="K530" s="9"/>
      <c r="L530" s="9"/>
      <c r="M530" s="9"/>
      <c r="N530" s="9"/>
      <c r="O530" s="9"/>
      <c r="P530" s="9"/>
      <c r="Q530" s="9"/>
    </row>
    <row r="531" spans="4:17" s="301" customFormat="1" ht="15" customHeight="1">
      <c r="D531" s="10"/>
      <c r="E531" s="10"/>
      <c r="F531" s="9"/>
      <c r="G531" s="9"/>
      <c r="H531" s="9"/>
      <c r="I531" s="9"/>
      <c r="J531" s="9"/>
      <c r="K531" s="9"/>
      <c r="L531" s="9"/>
      <c r="M531" s="9"/>
      <c r="N531" s="9"/>
      <c r="O531" s="9"/>
      <c r="P531" s="9"/>
      <c r="Q531" s="9"/>
    </row>
    <row r="532" spans="4:17" s="301" customFormat="1" ht="15" customHeight="1">
      <c r="D532" s="10"/>
      <c r="E532" s="10"/>
      <c r="F532" s="9"/>
      <c r="G532" s="9"/>
      <c r="H532" s="9"/>
      <c r="I532" s="9"/>
      <c r="J532" s="9"/>
      <c r="K532" s="9"/>
      <c r="L532" s="9"/>
      <c r="M532" s="9"/>
      <c r="N532" s="9"/>
      <c r="O532" s="9"/>
      <c r="P532" s="9"/>
      <c r="Q532" s="9"/>
    </row>
    <row r="533" spans="4:17" s="301" customFormat="1" ht="15" customHeight="1">
      <c r="D533" s="10"/>
      <c r="E533" s="10"/>
      <c r="F533" s="9"/>
      <c r="G533" s="9"/>
      <c r="H533" s="9"/>
      <c r="I533" s="9"/>
      <c r="J533" s="9"/>
      <c r="K533" s="9"/>
      <c r="L533" s="9"/>
      <c r="M533" s="9"/>
      <c r="N533" s="9"/>
      <c r="O533" s="9"/>
      <c r="P533" s="9"/>
      <c r="Q533" s="9"/>
    </row>
    <row r="534" spans="4:17" s="301" customFormat="1" ht="15" customHeight="1">
      <c r="D534" s="10"/>
      <c r="E534" s="10"/>
      <c r="F534" s="9"/>
      <c r="G534" s="9"/>
      <c r="H534" s="9"/>
      <c r="I534" s="9"/>
      <c r="J534" s="9"/>
      <c r="K534" s="9"/>
      <c r="L534" s="9"/>
      <c r="M534" s="9"/>
      <c r="N534" s="9"/>
      <c r="O534" s="9"/>
      <c r="P534" s="9"/>
      <c r="Q534" s="9"/>
    </row>
    <row r="535" spans="4:17" s="301" customFormat="1" ht="15" customHeight="1">
      <c r="D535" s="10"/>
      <c r="E535" s="10"/>
      <c r="F535" s="9"/>
      <c r="G535" s="9"/>
      <c r="H535" s="9"/>
      <c r="I535" s="9"/>
      <c r="J535" s="9"/>
      <c r="K535" s="9"/>
      <c r="L535" s="9"/>
      <c r="M535" s="9"/>
      <c r="N535" s="9"/>
      <c r="O535" s="9"/>
      <c r="P535" s="9"/>
      <c r="Q535" s="9"/>
    </row>
    <row r="536" spans="4:17" s="301" customFormat="1" ht="15" customHeight="1">
      <c r="D536" s="10"/>
      <c r="E536" s="10"/>
      <c r="F536" s="9"/>
      <c r="G536" s="9"/>
      <c r="H536" s="9"/>
      <c r="I536" s="9"/>
      <c r="J536" s="9"/>
      <c r="K536" s="9"/>
      <c r="L536" s="9"/>
      <c r="M536" s="9"/>
      <c r="N536" s="9"/>
      <c r="O536" s="9"/>
      <c r="P536" s="9"/>
      <c r="Q536" s="9"/>
    </row>
    <row r="537" spans="4:17" s="301" customFormat="1" ht="15" customHeight="1">
      <c r="D537" s="10"/>
      <c r="E537" s="10"/>
      <c r="F537" s="9"/>
      <c r="G537" s="9"/>
      <c r="H537" s="9"/>
      <c r="I537" s="9"/>
      <c r="J537" s="9"/>
      <c r="K537" s="9"/>
      <c r="L537" s="9"/>
      <c r="M537" s="9"/>
      <c r="N537" s="9"/>
      <c r="O537" s="9"/>
      <c r="P537" s="9"/>
      <c r="Q537" s="9"/>
    </row>
    <row r="538" spans="4:17" s="301" customFormat="1" ht="15" customHeight="1">
      <c r="D538" s="10"/>
      <c r="E538" s="10"/>
      <c r="F538" s="9"/>
      <c r="G538" s="9"/>
      <c r="H538" s="9"/>
      <c r="I538" s="9"/>
      <c r="J538" s="9"/>
      <c r="K538" s="9"/>
      <c r="L538" s="9"/>
      <c r="M538" s="9"/>
      <c r="N538" s="9"/>
      <c r="O538" s="9"/>
      <c r="P538" s="9"/>
      <c r="Q538" s="9"/>
    </row>
    <row r="539" spans="4:17" s="301" customFormat="1" ht="15" customHeight="1">
      <c r="D539" s="10"/>
      <c r="E539" s="10"/>
      <c r="F539" s="9"/>
      <c r="G539" s="9"/>
      <c r="H539" s="9"/>
      <c r="I539" s="9"/>
      <c r="J539" s="9"/>
      <c r="K539" s="9"/>
      <c r="L539" s="9"/>
      <c r="M539" s="9"/>
      <c r="N539" s="9"/>
      <c r="O539" s="9"/>
      <c r="P539" s="9"/>
      <c r="Q539" s="9"/>
    </row>
    <row r="540" spans="4:17" s="301" customFormat="1" ht="15" customHeight="1">
      <c r="D540" s="10"/>
      <c r="E540" s="10"/>
      <c r="F540" s="9"/>
      <c r="G540" s="9"/>
      <c r="H540" s="9"/>
      <c r="I540" s="9"/>
      <c r="J540" s="9"/>
      <c r="K540" s="9"/>
      <c r="L540" s="9"/>
      <c r="M540" s="9"/>
      <c r="N540" s="9"/>
      <c r="O540" s="9"/>
      <c r="P540" s="9"/>
      <c r="Q540" s="9"/>
    </row>
    <row r="541" spans="4:17" s="301" customFormat="1" ht="15" customHeight="1">
      <c r="D541" s="10"/>
      <c r="E541" s="10"/>
      <c r="F541" s="9"/>
      <c r="G541" s="9"/>
      <c r="H541" s="9"/>
      <c r="I541" s="9"/>
      <c r="J541" s="9"/>
      <c r="K541" s="9"/>
      <c r="L541" s="9"/>
      <c r="M541" s="9"/>
      <c r="N541" s="9"/>
      <c r="O541" s="9"/>
      <c r="P541" s="9"/>
      <c r="Q541" s="9"/>
    </row>
    <row r="542" spans="4:17" s="301" customFormat="1" ht="15" customHeight="1">
      <c r="D542" s="10"/>
      <c r="E542" s="10"/>
      <c r="F542" s="9"/>
      <c r="G542" s="9"/>
      <c r="H542" s="9"/>
      <c r="I542" s="9"/>
      <c r="J542" s="9"/>
      <c r="K542" s="9"/>
      <c r="L542" s="9"/>
      <c r="M542" s="9"/>
      <c r="N542" s="9"/>
      <c r="O542" s="9"/>
      <c r="P542" s="9"/>
      <c r="Q542" s="9"/>
    </row>
    <row r="543" spans="4:17" s="301" customFormat="1" ht="15" customHeight="1">
      <c r="D543" s="10"/>
      <c r="E543" s="10"/>
      <c r="F543" s="9"/>
      <c r="G543" s="9"/>
      <c r="H543" s="9"/>
      <c r="I543" s="9"/>
      <c r="J543" s="9"/>
      <c r="K543" s="9"/>
      <c r="L543" s="9"/>
      <c r="M543" s="9"/>
      <c r="N543" s="9"/>
      <c r="O543" s="9"/>
      <c r="P543" s="9"/>
      <c r="Q543" s="9"/>
    </row>
    <row r="544" spans="4:17" s="301" customFormat="1" ht="15" customHeight="1">
      <c r="D544" s="10"/>
      <c r="E544" s="10"/>
      <c r="F544" s="9"/>
      <c r="G544" s="9"/>
      <c r="H544" s="9"/>
      <c r="I544" s="9"/>
      <c r="J544" s="9"/>
      <c r="K544" s="9"/>
      <c r="L544" s="9"/>
      <c r="M544" s="9"/>
      <c r="N544" s="9"/>
      <c r="O544" s="9"/>
      <c r="P544" s="9"/>
      <c r="Q544" s="9"/>
    </row>
    <row r="545" spans="4:17" s="301" customFormat="1" ht="15" customHeight="1">
      <c r="D545" s="10"/>
      <c r="E545" s="10"/>
      <c r="F545" s="9"/>
      <c r="G545" s="9"/>
      <c r="H545" s="9"/>
      <c r="I545" s="9"/>
      <c r="J545" s="9"/>
      <c r="K545" s="9"/>
      <c r="L545" s="9"/>
      <c r="M545" s="9"/>
      <c r="N545" s="9"/>
      <c r="O545" s="9"/>
      <c r="P545" s="9"/>
      <c r="Q545" s="9"/>
    </row>
    <row r="546" spans="4:17" s="301" customFormat="1" ht="15" customHeight="1">
      <c r="D546" s="10"/>
      <c r="E546" s="10"/>
      <c r="F546" s="9"/>
      <c r="G546" s="9"/>
      <c r="H546" s="9"/>
      <c r="I546" s="9"/>
      <c r="J546" s="9"/>
      <c r="K546" s="9"/>
      <c r="L546" s="9"/>
      <c r="M546" s="9"/>
      <c r="N546" s="9"/>
      <c r="O546" s="9"/>
      <c r="P546" s="9"/>
      <c r="Q546" s="9"/>
    </row>
    <row r="547" spans="4:17" s="301" customFormat="1" ht="15" customHeight="1">
      <c r="D547" s="10"/>
      <c r="E547" s="10"/>
      <c r="F547" s="9"/>
      <c r="G547" s="9"/>
      <c r="H547" s="9"/>
      <c r="I547" s="9"/>
      <c r="J547" s="9"/>
      <c r="K547" s="9"/>
      <c r="L547" s="9"/>
      <c r="M547" s="9"/>
      <c r="N547" s="9"/>
      <c r="O547" s="9"/>
      <c r="P547" s="9"/>
      <c r="Q547" s="9"/>
    </row>
    <row r="548" spans="4:17" s="301" customFormat="1" ht="15" customHeight="1">
      <c r="D548" s="10"/>
      <c r="E548" s="10"/>
      <c r="F548" s="9"/>
      <c r="G548" s="9"/>
      <c r="H548" s="9"/>
      <c r="I548" s="9"/>
      <c r="J548" s="9"/>
      <c r="K548" s="9"/>
      <c r="L548" s="9"/>
      <c r="M548" s="9"/>
      <c r="N548" s="9"/>
      <c r="O548" s="9"/>
      <c r="P548" s="9"/>
      <c r="Q548" s="9"/>
    </row>
    <row r="549" spans="4:17" s="301" customFormat="1" ht="15" customHeight="1">
      <c r="D549" s="10"/>
      <c r="E549" s="10"/>
      <c r="F549" s="9"/>
      <c r="G549" s="9"/>
      <c r="H549" s="9"/>
      <c r="I549" s="9"/>
      <c r="J549" s="9"/>
      <c r="K549" s="9"/>
      <c r="L549" s="9"/>
      <c r="M549" s="9"/>
      <c r="N549" s="9"/>
      <c r="O549" s="9"/>
      <c r="P549" s="9"/>
      <c r="Q549" s="9"/>
    </row>
    <row r="550" spans="4:17" s="301" customFormat="1" ht="15" customHeight="1">
      <c r="D550" s="10"/>
      <c r="E550" s="10"/>
      <c r="F550" s="9"/>
      <c r="G550" s="9"/>
      <c r="H550" s="9"/>
      <c r="I550" s="9"/>
      <c r="J550" s="9"/>
      <c r="K550" s="9"/>
      <c r="L550" s="9"/>
      <c r="M550" s="9"/>
      <c r="N550" s="9"/>
      <c r="O550" s="9"/>
      <c r="P550" s="9"/>
      <c r="Q550" s="9"/>
    </row>
    <row r="551" spans="4:17" s="301" customFormat="1" ht="15" customHeight="1">
      <c r="D551" s="10"/>
      <c r="E551" s="10"/>
      <c r="F551" s="9"/>
      <c r="G551" s="9"/>
      <c r="H551" s="9"/>
      <c r="I551" s="9"/>
      <c r="J551" s="9"/>
      <c r="K551" s="9"/>
      <c r="L551" s="9"/>
      <c r="M551" s="9"/>
      <c r="N551" s="9"/>
      <c r="O551" s="9"/>
      <c r="P551" s="9"/>
      <c r="Q551" s="9"/>
    </row>
    <row r="552" spans="4:17" s="301" customFormat="1" ht="15" customHeight="1">
      <c r="D552" s="10"/>
      <c r="E552" s="10"/>
      <c r="F552" s="9"/>
      <c r="G552" s="9"/>
      <c r="H552" s="9"/>
      <c r="I552" s="9"/>
      <c r="J552" s="9"/>
      <c r="K552" s="9"/>
      <c r="L552" s="9"/>
      <c r="M552" s="9"/>
      <c r="N552" s="9"/>
      <c r="O552" s="9"/>
      <c r="P552" s="9"/>
      <c r="Q552" s="9"/>
    </row>
    <row r="553" spans="4:17" s="301" customFormat="1" ht="15" customHeight="1">
      <c r="D553" s="10"/>
      <c r="E553" s="10"/>
      <c r="F553" s="9"/>
      <c r="G553" s="9"/>
      <c r="H553" s="9"/>
      <c r="I553" s="9"/>
      <c r="J553" s="9"/>
      <c r="K553" s="9"/>
      <c r="L553" s="9"/>
      <c r="M553" s="9"/>
      <c r="N553" s="9"/>
      <c r="O553" s="9"/>
      <c r="P553" s="9"/>
      <c r="Q553" s="9"/>
    </row>
    <row r="554" spans="4:17" s="301" customFormat="1" ht="15" customHeight="1">
      <c r="D554" s="10"/>
      <c r="E554" s="10"/>
      <c r="F554" s="9"/>
      <c r="G554" s="9"/>
      <c r="H554" s="9"/>
      <c r="I554" s="9"/>
      <c r="J554" s="9"/>
      <c r="K554" s="9"/>
      <c r="L554" s="9"/>
      <c r="M554" s="9"/>
      <c r="N554" s="9"/>
      <c r="O554" s="9"/>
      <c r="P554" s="9"/>
      <c r="Q554" s="9"/>
    </row>
    <row r="555" spans="4:17" s="301" customFormat="1" ht="15" customHeight="1">
      <c r="D555" s="10"/>
      <c r="E555" s="10"/>
      <c r="F555" s="9"/>
      <c r="G555" s="9"/>
      <c r="H555" s="9"/>
      <c r="I555" s="9"/>
      <c r="J555" s="9"/>
      <c r="K555" s="9"/>
      <c r="L555" s="9"/>
      <c r="M555" s="9"/>
      <c r="N555" s="9"/>
      <c r="O555" s="9"/>
      <c r="P555" s="9"/>
      <c r="Q555" s="9"/>
    </row>
    <row r="556" spans="4:17" s="301" customFormat="1" ht="15" customHeight="1">
      <c r="D556" s="10"/>
      <c r="E556" s="10"/>
      <c r="F556" s="9"/>
      <c r="G556" s="9"/>
      <c r="H556" s="9"/>
      <c r="I556" s="9"/>
      <c r="J556" s="9"/>
      <c r="K556" s="9"/>
      <c r="L556" s="9"/>
      <c r="M556" s="9"/>
      <c r="N556" s="9"/>
      <c r="O556" s="9"/>
      <c r="P556" s="9"/>
      <c r="Q556" s="9"/>
    </row>
    <row r="557" spans="4:17" s="301" customFormat="1" ht="15" customHeight="1">
      <c r="D557" s="10"/>
      <c r="E557" s="10"/>
      <c r="F557" s="9"/>
      <c r="G557" s="9"/>
      <c r="H557" s="9"/>
      <c r="I557" s="9"/>
      <c r="J557" s="9"/>
      <c r="K557" s="9"/>
      <c r="L557" s="9"/>
      <c r="M557" s="9"/>
      <c r="N557" s="9"/>
      <c r="O557" s="9"/>
      <c r="P557" s="9"/>
      <c r="Q557" s="9"/>
    </row>
    <row r="558" spans="4:17" s="301" customFormat="1" ht="15" customHeight="1">
      <c r="D558" s="10"/>
      <c r="E558" s="10"/>
      <c r="F558" s="9"/>
      <c r="G558" s="9"/>
      <c r="H558" s="9"/>
      <c r="I558" s="9"/>
      <c r="J558" s="9"/>
      <c r="K558" s="9"/>
      <c r="L558" s="9"/>
      <c r="M558" s="9"/>
      <c r="N558" s="9"/>
      <c r="O558" s="9"/>
      <c r="P558" s="9"/>
      <c r="Q558" s="9"/>
    </row>
    <row r="559" spans="4:17" s="301" customFormat="1" ht="15" customHeight="1">
      <c r="D559" s="10"/>
      <c r="E559" s="10"/>
      <c r="F559" s="9"/>
      <c r="G559" s="9"/>
      <c r="H559" s="9"/>
      <c r="I559" s="9"/>
      <c r="J559" s="9"/>
      <c r="K559" s="9"/>
      <c r="L559" s="9"/>
      <c r="M559" s="9"/>
      <c r="N559" s="9"/>
      <c r="O559" s="9"/>
      <c r="P559" s="9"/>
      <c r="Q559" s="9"/>
    </row>
    <row r="560" spans="4:17" s="301" customFormat="1" ht="15" customHeight="1">
      <c r="D560" s="10"/>
      <c r="E560" s="10"/>
      <c r="F560" s="9"/>
      <c r="G560" s="9"/>
      <c r="H560" s="9"/>
      <c r="I560" s="9"/>
      <c r="J560" s="9"/>
      <c r="K560" s="9"/>
      <c r="L560" s="9"/>
      <c r="M560" s="9"/>
      <c r="N560" s="9"/>
      <c r="O560" s="9"/>
      <c r="P560" s="9"/>
      <c r="Q560" s="9"/>
    </row>
    <row r="561" spans="4:17" s="301" customFormat="1" ht="15" customHeight="1">
      <c r="D561" s="10"/>
      <c r="E561" s="10"/>
      <c r="F561" s="9"/>
      <c r="G561" s="9"/>
      <c r="H561" s="9"/>
      <c r="I561" s="9"/>
      <c r="J561" s="9"/>
      <c r="K561" s="9"/>
      <c r="L561" s="9"/>
      <c r="M561" s="9"/>
      <c r="N561" s="9"/>
      <c r="O561" s="9"/>
      <c r="P561" s="9"/>
      <c r="Q561" s="9"/>
    </row>
    <row r="562" spans="4:17" s="301" customFormat="1" ht="15" customHeight="1">
      <c r="D562" s="10"/>
      <c r="E562" s="10"/>
      <c r="F562" s="9"/>
      <c r="G562" s="9"/>
      <c r="H562" s="9"/>
      <c r="I562" s="9"/>
      <c r="J562" s="9"/>
      <c r="K562" s="9"/>
      <c r="L562" s="9"/>
      <c r="M562" s="9"/>
      <c r="N562" s="9"/>
      <c r="O562" s="9"/>
      <c r="P562" s="9"/>
      <c r="Q562" s="9"/>
    </row>
    <row r="563" spans="4:17" s="301" customFormat="1" ht="15" customHeight="1">
      <c r="D563" s="10"/>
      <c r="E563" s="10"/>
      <c r="F563" s="9"/>
      <c r="G563" s="9"/>
      <c r="H563" s="9"/>
      <c r="I563" s="9"/>
      <c r="J563" s="9"/>
      <c r="K563" s="9"/>
      <c r="L563" s="9"/>
      <c r="M563" s="9"/>
      <c r="N563" s="9"/>
      <c r="O563" s="9"/>
      <c r="P563" s="9"/>
      <c r="Q563" s="9"/>
    </row>
    <row r="564" spans="4:17" s="301" customFormat="1" ht="15" customHeight="1">
      <c r="D564" s="10"/>
      <c r="E564" s="10"/>
      <c r="F564" s="9"/>
      <c r="G564" s="9"/>
      <c r="H564" s="9"/>
      <c r="I564" s="9"/>
      <c r="J564" s="9"/>
      <c r="K564" s="9"/>
      <c r="L564" s="9"/>
      <c r="M564" s="9"/>
      <c r="N564" s="9"/>
      <c r="O564" s="9"/>
      <c r="P564" s="9"/>
      <c r="Q564" s="9"/>
    </row>
    <row r="565" spans="4:17" s="301" customFormat="1" ht="15" customHeight="1">
      <c r="D565" s="10"/>
      <c r="E565" s="10"/>
      <c r="F565" s="9"/>
      <c r="G565" s="9"/>
      <c r="H565" s="9"/>
      <c r="I565" s="9"/>
      <c r="J565" s="9"/>
      <c r="K565" s="9"/>
      <c r="L565" s="9"/>
      <c r="M565" s="9"/>
      <c r="N565" s="9"/>
      <c r="O565" s="9"/>
      <c r="P565" s="9"/>
      <c r="Q565" s="9"/>
    </row>
    <row r="566" spans="4:17" s="301" customFormat="1" ht="15" customHeight="1">
      <c r="D566" s="10"/>
      <c r="E566" s="10"/>
      <c r="F566" s="9"/>
      <c r="G566" s="9"/>
      <c r="H566" s="9"/>
      <c r="I566" s="9"/>
      <c r="J566" s="9"/>
      <c r="K566" s="9"/>
      <c r="L566" s="9"/>
      <c r="M566" s="9"/>
      <c r="N566" s="9"/>
      <c r="O566" s="9"/>
      <c r="P566" s="9"/>
      <c r="Q566" s="9"/>
    </row>
    <row r="567" spans="4:17" s="301" customFormat="1" ht="15" customHeight="1">
      <c r="D567" s="10"/>
      <c r="E567" s="10"/>
      <c r="F567" s="9"/>
      <c r="G567" s="9"/>
      <c r="H567" s="9"/>
      <c r="I567" s="9"/>
      <c r="J567" s="9"/>
      <c r="K567" s="9"/>
      <c r="L567" s="9"/>
      <c r="M567" s="9"/>
      <c r="N567" s="9"/>
      <c r="O567" s="9"/>
      <c r="P567" s="9"/>
      <c r="Q567" s="9"/>
    </row>
    <row r="568" spans="4:17" s="301" customFormat="1" ht="15" customHeight="1">
      <c r="D568" s="10"/>
      <c r="E568" s="10"/>
      <c r="F568" s="9"/>
      <c r="G568" s="9"/>
      <c r="H568" s="9"/>
      <c r="I568" s="9"/>
      <c r="J568" s="9"/>
      <c r="K568" s="9"/>
      <c r="L568" s="9"/>
      <c r="M568" s="9"/>
      <c r="N568" s="9"/>
      <c r="O568" s="9"/>
      <c r="P568" s="9"/>
      <c r="Q568" s="9"/>
    </row>
    <row r="569" spans="4:17" s="301" customFormat="1" ht="15" customHeight="1">
      <c r="D569" s="10"/>
      <c r="E569" s="10"/>
      <c r="F569" s="9"/>
      <c r="G569" s="9"/>
      <c r="H569" s="9"/>
      <c r="I569" s="9"/>
      <c r="J569" s="9"/>
      <c r="K569" s="9"/>
      <c r="L569" s="9"/>
      <c r="M569" s="9"/>
      <c r="N569" s="9"/>
      <c r="O569" s="9"/>
      <c r="P569" s="9"/>
      <c r="Q569" s="9"/>
    </row>
    <row r="570" spans="4:17" s="301" customFormat="1" ht="15" customHeight="1">
      <c r="D570" s="10"/>
      <c r="E570" s="10"/>
      <c r="F570" s="9"/>
      <c r="G570" s="9"/>
      <c r="H570" s="9"/>
      <c r="I570" s="9"/>
      <c r="J570" s="9"/>
      <c r="K570" s="9"/>
      <c r="L570" s="9"/>
      <c r="M570" s="9"/>
      <c r="N570" s="9"/>
      <c r="O570" s="9"/>
      <c r="P570" s="9"/>
      <c r="Q570" s="9"/>
    </row>
    <row r="571" spans="4:17" s="301" customFormat="1" ht="15" customHeight="1">
      <c r="D571" s="10"/>
      <c r="E571" s="10"/>
      <c r="F571" s="9"/>
      <c r="G571" s="9"/>
      <c r="H571" s="9"/>
      <c r="I571" s="9"/>
      <c r="J571" s="9"/>
      <c r="K571" s="9"/>
      <c r="L571" s="9"/>
      <c r="M571" s="9"/>
      <c r="N571" s="9"/>
      <c r="O571" s="9"/>
      <c r="P571" s="9"/>
      <c r="Q571" s="9"/>
    </row>
    <row r="572" spans="4:17" s="301" customFormat="1" ht="15" customHeight="1">
      <c r="D572" s="10"/>
      <c r="E572" s="10"/>
      <c r="F572" s="9"/>
      <c r="G572" s="9"/>
      <c r="H572" s="9"/>
      <c r="I572" s="9"/>
      <c r="J572" s="9"/>
      <c r="K572" s="9"/>
      <c r="L572" s="9"/>
      <c r="M572" s="9"/>
      <c r="N572" s="9"/>
      <c r="O572" s="9"/>
      <c r="P572" s="9"/>
      <c r="Q572" s="9"/>
    </row>
    <row r="573" spans="4:17" s="301" customFormat="1" ht="15" customHeight="1">
      <c r="D573" s="10"/>
      <c r="E573" s="10"/>
      <c r="F573" s="9"/>
      <c r="G573" s="9"/>
      <c r="H573" s="9"/>
      <c r="I573" s="9"/>
      <c r="J573" s="9"/>
      <c r="K573" s="9"/>
      <c r="L573" s="9"/>
      <c r="M573" s="9"/>
      <c r="N573" s="9"/>
      <c r="O573" s="9"/>
      <c r="P573" s="9"/>
      <c r="Q573" s="9"/>
    </row>
    <row r="574" spans="4:17" s="301" customFormat="1" ht="15" customHeight="1">
      <c r="D574" s="10"/>
      <c r="E574" s="10"/>
      <c r="F574" s="9"/>
      <c r="G574" s="9"/>
      <c r="H574" s="9"/>
      <c r="I574" s="9"/>
      <c r="J574" s="9"/>
      <c r="K574" s="9"/>
      <c r="L574" s="9"/>
      <c r="M574" s="9"/>
      <c r="N574" s="9"/>
      <c r="O574" s="9"/>
      <c r="P574" s="9"/>
      <c r="Q574" s="9"/>
    </row>
    <row r="575" spans="4:17" s="301" customFormat="1" ht="15" customHeight="1">
      <c r="D575" s="10"/>
      <c r="E575" s="10"/>
      <c r="F575" s="9"/>
      <c r="G575" s="9"/>
      <c r="H575" s="9"/>
      <c r="I575" s="9"/>
      <c r="J575" s="9"/>
      <c r="K575" s="9"/>
      <c r="L575" s="9"/>
      <c r="M575" s="9"/>
      <c r="N575" s="9"/>
      <c r="O575" s="9"/>
      <c r="P575" s="9"/>
      <c r="Q575" s="9"/>
    </row>
    <row r="576" spans="4:17" s="301" customFormat="1" ht="15" customHeight="1">
      <c r="D576" s="10"/>
      <c r="E576" s="10"/>
      <c r="F576" s="9"/>
      <c r="G576" s="9"/>
      <c r="H576" s="9"/>
      <c r="I576" s="9"/>
      <c r="J576" s="9"/>
      <c r="K576" s="9"/>
      <c r="L576" s="9"/>
      <c r="M576" s="9"/>
      <c r="N576" s="9"/>
      <c r="O576" s="9"/>
      <c r="P576" s="9"/>
      <c r="Q576" s="9"/>
    </row>
    <row r="577" spans="4:17" s="301" customFormat="1" ht="15" customHeight="1">
      <c r="D577" s="10"/>
      <c r="E577" s="10"/>
      <c r="F577" s="9"/>
      <c r="G577" s="9"/>
      <c r="H577" s="9"/>
      <c r="I577" s="9"/>
      <c r="J577" s="9"/>
      <c r="K577" s="9"/>
      <c r="L577" s="9"/>
      <c r="M577" s="9"/>
      <c r="N577" s="9"/>
      <c r="O577" s="9"/>
      <c r="P577" s="9"/>
      <c r="Q577" s="9"/>
    </row>
    <row r="578" spans="4:17" s="301" customFormat="1" ht="15" customHeight="1">
      <c r="D578" s="10"/>
      <c r="E578" s="10"/>
      <c r="F578" s="9"/>
      <c r="G578" s="9"/>
      <c r="H578" s="9"/>
      <c r="I578" s="9"/>
      <c r="J578" s="9"/>
      <c r="K578" s="9"/>
      <c r="L578" s="9"/>
      <c r="M578" s="9"/>
      <c r="N578" s="9"/>
      <c r="O578" s="9"/>
      <c r="P578" s="9"/>
      <c r="Q578" s="9"/>
    </row>
    <row r="579" spans="4:17" s="301" customFormat="1" ht="15" customHeight="1">
      <c r="D579" s="10"/>
      <c r="E579" s="10"/>
      <c r="F579" s="9"/>
      <c r="G579" s="9"/>
      <c r="H579" s="9"/>
      <c r="I579" s="9"/>
      <c r="J579" s="9"/>
      <c r="K579" s="9"/>
      <c r="L579" s="9"/>
      <c r="M579" s="9"/>
      <c r="N579" s="9"/>
      <c r="O579" s="9"/>
      <c r="P579" s="9"/>
      <c r="Q579" s="9"/>
    </row>
    <row r="580" spans="4:17" s="301" customFormat="1" ht="15" customHeight="1">
      <c r="D580" s="10"/>
      <c r="E580" s="10"/>
      <c r="F580" s="9"/>
      <c r="G580" s="9"/>
      <c r="H580" s="9"/>
      <c r="I580" s="9"/>
      <c r="J580" s="9"/>
      <c r="K580" s="9"/>
      <c r="L580" s="9"/>
      <c r="M580" s="9"/>
      <c r="N580" s="9"/>
      <c r="O580" s="9"/>
      <c r="P580" s="9"/>
      <c r="Q580" s="9"/>
    </row>
    <row r="581" spans="4:17" s="301" customFormat="1" ht="15" customHeight="1">
      <c r="D581" s="10"/>
      <c r="E581" s="10"/>
      <c r="F581" s="9"/>
      <c r="G581" s="9"/>
      <c r="H581" s="9"/>
      <c r="I581" s="9"/>
      <c r="J581" s="9"/>
      <c r="K581" s="9"/>
      <c r="L581" s="9"/>
      <c r="M581" s="9"/>
      <c r="N581" s="9"/>
      <c r="O581" s="9"/>
      <c r="P581" s="9"/>
      <c r="Q581" s="9"/>
    </row>
    <row r="582" spans="4:17" s="301" customFormat="1" ht="15" customHeight="1">
      <c r="D582" s="10"/>
      <c r="E582" s="10"/>
      <c r="F582" s="9"/>
      <c r="G582" s="9"/>
      <c r="H582" s="9"/>
      <c r="I582" s="9"/>
      <c r="J582" s="9"/>
      <c r="K582" s="9"/>
      <c r="L582" s="9"/>
      <c r="M582" s="9"/>
      <c r="N582" s="9"/>
      <c r="O582" s="9"/>
      <c r="P582" s="9"/>
      <c r="Q582" s="9"/>
    </row>
    <row r="583" spans="4:17" s="301" customFormat="1" ht="15" customHeight="1">
      <c r="D583" s="10"/>
      <c r="E583" s="10"/>
      <c r="F583" s="9"/>
      <c r="G583" s="9"/>
      <c r="H583" s="9"/>
      <c r="I583" s="9"/>
      <c r="J583" s="9"/>
      <c r="K583" s="9"/>
      <c r="L583" s="9"/>
      <c r="M583" s="9"/>
      <c r="N583" s="9"/>
      <c r="O583" s="9"/>
      <c r="P583" s="9"/>
      <c r="Q583" s="9"/>
    </row>
    <row r="584" spans="4:17" s="301" customFormat="1" ht="15" customHeight="1">
      <c r="D584" s="10"/>
      <c r="E584" s="10"/>
      <c r="F584" s="9"/>
      <c r="G584" s="9"/>
      <c r="H584" s="9"/>
      <c r="I584" s="9"/>
      <c r="J584" s="9"/>
      <c r="K584" s="9"/>
      <c r="L584" s="9"/>
      <c r="M584" s="9"/>
      <c r="N584" s="9"/>
      <c r="O584" s="9"/>
      <c r="P584" s="9"/>
      <c r="Q584" s="9"/>
    </row>
    <row r="585" spans="4:17" s="301" customFormat="1" ht="15" customHeight="1">
      <c r="D585" s="10"/>
      <c r="E585" s="10"/>
      <c r="F585" s="9"/>
      <c r="G585" s="9"/>
      <c r="H585" s="9"/>
      <c r="I585" s="9"/>
      <c r="J585" s="9"/>
      <c r="K585" s="9"/>
      <c r="L585" s="9"/>
      <c r="M585" s="9"/>
      <c r="N585" s="9"/>
      <c r="O585" s="9"/>
      <c r="P585" s="9"/>
      <c r="Q585" s="9"/>
    </row>
    <row r="586" spans="4:17" s="301" customFormat="1" ht="15" customHeight="1">
      <c r="D586" s="10"/>
      <c r="E586" s="10"/>
      <c r="F586" s="9"/>
      <c r="G586" s="9"/>
      <c r="H586" s="9"/>
      <c r="I586" s="9"/>
      <c r="J586" s="9"/>
      <c r="K586" s="9"/>
      <c r="L586" s="9"/>
      <c r="M586" s="9"/>
      <c r="N586" s="9"/>
      <c r="O586" s="9"/>
      <c r="P586" s="9"/>
      <c r="Q586" s="9"/>
    </row>
    <row r="587" spans="4:17" s="301" customFormat="1" ht="15" customHeight="1">
      <c r="D587" s="10"/>
      <c r="E587" s="10"/>
      <c r="F587" s="9"/>
      <c r="G587" s="9"/>
      <c r="H587" s="9"/>
      <c r="I587" s="9"/>
      <c r="J587" s="9"/>
      <c r="K587" s="9"/>
      <c r="L587" s="9"/>
      <c r="M587" s="9"/>
      <c r="N587" s="9"/>
      <c r="O587" s="9"/>
      <c r="P587" s="9"/>
      <c r="Q587" s="9"/>
    </row>
    <row r="588" spans="4:17" s="301" customFormat="1" ht="15" customHeight="1">
      <c r="D588" s="10"/>
      <c r="E588" s="10"/>
      <c r="F588" s="9"/>
      <c r="G588" s="9"/>
      <c r="H588" s="9"/>
      <c r="I588" s="9"/>
      <c r="J588" s="9"/>
      <c r="K588" s="9"/>
      <c r="L588" s="9"/>
      <c r="M588" s="9"/>
      <c r="N588" s="9"/>
      <c r="O588" s="9"/>
      <c r="P588" s="9"/>
      <c r="Q588" s="9"/>
    </row>
    <row r="589" spans="4:17" s="301" customFormat="1" ht="15" customHeight="1">
      <c r="D589" s="10"/>
      <c r="E589" s="10"/>
      <c r="F589" s="9"/>
      <c r="G589" s="9"/>
      <c r="H589" s="9"/>
      <c r="I589" s="9"/>
      <c r="J589" s="9"/>
      <c r="K589" s="9"/>
      <c r="L589" s="9"/>
      <c r="M589" s="9"/>
      <c r="N589" s="9"/>
      <c r="O589" s="9"/>
      <c r="P589" s="9"/>
      <c r="Q589" s="9"/>
    </row>
    <row r="590" spans="4:17" s="301" customFormat="1" ht="15" customHeight="1">
      <c r="D590" s="10"/>
      <c r="E590" s="10"/>
      <c r="F590" s="9"/>
      <c r="G590" s="9"/>
      <c r="H590" s="9"/>
      <c r="I590" s="9"/>
      <c r="J590" s="9"/>
      <c r="K590" s="9"/>
      <c r="L590" s="9"/>
      <c r="M590" s="9"/>
      <c r="N590" s="9"/>
      <c r="O590" s="9"/>
      <c r="P590" s="9"/>
      <c r="Q590" s="9"/>
    </row>
    <row r="591" spans="4:17" s="301" customFormat="1" ht="15" customHeight="1">
      <c r="D591" s="10"/>
      <c r="E591" s="10"/>
      <c r="F591" s="9"/>
      <c r="G591" s="9"/>
      <c r="H591" s="9"/>
      <c r="I591" s="9"/>
      <c r="J591" s="9"/>
      <c r="K591" s="9"/>
      <c r="L591" s="9"/>
      <c r="M591" s="9"/>
      <c r="N591" s="9"/>
      <c r="O591" s="9"/>
      <c r="P591" s="9"/>
      <c r="Q591" s="9"/>
    </row>
    <row r="592" spans="4:17" s="301" customFormat="1" ht="15" customHeight="1">
      <c r="D592" s="10"/>
      <c r="E592" s="10"/>
      <c r="F592" s="9"/>
      <c r="G592" s="9"/>
      <c r="H592" s="9"/>
      <c r="I592" s="9"/>
      <c r="J592" s="9"/>
      <c r="K592" s="9"/>
      <c r="L592" s="9"/>
      <c r="M592" s="9"/>
      <c r="N592" s="9"/>
      <c r="O592" s="9"/>
      <c r="P592" s="9"/>
      <c r="Q592" s="9"/>
    </row>
    <row r="593" spans="4:17" s="301" customFormat="1" ht="15" customHeight="1">
      <c r="D593" s="10"/>
      <c r="E593" s="10"/>
      <c r="F593" s="9"/>
      <c r="G593" s="9"/>
      <c r="H593" s="9"/>
      <c r="I593" s="9"/>
      <c r="J593" s="9"/>
      <c r="K593" s="9"/>
      <c r="L593" s="9"/>
      <c r="M593" s="9"/>
      <c r="N593" s="9"/>
      <c r="O593" s="9"/>
      <c r="P593" s="9"/>
      <c r="Q593" s="9"/>
    </row>
    <row r="594" spans="4:17" s="301" customFormat="1" ht="15" customHeight="1">
      <c r="D594" s="10"/>
      <c r="E594" s="10"/>
      <c r="F594" s="9"/>
      <c r="G594" s="9"/>
      <c r="H594" s="9"/>
      <c r="I594" s="9"/>
      <c r="J594" s="9"/>
      <c r="K594" s="9"/>
      <c r="L594" s="9"/>
      <c r="M594" s="9"/>
      <c r="N594" s="9"/>
      <c r="O594" s="9"/>
      <c r="P594" s="9"/>
      <c r="Q594" s="9"/>
    </row>
    <row r="595" spans="4:17" s="301" customFormat="1" ht="15" customHeight="1">
      <c r="D595" s="10"/>
      <c r="E595" s="10"/>
      <c r="F595" s="9"/>
      <c r="G595" s="9"/>
      <c r="H595" s="9"/>
      <c r="I595" s="9"/>
      <c r="J595" s="9"/>
      <c r="K595" s="9"/>
      <c r="L595" s="9"/>
      <c r="M595" s="9"/>
      <c r="N595" s="9"/>
      <c r="O595" s="9"/>
      <c r="P595" s="9"/>
      <c r="Q595" s="9"/>
    </row>
    <row r="596" spans="4:17" s="301" customFormat="1" ht="15" customHeight="1">
      <c r="D596" s="10"/>
      <c r="E596" s="10"/>
      <c r="F596" s="9"/>
      <c r="G596" s="9"/>
      <c r="H596" s="9"/>
      <c r="I596" s="9"/>
      <c r="J596" s="9"/>
      <c r="K596" s="9"/>
      <c r="L596" s="9"/>
      <c r="M596" s="9"/>
      <c r="N596" s="9"/>
      <c r="O596" s="9"/>
      <c r="P596" s="9"/>
      <c r="Q596" s="9"/>
    </row>
    <row r="597" spans="4:17" s="301" customFormat="1" ht="15" customHeight="1">
      <c r="D597" s="10"/>
      <c r="E597" s="10"/>
      <c r="F597" s="9"/>
      <c r="G597" s="9"/>
      <c r="H597" s="9"/>
      <c r="I597" s="9"/>
      <c r="J597" s="9"/>
      <c r="K597" s="9"/>
      <c r="L597" s="9"/>
      <c r="M597" s="9"/>
      <c r="N597" s="9"/>
      <c r="O597" s="9"/>
      <c r="P597" s="9"/>
      <c r="Q597" s="9"/>
    </row>
    <row r="598" spans="4:17" s="301" customFormat="1" ht="15" customHeight="1">
      <c r="D598" s="10"/>
      <c r="E598" s="10"/>
      <c r="F598" s="9"/>
      <c r="G598" s="9"/>
      <c r="H598" s="9"/>
      <c r="I598" s="9"/>
      <c r="J598" s="9"/>
      <c r="K598" s="9"/>
      <c r="L598" s="9"/>
      <c r="M598" s="9"/>
      <c r="N598" s="9"/>
      <c r="O598" s="9"/>
      <c r="P598" s="9"/>
      <c r="Q598" s="9"/>
    </row>
    <row r="599" spans="4:17" s="301" customFormat="1" ht="15" customHeight="1">
      <c r="D599" s="10"/>
      <c r="E599" s="10"/>
      <c r="F599" s="9"/>
      <c r="G599" s="9"/>
      <c r="H599" s="9"/>
      <c r="I599" s="9"/>
      <c r="J599" s="9"/>
      <c r="K599" s="9"/>
      <c r="L599" s="9"/>
      <c r="M599" s="9"/>
      <c r="N599" s="9"/>
      <c r="O599" s="9"/>
      <c r="P599" s="9"/>
      <c r="Q599" s="9"/>
    </row>
    <row r="600" spans="4:17" s="301" customFormat="1" ht="15" customHeight="1">
      <c r="D600" s="10"/>
      <c r="E600" s="10"/>
      <c r="F600" s="9"/>
      <c r="G600" s="9"/>
      <c r="H600" s="9"/>
      <c r="I600" s="9"/>
      <c r="J600" s="9"/>
      <c r="K600" s="9"/>
      <c r="L600" s="9"/>
      <c r="M600" s="9"/>
      <c r="N600" s="9"/>
      <c r="O600" s="9"/>
      <c r="P600" s="9"/>
      <c r="Q600" s="9"/>
    </row>
    <row r="601" spans="4:17" s="301" customFormat="1" ht="15" customHeight="1">
      <c r="D601" s="10"/>
      <c r="E601" s="10"/>
      <c r="F601" s="9"/>
      <c r="G601" s="9"/>
      <c r="H601" s="9"/>
      <c r="I601" s="9"/>
      <c r="J601" s="9"/>
      <c r="K601" s="9"/>
      <c r="L601" s="9"/>
      <c r="M601" s="9"/>
      <c r="N601" s="9"/>
      <c r="O601" s="9"/>
      <c r="P601" s="9"/>
      <c r="Q601" s="9"/>
    </row>
    <row r="602" spans="4:17" s="301" customFormat="1" ht="15" customHeight="1">
      <c r="D602" s="10"/>
      <c r="E602" s="10"/>
      <c r="F602" s="9"/>
      <c r="G602" s="9"/>
      <c r="H602" s="9"/>
      <c r="I602" s="9"/>
      <c r="J602" s="9"/>
      <c r="K602" s="9"/>
      <c r="L602" s="9"/>
      <c r="M602" s="9"/>
      <c r="N602" s="9"/>
      <c r="O602" s="9"/>
      <c r="P602" s="9"/>
      <c r="Q602" s="9"/>
    </row>
    <row r="603" spans="4:17" s="301" customFormat="1" ht="15" customHeight="1">
      <c r="D603" s="10"/>
      <c r="E603" s="10"/>
      <c r="F603" s="9"/>
      <c r="G603" s="9"/>
      <c r="H603" s="9"/>
      <c r="I603" s="9"/>
      <c r="J603" s="9"/>
      <c r="K603" s="9"/>
      <c r="L603" s="9"/>
      <c r="M603" s="9"/>
      <c r="N603" s="9"/>
      <c r="O603" s="9"/>
      <c r="P603" s="9"/>
      <c r="Q603" s="9"/>
    </row>
    <row r="604" spans="4:17" s="301" customFormat="1" ht="15" customHeight="1">
      <c r="D604" s="10"/>
      <c r="E604" s="10"/>
      <c r="F604" s="9"/>
      <c r="G604" s="9"/>
      <c r="H604" s="9"/>
      <c r="I604" s="9"/>
      <c r="J604" s="9"/>
      <c r="K604" s="9"/>
      <c r="L604" s="9"/>
      <c r="M604" s="9"/>
      <c r="N604" s="9"/>
      <c r="O604" s="9"/>
      <c r="P604" s="9"/>
      <c r="Q604" s="9"/>
    </row>
    <row r="605" spans="4:17" s="301" customFormat="1" ht="15" customHeight="1">
      <c r="D605" s="10"/>
      <c r="E605" s="10"/>
      <c r="F605" s="9"/>
      <c r="G605" s="9"/>
      <c r="H605" s="9"/>
      <c r="I605" s="9"/>
      <c r="J605" s="9"/>
      <c r="K605" s="9"/>
      <c r="L605" s="9"/>
      <c r="M605" s="9"/>
      <c r="N605" s="9"/>
      <c r="O605" s="9"/>
      <c r="P605" s="9"/>
      <c r="Q605" s="9"/>
    </row>
    <row r="606" spans="4:17" s="301" customFormat="1" ht="15" customHeight="1">
      <c r="D606" s="10"/>
      <c r="E606" s="10"/>
      <c r="F606" s="9"/>
      <c r="G606" s="9"/>
      <c r="H606" s="9"/>
      <c r="I606" s="9"/>
      <c r="J606" s="9"/>
      <c r="K606" s="9"/>
      <c r="L606" s="9"/>
      <c r="M606" s="9"/>
      <c r="N606" s="9"/>
      <c r="O606" s="9"/>
      <c r="P606" s="9"/>
      <c r="Q606" s="9"/>
    </row>
    <row r="607" spans="4:17" s="301" customFormat="1" ht="15" customHeight="1">
      <c r="D607" s="10"/>
      <c r="E607" s="10"/>
      <c r="F607" s="9"/>
      <c r="G607" s="9"/>
      <c r="H607" s="9"/>
      <c r="I607" s="9"/>
      <c r="J607" s="9"/>
      <c r="K607" s="9"/>
      <c r="L607" s="9"/>
      <c r="M607" s="9"/>
      <c r="N607" s="9"/>
      <c r="O607" s="9"/>
      <c r="P607" s="9"/>
      <c r="Q607" s="9"/>
    </row>
    <row r="608" spans="4:17" s="301" customFormat="1" ht="15" customHeight="1">
      <c r="D608" s="10"/>
      <c r="E608" s="10"/>
      <c r="F608" s="9"/>
      <c r="G608" s="9"/>
      <c r="H608" s="9"/>
      <c r="I608" s="9"/>
      <c r="J608" s="9"/>
      <c r="K608" s="9"/>
      <c r="L608" s="9"/>
      <c r="M608" s="9"/>
      <c r="N608" s="9"/>
      <c r="O608" s="9"/>
      <c r="P608" s="9"/>
      <c r="Q608" s="9"/>
    </row>
    <row r="609" spans="4:17" s="301" customFormat="1" ht="15" customHeight="1">
      <c r="D609" s="10"/>
      <c r="E609" s="10"/>
      <c r="F609" s="9"/>
      <c r="G609" s="9"/>
      <c r="H609" s="9"/>
      <c r="I609" s="9"/>
      <c r="J609" s="9"/>
      <c r="K609" s="9"/>
      <c r="L609" s="9"/>
      <c r="M609" s="9"/>
      <c r="N609" s="9"/>
      <c r="O609" s="9"/>
      <c r="P609" s="9"/>
      <c r="Q609" s="9"/>
    </row>
    <row r="610" spans="4:17" s="301" customFormat="1" ht="15" customHeight="1">
      <c r="D610" s="10"/>
      <c r="E610" s="10"/>
      <c r="F610" s="9"/>
      <c r="G610" s="9"/>
      <c r="H610" s="9"/>
      <c r="I610" s="9"/>
      <c r="J610" s="9"/>
      <c r="K610" s="9"/>
      <c r="L610" s="9"/>
      <c r="M610" s="9"/>
      <c r="N610" s="9"/>
      <c r="O610" s="9"/>
      <c r="P610" s="9"/>
      <c r="Q610" s="9"/>
    </row>
    <row r="611" spans="4:17" s="301" customFormat="1" ht="15" customHeight="1">
      <c r="D611" s="10"/>
      <c r="E611" s="10"/>
      <c r="F611" s="9"/>
      <c r="G611" s="9"/>
      <c r="H611" s="9"/>
      <c r="I611" s="9"/>
      <c r="J611" s="9"/>
      <c r="K611" s="9"/>
      <c r="L611" s="9"/>
      <c r="M611" s="9"/>
      <c r="N611" s="9"/>
      <c r="O611" s="9"/>
      <c r="P611" s="9"/>
      <c r="Q611" s="9"/>
    </row>
    <row r="612" spans="4:17" s="301" customFormat="1" ht="15" customHeight="1">
      <c r="D612" s="10"/>
      <c r="E612" s="10"/>
      <c r="F612" s="9"/>
      <c r="G612" s="9"/>
      <c r="H612" s="9"/>
      <c r="I612" s="9"/>
      <c r="J612" s="9"/>
      <c r="K612" s="9"/>
      <c r="L612" s="9"/>
      <c r="M612" s="9"/>
      <c r="N612" s="9"/>
      <c r="O612" s="9"/>
      <c r="P612" s="9"/>
      <c r="Q612" s="9"/>
    </row>
    <row r="613" spans="4:17" s="301" customFormat="1" ht="15" customHeight="1">
      <c r="D613" s="10"/>
      <c r="E613" s="10"/>
      <c r="F613" s="9"/>
      <c r="G613" s="9"/>
      <c r="H613" s="9"/>
      <c r="I613" s="9"/>
      <c r="J613" s="9"/>
      <c r="K613" s="9"/>
      <c r="L613" s="9"/>
      <c r="M613" s="9"/>
      <c r="N613" s="9"/>
      <c r="O613" s="9"/>
      <c r="P613" s="9"/>
      <c r="Q613" s="9"/>
    </row>
    <row r="614" spans="4:17" s="301" customFormat="1" ht="15" customHeight="1">
      <c r="D614" s="10"/>
      <c r="E614" s="10"/>
      <c r="F614" s="9"/>
      <c r="G614" s="9"/>
      <c r="H614" s="9"/>
      <c r="I614" s="9"/>
      <c r="J614" s="9"/>
      <c r="K614" s="9"/>
      <c r="L614" s="9"/>
      <c r="M614" s="9"/>
      <c r="N614" s="9"/>
      <c r="O614" s="9"/>
      <c r="P614" s="9"/>
      <c r="Q614" s="9"/>
    </row>
    <row r="615" spans="4:17" s="301" customFormat="1" ht="15" customHeight="1">
      <c r="D615" s="10"/>
      <c r="E615" s="10"/>
      <c r="F615" s="9"/>
      <c r="G615" s="9"/>
      <c r="H615" s="9"/>
      <c r="I615" s="9"/>
      <c r="J615" s="9"/>
      <c r="K615" s="9"/>
      <c r="L615" s="9"/>
      <c r="M615" s="9"/>
      <c r="N615" s="9"/>
      <c r="O615" s="9"/>
      <c r="P615" s="9"/>
      <c r="Q615" s="9"/>
    </row>
    <row r="616" spans="4:17" s="301" customFormat="1" ht="15" customHeight="1">
      <c r="D616" s="10"/>
      <c r="E616" s="10"/>
      <c r="F616" s="9"/>
      <c r="G616" s="9"/>
      <c r="H616" s="9"/>
      <c r="I616" s="9"/>
      <c r="J616" s="9"/>
      <c r="K616" s="9"/>
      <c r="L616" s="9"/>
      <c r="M616" s="9"/>
      <c r="N616" s="9"/>
      <c r="O616" s="9"/>
      <c r="P616" s="9"/>
      <c r="Q616" s="9"/>
    </row>
    <row r="617" spans="4:17" s="301" customFormat="1" ht="15" customHeight="1">
      <c r="D617" s="10"/>
      <c r="E617" s="10"/>
      <c r="F617" s="9"/>
      <c r="G617" s="9"/>
      <c r="H617" s="9"/>
      <c r="I617" s="9"/>
      <c r="J617" s="9"/>
      <c r="K617" s="9"/>
      <c r="L617" s="9"/>
      <c r="M617" s="9"/>
      <c r="N617" s="9"/>
      <c r="O617" s="9"/>
      <c r="P617" s="9"/>
      <c r="Q617" s="9"/>
    </row>
    <row r="618" spans="4:17" s="301" customFormat="1" ht="15" customHeight="1">
      <c r="D618" s="10"/>
      <c r="E618" s="10"/>
      <c r="F618" s="9"/>
      <c r="G618" s="9"/>
      <c r="H618" s="9"/>
      <c r="I618" s="9"/>
      <c r="J618" s="9"/>
      <c r="K618" s="9"/>
      <c r="L618" s="9"/>
      <c r="M618" s="9"/>
      <c r="N618" s="9"/>
      <c r="O618" s="9"/>
      <c r="P618" s="9"/>
      <c r="Q618" s="9"/>
    </row>
    <row r="619" spans="4:17" s="301" customFormat="1" ht="15" customHeight="1">
      <c r="D619" s="10"/>
      <c r="E619" s="10"/>
      <c r="F619" s="9"/>
      <c r="G619" s="9"/>
      <c r="H619" s="9"/>
      <c r="I619" s="9"/>
      <c r="J619" s="9"/>
      <c r="K619" s="9"/>
      <c r="L619" s="9"/>
      <c r="M619" s="9"/>
      <c r="N619" s="9"/>
      <c r="O619" s="9"/>
      <c r="P619" s="9"/>
      <c r="Q619" s="9"/>
    </row>
    <row r="620" spans="4:17" s="301" customFormat="1" ht="15" customHeight="1">
      <c r="D620" s="10"/>
      <c r="E620" s="10"/>
      <c r="F620" s="9"/>
      <c r="G620" s="9"/>
      <c r="H620" s="9"/>
      <c r="I620" s="9"/>
      <c r="J620" s="9"/>
      <c r="K620" s="9"/>
      <c r="L620" s="9"/>
      <c r="M620" s="9"/>
      <c r="N620" s="9"/>
      <c r="O620" s="9"/>
      <c r="P620" s="9"/>
      <c r="Q620" s="9"/>
    </row>
    <row r="621" spans="4:17" s="301" customFormat="1" ht="15" customHeight="1">
      <c r="D621" s="10"/>
      <c r="E621" s="10"/>
      <c r="F621" s="9"/>
      <c r="G621" s="9"/>
      <c r="H621" s="9"/>
      <c r="I621" s="9"/>
      <c r="J621" s="9"/>
      <c r="K621" s="9"/>
      <c r="L621" s="9"/>
      <c r="M621" s="9"/>
      <c r="N621" s="9"/>
      <c r="O621" s="9"/>
      <c r="P621" s="9"/>
      <c r="Q621" s="9"/>
    </row>
    <row r="622" spans="4:17" s="301" customFormat="1" ht="15" customHeight="1">
      <c r="D622" s="10"/>
      <c r="E622" s="10"/>
      <c r="F622" s="9"/>
      <c r="G622" s="9"/>
      <c r="H622" s="9"/>
      <c r="I622" s="9"/>
      <c r="J622" s="9"/>
      <c r="K622" s="9"/>
      <c r="L622" s="9"/>
      <c r="M622" s="9"/>
      <c r="N622" s="9"/>
      <c r="O622" s="9"/>
      <c r="P622" s="9"/>
      <c r="Q622" s="9"/>
    </row>
    <row r="623" spans="4:17" s="301" customFormat="1" ht="15" customHeight="1">
      <c r="D623" s="10"/>
      <c r="E623" s="10"/>
      <c r="F623" s="9"/>
      <c r="G623" s="9"/>
      <c r="H623" s="9"/>
      <c r="I623" s="9"/>
      <c r="J623" s="9"/>
      <c r="K623" s="9"/>
      <c r="L623" s="9"/>
      <c r="M623" s="9"/>
      <c r="N623" s="9"/>
      <c r="O623" s="9"/>
      <c r="P623" s="9"/>
      <c r="Q623" s="9"/>
    </row>
    <row r="624" spans="4:17" s="301" customFormat="1" ht="15" customHeight="1">
      <c r="D624" s="10"/>
      <c r="E624" s="10"/>
      <c r="F624" s="9"/>
      <c r="G624" s="9"/>
      <c r="H624" s="9"/>
      <c r="I624" s="9"/>
      <c r="J624" s="9"/>
      <c r="K624" s="9"/>
      <c r="L624" s="9"/>
      <c r="M624" s="9"/>
      <c r="N624" s="9"/>
      <c r="O624" s="9"/>
      <c r="P624" s="9"/>
      <c r="Q624" s="9"/>
    </row>
    <row r="625" spans="4:17" s="301" customFormat="1" ht="15" customHeight="1">
      <c r="D625" s="10"/>
      <c r="E625" s="10"/>
      <c r="F625" s="9"/>
      <c r="G625" s="9"/>
      <c r="H625" s="9"/>
      <c r="I625" s="9"/>
      <c r="J625" s="9"/>
      <c r="K625" s="9"/>
      <c r="L625" s="9"/>
      <c r="M625" s="9"/>
      <c r="N625" s="9"/>
      <c r="O625" s="9"/>
      <c r="P625" s="9"/>
      <c r="Q625" s="9"/>
    </row>
    <row r="626" spans="4:17" s="301" customFormat="1" ht="15" customHeight="1">
      <c r="D626" s="10"/>
      <c r="E626" s="10"/>
      <c r="F626" s="9"/>
      <c r="G626" s="9"/>
      <c r="H626" s="9"/>
      <c r="I626" s="9"/>
      <c r="J626" s="9"/>
      <c r="K626" s="9"/>
      <c r="L626" s="9"/>
      <c r="M626" s="9"/>
      <c r="N626" s="9"/>
      <c r="O626" s="9"/>
      <c r="P626" s="9"/>
      <c r="Q626" s="9"/>
    </row>
    <row r="627" spans="4:17" s="301" customFormat="1" ht="15" customHeight="1">
      <c r="D627" s="10"/>
      <c r="E627" s="10"/>
      <c r="F627" s="9"/>
      <c r="G627" s="9"/>
      <c r="H627" s="9"/>
      <c r="I627" s="9"/>
      <c r="J627" s="9"/>
      <c r="K627" s="9"/>
      <c r="L627" s="9"/>
      <c r="M627" s="9"/>
      <c r="N627" s="9"/>
      <c r="O627" s="9"/>
      <c r="P627" s="9"/>
      <c r="Q627" s="9"/>
    </row>
    <row r="628" spans="4:17" s="301" customFormat="1" ht="15" customHeight="1">
      <c r="D628" s="10"/>
      <c r="E628" s="10"/>
      <c r="F628" s="9"/>
      <c r="G628" s="9"/>
      <c r="H628" s="9"/>
      <c r="I628" s="9"/>
      <c r="J628" s="9"/>
      <c r="K628" s="9"/>
      <c r="L628" s="9"/>
      <c r="M628" s="9"/>
      <c r="N628" s="9"/>
      <c r="O628" s="9"/>
      <c r="P628" s="9"/>
      <c r="Q628" s="9"/>
    </row>
    <row r="629" spans="4:17" s="301" customFormat="1" ht="15" customHeight="1">
      <c r="D629" s="10"/>
      <c r="E629" s="10"/>
      <c r="F629" s="9"/>
      <c r="G629" s="9"/>
      <c r="H629" s="9"/>
      <c r="I629" s="9"/>
      <c r="J629" s="9"/>
      <c r="K629" s="9"/>
      <c r="L629" s="9"/>
      <c r="M629" s="9"/>
      <c r="N629" s="9"/>
      <c r="O629" s="9"/>
      <c r="P629" s="9"/>
      <c r="Q629" s="9"/>
    </row>
    <row r="630" spans="4:17" s="301" customFormat="1" ht="15" customHeight="1">
      <c r="D630" s="10"/>
      <c r="E630" s="10"/>
      <c r="F630" s="9"/>
      <c r="G630" s="9"/>
      <c r="H630" s="9"/>
      <c r="I630" s="9"/>
      <c r="J630" s="9"/>
      <c r="K630" s="9"/>
      <c r="L630" s="9"/>
      <c r="M630" s="9"/>
      <c r="N630" s="9"/>
      <c r="O630" s="9"/>
      <c r="P630" s="9"/>
      <c r="Q630" s="9"/>
    </row>
    <row r="631" spans="4:17" s="301" customFormat="1" ht="15" customHeight="1">
      <c r="D631" s="10"/>
      <c r="E631" s="10"/>
      <c r="F631" s="9"/>
      <c r="G631" s="9"/>
      <c r="H631" s="9"/>
      <c r="I631" s="9"/>
      <c r="J631" s="9"/>
      <c r="K631" s="9"/>
      <c r="L631" s="9"/>
      <c r="M631" s="9"/>
      <c r="N631" s="9"/>
      <c r="O631" s="9"/>
      <c r="P631" s="9"/>
      <c r="Q631" s="9"/>
    </row>
    <row r="632" spans="4:17" s="301" customFormat="1" ht="15" customHeight="1">
      <c r="D632" s="10"/>
      <c r="E632" s="10"/>
      <c r="F632" s="9"/>
      <c r="G632" s="9"/>
      <c r="H632" s="9"/>
      <c r="I632" s="9"/>
      <c r="J632" s="9"/>
      <c r="K632" s="9"/>
      <c r="L632" s="9"/>
      <c r="M632" s="9"/>
      <c r="N632" s="9"/>
      <c r="O632" s="9"/>
      <c r="P632" s="9"/>
      <c r="Q632" s="9"/>
    </row>
    <row r="633" spans="4:17" s="301" customFormat="1" ht="15" customHeight="1">
      <c r="D633" s="10"/>
      <c r="E633" s="10"/>
      <c r="F633" s="9"/>
      <c r="G633" s="9"/>
      <c r="H633" s="9"/>
      <c r="I633" s="9"/>
      <c r="J633" s="9"/>
      <c r="K633" s="9"/>
      <c r="L633" s="9"/>
      <c r="M633" s="9"/>
      <c r="N633" s="9"/>
      <c r="O633" s="9"/>
      <c r="P633" s="9"/>
      <c r="Q633" s="9"/>
    </row>
    <row r="634" spans="4:17" s="301" customFormat="1" ht="15" customHeight="1">
      <c r="D634" s="10"/>
      <c r="E634" s="10"/>
      <c r="F634" s="9"/>
      <c r="G634" s="9"/>
      <c r="H634" s="9"/>
      <c r="I634" s="9"/>
      <c r="J634" s="9"/>
      <c r="K634" s="9"/>
      <c r="L634" s="9"/>
      <c r="M634" s="9"/>
      <c r="N634" s="9"/>
      <c r="O634" s="9"/>
      <c r="P634" s="9"/>
      <c r="Q634" s="9"/>
    </row>
    <row r="635" spans="4:17" s="301" customFormat="1" ht="15" customHeight="1">
      <c r="D635" s="10"/>
      <c r="E635" s="10"/>
      <c r="F635" s="9"/>
      <c r="G635" s="9"/>
      <c r="H635" s="9"/>
      <c r="I635" s="9"/>
      <c r="J635" s="9"/>
      <c r="K635" s="9"/>
      <c r="L635" s="9"/>
      <c r="M635" s="9"/>
      <c r="N635" s="9"/>
      <c r="O635" s="9"/>
      <c r="P635" s="9"/>
      <c r="Q635" s="9"/>
    </row>
    <row r="636" spans="4:17" s="301" customFormat="1" ht="15" customHeight="1">
      <c r="D636" s="10"/>
      <c r="E636" s="10"/>
      <c r="F636" s="9"/>
      <c r="G636" s="9"/>
      <c r="H636" s="9"/>
      <c r="I636" s="9"/>
      <c r="J636" s="9"/>
      <c r="K636" s="9"/>
      <c r="L636" s="9"/>
      <c r="M636" s="9"/>
      <c r="N636" s="9"/>
      <c r="O636" s="9"/>
      <c r="P636" s="9"/>
      <c r="Q636" s="9"/>
    </row>
    <row r="637" spans="4:17" s="301" customFormat="1" ht="15" customHeight="1">
      <c r="D637" s="10"/>
      <c r="E637" s="10"/>
      <c r="F637" s="9"/>
      <c r="G637" s="9"/>
      <c r="H637" s="9"/>
      <c r="I637" s="9"/>
      <c r="J637" s="9"/>
      <c r="K637" s="9"/>
      <c r="L637" s="9"/>
      <c r="M637" s="9"/>
      <c r="N637" s="9"/>
      <c r="O637" s="9"/>
      <c r="P637" s="9"/>
      <c r="Q637" s="9"/>
    </row>
    <row r="638" spans="4:17" s="301" customFormat="1" ht="15" customHeight="1">
      <c r="D638" s="10"/>
      <c r="E638" s="10"/>
      <c r="F638" s="9"/>
      <c r="G638" s="9"/>
      <c r="H638" s="9"/>
      <c r="I638" s="9"/>
      <c r="J638" s="9"/>
      <c r="K638" s="9"/>
      <c r="L638" s="9"/>
      <c r="M638" s="9"/>
      <c r="N638" s="9"/>
      <c r="O638" s="9"/>
      <c r="P638" s="9"/>
      <c r="Q638" s="9"/>
    </row>
    <row r="639" spans="4:17" s="301" customFormat="1" ht="15" customHeight="1">
      <c r="D639" s="10"/>
      <c r="E639" s="10"/>
      <c r="F639" s="9"/>
      <c r="G639" s="9"/>
      <c r="H639" s="9"/>
      <c r="I639" s="9"/>
      <c r="J639" s="9"/>
      <c r="K639" s="9"/>
      <c r="L639" s="9"/>
      <c r="M639" s="9"/>
      <c r="N639" s="9"/>
      <c r="O639" s="9"/>
      <c r="P639" s="9"/>
      <c r="Q639" s="9"/>
    </row>
    <row r="640" spans="4:17" s="301" customFormat="1" ht="15" customHeight="1">
      <c r="D640" s="10"/>
      <c r="E640" s="10"/>
      <c r="F640" s="9"/>
      <c r="G640" s="9"/>
      <c r="H640" s="9"/>
      <c r="I640" s="9"/>
      <c r="J640" s="9"/>
      <c r="K640" s="9"/>
      <c r="L640" s="9"/>
      <c r="M640" s="9"/>
      <c r="N640" s="9"/>
      <c r="O640" s="9"/>
      <c r="P640" s="9"/>
      <c r="Q640" s="9"/>
    </row>
    <row r="641" spans="4:17" s="301" customFormat="1" ht="15" customHeight="1">
      <c r="D641" s="10"/>
      <c r="E641" s="10"/>
      <c r="F641" s="9"/>
      <c r="G641" s="9"/>
      <c r="H641" s="9"/>
      <c r="I641" s="9"/>
      <c r="J641" s="9"/>
      <c r="K641" s="9"/>
      <c r="L641" s="9"/>
      <c r="M641" s="9"/>
      <c r="N641" s="9"/>
      <c r="O641" s="9"/>
      <c r="P641" s="9"/>
      <c r="Q641" s="9"/>
    </row>
    <row r="642" spans="4:17" s="301" customFormat="1" ht="15" customHeight="1">
      <c r="D642" s="10"/>
      <c r="E642" s="10"/>
      <c r="F642" s="9"/>
      <c r="G642" s="9"/>
      <c r="H642" s="9"/>
      <c r="I642" s="9"/>
      <c r="J642" s="9"/>
      <c r="K642" s="9"/>
      <c r="L642" s="9"/>
      <c r="M642" s="9"/>
      <c r="N642" s="9"/>
      <c r="O642" s="9"/>
      <c r="P642" s="9"/>
      <c r="Q642" s="9"/>
    </row>
    <row r="643" spans="4:17" s="301" customFormat="1" ht="15" customHeight="1">
      <c r="D643" s="10"/>
      <c r="E643" s="10"/>
      <c r="F643" s="9"/>
      <c r="G643" s="9"/>
      <c r="H643" s="9"/>
      <c r="I643" s="9"/>
      <c r="J643" s="9"/>
      <c r="K643" s="9"/>
      <c r="L643" s="9"/>
      <c r="M643" s="9"/>
      <c r="N643" s="9"/>
      <c r="O643" s="9"/>
      <c r="P643" s="9"/>
      <c r="Q643" s="9"/>
    </row>
    <row r="644" spans="4:17" s="301" customFormat="1" ht="15" customHeight="1">
      <c r="D644" s="10"/>
      <c r="E644" s="10"/>
      <c r="F644" s="9"/>
      <c r="G644" s="9"/>
      <c r="H644" s="9"/>
      <c r="I644" s="9"/>
      <c r="J644" s="9"/>
      <c r="K644" s="9"/>
      <c r="L644" s="9"/>
      <c r="M644" s="9"/>
      <c r="N644" s="9"/>
      <c r="O644" s="9"/>
      <c r="P644" s="9"/>
      <c r="Q644" s="9"/>
    </row>
    <row r="645" spans="4:17" s="301" customFormat="1" ht="15" customHeight="1">
      <c r="D645" s="10"/>
      <c r="E645" s="10"/>
      <c r="F645" s="9"/>
      <c r="G645" s="9"/>
      <c r="H645" s="9"/>
      <c r="I645" s="9"/>
      <c r="J645" s="9"/>
      <c r="K645" s="9"/>
      <c r="L645" s="9"/>
      <c r="M645" s="9"/>
      <c r="N645" s="9"/>
      <c r="O645" s="9"/>
      <c r="P645" s="9"/>
      <c r="Q645" s="9"/>
    </row>
    <row r="646" spans="4:17" s="301" customFormat="1" ht="15" customHeight="1">
      <c r="D646" s="10"/>
      <c r="E646" s="10"/>
      <c r="F646" s="9"/>
      <c r="G646" s="9"/>
      <c r="H646" s="9"/>
      <c r="I646" s="9"/>
      <c r="J646" s="9"/>
      <c r="K646" s="9"/>
      <c r="L646" s="9"/>
      <c r="M646" s="9"/>
      <c r="N646" s="9"/>
      <c r="O646" s="9"/>
      <c r="P646" s="9"/>
      <c r="Q646" s="9"/>
    </row>
    <row r="647" spans="4:17" s="301" customFormat="1" ht="15" customHeight="1">
      <c r="D647" s="10"/>
      <c r="E647" s="10"/>
      <c r="F647" s="9"/>
      <c r="G647" s="9"/>
      <c r="H647" s="9"/>
      <c r="I647" s="9"/>
      <c r="J647" s="9"/>
      <c r="K647" s="9"/>
      <c r="L647" s="9"/>
      <c r="M647" s="9"/>
      <c r="N647" s="9"/>
      <c r="O647" s="9"/>
      <c r="P647" s="9"/>
      <c r="Q647" s="9"/>
    </row>
    <row r="648" spans="4:17" s="301" customFormat="1" ht="15" customHeight="1">
      <c r="D648" s="10"/>
      <c r="E648" s="10"/>
      <c r="F648" s="9"/>
      <c r="G648" s="9"/>
      <c r="H648" s="9"/>
      <c r="I648" s="9"/>
      <c r="J648" s="9"/>
      <c r="K648" s="9"/>
      <c r="L648" s="9"/>
      <c r="M648" s="9"/>
      <c r="N648" s="9"/>
      <c r="O648" s="9"/>
      <c r="P648" s="9"/>
      <c r="Q648" s="9"/>
    </row>
    <row r="649" spans="4:17" s="301" customFormat="1" ht="15" customHeight="1">
      <c r="D649" s="10"/>
      <c r="E649" s="10"/>
      <c r="F649" s="9"/>
      <c r="G649" s="9"/>
      <c r="H649" s="9"/>
      <c r="I649" s="9"/>
      <c r="J649" s="9"/>
      <c r="K649" s="9"/>
      <c r="L649" s="9"/>
      <c r="M649" s="9"/>
      <c r="N649" s="9"/>
      <c r="O649" s="9"/>
      <c r="P649" s="9"/>
      <c r="Q649" s="9"/>
    </row>
    <row r="650" spans="4:17" s="301" customFormat="1" ht="15" customHeight="1">
      <c r="D650" s="10"/>
      <c r="E650" s="10"/>
      <c r="F650" s="9"/>
      <c r="G650" s="9"/>
      <c r="H650" s="9"/>
      <c r="I650" s="9"/>
      <c r="J650" s="9"/>
      <c r="K650" s="9"/>
      <c r="L650" s="9"/>
      <c r="M650" s="9"/>
      <c r="N650" s="9"/>
      <c r="O650" s="9"/>
      <c r="P650" s="9"/>
      <c r="Q650" s="9"/>
    </row>
    <row r="651" spans="4:17" s="301" customFormat="1" ht="15" customHeight="1">
      <c r="D651" s="10"/>
      <c r="E651" s="10"/>
      <c r="F651" s="9"/>
      <c r="G651" s="9"/>
      <c r="H651" s="9"/>
      <c r="I651" s="9"/>
      <c r="J651" s="9"/>
      <c r="K651" s="9"/>
      <c r="L651" s="9"/>
      <c r="M651" s="9"/>
      <c r="N651" s="9"/>
      <c r="O651" s="9"/>
      <c r="P651" s="9"/>
      <c r="Q651" s="9"/>
    </row>
    <row r="652" spans="4:17" s="301" customFormat="1" ht="15" customHeight="1">
      <c r="D652" s="10"/>
      <c r="E652" s="10"/>
      <c r="F652" s="9"/>
      <c r="G652" s="9"/>
      <c r="H652" s="9"/>
      <c r="I652" s="9"/>
      <c r="J652" s="9"/>
      <c r="K652" s="9"/>
      <c r="L652" s="9"/>
      <c r="M652" s="9"/>
      <c r="N652" s="9"/>
      <c r="O652" s="9"/>
      <c r="P652" s="9"/>
      <c r="Q652" s="9"/>
    </row>
    <row r="653" spans="4:17" s="301" customFormat="1" ht="15" customHeight="1">
      <c r="D653" s="10"/>
      <c r="E653" s="10"/>
      <c r="F653" s="9"/>
      <c r="G653" s="9"/>
      <c r="H653" s="9"/>
      <c r="I653" s="9"/>
      <c r="J653" s="9"/>
      <c r="K653" s="9"/>
      <c r="L653" s="9"/>
      <c r="M653" s="9"/>
      <c r="N653" s="9"/>
      <c r="O653" s="9"/>
      <c r="P653" s="9"/>
      <c r="Q653" s="9"/>
    </row>
    <row r="654" spans="4:17" s="301" customFormat="1" ht="15" customHeight="1">
      <c r="D654" s="10"/>
      <c r="E654" s="10"/>
      <c r="F654" s="9"/>
      <c r="G654" s="9"/>
      <c r="H654" s="9"/>
      <c r="I654" s="9"/>
      <c r="J654" s="9"/>
      <c r="K654" s="9"/>
      <c r="L654" s="9"/>
      <c r="M654" s="9"/>
      <c r="N654" s="9"/>
      <c r="O654" s="9"/>
      <c r="P654" s="9"/>
      <c r="Q654" s="9"/>
    </row>
    <row r="655" spans="4:17" s="301" customFormat="1" ht="15" customHeight="1">
      <c r="D655" s="10"/>
      <c r="E655" s="10"/>
      <c r="F655" s="9"/>
      <c r="G655" s="9"/>
      <c r="H655" s="9"/>
      <c r="I655" s="9"/>
      <c r="J655" s="9"/>
      <c r="K655" s="9"/>
      <c r="L655" s="9"/>
      <c r="M655" s="9"/>
      <c r="N655" s="9"/>
      <c r="O655" s="9"/>
      <c r="P655" s="9"/>
      <c r="Q655" s="9"/>
    </row>
    <row r="656" spans="4:17" s="301" customFormat="1" ht="15" customHeight="1">
      <c r="D656" s="10"/>
      <c r="E656" s="10"/>
      <c r="F656" s="9"/>
      <c r="G656" s="9"/>
      <c r="H656" s="9"/>
      <c r="I656" s="9"/>
      <c r="J656" s="9"/>
      <c r="K656" s="9"/>
      <c r="L656" s="9"/>
      <c r="M656" s="9"/>
      <c r="N656" s="9"/>
      <c r="O656" s="9"/>
      <c r="P656" s="9"/>
      <c r="Q656" s="9"/>
    </row>
    <row r="657" spans="4:17" s="301" customFormat="1" ht="15" customHeight="1">
      <c r="D657" s="10"/>
      <c r="E657" s="10"/>
      <c r="F657" s="9"/>
      <c r="G657" s="9"/>
      <c r="H657" s="9"/>
      <c r="I657" s="9"/>
      <c r="J657" s="9"/>
      <c r="K657" s="9"/>
      <c r="L657" s="9"/>
      <c r="M657" s="9"/>
      <c r="N657" s="9"/>
      <c r="O657" s="9"/>
      <c r="P657" s="9"/>
      <c r="Q657" s="9"/>
    </row>
    <row r="658" spans="4:17" s="301" customFormat="1" ht="15" customHeight="1">
      <c r="D658" s="10"/>
      <c r="E658" s="10"/>
      <c r="F658" s="9"/>
      <c r="G658" s="9"/>
      <c r="H658" s="9"/>
      <c r="I658" s="9"/>
      <c r="J658" s="9"/>
      <c r="K658" s="9"/>
      <c r="L658" s="9"/>
      <c r="M658" s="9"/>
      <c r="N658" s="9"/>
      <c r="O658" s="9"/>
      <c r="P658" s="9"/>
      <c r="Q658" s="9"/>
    </row>
    <row r="659" spans="4:17" s="301" customFormat="1" ht="15" customHeight="1">
      <c r="D659" s="10"/>
      <c r="E659" s="10"/>
      <c r="F659" s="9"/>
      <c r="G659" s="9"/>
      <c r="H659" s="9"/>
      <c r="I659" s="9"/>
      <c r="J659" s="9"/>
      <c r="K659" s="9"/>
      <c r="L659" s="9"/>
      <c r="M659" s="9"/>
      <c r="N659" s="9"/>
      <c r="O659" s="9"/>
      <c r="P659" s="9"/>
      <c r="Q659" s="9"/>
    </row>
    <row r="660" spans="4:17" s="301" customFormat="1" ht="15" customHeight="1">
      <c r="D660" s="10"/>
      <c r="E660" s="10"/>
      <c r="F660" s="9"/>
      <c r="G660" s="9"/>
      <c r="H660" s="9"/>
      <c r="I660" s="9"/>
      <c r="J660" s="9"/>
      <c r="K660" s="9"/>
      <c r="L660" s="9"/>
      <c r="M660" s="9"/>
      <c r="N660" s="9"/>
      <c r="O660" s="9"/>
      <c r="P660" s="9"/>
      <c r="Q660" s="9"/>
    </row>
    <row r="661" spans="4:17" s="301" customFormat="1" ht="15" customHeight="1">
      <c r="D661" s="10"/>
      <c r="E661" s="10"/>
      <c r="F661" s="9"/>
      <c r="G661" s="9"/>
      <c r="H661" s="9"/>
      <c r="I661" s="9"/>
      <c r="J661" s="9"/>
      <c r="K661" s="9"/>
      <c r="L661" s="9"/>
      <c r="M661" s="9"/>
      <c r="N661" s="9"/>
      <c r="O661" s="9"/>
      <c r="P661" s="9"/>
      <c r="Q661" s="9"/>
    </row>
    <row r="662" spans="4:17" s="301" customFormat="1" ht="15" customHeight="1">
      <c r="D662" s="10"/>
      <c r="E662" s="10"/>
      <c r="F662" s="9"/>
      <c r="G662" s="9"/>
      <c r="H662" s="9"/>
      <c r="I662" s="9"/>
      <c r="J662" s="9"/>
      <c r="K662" s="9"/>
      <c r="L662" s="9"/>
      <c r="M662" s="9"/>
      <c r="N662" s="9"/>
      <c r="O662" s="9"/>
      <c r="P662" s="9"/>
      <c r="Q662" s="9"/>
    </row>
    <row r="663" spans="4:17" s="301" customFormat="1" ht="15" customHeight="1">
      <c r="D663" s="10"/>
      <c r="E663" s="10"/>
      <c r="F663" s="9"/>
      <c r="G663" s="9"/>
      <c r="H663" s="9"/>
      <c r="I663" s="9"/>
      <c r="J663" s="9"/>
      <c r="K663" s="9"/>
      <c r="L663" s="9"/>
      <c r="M663" s="9"/>
      <c r="N663" s="9"/>
      <c r="O663" s="9"/>
      <c r="P663" s="9"/>
      <c r="Q663" s="9"/>
    </row>
    <row r="664" spans="4:17" s="301" customFormat="1" ht="15" customHeight="1">
      <c r="D664" s="10"/>
      <c r="E664" s="10"/>
      <c r="F664" s="9"/>
      <c r="G664" s="9"/>
      <c r="H664" s="9"/>
      <c r="I664" s="9"/>
      <c r="J664" s="9"/>
      <c r="K664" s="9"/>
      <c r="L664" s="9"/>
      <c r="M664" s="9"/>
      <c r="N664" s="9"/>
      <c r="O664" s="9"/>
      <c r="P664" s="9"/>
      <c r="Q664" s="9"/>
    </row>
    <row r="665" spans="4:17" s="301" customFormat="1" ht="15" customHeight="1">
      <c r="D665" s="10"/>
      <c r="E665" s="10"/>
      <c r="F665" s="9"/>
      <c r="G665" s="9"/>
      <c r="H665" s="9"/>
      <c r="I665" s="9"/>
      <c r="J665" s="9"/>
      <c r="K665" s="9"/>
      <c r="L665" s="9"/>
      <c r="M665" s="9"/>
      <c r="N665" s="9"/>
      <c r="O665" s="9"/>
      <c r="P665" s="9"/>
      <c r="Q665" s="9"/>
    </row>
    <row r="666" spans="4:17" s="301" customFormat="1" ht="15" customHeight="1">
      <c r="D666" s="10"/>
      <c r="E666" s="10"/>
      <c r="F666" s="9"/>
      <c r="G666" s="9"/>
      <c r="H666" s="9"/>
      <c r="I666" s="9"/>
      <c r="J666" s="9"/>
      <c r="K666" s="9"/>
      <c r="L666" s="9"/>
      <c r="M666" s="9"/>
      <c r="N666" s="9"/>
      <c r="O666" s="9"/>
      <c r="P666" s="9"/>
      <c r="Q666" s="9"/>
    </row>
    <row r="667" spans="4:17" s="301" customFormat="1" ht="15" customHeight="1">
      <c r="D667" s="10"/>
      <c r="E667" s="10"/>
      <c r="F667" s="9"/>
      <c r="G667" s="9"/>
      <c r="H667" s="9"/>
      <c r="I667" s="9"/>
      <c r="J667" s="9"/>
      <c r="K667" s="9"/>
      <c r="L667" s="9"/>
      <c r="M667" s="9"/>
      <c r="N667" s="9"/>
      <c r="O667" s="9"/>
      <c r="P667" s="9"/>
      <c r="Q667" s="9"/>
    </row>
    <row r="668" spans="4:17" s="301" customFormat="1" ht="15" customHeight="1">
      <c r="D668" s="10"/>
      <c r="E668" s="10"/>
      <c r="F668" s="9"/>
      <c r="G668" s="9"/>
      <c r="H668" s="9"/>
      <c r="I668" s="9"/>
      <c r="J668" s="9"/>
      <c r="K668" s="9"/>
      <c r="L668" s="9"/>
      <c r="M668" s="9"/>
      <c r="N668" s="9"/>
      <c r="O668" s="9"/>
      <c r="P668" s="9"/>
      <c r="Q668" s="9"/>
    </row>
    <row r="669" spans="4:17" s="301" customFormat="1" ht="15" customHeight="1">
      <c r="D669" s="10"/>
      <c r="E669" s="10"/>
      <c r="F669" s="9"/>
      <c r="G669" s="9"/>
      <c r="H669" s="9"/>
      <c r="I669" s="9"/>
      <c r="J669" s="9"/>
      <c r="K669" s="9"/>
      <c r="L669" s="9"/>
      <c r="M669" s="9"/>
      <c r="N669" s="9"/>
      <c r="O669" s="9"/>
      <c r="P669" s="9"/>
      <c r="Q669" s="9"/>
    </row>
    <row r="670" spans="4:17" s="301" customFormat="1" ht="15" customHeight="1">
      <c r="D670" s="10"/>
      <c r="E670" s="10"/>
      <c r="F670" s="9"/>
      <c r="G670" s="9"/>
      <c r="H670" s="9"/>
      <c r="I670" s="9"/>
      <c r="J670" s="9"/>
      <c r="K670" s="9"/>
      <c r="L670" s="9"/>
      <c r="M670" s="9"/>
      <c r="N670" s="9"/>
      <c r="O670" s="9"/>
      <c r="P670" s="9"/>
      <c r="Q670" s="9"/>
    </row>
    <row r="671" spans="4:17" s="301" customFormat="1" ht="15" customHeight="1">
      <c r="D671" s="10"/>
      <c r="E671" s="10"/>
      <c r="F671" s="9"/>
      <c r="G671" s="9"/>
      <c r="H671" s="9"/>
      <c r="I671" s="9"/>
      <c r="J671" s="9"/>
      <c r="K671" s="9"/>
      <c r="L671" s="9"/>
      <c r="M671" s="9"/>
      <c r="N671" s="9"/>
      <c r="O671" s="9"/>
      <c r="P671" s="9"/>
      <c r="Q671" s="9"/>
    </row>
    <row r="672" spans="4:17" s="301" customFormat="1" ht="15" customHeight="1">
      <c r="D672" s="10"/>
      <c r="E672" s="10"/>
      <c r="F672" s="9"/>
      <c r="G672" s="9"/>
      <c r="H672" s="9"/>
      <c r="I672" s="9"/>
      <c r="J672" s="9"/>
      <c r="K672" s="9"/>
      <c r="L672" s="9"/>
      <c r="M672" s="9"/>
      <c r="N672" s="9"/>
      <c r="O672" s="9"/>
      <c r="P672" s="9"/>
      <c r="Q672" s="9"/>
    </row>
    <row r="673" spans="4:17" s="301" customFormat="1" ht="15" customHeight="1">
      <c r="D673" s="10"/>
      <c r="E673" s="10"/>
      <c r="F673" s="9"/>
      <c r="G673" s="9"/>
      <c r="H673" s="9"/>
      <c r="I673" s="9"/>
      <c r="J673" s="9"/>
      <c r="K673" s="9"/>
      <c r="L673" s="9"/>
      <c r="M673" s="9"/>
      <c r="N673" s="9"/>
      <c r="O673" s="9"/>
      <c r="P673" s="9"/>
      <c r="Q673" s="9"/>
    </row>
    <row r="674" spans="4:17" s="301" customFormat="1" ht="15" customHeight="1">
      <c r="D674" s="10"/>
      <c r="E674" s="10"/>
      <c r="F674" s="9"/>
      <c r="G674" s="9"/>
      <c r="H674" s="9"/>
      <c r="I674" s="9"/>
      <c r="J674" s="9"/>
      <c r="K674" s="9"/>
      <c r="L674" s="9"/>
      <c r="M674" s="9"/>
      <c r="N674" s="9"/>
      <c r="O674" s="9"/>
      <c r="P674" s="9"/>
      <c r="Q674" s="9"/>
    </row>
    <row r="675" spans="4:17" s="301" customFormat="1" ht="15" customHeight="1">
      <c r="D675" s="10"/>
      <c r="E675" s="10"/>
      <c r="F675" s="9"/>
      <c r="G675" s="9"/>
      <c r="H675" s="9"/>
      <c r="I675" s="9"/>
      <c r="J675" s="9"/>
      <c r="K675" s="9"/>
      <c r="L675" s="9"/>
      <c r="M675" s="9"/>
      <c r="N675" s="9"/>
      <c r="O675" s="9"/>
      <c r="P675" s="9"/>
      <c r="Q675" s="9"/>
    </row>
    <row r="676" spans="4:17" s="301" customFormat="1" ht="15" customHeight="1">
      <c r="D676" s="10"/>
      <c r="E676" s="10"/>
      <c r="F676" s="9"/>
      <c r="G676" s="9"/>
      <c r="H676" s="9"/>
      <c r="I676" s="9"/>
      <c r="J676" s="9"/>
      <c r="K676" s="9"/>
      <c r="L676" s="9"/>
      <c r="M676" s="9"/>
      <c r="N676" s="9"/>
      <c r="O676" s="9"/>
      <c r="P676" s="9"/>
      <c r="Q676" s="9"/>
    </row>
    <row r="677" spans="4:17" s="301" customFormat="1" ht="15" customHeight="1">
      <c r="D677" s="10"/>
      <c r="E677" s="10"/>
      <c r="F677" s="9"/>
      <c r="G677" s="9"/>
      <c r="H677" s="9"/>
      <c r="I677" s="9"/>
      <c r="J677" s="9"/>
      <c r="K677" s="9"/>
      <c r="L677" s="9"/>
      <c r="M677" s="9"/>
      <c r="N677" s="9"/>
      <c r="O677" s="9"/>
      <c r="P677" s="9"/>
      <c r="Q677" s="9"/>
    </row>
    <row r="678" spans="4:17" s="301" customFormat="1" ht="15" customHeight="1">
      <c r="D678" s="10"/>
      <c r="E678" s="10"/>
      <c r="F678" s="9"/>
      <c r="G678" s="9"/>
      <c r="H678" s="9"/>
      <c r="I678" s="9"/>
      <c r="J678" s="9"/>
      <c r="K678" s="9"/>
      <c r="L678" s="9"/>
      <c r="M678" s="9"/>
      <c r="N678" s="9"/>
      <c r="O678" s="9"/>
      <c r="P678" s="9"/>
      <c r="Q678" s="9"/>
    </row>
    <row r="679" spans="4:17" s="301" customFormat="1" ht="15" customHeight="1">
      <c r="D679" s="10"/>
      <c r="E679" s="10"/>
      <c r="F679" s="9"/>
      <c r="G679" s="9"/>
      <c r="H679" s="9"/>
      <c r="I679" s="9"/>
      <c r="J679" s="9"/>
      <c r="K679" s="9"/>
      <c r="L679" s="9"/>
      <c r="M679" s="9"/>
      <c r="N679" s="9"/>
      <c r="O679" s="9"/>
      <c r="P679" s="9"/>
      <c r="Q679" s="9"/>
    </row>
    <row r="680" spans="4:17" s="301" customFormat="1" ht="15" customHeight="1">
      <c r="D680" s="10"/>
      <c r="E680" s="10"/>
      <c r="F680" s="9"/>
      <c r="G680" s="9"/>
      <c r="H680" s="9"/>
      <c r="I680" s="9"/>
      <c r="J680" s="9"/>
      <c r="K680" s="9"/>
      <c r="L680" s="9"/>
      <c r="M680" s="9"/>
      <c r="N680" s="9"/>
      <c r="O680" s="9"/>
      <c r="P680" s="9"/>
      <c r="Q680" s="9"/>
    </row>
    <row r="681" spans="4:17" s="301" customFormat="1" ht="15" customHeight="1">
      <c r="D681" s="10"/>
      <c r="E681" s="10"/>
      <c r="F681" s="9"/>
      <c r="G681" s="9"/>
      <c r="H681" s="9"/>
      <c r="I681" s="9"/>
      <c r="J681" s="9"/>
      <c r="K681" s="9"/>
      <c r="L681" s="9"/>
      <c r="M681" s="9"/>
      <c r="N681" s="9"/>
      <c r="O681" s="9"/>
      <c r="P681" s="9"/>
      <c r="Q681" s="9"/>
    </row>
    <row r="682" spans="4:17" s="301" customFormat="1" ht="15" customHeight="1">
      <c r="D682" s="10"/>
      <c r="E682" s="10"/>
      <c r="F682" s="9"/>
      <c r="G682" s="9"/>
      <c r="H682" s="9"/>
      <c r="I682" s="9"/>
      <c r="J682" s="9"/>
      <c r="K682" s="9"/>
      <c r="L682" s="9"/>
      <c r="M682" s="9"/>
      <c r="N682" s="9"/>
      <c r="O682" s="9"/>
      <c r="P682" s="9"/>
      <c r="Q682" s="9"/>
    </row>
    <row r="683" spans="4:17" s="301" customFormat="1" ht="15" customHeight="1">
      <c r="D683" s="10"/>
      <c r="E683" s="10"/>
      <c r="F683" s="9"/>
      <c r="G683" s="9"/>
      <c r="H683" s="9"/>
      <c r="I683" s="9"/>
      <c r="J683" s="9"/>
      <c r="K683" s="9"/>
      <c r="L683" s="9"/>
      <c r="M683" s="9"/>
      <c r="N683" s="9"/>
      <c r="O683" s="9"/>
      <c r="P683" s="9"/>
      <c r="Q683" s="9"/>
    </row>
    <row r="684" spans="4:17" s="301" customFormat="1" ht="15" customHeight="1">
      <c r="D684" s="10"/>
      <c r="E684" s="10"/>
      <c r="F684" s="9"/>
      <c r="G684" s="9"/>
      <c r="H684" s="9"/>
      <c r="I684" s="9"/>
      <c r="J684" s="9"/>
      <c r="K684" s="9"/>
      <c r="L684" s="9"/>
      <c r="M684" s="9"/>
      <c r="N684" s="9"/>
      <c r="O684" s="9"/>
      <c r="P684" s="9"/>
      <c r="Q684" s="9"/>
    </row>
    <row r="685" spans="4:17" s="301" customFormat="1" ht="15" customHeight="1">
      <c r="D685" s="10"/>
      <c r="E685" s="10"/>
      <c r="F685" s="9"/>
      <c r="G685" s="9"/>
      <c r="H685" s="9"/>
      <c r="I685" s="9"/>
      <c r="J685" s="9"/>
      <c r="K685" s="9"/>
      <c r="L685" s="9"/>
      <c r="M685" s="9"/>
      <c r="N685" s="9"/>
      <c r="O685" s="9"/>
      <c r="P685" s="9"/>
      <c r="Q685" s="9"/>
    </row>
    <row r="686" spans="4:17" s="301" customFormat="1" ht="15" customHeight="1">
      <c r="D686" s="10"/>
      <c r="E686" s="10"/>
      <c r="F686" s="9"/>
      <c r="G686" s="9"/>
      <c r="H686" s="9"/>
      <c r="I686" s="9"/>
      <c r="J686" s="9"/>
      <c r="K686" s="9"/>
      <c r="L686" s="9"/>
      <c r="M686" s="9"/>
      <c r="N686" s="9"/>
      <c r="O686" s="9"/>
      <c r="P686" s="9"/>
      <c r="Q686" s="9"/>
    </row>
    <row r="687" spans="4:17" s="301" customFormat="1" ht="15" customHeight="1">
      <c r="D687" s="10"/>
      <c r="E687" s="10"/>
      <c r="F687" s="9"/>
      <c r="G687" s="9"/>
      <c r="H687" s="9"/>
      <c r="I687" s="9"/>
      <c r="J687" s="9"/>
      <c r="K687" s="9"/>
      <c r="L687" s="9"/>
      <c r="M687" s="9"/>
      <c r="N687" s="9"/>
      <c r="O687" s="9"/>
      <c r="P687" s="9"/>
      <c r="Q687" s="9"/>
    </row>
    <row r="688" spans="4:17" s="301" customFormat="1" ht="15" customHeight="1">
      <c r="D688" s="10"/>
      <c r="E688" s="10"/>
      <c r="F688" s="9"/>
      <c r="G688" s="9"/>
      <c r="H688" s="9"/>
      <c r="I688" s="9"/>
      <c r="J688" s="9"/>
      <c r="K688" s="9"/>
      <c r="L688" s="9"/>
      <c r="M688" s="9"/>
      <c r="N688" s="9"/>
      <c r="O688" s="9"/>
      <c r="P688" s="9"/>
      <c r="Q688" s="9"/>
    </row>
    <row r="689" spans="4:17" s="301" customFormat="1" ht="15" customHeight="1">
      <c r="D689" s="10"/>
      <c r="E689" s="10"/>
      <c r="F689" s="9"/>
      <c r="G689" s="9"/>
      <c r="H689" s="9"/>
      <c r="I689" s="9"/>
      <c r="J689" s="9"/>
      <c r="K689" s="9"/>
      <c r="L689" s="9"/>
      <c r="M689" s="9"/>
      <c r="N689" s="9"/>
      <c r="O689" s="9"/>
      <c r="P689" s="9"/>
      <c r="Q689" s="9"/>
    </row>
    <row r="690" spans="4:17" s="301" customFormat="1" ht="15" customHeight="1">
      <c r="D690" s="10"/>
      <c r="E690" s="10"/>
      <c r="F690" s="9"/>
      <c r="G690" s="9"/>
      <c r="H690" s="9"/>
      <c r="I690" s="9"/>
      <c r="J690" s="9"/>
      <c r="K690" s="9"/>
      <c r="L690" s="9"/>
      <c r="M690" s="9"/>
      <c r="N690" s="9"/>
      <c r="O690" s="9"/>
      <c r="P690" s="9"/>
      <c r="Q690" s="9"/>
    </row>
    <row r="691" spans="4:17" s="301" customFormat="1" ht="15" customHeight="1">
      <c r="D691" s="10"/>
      <c r="E691" s="10"/>
      <c r="F691" s="9"/>
      <c r="G691" s="9"/>
      <c r="H691" s="9"/>
      <c r="I691" s="9"/>
      <c r="J691" s="9"/>
      <c r="K691" s="9"/>
      <c r="L691" s="9"/>
      <c r="M691" s="9"/>
      <c r="N691" s="9"/>
      <c r="O691" s="9"/>
      <c r="P691" s="9"/>
      <c r="Q691" s="9"/>
    </row>
    <row r="692" spans="4:17" s="301" customFormat="1" ht="15" customHeight="1">
      <c r="D692" s="10"/>
      <c r="E692" s="10"/>
      <c r="F692" s="9"/>
      <c r="G692" s="9"/>
      <c r="H692" s="9"/>
      <c r="I692" s="9"/>
      <c r="J692" s="9"/>
      <c r="K692" s="9"/>
      <c r="L692" s="9"/>
      <c r="M692" s="9"/>
      <c r="N692" s="9"/>
      <c r="O692" s="9"/>
      <c r="P692" s="9"/>
      <c r="Q692" s="9"/>
    </row>
    <row r="693" spans="4:17" s="301" customFormat="1" ht="15" customHeight="1">
      <c r="D693" s="10"/>
      <c r="E693" s="10"/>
      <c r="F693" s="9"/>
      <c r="G693" s="9"/>
      <c r="H693" s="9"/>
      <c r="I693" s="9"/>
      <c r="J693" s="9"/>
      <c r="K693" s="9"/>
      <c r="L693" s="9"/>
      <c r="M693" s="9"/>
      <c r="N693" s="9"/>
      <c r="O693" s="9"/>
      <c r="P693" s="9"/>
      <c r="Q693" s="9"/>
    </row>
    <row r="694" spans="4:17" s="301" customFormat="1" ht="15" customHeight="1">
      <c r="D694" s="10"/>
      <c r="E694" s="10"/>
      <c r="F694" s="9"/>
      <c r="G694" s="9"/>
      <c r="H694" s="9"/>
      <c r="I694" s="9"/>
      <c r="J694" s="9"/>
      <c r="K694" s="9"/>
      <c r="L694" s="9"/>
      <c r="M694" s="9"/>
      <c r="N694" s="9"/>
      <c r="O694" s="9"/>
      <c r="P694" s="9"/>
      <c r="Q694" s="9"/>
    </row>
    <row r="695" spans="4:17" s="301" customFormat="1" ht="15" customHeight="1">
      <c r="D695" s="10"/>
      <c r="E695" s="10"/>
      <c r="F695" s="9"/>
      <c r="G695" s="9"/>
      <c r="H695" s="9"/>
      <c r="I695" s="9"/>
      <c r="J695" s="9"/>
      <c r="K695" s="9"/>
      <c r="L695" s="9"/>
      <c r="M695" s="9"/>
      <c r="N695" s="9"/>
      <c r="O695" s="9"/>
      <c r="P695" s="9"/>
      <c r="Q695" s="9"/>
    </row>
    <row r="696" spans="4:17" s="301" customFormat="1" ht="15" customHeight="1">
      <c r="D696" s="10"/>
      <c r="E696" s="10"/>
      <c r="F696" s="9"/>
      <c r="G696" s="9"/>
      <c r="H696" s="9"/>
      <c r="I696" s="9"/>
      <c r="J696" s="9"/>
      <c r="K696" s="9"/>
      <c r="L696" s="9"/>
      <c r="M696" s="9"/>
      <c r="N696" s="9"/>
      <c r="O696" s="9"/>
      <c r="P696" s="9"/>
      <c r="Q696" s="9"/>
    </row>
    <row r="697" spans="4:17" s="301" customFormat="1" ht="15" customHeight="1">
      <c r="D697" s="10"/>
      <c r="E697" s="10"/>
      <c r="F697" s="9"/>
      <c r="G697" s="9"/>
      <c r="H697" s="9"/>
      <c r="I697" s="9"/>
      <c r="J697" s="9"/>
      <c r="K697" s="9"/>
      <c r="L697" s="9"/>
      <c r="M697" s="9"/>
      <c r="N697" s="9"/>
      <c r="O697" s="9"/>
      <c r="P697" s="9"/>
      <c r="Q697" s="9"/>
    </row>
    <row r="698" spans="4:17" s="301" customFormat="1" ht="15" customHeight="1">
      <c r="D698" s="10"/>
      <c r="E698" s="10"/>
      <c r="F698" s="9"/>
      <c r="G698" s="9"/>
      <c r="H698" s="9"/>
      <c r="I698" s="9"/>
      <c r="J698" s="9"/>
      <c r="K698" s="9"/>
      <c r="L698" s="9"/>
      <c r="M698" s="9"/>
      <c r="N698" s="9"/>
      <c r="O698" s="9"/>
      <c r="P698" s="9"/>
      <c r="Q698" s="9"/>
    </row>
    <row r="699" spans="4:17" s="301" customFormat="1" ht="15" customHeight="1">
      <c r="D699" s="10"/>
      <c r="E699" s="10"/>
      <c r="F699" s="9"/>
      <c r="G699" s="9"/>
      <c r="H699" s="9"/>
      <c r="I699" s="9"/>
      <c r="J699" s="9"/>
      <c r="K699" s="9"/>
      <c r="L699" s="9"/>
      <c r="M699" s="9"/>
      <c r="N699" s="9"/>
      <c r="O699" s="9"/>
      <c r="P699" s="9"/>
      <c r="Q699" s="9"/>
    </row>
    <row r="700" spans="4:17" s="301" customFormat="1" ht="15" customHeight="1">
      <c r="D700" s="10"/>
      <c r="E700" s="10"/>
      <c r="F700" s="9"/>
      <c r="G700" s="9"/>
      <c r="H700" s="9"/>
      <c r="I700" s="9"/>
      <c r="J700" s="9"/>
      <c r="K700" s="9"/>
      <c r="L700" s="9"/>
      <c r="M700" s="9"/>
      <c r="N700" s="9"/>
      <c r="O700" s="9"/>
      <c r="P700" s="9"/>
      <c r="Q700" s="9"/>
    </row>
    <row r="701" spans="4:17" s="301" customFormat="1" ht="15" customHeight="1">
      <c r="D701" s="10"/>
      <c r="E701" s="10"/>
      <c r="F701" s="9"/>
      <c r="G701" s="9"/>
      <c r="H701" s="9"/>
      <c r="I701" s="9"/>
      <c r="J701" s="9"/>
      <c r="K701" s="9"/>
      <c r="L701" s="9"/>
      <c r="M701" s="9"/>
      <c r="N701" s="9"/>
      <c r="O701" s="9"/>
      <c r="P701" s="9"/>
      <c r="Q701" s="9"/>
    </row>
    <row r="702" spans="4:17" s="301" customFormat="1" ht="15" customHeight="1">
      <c r="D702" s="10"/>
      <c r="E702" s="10"/>
      <c r="F702" s="9"/>
      <c r="G702" s="9"/>
      <c r="H702" s="9"/>
      <c r="I702" s="9"/>
      <c r="J702" s="9"/>
      <c r="K702" s="9"/>
      <c r="L702" s="9"/>
      <c r="M702" s="9"/>
      <c r="N702" s="9"/>
      <c r="O702" s="9"/>
      <c r="P702" s="9"/>
      <c r="Q702" s="9"/>
    </row>
    <row r="703" spans="4:17" s="301" customFormat="1" ht="15" customHeight="1">
      <c r="D703" s="10"/>
      <c r="E703" s="10"/>
      <c r="F703" s="9"/>
      <c r="G703" s="9"/>
      <c r="H703" s="9"/>
      <c r="I703" s="9"/>
      <c r="J703" s="9"/>
      <c r="K703" s="9"/>
      <c r="L703" s="9"/>
      <c r="M703" s="9"/>
      <c r="N703" s="9"/>
      <c r="O703" s="9"/>
      <c r="P703" s="9"/>
      <c r="Q703" s="9"/>
    </row>
    <row r="704" spans="4:17" s="301" customFormat="1" ht="15" customHeight="1">
      <c r="D704" s="10"/>
      <c r="E704" s="10"/>
      <c r="F704" s="9"/>
      <c r="G704" s="9"/>
      <c r="H704" s="9"/>
      <c r="I704" s="9"/>
      <c r="J704" s="9"/>
      <c r="K704" s="9"/>
      <c r="L704" s="9"/>
      <c r="M704" s="9"/>
      <c r="N704" s="9"/>
      <c r="O704" s="9"/>
      <c r="P704" s="9"/>
      <c r="Q704" s="9"/>
    </row>
    <row r="705" spans="4:17" s="301" customFormat="1" ht="15" customHeight="1">
      <c r="D705" s="10"/>
      <c r="E705" s="10"/>
      <c r="F705" s="9"/>
      <c r="G705" s="9"/>
      <c r="H705" s="9"/>
      <c r="I705" s="9"/>
      <c r="J705" s="9"/>
      <c r="K705" s="9"/>
      <c r="L705" s="9"/>
      <c r="M705" s="9"/>
      <c r="N705" s="9"/>
      <c r="O705" s="9"/>
      <c r="P705" s="9"/>
      <c r="Q705" s="9"/>
    </row>
    <row r="706" spans="4:17" s="301" customFormat="1" ht="15" customHeight="1">
      <c r="D706" s="10"/>
      <c r="E706" s="10"/>
      <c r="F706" s="9"/>
      <c r="G706" s="9"/>
      <c r="H706" s="9"/>
      <c r="I706" s="9"/>
      <c r="J706" s="9"/>
      <c r="K706" s="9"/>
      <c r="L706" s="9"/>
      <c r="M706" s="9"/>
      <c r="N706" s="9"/>
      <c r="O706" s="9"/>
      <c r="P706" s="9"/>
      <c r="Q706" s="9"/>
    </row>
    <row r="707" spans="4:17" s="301" customFormat="1" ht="15" customHeight="1">
      <c r="D707" s="10"/>
      <c r="E707" s="10"/>
      <c r="F707" s="9"/>
      <c r="G707" s="9"/>
      <c r="H707" s="9"/>
      <c r="I707" s="9"/>
      <c r="J707" s="9"/>
      <c r="K707" s="9"/>
      <c r="L707" s="9"/>
      <c r="M707" s="9"/>
      <c r="N707" s="9"/>
      <c r="O707" s="9"/>
      <c r="P707" s="9"/>
      <c r="Q707" s="9"/>
    </row>
    <row r="708" spans="4:17" s="301" customFormat="1" ht="15" customHeight="1">
      <c r="D708" s="10"/>
      <c r="E708" s="10"/>
      <c r="F708" s="9"/>
      <c r="G708" s="9"/>
      <c r="H708" s="9"/>
      <c r="I708" s="9"/>
      <c r="J708" s="9"/>
      <c r="K708" s="9"/>
      <c r="L708" s="9"/>
      <c r="M708" s="9"/>
      <c r="N708" s="9"/>
      <c r="O708" s="9"/>
      <c r="P708" s="9"/>
      <c r="Q708" s="9"/>
    </row>
    <row r="709" spans="4:17" s="301" customFormat="1" ht="15" customHeight="1">
      <c r="D709" s="10"/>
      <c r="E709" s="10"/>
      <c r="F709" s="9"/>
      <c r="G709" s="9"/>
      <c r="H709" s="9"/>
      <c r="I709" s="9"/>
      <c r="J709" s="9"/>
      <c r="K709" s="9"/>
      <c r="L709" s="9"/>
      <c r="M709" s="9"/>
      <c r="N709" s="9"/>
      <c r="O709" s="9"/>
      <c r="P709" s="9"/>
      <c r="Q709" s="9"/>
    </row>
    <row r="710" spans="4:17" s="301" customFormat="1" ht="15" customHeight="1">
      <c r="D710" s="10"/>
      <c r="E710" s="10"/>
      <c r="F710" s="9"/>
      <c r="G710" s="9"/>
      <c r="H710" s="9"/>
      <c r="I710" s="9"/>
      <c r="J710" s="9"/>
      <c r="K710" s="9"/>
      <c r="L710" s="9"/>
      <c r="M710" s="9"/>
      <c r="N710" s="9"/>
      <c r="O710" s="9"/>
      <c r="P710" s="9"/>
      <c r="Q710" s="9"/>
    </row>
    <row r="711" spans="4:17" s="301" customFormat="1" ht="15" customHeight="1">
      <c r="D711" s="10"/>
      <c r="E711" s="10"/>
      <c r="F711" s="9"/>
      <c r="G711" s="9"/>
      <c r="H711" s="9"/>
      <c r="I711" s="9"/>
      <c r="J711" s="9"/>
      <c r="K711" s="9"/>
      <c r="L711" s="9"/>
      <c r="M711" s="9"/>
      <c r="N711" s="9"/>
      <c r="O711" s="9"/>
      <c r="P711" s="9"/>
      <c r="Q711" s="9"/>
    </row>
    <row r="712" spans="4:17" s="301" customFormat="1" ht="15" customHeight="1">
      <c r="D712" s="10"/>
      <c r="E712" s="10"/>
      <c r="F712" s="9"/>
      <c r="G712" s="9"/>
      <c r="H712" s="9"/>
      <c r="I712" s="9"/>
      <c r="J712" s="9"/>
      <c r="K712" s="9"/>
      <c r="L712" s="9"/>
      <c r="M712" s="9"/>
      <c r="N712" s="9"/>
      <c r="O712" s="9"/>
      <c r="P712" s="9"/>
      <c r="Q712" s="9"/>
    </row>
    <row r="713" spans="4:17" s="301" customFormat="1" ht="15" customHeight="1">
      <c r="D713" s="10"/>
      <c r="E713" s="10"/>
      <c r="F713" s="9"/>
      <c r="G713" s="9"/>
      <c r="H713" s="9"/>
      <c r="I713" s="9"/>
      <c r="J713" s="9"/>
      <c r="K713" s="9"/>
      <c r="L713" s="9"/>
      <c r="M713" s="9"/>
      <c r="N713" s="9"/>
      <c r="O713" s="9"/>
      <c r="P713" s="9"/>
      <c r="Q713" s="9"/>
    </row>
    <row r="714" spans="4:17" s="301" customFormat="1" ht="15" customHeight="1">
      <c r="D714" s="10"/>
      <c r="E714" s="10"/>
      <c r="F714" s="9"/>
      <c r="G714" s="9"/>
      <c r="H714" s="9"/>
      <c r="I714" s="9"/>
      <c r="J714" s="9"/>
      <c r="K714" s="9"/>
      <c r="L714" s="9"/>
      <c r="M714" s="9"/>
      <c r="N714" s="9"/>
      <c r="O714" s="9"/>
      <c r="P714" s="9"/>
      <c r="Q714" s="9"/>
    </row>
    <row r="715" spans="4:17" s="301" customFormat="1" ht="15" customHeight="1">
      <c r="D715" s="10"/>
      <c r="E715" s="10"/>
      <c r="F715" s="9"/>
      <c r="G715" s="9"/>
      <c r="H715" s="9"/>
      <c r="I715" s="9"/>
      <c r="J715" s="9"/>
      <c r="K715" s="9"/>
      <c r="L715" s="9"/>
      <c r="M715" s="9"/>
      <c r="N715" s="9"/>
      <c r="O715" s="9"/>
      <c r="P715" s="9"/>
      <c r="Q715" s="9"/>
    </row>
    <row r="716" spans="4:17" s="301" customFormat="1" ht="15" customHeight="1">
      <c r="D716" s="10"/>
      <c r="E716" s="10"/>
      <c r="F716" s="9"/>
      <c r="G716" s="9"/>
      <c r="H716" s="9"/>
      <c r="I716" s="9"/>
      <c r="J716" s="9"/>
      <c r="K716" s="9"/>
      <c r="L716" s="9"/>
      <c r="M716" s="9"/>
      <c r="N716" s="9"/>
      <c r="O716" s="9"/>
      <c r="P716" s="9"/>
      <c r="Q716" s="9"/>
    </row>
    <row r="717" spans="4:17" s="301" customFormat="1" ht="15" customHeight="1">
      <c r="D717" s="10"/>
      <c r="E717" s="10"/>
      <c r="F717" s="9"/>
      <c r="G717" s="9"/>
      <c r="H717" s="9"/>
      <c r="I717" s="9"/>
      <c r="J717" s="9"/>
      <c r="K717" s="9"/>
      <c r="L717" s="9"/>
      <c r="M717" s="9"/>
      <c r="N717" s="9"/>
      <c r="O717" s="9"/>
      <c r="P717" s="9"/>
      <c r="Q717" s="9"/>
    </row>
    <row r="718" spans="4:17" s="301" customFormat="1" ht="15" customHeight="1">
      <c r="D718" s="10"/>
      <c r="E718" s="10"/>
      <c r="F718" s="9"/>
      <c r="G718" s="9"/>
      <c r="H718" s="9"/>
      <c r="I718" s="9"/>
      <c r="J718" s="9"/>
      <c r="K718" s="9"/>
      <c r="L718" s="9"/>
      <c r="M718" s="9"/>
      <c r="N718" s="9"/>
      <c r="O718" s="9"/>
      <c r="P718" s="9"/>
      <c r="Q718" s="9"/>
    </row>
    <row r="719" spans="4:17" s="301" customFormat="1" ht="15" customHeight="1">
      <c r="D719" s="10"/>
      <c r="E719" s="10"/>
      <c r="F719" s="9"/>
      <c r="G719" s="9"/>
      <c r="H719" s="9"/>
      <c r="I719" s="9"/>
      <c r="J719" s="9"/>
      <c r="K719" s="9"/>
      <c r="L719" s="9"/>
      <c r="M719" s="9"/>
      <c r="N719" s="9"/>
      <c r="O719" s="9"/>
      <c r="P719" s="9"/>
      <c r="Q719" s="9"/>
    </row>
    <row r="720" spans="4:17" s="301" customFormat="1" ht="15" customHeight="1">
      <c r="D720" s="10"/>
      <c r="E720" s="10"/>
      <c r="F720" s="9"/>
      <c r="G720" s="9"/>
      <c r="H720" s="9"/>
      <c r="I720" s="9"/>
      <c r="J720" s="9"/>
      <c r="K720" s="9"/>
      <c r="L720" s="9"/>
      <c r="M720" s="9"/>
      <c r="N720" s="9"/>
      <c r="O720" s="9"/>
      <c r="P720" s="9"/>
      <c r="Q720" s="9"/>
    </row>
    <row r="721" spans="4:17" s="301" customFormat="1" ht="15" customHeight="1">
      <c r="D721" s="10"/>
      <c r="E721" s="10"/>
      <c r="F721" s="9"/>
      <c r="G721" s="9"/>
      <c r="H721" s="9"/>
      <c r="I721" s="9"/>
      <c r="J721" s="9"/>
      <c r="K721" s="9"/>
      <c r="L721" s="9"/>
      <c r="M721" s="9"/>
      <c r="N721" s="9"/>
      <c r="O721" s="9"/>
      <c r="P721" s="9"/>
      <c r="Q721" s="9"/>
    </row>
    <row r="722" spans="4:17" s="301" customFormat="1" ht="15" customHeight="1">
      <c r="D722" s="10"/>
      <c r="E722" s="10"/>
      <c r="F722" s="9"/>
      <c r="G722" s="9"/>
      <c r="H722" s="9"/>
      <c r="I722" s="9"/>
      <c r="J722" s="9"/>
      <c r="K722" s="9"/>
      <c r="L722" s="9"/>
      <c r="M722" s="9"/>
      <c r="N722" s="9"/>
      <c r="O722" s="9"/>
      <c r="P722" s="9"/>
      <c r="Q722" s="9"/>
    </row>
    <row r="723" spans="4:17" s="301" customFormat="1" ht="15" customHeight="1">
      <c r="D723" s="10"/>
      <c r="E723" s="10"/>
      <c r="F723" s="9"/>
      <c r="G723" s="9"/>
      <c r="H723" s="9"/>
      <c r="I723" s="9"/>
      <c r="J723" s="9"/>
      <c r="K723" s="9"/>
      <c r="L723" s="9"/>
      <c r="M723" s="9"/>
      <c r="N723" s="9"/>
      <c r="O723" s="9"/>
      <c r="P723" s="9"/>
      <c r="Q723" s="9"/>
    </row>
    <row r="724" spans="4:17" s="301" customFormat="1" ht="15" customHeight="1">
      <c r="D724" s="10"/>
      <c r="E724" s="10"/>
      <c r="F724" s="9"/>
      <c r="G724" s="9"/>
      <c r="H724" s="9"/>
      <c r="I724" s="9"/>
      <c r="J724" s="9"/>
      <c r="K724" s="9"/>
      <c r="L724" s="9"/>
      <c r="M724" s="9"/>
      <c r="N724" s="9"/>
      <c r="O724" s="9"/>
      <c r="P724" s="9"/>
      <c r="Q724" s="9"/>
    </row>
    <row r="725" spans="4:17" s="301" customFormat="1" ht="15" customHeight="1">
      <c r="D725" s="10"/>
      <c r="E725" s="10"/>
      <c r="F725" s="9"/>
      <c r="G725" s="9"/>
      <c r="H725" s="9"/>
      <c r="I725" s="9"/>
      <c r="J725" s="9"/>
      <c r="K725" s="9"/>
      <c r="L725" s="9"/>
      <c r="M725" s="9"/>
      <c r="N725" s="9"/>
      <c r="O725" s="9"/>
      <c r="P725" s="9"/>
      <c r="Q725" s="9"/>
    </row>
    <row r="726" spans="4:17" s="301" customFormat="1" ht="15" customHeight="1">
      <c r="D726" s="10"/>
      <c r="E726" s="10"/>
      <c r="F726" s="9"/>
      <c r="G726" s="9"/>
      <c r="H726" s="9"/>
      <c r="I726" s="9"/>
      <c r="J726" s="9"/>
      <c r="K726" s="9"/>
      <c r="L726" s="9"/>
      <c r="M726" s="9"/>
      <c r="N726" s="9"/>
      <c r="O726" s="9"/>
      <c r="P726" s="9"/>
      <c r="Q726" s="9"/>
    </row>
    <row r="727" spans="4:17" s="301" customFormat="1" ht="15" customHeight="1">
      <c r="D727" s="10"/>
      <c r="E727" s="10"/>
      <c r="F727" s="9"/>
      <c r="G727" s="9"/>
      <c r="H727" s="9"/>
      <c r="I727" s="9"/>
      <c r="J727" s="9"/>
      <c r="K727" s="9"/>
      <c r="L727" s="9"/>
      <c r="M727" s="9"/>
      <c r="N727" s="9"/>
      <c r="O727" s="9"/>
      <c r="P727" s="9"/>
      <c r="Q727" s="9"/>
    </row>
    <row r="728" spans="4:17" s="301" customFormat="1" ht="15" customHeight="1">
      <c r="D728" s="10"/>
      <c r="E728" s="10"/>
      <c r="F728" s="9"/>
      <c r="G728" s="9"/>
      <c r="H728" s="9"/>
      <c r="I728" s="9"/>
      <c r="J728" s="9"/>
      <c r="K728" s="9"/>
      <c r="L728" s="9"/>
      <c r="M728" s="9"/>
      <c r="N728" s="9"/>
      <c r="O728" s="9"/>
      <c r="P728" s="9"/>
      <c r="Q728" s="9"/>
    </row>
    <row r="729" spans="4:17" s="301" customFormat="1" ht="15" customHeight="1">
      <c r="D729" s="10"/>
      <c r="E729" s="10"/>
      <c r="F729" s="9"/>
      <c r="G729" s="9"/>
      <c r="H729" s="9"/>
      <c r="I729" s="9"/>
      <c r="J729" s="9"/>
      <c r="K729" s="9"/>
      <c r="L729" s="9"/>
      <c r="M729" s="9"/>
      <c r="N729" s="9"/>
      <c r="O729" s="9"/>
      <c r="P729" s="9"/>
      <c r="Q729" s="9"/>
    </row>
    <row r="730" spans="4:17" s="301" customFormat="1" ht="15" customHeight="1">
      <c r="D730" s="10"/>
      <c r="E730" s="10"/>
      <c r="F730" s="9"/>
      <c r="G730" s="9"/>
      <c r="H730" s="9"/>
      <c r="I730" s="9"/>
      <c r="J730" s="9"/>
      <c r="K730" s="9"/>
      <c r="L730" s="9"/>
      <c r="M730" s="9"/>
      <c r="N730" s="9"/>
      <c r="O730" s="9"/>
      <c r="P730" s="9"/>
      <c r="Q730" s="9"/>
    </row>
    <row r="731" spans="4:17" s="301" customFormat="1" ht="15" customHeight="1">
      <c r="D731" s="10"/>
      <c r="E731" s="10"/>
      <c r="F731" s="9"/>
      <c r="G731" s="9"/>
      <c r="H731" s="9"/>
      <c r="I731" s="9"/>
      <c r="J731" s="9"/>
      <c r="K731" s="9"/>
      <c r="L731" s="9"/>
      <c r="M731" s="9"/>
      <c r="N731" s="9"/>
      <c r="O731" s="9"/>
      <c r="P731" s="9"/>
      <c r="Q731" s="9"/>
    </row>
    <row r="732" spans="4:17" s="301" customFormat="1" ht="15" customHeight="1">
      <c r="D732" s="10"/>
      <c r="E732" s="10"/>
      <c r="F732" s="9"/>
      <c r="G732" s="9"/>
      <c r="H732" s="9"/>
      <c r="I732" s="9"/>
      <c r="J732" s="9"/>
      <c r="K732" s="9"/>
      <c r="L732" s="9"/>
      <c r="M732" s="9"/>
      <c r="N732" s="9"/>
      <c r="O732" s="9"/>
      <c r="P732" s="9"/>
      <c r="Q732" s="9"/>
    </row>
    <row r="733" spans="4:17" s="301" customFormat="1" ht="15" customHeight="1">
      <c r="D733" s="10"/>
      <c r="E733" s="10"/>
      <c r="F733" s="9"/>
      <c r="G733" s="9"/>
      <c r="H733" s="9"/>
      <c r="I733" s="9"/>
      <c r="J733" s="9"/>
      <c r="K733" s="9"/>
      <c r="L733" s="9"/>
      <c r="M733" s="9"/>
      <c r="N733" s="9"/>
      <c r="O733" s="9"/>
      <c r="P733" s="9"/>
      <c r="Q733" s="9"/>
    </row>
    <row r="734" spans="4:17" s="301" customFormat="1" ht="15" customHeight="1">
      <c r="D734" s="10"/>
      <c r="E734" s="10"/>
      <c r="F734" s="9"/>
      <c r="G734" s="9"/>
      <c r="H734" s="9"/>
      <c r="I734" s="9"/>
      <c r="J734" s="9"/>
      <c r="K734" s="9"/>
      <c r="L734" s="9"/>
      <c r="M734" s="9"/>
      <c r="N734" s="9"/>
      <c r="O734" s="9"/>
      <c r="P734" s="9"/>
      <c r="Q734" s="9"/>
    </row>
    <row r="735" spans="4:17" s="301" customFormat="1" ht="15" customHeight="1">
      <c r="D735" s="10"/>
      <c r="E735" s="10"/>
      <c r="F735" s="9"/>
      <c r="G735" s="9"/>
      <c r="H735" s="9"/>
      <c r="I735" s="9"/>
      <c r="J735" s="9"/>
      <c r="K735" s="9"/>
      <c r="L735" s="9"/>
      <c r="M735" s="9"/>
      <c r="N735" s="9"/>
      <c r="O735" s="9"/>
      <c r="P735" s="9"/>
      <c r="Q735" s="9"/>
    </row>
    <row r="736" spans="4:17" s="301" customFormat="1" ht="15" customHeight="1">
      <c r="D736" s="10"/>
      <c r="E736" s="10"/>
      <c r="F736" s="9"/>
      <c r="G736" s="9"/>
      <c r="H736" s="9"/>
      <c r="I736" s="9"/>
      <c r="J736" s="9"/>
      <c r="K736" s="9"/>
      <c r="L736" s="9"/>
      <c r="M736" s="9"/>
      <c r="N736" s="9"/>
      <c r="O736" s="9"/>
      <c r="P736" s="9"/>
      <c r="Q736" s="9"/>
    </row>
    <row r="737" spans="4:17" s="301" customFormat="1" ht="15" customHeight="1">
      <c r="D737" s="10"/>
      <c r="E737" s="10"/>
      <c r="F737" s="9"/>
      <c r="G737" s="9"/>
      <c r="H737" s="9"/>
      <c r="I737" s="9"/>
      <c r="J737" s="9"/>
      <c r="K737" s="9"/>
      <c r="L737" s="9"/>
      <c r="M737" s="9"/>
      <c r="N737" s="9"/>
      <c r="O737" s="9"/>
      <c r="P737" s="9"/>
      <c r="Q737" s="9"/>
    </row>
    <row r="738" spans="4:17" s="301" customFormat="1" ht="15" customHeight="1">
      <c r="D738" s="10"/>
      <c r="E738" s="10"/>
      <c r="F738" s="9"/>
      <c r="G738" s="9"/>
      <c r="H738" s="9"/>
      <c r="I738" s="9"/>
      <c r="J738" s="9"/>
      <c r="K738" s="9"/>
      <c r="L738" s="9"/>
      <c r="M738" s="9"/>
      <c r="N738" s="9"/>
      <c r="O738" s="9"/>
      <c r="P738" s="9"/>
      <c r="Q738" s="9"/>
    </row>
    <row r="739" spans="4:17" s="301" customFormat="1" ht="15" customHeight="1">
      <c r="D739" s="10"/>
      <c r="E739" s="10"/>
      <c r="F739" s="9"/>
      <c r="G739" s="9"/>
      <c r="H739" s="9"/>
      <c r="I739" s="9"/>
      <c r="J739" s="9"/>
      <c r="K739" s="9"/>
      <c r="L739" s="9"/>
      <c r="M739" s="9"/>
      <c r="N739" s="9"/>
      <c r="O739" s="9"/>
      <c r="P739" s="9"/>
      <c r="Q739" s="9"/>
    </row>
    <row r="740" spans="4:17" s="301" customFormat="1" ht="15" customHeight="1">
      <c r="D740" s="10"/>
      <c r="E740" s="10"/>
      <c r="F740" s="9"/>
      <c r="G740" s="9"/>
      <c r="H740" s="9"/>
      <c r="I740" s="9"/>
      <c r="J740" s="9"/>
      <c r="K740" s="9"/>
      <c r="L740" s="9"/>
      <c r="M740" s="9"/>
      <c r="N740" s="9"/>
      <c r="O740" s="9"/>
      <c r="P740" s="9"/>
      <c r="Q740" s="9"/>
    </row>
    <row r="741" spans="4:17" s="301" customFormat="1" ht="15" customHeight="1">
      <c r="D741" s="10"/>
      <c r="E741" s="10"/>
      <c r="F741" s="9"/>
      <c r="G741" s="9"/>
      <c r="H741" s="9"/>
      <c r="I741" s="9"/>
      <c r="J741" s="9"/>
      <c r="K741" s="9"/>
      <c r="L741" s="9"/>
      <c r="M741" s="9"/>
      <c r="N741" s="9"/>
      <c r="O741" s="9"/>
      <c r="P741" s="9"/>
      <c r="Q741" s="9"/>
    </row>
    <row r="742" spans="4:17" s="301" customFormat="1" ht="15" customHeight="1">
      <c r="D742" s="10"/>
      <c r="E742" s="10"/>
      <c r="F742" s="9"/>
      <c r="G742" s="9"/>
      <c r="H742" s="9"/>
      <c r="I742" s="9"/>
      <c r="J742" s="9"/>
      <c r="K742" s="9"/>
      <c r="L742" s="9"/>
      <c r="M742" s="9"/>
      <c r="N742" s="9"/>
      <c r="O742" s="9"/>
      <c r="P742" s="9"/>
      <c r="Q742" s="9"/>
    </row>
    <row r="743" spans="4:17" s="301" customFormat="1" ht="15" customHeight="1">
      <c r="D743" s="10"/>
      <c r="E743" s="10"/>
      <c r="F743" s="9"/>
      <c r="G743" s="9"/>
      <c r="H743" s="9"/>
      <c r="I743" s="9"/>
      <c r="J743" s="9"/>
      <c r="K743" s="9"/>
      <c r="L743" s="9"/>
      <c r="M743" s="9"/>
      <c r="N743" s="9"/>
      <c r="O743" s="9"/>
      <c r="P743" s="9"/>
      <c r="Q743" s="9"/>
    </row>
    <row r="744" spans="4:17" s="301" customFormat="1" ht="15" customHeight="1">
      <c r="D744" s="10"/>
      <c r="E744" s="10"/>
      <c r="F744" s="9"/>
      <c r="G744" s="9"/>
      <c r="H744" s="9"/>
      <c r="I744" s="9"/>
      <c r="J744" s="9"/>
      <c r="K744" s="9"/>
      <c r="L744" s="9"/>
      <c r="M744" s="9"/>
      <c r="N744" s="9"/>
      <c r="O744" s="9"/>
      <c r="P744" s="9"/>
      <c r="Q744" s="9"/>
    </row>
    <row r="745" spans="4:17" s="301" customFormat="1" ht="15" customHeight="1">
      <c r="D745" s="10"/>
      <c r="E745" s="10"/>
      <c r="F745" s="9"/>
      <c r="G745" s="9"/>
      <c r="H745" s="9"/>
      <c r="I745" s="9"/>
      <c r="J745" s="9"/>
      <c r="K745" s="9"/>
      <c r="L745" s="9"/>
      <c r="M745" s="9"/>
      <c r="N745" s="9"/>
      <c r="O745" s="9"/>
      <c r="P745" s="9"/>
      <c r="Q745" s="9"/>
    </row>
    <row r="746" spans="4:17" s="301" customFormat="1" ht="15" customHeight="1">
      <c r="D746" s="10"/>
      <c r="E746" s="10"/>
      <c r="F746" s="9"/>
      <c r="G746" s="9"/>
      <c r="H746" s="9"/>
      <c r="I746" s="9"/>
      <c r="J746" s="9"/>
      <c r="K746" s="9"/>
      <c r="L746" s="9"/>
      <c r="M746" s="9"/>
      <c r="N746" s="9"/>
      <c r="O746" s="9"/>
      <c r="P746" s="9"/>
      <c r="Q746" s="9"/>
    </row>
    <row r="747" spans="4:17" s="301" customFormat="1" ht="15" customHeight="1">
      <c r="D747" s="10"/>
      <c r="E747" s="10"/>
      <c r="F747" s="9"/>
      <c r="G747" s="9"/>
      <c r="H747" s="9"/>
      <c r="I747" s="9"/>
      <c r="J747" s="9"/>
      <c r="K747" s="9"/>
      <c r="L747" s="9"/>
      <c r="M747" s="9"/>
      <c r="N747" s="9"/>
      <c r="O747" s="9"/>
      <c r="P747" s="9"/>
      <c r="Q747" s="9"/>
    </row>
    <row r="748" spans="4:17" s="301" customFormat="1" ht="15" customHeight="1">
      <c r="D748" s="10"/>
      <c r="E748" s="10"/>
      <c r="F748" s="9"/>
      <c r="G748" s="9"/>
      <c r="H748" s="9"/>
      <c r="I748" s="9"/>
      <c r="J748" s="9"/>
      <c r="K748" s="9"/>
      <c r="L748" s="9"/>
      <c r="M748" s="9"/>
      <c r="N748" s="9"/>
      <c r="O748" s="9"/>
      <c r="P748" s="9"/>
      <c r="Q748" s="9"/>
    </row>
    <row r="749" spans="4:17" s="301" customFormat="1" ht="15" customHeight="1">
      <c r="D749" s="10"/>
      <c r="E749" s="10"/>
      <c r="F749" s="9"/>
      <c r="G749" s="9"/>
      <c r="H749" s="9"/>
      <c r="I749" s="9"/>
      <c r="J749" s="9"/>
      <c r="K749" s="9"/>
      <c r="L749" s="9"/>
      <c r="M749" s="9"/>
      <c r="N749" s="9"/>
      <c r="O749" s="9"/>
      <c r="P749" s="9"/>
      <c r="Q749" s="9"/>
    </row>
    <row r="750" spans="4:17" s="301" customFormat="1" ht="15" customHeight="1">
      <c r="D750" s="10"/>
      <c r="E750" s="10"/>
      <c r="F750" s="9"/>
      <c r="G750" s="9"/>
      <c r="H750" s="9"/>
      <c r="I750" s="9"/>
      <c r="J750" s="9"/>
      <c r="K750" s="9"/>
      <c r="L750" s="9"/>
      <c r="M750" s="9"/>
      <c r="N750" s="9"/>
      <c r="O750" s="9"/>
      <c r="P750" s="9"/>
      <c r="Q750" s="9"/>
    </row>
    <row r="751" spans="4:17" s="301" customFormat="1" ht="15" customHeight="1">
      <c r="D751" s="10"/>
      <c r="E751" s="10"/>
      <c r="F751" s="9"/>
      <c r="G751" s="9"/>
      <c r="H751" s="9"/>
      <c r="I751" s="9"/>
      <c r="J751" s="9"/>
      <c r="K751" s="9"/>
      <c r="L751" s="9"/>
      <c r="M751" s="9"/>
      <c r="N751" s="9"/>
      <c r="O751" s="9"/>
      <c r="P751" s="9"/>
      <c r="Q751" s="9"/>
    </row>
    <row r="752" spans="4:17" s="301" customFormat="1" ht="15" customHeight="1">
      <c r="D752" s="10"/>
      <c r="E752" s="10"/>
      <c r="F752" s="9"/>
      <c r="G752" s="9"/>
      <c r="H752" s="9"/>
      <c r="I752" s="9"/>
      <c r="J752" s="9"/>
      <c r="K752" s="9"/>
      <c r="L752" s="9"/>
      <c r="M752" s="9"/>
      <c r="N752" s="9"/>
      <c r="O752" s="9"/>
      <c r="P752" s="9"/>
      <c r="Q752" s="9"/>
    </row>
    <row r="753" spans="4:17" s="301" customFormat="1" ht="15" customHeight="1">
      <c r="D753" s="10"/>
      <c r="E753" s="10"/>
      <c r="F753" s="9"/>
      <c r="G753" s="9"/>
      <c r="H753" s="9"/>
      <c r="I753" s="9"/>
      <c r="J753" s="9"/>
      <c r="K753" s="9"/>
      <c r="L753" s="9"/>
      <c r="M753" s="9"/>
      <c r="N753" s="9"/>
      <c r="O753" s="9"/>
      <c r="P753" s="9"/>
      <c r="Q753" s="9"/>
    </row>
    <row r="754" spans="4:17" s="301" customFormat="1" ht="15" customHeight="1">
      <c r="D754" s="10"/>
      <c r="E754" s="10"/>
      <c r="F754" s="9"/>
      <c r="G754" s="9"/>
      <c r="H754" s="9"/>
      <c r="I754" s="9"/>
      <c r="J754" s="9"/>
      <c r="K754" s="9"/>
      <c r="L754" s="9"/>
      <c r="M754" s="9"/>
      <c r="N754" s="9"/>
      <c r="O754" s="9"/>
      <c r="P754" s="9"/>
      <c r="Q754" s="9"/>
    </row>
    <row r="755" spans="4:17" s="301" customFormat="1" ht="15" customHeight="1">
      <c r="D755" s="10"/>
      <c r="E755" s="10"/>
      <c r="F755" s="9"/>
      <c r="G755" s="9"/>
      <c r="H755" s="9"/>
      <c r="I755" s="9"/>
      <c r="J755" s="9"/>
      <c r="K755" s="9"/>
      <c r="L755" s="9"/>
      <c r="M755" s="9"/>
      <c r="N755" s="9"/>
      <c r="O755" s="9"/>
      <c r="P755" s="9"/>
      <c r="Q755" s="9"/>
    </row>
    <row r="756" spans="4:17" s="301" customFormat="1" ht="15" customHeight="1">
      <c r="D756" s="10"/>
      <c r="E756" s="10"/>
      <c r="F756" s="9"/>
      <c r="G756" s="9"/>
      <c r="H756" s="9"/>
      <c r="I756" s="9"/>
      <c r="J756" s="9"/>
      <c r="K756" s="9"/>
      <c r="L756" s="9"/>
      <c r="M756" s="9"/>
      <c r="N756" s="9"/>
      <c r="O756" s="9"/>
      <c r="P756" s="9"/>
      <c r="Q756" s="9"/>
    </row>
    <row r="757" spans="4:17" s="301" customFormat="1" ht="15" customHeight="1">
      <c r="D757" s="10"/>
      <c r="E757" s="10"/>
      <c r="F757" s="9"/>
      <c r="G757" s="9"/>
      <c r="H757" s="9"/>
      <c r="I757" s="9"/>
      <c r="J757" s="9"/>
      <c r="K757" s="9"/>
      <c r="L757" s="9"/>
      <c r="M757" s="9"/>
      <c r="N757" s="9"/>
      <c r="O757" s="9"/>
      <c r="P757" s="9"/>
      <c r="Q757" s="9"/>
    </row>
    <row r="758" spans="4:17" s="301" customFormat="1" ht="15" customHeight="1">
      <c r="D758" s="10"/>
      <c r="E758" s="10"/>
      <c r="F758" s="9"/>
      <c r="G758" s="9"/>
      <c r="H758" s="9"/>
      <c r="I758" s="9"/>
      <c r="J758" s="9"/>
      <c r="K758" s="9"/>
      <c r="L758" s="9"/>
      <c r="M758" s="9"/>
      <c r="N758" s="9"/>
      <c r="O758" s="9"/>
      <c r="P758" s="9"/>
      <c r="Q758" s="9"/>
    </row>
    <row r="759" spans="4:17" s="301" customFormat="1" ht="15" customHeight="1">
      <c r="D759" s="10"/>
      <c r="E759" s="10"/>
      <c r="F759" s="9"/>
      <c r="G759" s="9"/>
      <c r="H759" s="9"/>
      <c r="I759" s="9"/>
      <c r="J759" s="9"/>
      <c r="K759" s="9"/>
      <c r="L759" s="9"/>
      <c r="M759" s="9"/>
      <c r="N759" s="9"/>
      <c r="O759" s="9"/>
      <c r="P759" s="9"/>
      <c r="Q759" s="9"/>
    </row>
    <row r="760" spans="4:17" s="301" customFormat="1" ht="15" customHeight="1">
      <c r="D760" s="10"/>
      <c r="E760" s="10"/>
      <c r="F760" s="9"/>
      <c r="G760" s="9"/>
      <c r="H760" s="9"/>
      <c r="I760" s="9"/>
      <c r="J760" s="9"/>
      <c r="K760" s="9"/>
      <c r="L760" s="9"/>
      <c r="M760" s="9"/>
      <c r="N760" s="9"/>
      <c r="O760" s="9"/>
      <c r="P760" s="9"/>
      <c r="Q760" s="9"/>
    </row>
    <row r="761" spans="4:17" s="301" customFormat="1" ht="15" customHeight="1">
      <c r="D761" s="10"/>
      <c r="E761" s="10"/>
      <c r="F761" s="9"/>
      <c r="G761" s="9"/>
      <c r="H761" s="9"/>
      <c r="I761" s="9"/>
      <c r="J761" s="9"/>
      <c r="K761" s="9"/>
      <c r="L761" s="9"/>
      <c r="M761" s="9"/>
      <c r="N761" s="9"/>
      <c r="O761" s="9"/>
      <c r="P761" s="9"/>
      <c r="Q761" s="9"/>
    </row>
    <row r="762" spans="4:17" s="301" customFormat="1" ht="15" customHeight="1">
      <c r="D762" s="10"/>
      <c r="E762" s="10"/>
      <c r="F762" s="9"/>
      <c r="G762" s="9"/>
      <c r="H762" s="9"/>
      <c r="I762" s="9"/>
      <c r="J762" s="9"/>
      <c r="K762" s="9"/>
      <c r="L762" s="9"/>
      <c r="M762" s="9"/>
      <c r="N762" s="9"/>
      <c r="O762" s="9"/>
      <c r="P762" s="9"/>
      <c r="Q762" s="9"/>
    </row>
    <row r="763" spans="4:17" s="301" customFormat="1" ht="15" customHeight="1">
      <c r="D763" s="10"/>
      <c r="E763" s="10"/>
      <c r="F763" s="9"/>
      <c r="G763" s="9"/>
      <c r="H763" s="9"/>
      <c r="I763" s="9"/>
      <c r="J763" s="9"/>
      <c r="K763" s="9"/>
      <c r="L763" s="9"/>
      <c r="M763" s="9"/>
      <c r="N763" s="9"/>
      <c r="O763" s="9"/>
      <c r="P763" s="9"/>
      <c r="Q763" s="9"/>
    </row>
    <row r="764" spans="4:17" s="301" customFormat="1" ht="15" customHeight="1">
      <c r="D764" s="10"/>
      <c r="E764" s="10"/>
      <c r="F764" s="9"/>
      <c r="G764" s="9"/>
      <c r="H764" s="9"/>
      <c r="I764" s="9"/>
      <c r="J764" s="9"/>
      <c r="K764" s="9"/>
      <c r="L764" s="9"/>
      <c r="M764" s="9"/>
      <c r="N764" s="9"/>
      <c r="O764" s="9"/>
      <c r="P764" s="9"/>
      <c r="Q764" s="9"/>
    </row>
    <row r="765" spans="4:17" s="301" customFormat="1" ht="15" customHeight="1">
      <c r="D765" s="10"/>
      <c r="E765" s="10"/>
      <c r="F765" s="9"/>
      <c r="G765" s="9"/>
      <c r="H765" s="9"/>
      <c r="I765" s="9"/>
      <c r="J765" s="9"/>
      <c r="K765" s="9"/>
      <c r="L765" s="9"/>
      <c r="M765" s="9"/>
      <c r="N765" s="9"/>
      <c r="O765" s="9"/>
      <c r="P765" s="9"/>
      <c r="Q765" s="9"/>
    </row>
    <row r="766" spans="4:17" s="301" customFormat="1" ht="15" customHeight="1">
      <c r="D766" s="10"/>
      <c r="E766" s="10"/>
      <c r="F766" s="9"/>
      <c r="G766" s="9"/>
      <c r="H766" s="9"/>
      <c r="I766" s="9"/>
      <c r="J766" s="9"/>
      <c r="K766" s="9"/>
      <c r="L766" s="9"/>
      <c r="M766" s="9"/>
      <c r="N766" s="9"/>
      <c r="O766" s="9"/>
      <c r="P766" s="9"/>
      <c r="Q766" s="9"/>
    </row>
    <row r="767" spans="4:17" s="301" customFormat="1" ht="15" customHeight="1">
      <c r="D767" s="10"/>
      <c r="E767" s="10"/>
      <c r="F767" s="9"/>
      <c r="G767" s="9"/>
      <c r="H767" s="9"/>
      <c r="I767" s="9"/>
      <c r="J767" s="9"/>
      <c r="K767" s="9"/>
      <c r="L767" s="9"/>
      <c r="M767" s="9"/>
      <c r="N767" s="9"/>
      <c r="O767" s="9"/>
      <c r="P767" s="9"/>
      <c r="Q767" s="9"/>
    </row>
    <row r="768" spans="4:17" s="301" customFormat="1" ht="15" customHeight="1">
      <c r="D768" s="10"/>
      <c r="E768" s="10"/>
      <c r="F768" s="9"/>
      <c r="G768" s="9"/>
      <c r="H768" s="9"/>
      <c r="I768" s="9"/>
      <c r="J768" s="9"/>
      <c r="K768" s="9"/>
      <c r="L768" s="9"/>
      <c r="M768" s="9"/>
      <c r="N768" s="9"/>
      <c r="O768" s="9"/>
      <c r="P768" s="9"/>
      <c r="Q768" s="9"/>
    </row>
    <row r="769" spans="4:17" s="301" customFormat="1" ht="15" customHeight="1">
      <c r="D769" s="10"/>
      <c r="E769" s="10"/>
      <c r="F769" s="9"/>
      <c r="G769" s="9"/>
      <c r="H769" s="9"/>
      <c r="I769" s="9"/>
      <c r="J769" s="9"/>
      <c r="K769" s="9"/>
      <c r="L769" s="9"/>
      <c r="M769" s="9"/>
      <c r="N769" s="9"/>
      <c r="O769" s="9"/>
      <c r="P769" s="9"/>
      <c r="Q769" s="9"/>
    </row>
    <row r="770" spans="4:17" s="301" customFormat="1" ht="15" customHeight="1">
      <c r="D770" s="10"/>
      <c r="E770" s="10"/>
      <c r="F770" s="9"/>
      <c r="G770" s="9"/>
      <c r="H770" s="9"/>
      <c r="I770" s="9"/>
      <c r="J770" s="9"/>
      <c r="K770" s="9"/>
      <c r="L770" s="9"/>
      <c r="M770" s="9"/>
      <c r="N770" s="9"/>
      <c r="O770" s="9"/>
      <c r="P770" s="9"/>
      <c r="Q770" s="9"/>
    </row>
    <row r="771" spans="4:17" s="301" customFormat="1" ht="15" customHeight="1">
      <c r="D771" s="10"/>
      <c r="E771" s="10"/>
      <c r="F771" s="9"/>
      <c r="G771" s="9"/>
      <c r="H771" s="9"/>
      <c r="I771" s="9"/>
      <c r="J771" s="9"/>
      <c r="K771" s="9"/>
      <c r="L771" s="9"/>
      <c r="M771" s="9"/>
      <c r="N771" s="9"/>
      <c r="O771" s="9"/>
      <c r="P771" s="9"/>
      <c r="Q771" s="9"/>
    </row>
    <row r="772" spans="4:17" s="301" customFormat="1" ht="15" customHeight="1">
      <c r="D772" s="10"/>
      <c r="E772" s="10"/>
      <c r="F772" s="9"/>
      <c r="G772" s="9"/>
      <c r="H772" s="9"/>
      <c r="I772" s="9"/>
      <c r="J772" s="9"/>
      <c r="K772" s="9"/>
      <c r="L772" s="9"/>
      <c r="M772" s="9"/>
      <c r="N772" s="9"/>
      <c r="O772" s="9"/>
      <c r="P772" s="9"/>
      <c r="Q772" s="9"/>
    </row>
    <row r="773" spans="4:17" s="301" customFormat="1" ht="15" customHeight="1">
      <c r="D773" s="10"/>
      <c r="E773" s="10"/>
      <c r="F773" s="9"/>
      <c r="G773" s="9"/>
      <c r="H773" s="9"/>
      <c r="I773" s="9"/>
      <c r="J773" s="9"/>
      <c r="K773" s="9"/>
      <c r="L773" s="9"/>
      <c r="M773" s="9"/>
      <c r="N773" s="9"/>
      <c r="O773" s="9"/>
      <c r="P773" s="9"/>
      <c r="Q773" s="9"/>
    </row>
    <row r="774" spans="4:17" s="301" customFormat="1" ht="15" customHeight="1">
      <c r="D774" s="10"/>
      <c r="E774" s="10"/>
      <c r="F774" s="9"/>
      <c r="G774" s="9"/>
      <c r="H774" s="9"/>
      <c r="I774" s="9"/>
      <c r="J774" s="9"/>
      <c r="K774" s="9"/>
      <c r="L774" s="9"/>
      <c r="M774" s="9"/>
      <c r="N774" s="9"/>
      <c r="O774" s="9"/>
      <c r="P774" s="9"/>
      <c r="Q774" s="9"/>
    </row>
    <row r="775" spans="4:17" s="301" customFormat="1" ht="15" customHeight="1">
      <c r="D775" s="10"/>
      <c r="E775" s="10"/>
      <c r="F775" s="9"/>
      <c r="G775" s="9"/>
      <c r="H775" s="9"/>
      <c r="I775" s="9"/>
      <c r="J775" s="9"/>
      <c r="K775" s="9"/>
      <c r="L775" s="9"/>
      <c r="M775" s="9"/>
      <c r="N775" s="9"/>
      <c r="O775" s="9"/>
      <c r="P775" s="9"/>
      <c r="Q775" s="9"/>
    </row>
    <row r="776" spans="4:17" s="301" customFormat="1" ht="15" customHeight="1">
      <c r="D776" s="10"/>
      <c r="E776" s="10"/>
      <c r="F776" s="9"/>
      <c r="G776" s="9"/>
      <c r="H776" s="9"/>
      <c r="I776" s="9"/>
      <c r="J776" s="9"/>
      <c r="K776" s="9"/>
      <c r="L776" s="9"/>
      <c r="M776" s="9"/>
      <c r="N776" s="9"/>
      <c r="O776" s="9"/>
      <c r="P776" s="9"/>
      <c r="Q776" s="9"/>
    </row>
    <row r="777" spans="4:17" s="301" customFormat="1" ht="15" customHeight="1">
      <c r="D777" s="10"/>
      <c r="E777" s="10"/>
      <c r="F777" s="9"/>
      <c r="G777" s="9"/>
      <c r="H777" s="9"/>
      <c r="I777" s="9"/>
      <c r="J777" s="9"/>
      <c r="K777" s="9"/>
      <c r="L777" s="9"/>
      <c r="M777" s="9"/>
      <c r="N777" s="9"/>
      <c r="O777" s="9"/>
      <c r="P777" s="9"/>
      <c r="Q777" s="9"/>
    </row>
    <row r="778" spans="4:17" s="301" customFormat="1" ht="15" customHeight="1">
      <c r="D778" s="10"/>
      <c r="E778" s="10"/>
      <c r="F778" s="9"/>
      <c r="G778" s="9"/>
      <c r="H778" s="9"/>
      <c r="I778" s="9"/>
      <c r="J778" s="9"/>
      <c r="K778" s="9"/>
      <c r="L778" s="9"/>
      <c r="M778" s="9"/>
      <c r="N778" s="9"/>
      <c r="O778" s="9"/>
      <c r="P778" s="9"/>
      <c r="Q778" s="9"/>
    </row>
    <row r="779" spans="4:17" s="301" customFormat="1" ht="15" customHeight="1">
      <c r="D779" s="10"/>
      <c r="E779" s="10"/>
      <c r="F779" s="9"/>
      <c r="G779" s="9"/>
      <c r="H779" s="9"/>
      <c r="I779" s="9"/>
      <c r="J779" s="9"/>
      <c r="K779" s="9"/>
      <c r="L779" s="9"/>
      <c r="M779" s="9"/>
      <c r="N779" s="9"/>
      <c r="O779" s="9"/>
      <c r="P779" s="9"/>
      <c r="Q779" s="9"/>
    </row>
    <row r="780" spans="4:17" s="301" customFormat="1" ht="15" customHeight="1">
      <c r="D780" s="10"/>
      <c r="E780" s="10"/>
      <c r="F780" s="9"/>
      <c r="G780" s="9"/>
      <c r="H780" s="9"/>
      <c r="I780" s="9"/>
      <c r="J780" s="9"/>
      <c r="K780" s="9"/>
      <c r="L780" s="9"/>
      <c r="M780" s="9"/>
      <c r="N780" s="9"/>
      <c r="O780" s="9"/>
      <c r="P780" s="9"/>
      <c r="Q780" s="9"/>
    </row>
    <row r="781" spans="4:17" s="301" customFormat="1" ht="15" customHeight="1">
      <c r="D781" s="10"/>
      <c r="E781" s="10"/>
      <c r="F781" s="9"/>
      <c r="G781" s="9"/>
      <c r="H781" s="9"/>
      <c r="I781" s="9"/>
      <c r="J781" s="9"/>
      <c r="K781" s="9"/>
      <c r="L781" s="9"/>
      <c r="M781" s="9"/>
      <c r="N781" s="9"/>
      <c r="O781" s="9"/>
      <c r="P781" s="9"/>
      <c r="Q781" s="9"/>
    </row>
    <row r="782" spans="4:17" s="301" customFormat="1" ht="15" customHeight="1">
      <c r="D782" s="10"/>
      <c r="E782" s="10"/>
      <c r="F782" s="9"/>
      <c r="G782" s="9"/>
      <c r="H782" s="9"/>
      <c r="I782" s="9"/>
      <c r="J782" s="9"/>
      <c r="K782" s="9"/>
      <c r="L782" s="9"/>
      <c r="M782" s="9"/>
      <c r="N782" s="9"/>
      <c r="O782" s="9"/>
      <c r="P782" s="9"/>
      <c r="Q782" s="9"/>
    </row>
    <row r="783" spans="4:17" s="301" customFormat="1" ht="15" customHeight="1">
      <c r="D783" s="10"/>
      <c r="E783" s="10"/>
      <c r="F783" s="9"/>
      <c r="G783" s="9"/>
      <c r="H783" s="9"/>
      <c r="I783" s="9"/>
      <c r="J783" s="9"/>
      <c r="K783" s="9"/>
      <c r="L783" s="9"/>
      <c r="M783" s="9"/>
      <c r="N783" s="9"/>
      <c r="O783" s="9"/>
      <c r="P783" s="9"/>
      <c r="Q783" s="9"/>
    </row>
    <row r="784" spans="4:17" s="301" customFormat="1" ht="15" customHeight="1">
      <c r="D784" s="10"/>
      <c r="E784" s="10"/>
      <c r="F784" s="9"/>
      <c r="G784" s="9"/>
      <c r="H784" s="9"/>
      <c r="I784" s="9"/>
      <c r="J784" s="9"/>
      <c r="K784" s="9"/>
      <c r="L784" s="9"/>
      <c r="M784" s="9"/>
      <c r="N784" s="9"/>
      <c r="O784" s="9"/>
      <c r="P784" s="9"/>
      <c r="Q784" s="9"/>
    </row>
    <row r="785" spans="4:17" s="301" customFormat="1" ht="15" customHeight="1">
      <c r="D785" s="10"/>
      <c r="E785" s="10"/>
      <c r="F785" s="9"/>
      <c r="G785" s="9"/>
      <c r="H785" s="9"/>
      <c r="I785" s="9"/>
      <c r="J785" s="9"/>
      <c r="K785" s="9"/>
      <c r="L785" s="9"/>
      <c r="M785" s="9"/>
      <c r="N785" s="9"/>
      <c r="O785" s="9"/>
      <c r="P785" s="9"/>
      <c r="Q785" s="9"/>
    </row>
    <row r="786" spans="4:17" s="301" customFormat="1" ht="15" customHeight="1">
      <c r="D786" s="10"/>
      <c r="E786" s="10"/>
      <c r="F786" s="9"/>
      <c r="G786" s="9"/>
      <c r="H786" s="9"/>
      <c r="I786" s="9"/>
      <c r="J786" s="9"/>
      <c r="K786" s="9"/>
      <c r="L786" s="9"/>
      <c r="M786" s="9"/>
      <c r="N786" s="9"/>
      <c r="O786" s="9"/>
      <c r="P786" s="9"/>
      <c r="Q786" s="9"/>
    </row>
    <row r="787" spans="4:17" s="301" customFormat="1" ht="15" customHeight="1">
      <c r="D787" s="10"/>
      <c r="E787" s="10"/>
      <c r="F787" s="9"/>
      <c r="G787" s="9"/>
      <c r="H787" s="9"/>
      <c r="I787" s="9"/>
      <c r="J787" s="9"/>
      <c r="K787" s="9"/>
      <c r="L787" s="9"/>
      <c r="M787" s="9"/>
      <c r="N787" s="9"/>
      <c r="O787" s="9"/>
      <c r="P787" s="9"/>
      <c r="Q787" s="9"/>
    </row>
    <row r="788" spans="4:17" s="301" customFormat="1" ht="15" customHeight="1">
      <c r="D788" s="10"/>
      <c r="E788" s="10"/>
      <c r="F788" s="9"/>
      <c r="G788" s="9"/>
      <c r="H788" s="9"/>
      <c r="I788" s="9"/>
      <c r="J788" s="9"/>
      <c r="K788" s="9"/>
      <c r="L788" s="9"/>
      <c r="M788" s="9"/>
      <c r="N788" s="9"/>
      <c r="O788" s="9"/>
      <c r="P788" s="9"/>
      <c r="Q788" s="9"/>
    </row>
    <row r="789" spans="4:17" s="301" customFormat="1" ht="15" customHeight="1">
      <c r="D789" s="10"/>
      <c r="E789" s="10"/>
      <c r="F789" s="9"/>
      <c r="G789" s="9"/>
      <c r="H789" s="9"/>
      <c r="I789" s="9"/>
      <c r="J789" s="9"/>
      <c r="K789" s="9"/>
      <c r="L789" s="9"/>
      <c r="M789" s="9"/>
      <c r="N789" s="9"/>
      <c r="O789" s="9"/>
      <c r="P789" s="9"/>
      <c r="Q789" s="9"/>
    </row>
    <row r="790" spans="4:17" s="301" customFormat="1" ht="15" customHeight="1">
      <c r="D790" s="10"/>
      <c r="E790" s="10"/>
      <c r="F790" s="9"/>
      <c r="G790" s="9"/>
      <c r="H790" s="9"/>
      <c r="I790" s="9"/>
      <c r="J790" s="9"/>
      <c r="K790" s="9"/>
      <c r="L790" s="9"/>
      <c r="M790" s="9"/>
      <c r="N790" s="9"/>
      <c r="O790" s="9"/>
      <c r="P790" s="9"/>
      <c r="Q790" s="9"/>
    </row>
    <row r="791" spans="4:17" s="301" customFormat="1" ht="15" customHeight="1">
      <c r="D791" s="10"/>
      <c r="E791" s="10"/>
      <c r="F791" s="9"/>
      <c r="G791" s="9"/>
      <c r="H791" s="9"/>
      <c r="I791" s="9"/>
      <c r="J791" s="9"/>
      <c r="K791" s="9"/>
      <c r="L791" s="9"/>
      <c r="M791" s="9"/>
      <c r="N791" s="9"/>
      <c r="O791" s="9"/>
      <c r="P791" s="9"/>
      <c r="Q791" s="9"/>
    </row>
    <row r="792" spans="4:17" s="301" customFormat="1" ht="15" customHeight="1">
      <c r="D792" s="10"/>
      <c r="E792" s="10"/>
      <c r="F792" s="9"/>
      <c r="G792" s="9"/>
      <c r="H792" s="9"/>
      <c r="I792" s="9"/>
      <c r="J792" s="9"/>
      <c r="K792" s="9"/>
      <c r="L792" s="9"/>
      <c r="M792" s="9"/>
      <c r="N792" s="9"/>
      <c r="O792" s="9"/>
      <c r="P792" s="9"/>
      <c r="Q792" s="9"/>
    </row>
    <row r="793" spans="4:17" s="301" customFormat="1" ht="15" customHeight="1">
      <c r="D793" s="10"/>
      <c r="E793" s="10"/>
      <c r="F793" s="9"/>
      <c r="G793" s="9"/>
      <c r="H793" s="9"/>
      <c r="I793" s="9"/>
      <c r="J793" s="9"/>
      <c r="K793" s="9"/>
      <c r="L793" s="9"/>
      <c r="M793" s="9"/>
      <c r="N793" s="9"/>
      <c r="O793" s="9"/>
      <c r="P793" s="9"/>
      <c r="Q793" s="9"/>
    </row>
    <row r="794" spans="4:17" s="301" customFormat="1" ht="15" customHeight="1">
      <c r="D794" s="10"/>
      <c r="E794" s="10"/>
      <c r="F794" s="9"/>
      <c r="G794" s="9"/>
      <c r="H794" s="9"/>
      <c r="I794" s="9"/>
      <c r="J794" s="9"/>
      <c r="K794" s="9"/>
      <c r="L794" s="9"/>
      <c r="M794" s="9"/>
      <c r="N794" s="9"/>
      <c r="O794" s="9"/>
      <c r="P794" s="9"/>
      <c r="Q794" s="9"/>
    </row>
    <row r="795" spans="4:17" s="301" customFormat="1" ht="15" customHeight="1">
      <c r="D795" s="10"/>
      <c r="E795" s="10"/>
      <c r="F795" s="9"/>
      <c r="G795" s="9"/>
      <c r="H795" s="9"/>
      <c r="I795" s="9"/>
      <c r="J795" s="9"/>
      <c r="K795" s="9"/>
      <c r="L795" s="9"/>
      <c r="M795" s="9"/>
      <c r="N795" s="9"/>
      <c r="O795" s="9"/>
      <c r="P795" s="9"/>
      <c r="Q795" s="9"/>
    </row>
    <row r="796" spans="4:17" s="301" customFormat="1" ht="15" customHeight="1">
      <c r="D796" s="10"/>
      <c r="E796" s="10"/>
      <c r="F796" s="9"/>
      <c r="G796" s="9"/>
      <c r="H796" s="9"/>
      <c r="I796" s="9"/>
      <c r="J796" s="9"/>
      <c r="K796" s="9"/>
      <c r="L796" s="9"/>
      <c r="M796" s="9"/>
      <c r="N796" s="9"/>
      <c r="O796" s="9"/>
      <c r="P796" s="9"/>
      <c r="Q796" s="9"/>
    </row>
    <row r="797" spans="4:17" s="301" customFormat="1" ht="15" customHeight="1">
      <c r="D797" s="10"/>
      <c r="E797" s="10"/>
      <c r="F797" s="9"/>
      <c r="G797" s="9"/>
      <c r="H797" s="9"/>
      <c r="I797" s="9"/>
      <c r="J797" s="9"/>
      <c r="K797" s="9"/>
      <c r="L797" s="9"/>
      <c r="M797" s="9"/>
      <c r="N797" s="9"/>
      <c r="O797" s="9"/>
      <c r="P797" s="9"/>
      <c r="Q797" s="9"/>
    </row>
    <row r="798" spans="4:17" s="301" customFormat="1" ht="15" customHeight="1">
      <c r="D798" s="10"/>
      <c r="E798" s="10"/>
      <c r="F798" s="9"/>
      <c r="G798" s="9"/>
      <c r="H798" s="9"/>
      <c r="I798" s="9"/>
      <c r="J798" s="9"/>
      <c r="K798" s="9"/>
      <c r="L798" s="9"/>
      <c r="M798" s="9"/>
      <c r="N798" s="9"/>
      <c r="O798" s="9"/>
      <c r="P798" s="9"/>
      <c r="Q798" s="9"/>
    </row>
    <row r="799" spans="4:17" s="301" customFormat="1" ht="15" customHeight="1">
      <c r="D799" s="10"/>
      <c r="E799" s="10"/>
      <c r="F799" s="9"/>
      <c r="G799" s="9"/>
      <c r="H799" s="9"/>
      <c r="I799" s="9"/>
      <c r="J799" s="9"/>
      <c r="K799" s="9"/>
      <c r="L799" s="9"/>
      <c r="M799" s="9"/>
      <c r="N799" s="9"/>
      <c r="O799" s="9"/>
      <c r="P799" s="9"/>
      <c r="Q799" s="9"/>
    </row>
    <row r="800" spans="4:17" s="301" customFormat="1" ht="15" customHeight="1">
      <c r="D800" s="10"/>
      <c r="E800" s="10"/>
      <c r="F800" s="9"/>
      <c r="G800" s="9"/>
      <c r="H800" s="9"/>
      <c r="I800" s="9"/>
      <c r="J800" s="9"/>
      <c r="K800" s="9"/>
      <c r="L800" s="9"/>
      <c r="M800" s="9"/>
      <c r="N800" s="9"/>
      <c r="O800" s="9"/>
      <c r="P800" s="9"/>
      <c r="Q800" s="9"/>
    </row>
    <row r="801" spans="4:17" s="301" customFormat="1" ht="15" customHeight="1">
      <c r="D801" s="10"/>
      <c r="E801" s="10"/>
      <c r="F801" s="9"/>
      <c r="G801" s="9"/>
      <c r="H801" s="9"/>
      <c r="I801" s="9"/>
      <c r="J801" s="9"/>
      <c r="K801" s="9"/>
      <c r="L801" s="9"/>
      <c r="M801" s="9"/>
      <c r="N801" s="9"/>
      <c r="O801" s="9"/>
      <c r="P801" s="9"/>
      <c r="Q801" s="9"/>
    </row>
    <row r="802" spans="4:17" s="301" customFormat="1" ht="15" customHeight="1">
      <c r="D802" s="10"/>
      <c r="E802" s="10"/>
      <c r="F802" s="9"/>
      <c r="G802" s="9"/>
      <c r="H802" s="9"/>
      <c r="I802" s="9"/>
      <c r="J802" s="9"/>
      <c r="K802" s="9"/>
      <c r="L802" s="9"/>
      <c r="M802" s="9"/>
      <c r="N802" s="9"/>
      <c r="O802" s="9"/>
      <c r="P802" s="9"/>
      <c r="Q802" s="9"/>
    </row>
    <row r="803" spans="4:17" s="301" customFormat="1" ht="15" customHeight="1">
      <c r="D803" s="10"/>
      <c r="E803" s="10"/>
      <c r="F803" s="9"/>
      <c r="G803" s="9"/>
      <c r="H803" s="9"/>
      <c r="I803" s="9"/>
      <c r="J803" s="9"/>
      <c r="K803" s="9"/>
      <c r="L803" s="9"/>
      <c r="M803" s="9"/>
      <c r="N803" s="9"/>
      <c r="O803" s="9"/>
      <c r="P803" s="9"/>
      <c r="Q803" s="9"/>
    </row>
    <row r="804" spans="4:17" s="301" customFormat="1" ht="15" customHeight="1">
      <c r="D804" s="10"/>
      <c r="E804" s="10"/>
      <c r="F804" s="9"/>
      <c r="G804" s="9"/>
      <c r="H804" s="9"/>
      <c r="I804" s="9"/>
      <c r="J804" s="9"/>
      <c r="K804" s="9"/>
      <c r="L804" s="9"/>
      <c r="M804" s="9"/>
      <c r="N804" s="9"/>
      <c r="O804" s="9"/>
      <c r="P804" s="9"/>
      <c r="Q804" s="9"/>
    </row>
    <row r="805" spans="4:17" s="301" customFormat="1" ht="15" customHeight="1">
      <c r="D805" s="10"/>
      <c r="E805" s="10"/>
      <c r="F805" s="9"/>
      <c r="G805" s="9"/>
      <c r="H805" s="9"/>
      <c r="I805" s="9"/>
      <c r="J805" s="9"/>
      <c r="K805" s="9"/>
      <c r="L805" s="9"/>
      <c r="M805" s="9"/>
      <c r="N805" s="9"/>
      <c r="O805" s="9"/>
      <c r="P805" s="9"/>
      <c r="Q805" s="9"/>
    </row>
    <row r="806" spans="4:17" s="301" customFormat="1" ht="15" customHeight="1">
      <c r="D806" s="10"/>
      <c r="E806" s="10"/>
      <c r="F806" s="9"/>
      <c r="G806" s="9"/>
      <c r="H806" s="9"/>
      <c r="I806" s="9"/>
      <c r="J806" s="9"/>
      <c r="K806" s="9"/>
      <c r="L806" s="9"/>
      <c r="M806" s="9"/>
      <c r="N806" s="9"/>
      <c r="O806" s="9"/>
      <c r="P806" s="9"/>
      <c r="Q806" s="9"/>
    </row>
    <row r="807" spans="4:17" s="301" customFormat="1" ht="15" customHeight="1">
      <c r="D807" s="10"/>
      <c r="E807" s="10"/>
      <c r="F807" s="9"/>
      <c r="G807" s="9"/>
      <c r="H807" s="9"/>
      <c r="I807" s="9"/>
      <c r="J807" s="9"/>
      <c r="K807" s="9"/>
      <c r="L807" s="9"/>
      <c r="M807" s="9"/>
      <c r="N807" s="9"/>
      <c r="O807" s="9"/>
      <c r="P807" s="9"/>
      <c r="Q807" s="9"/>
    </row>
    <row r="808" spans="4:17" s="301" customFormat="1" ht="15" customHeight="1">
      <c r="D808" s="10"/>
      <c r="E808" s="10"/>
      <c r="F808" s="9"/>
      <c r="G808" s="9"/>
      <c r="H808" s="9"/>
      <c r="I808" s="9"/>
      <c r="J808" s="9"/>
      <c r="K808" s="9"/>
      <c r="L808" s="9"/>
      <c r="M808" s="9"/>
      <c r="N808" s="9"/>
      <c r="O808" s="9"/>
      <c r="P808" s="9"/>
      <c r="Q808" s="9"/>
    </row>
    <row r="809" spans="4:17" s="301" customFormat="1" ht="15" customHeight="1">
      <c r="D809" s="10"/>
      <c r="E809" s="10"/>
      <c r="F809" s="9"/>
      <c r="G809" s="9"/>
      <c r="H809" s="9"/>
      <c r="I809" s="9"/>
      <c r="J809" s="9"/>
      <c r="K809" s="9"/>
      <c r="L809" s="9"/>
      <c r="M809" s="9"/>
      <c r="N809" s="9"/>
      <c r="O809" s="9"/>
      <c r="P809" s="9"/>
      <c r="Q809" s="9"/>
    </row>
    <row r="810" spans="4:17" s="301" customFormat="1" ht="15" customHeight="1">
      <c r="D810" s="10"/>
      <c r="E810" s="10"/>
      <c r="F810" s="9"/>
      <c r="G810" s="9"/>
      <c r="H810" s="9"/>
      <c r="I810" s="9"/>
      <c r="J810" s="9"/>
      <c r="K810" s="9"/>
      <c r="L810" s="9"/>
      <c r="M810" s="9"/>
      <c r="N810" s="9"/>
      <c r="O810" s="9"/>
      <c r="P810" s="9"/>
      <c r="Q810" s="9"/>
    </row>
    <row r="811" spans="4:17" s="301" customFormat="1" ht="15" customHeight="1">
      <c r="D811" s="10"/>
      <c r="E811" s="10"/>
      <c r="F811" s="9"/>
      <c r="G811" s="9"/>
      <c r="H811" s="9"/>
      <c r="I811" s="9"/>
      <c r="J811" s="9"/>
      <c r="K811" s="9"/>
      <c r="L811" s="9"/>
      <c r="M811" s="9"/>
      <c r="N811" s="9"/>
      <c r="O811" s="9"/>
      <c r="P811" s="9"/>
      <c r="Q811" s="9"/>
    </row>
    <row r="812" spans="4:17" s="301" customFormat="1" ht="15" customHeight="1">
      <c r="D812" s="10"/>
      <c r="E812" s="10"/>
      <c r="F812" s="9"/>
      <c r="G812" s="9"/>
      <c r="H812" s="9"/>
      <c r="I812" s="9"/>
      <c r="J812" s="9"/>
      <c r="K812" s="9"/>
      <c r="L812" s="9"/>
      <c r="M812" s="9"/>
      <c r="N812" s="9"/>
      <c r="O812" s="9"/>
      <c r="P812" s="9"/>
      <c r="Q812" s="9"/>
    </row>
    <row r="813" spans="4:17" s="301" customFormat="1" ht="15" customHeight="1">
      <c r="D813" s="10"/>
      <c r="E813" s="10"/>
      <c r="F813" s="9"/>
      <c r="G813" s="9"/>
      <c r="H813" s="9"/>
      <c r="I813" s="9"/>
      <c r="J813" s="9"/>
      <c r="K813" s="9"/>
      <c r="L813" s="9"/>
      <c r="M813" s="9"/>
      <c r="N813" s="9"/>
      <c r="O813" s="9"/>
      <c r="P813" s="9"/>
      <c r="Q813" s="9"/>
    </row>
    <row r="814" spans="4:17" s="301" customFormat="1" ht="15" customHeight="1">
      <c r="D814" s="10"/>
      <c r="E814" s="10"/>
      <c r="F814" s="9"/>
      <c r="G814" s="9"/>
      <c r="H814" s="9"/>
      <c r="I814" s="9"/>
      <c r="J814" s="9"/>
      <c r="K814" s="9"/>
      <c r="L814" s="9"/>
      <c r="M814" s="9"/>
      <c r="N814" s="9"/>
      <c r="O814" s="9"/>
      <c r="P814" s="9"/>
      <c r="Q814" s="9"/>
    </row>
    <row r="815" spans="4:17" s="301" customFormat="1" ht="15" customHeight="1">
      <c r="D815" s="10"/>
      <c r="E815" s="10"/>
      <c r="F815" s="9"/>
      <c r="G815" s="9"/>
      <c r="H815" s="9"/>
      <c r="I815" s="9"/>
      <c r="J815" s="9"/>
      <c r="K815" s="9"/>
      <c r="L815" s="9"/>
      <c r="M815" s="9"/>
      <c r="N815" s="9"/>
      <c r="O815" s="9"/>
      <c r="P815" s="9"/>
      <c r="Q815" s="9"/>
    </row>
    <row r="816" spans="4:17" s="301" customFormat="1" ht="15" customHeight="1">
      <c r="D816" s="10"/>
      <c r="E816" s="10"/>
      <c r="F816" s="9"/>
      <c r="G816" s="9"/>
      <c r="H816" s="9"/>
      <c r="I816" s="9"/>
      <c r="J816" s="9"/>
      <c r="K816" s="9"/>
      <c r="L816" s="9"/>
      <c r="M816" s="9"/>
      <c r="N816" s="9"/>
      <c r="O816" s="9"/>
      <c r="P816" s="9"/>
      <c r="Q816" s="9"/>
    </row>
    <row r="817" spans="4:17" s="301" customFormat="1" ht="15" customHeight="1">
      <c r="D817" s="10"/>
      <c r="E817" s="10"/>
      <c r="F817" s="9"/>
      <c r="G817" s="9"/>
      <c r="H817" s="9"/>
      <c r="I817" s="9"/>
      <c r="J817" s="9"/>
      <c r="K817" s="9"/>
      <c r="L817" s="9"/>
      <c r="M817" s="9"/>
      <c r="N817" s="9"/>
      <c r="O817" s="9"/>
      <c r="P817" s="9"/>
      <c r="Q817" s="9"/>
    </row>
    <row r="818" spans="4:17" s="301" customFormat="1" ht="15" customHeight="1">
      <c r="D818" s="10"/>
      <c r="E818" s="10"/>
      <c r="F818" s="9"/>
      <c r="G818" s="9"/>
      <c r="H818" s="9"/>
      <c r="I818" s="9"/>
      <c r="J818" s="9"/>
      <c r="K818" s="9"/>
      <c r="L818" s="9"/>
      <c r="M818" s="9"/>
      <c r="N818" s="9"/>
      <c r="O818" s="9"/>
      <c r="P818" s="9"/>
      <c r="Q818" s="9"/>
    </row>
    <row r="819" spans="4:17" s="301" customFormat="1" ht="15" customHeight="1">
      <c r="D819" s="10"/>
      <c r="E819" s="10"/>
      <c r="F819" s="9"/>
      <c r="G819" s="9"/>
      <c r="H819" s="9"/>
      <c r="I819" s="9"/>
      <c r="J819" s="9"/>
      <c r="K819" s="9"/>
      <c r="L819" s="9"/>
      <c r="M819" s="9"/>
      <c r="N819" s="9"/>
      <c r="O819" s="9"/>
      <c r="P819" s="9"/>
      <c r="Q819" s="9"/>
    </row>
    <row r="820" spans="4:17" s="301" customFormat="1" ht="15" customHeight="1">
      <c r="D820" s="10"/>
      <c r="E820" s="10"/>
      <c r="F820" s="9"/>
      <c r="G820" s="9"/>
      <c r="H820" s="9"/>
      <c r="I820" s="9"/>
      <c r="J820" s="9"/>
      <c r="K820" s="9"/>
      <c r="L820" s="9"/>
      <c r="M820" s="9"/>
      <c r="N820" s="9"/>
      <c r="O820" s="9"/>
      <c r="P820" s="9"/>
      <c r="Q820" s="9"/>
    </row>
    <row r="821" spans="4:17" s="301" customFormat="1" ht="15" customHeight="1">
      <c r="D821" s="10"/>
      <c r="E821" s="10"/>
      <c r="F821" s="9"/>
      <c r="G821" s="9"/>
      <c r="H821" s="9"/>
      <c r="I821" s="9"/>
      <c r="J821" s="9"/>
      <c r="K821" s="9"/>
      <c r="L821" s="9"/>
      <c r="M821" s="9"/>
      <c r="N821" s="9"/>
      <c r="O821" s="9"/>
      <c r="P821" s="9"/>
      <c r="Q821" s="9"/>
    </row>
    <row r="822" spans="4:17" s="301" customFormat="1" ht="15" customHeight="1">
      <c r="D822" s="10"/>
      <c r="E822" s="10"/>
      <c r="F822" s="9"/>
      <c r="G822" s="9"/>
      <c r="H822" s="9"/>
      <c r="I822" s="9"/>
      <c r="J822" s="9"/>
      <c r="K822" s="9"/>
      <c r="L822" s="9"/>
      <c r="M822" s="9"/>
      <c r="N822" s="9"/>
      <c r="O822" s="9"/>
      <c r="P822" s="9"/>
      <c r="Q822" s="9"/>
    </row>
    <row r="823" spans="4:17" s="301" customFormat="1" ht="15" customHeight="1">
      <c r="D823" s="10"/>
      <c r="E823" s="10"/>
      <c r="F823" s="9"/>
      <c r="G823" s="9"/>
      <c r="H823" s="9"/>
      <c r="I823" s="9"/>
      <c r="J823" s="9"/>
      <c r="K823" s="9"/>
      <c r="L823" s="9"/>
      <c r="M823" s="9"/>
      <c r="N823" s="9"/>
      <c r="O823" s="9"/>
      <c r="P823" s="9"/>
      <c r="Q823" s="9"/>
    </row>
    <row r="824" spans="4:17" s="301" customFormat="1" ht="15" customHeight="1">
      <c r="D824" s="10"/>
      <c r="E824" s="10"/>
      <c r="F824" s="9"/>
      <c r="G824" s="9"/>
      <c r="H824" s="9"/>
      <c r="I824" s="9"/>
      <c r="J824" s="9"/>
      <c r="K824" s="9"/>
      <c r="L824" s="9"/>
      <c r="M824" s="9"/>
      <c r="N824" s="9"/>
      <c r="O824" s="9"/>
      <c r="P824" s="9"/>
      <c r="Q824" s="9"/>
    </row>
    <row r="825" spans="4:17" s="301" customFormat="1" ht="15" customHeight="1">
      <c r="D825" s="10"/>
      <c r="E825" s="10"/>
      <c r="F825" s="9"/>
      <c r="G825" s="9"/>
      <c r="H825" s="9"/>
      <c r="I825" s="9"/>
      <c r="J825" s="9"/>
      <c r="K825" s="9"/>
      <c r="L825" s="9"/>
      <c r="M825" s="9"/>
      <c r="N825" s="9"/>
      <c r="O825" s="9"/>
      <c r="P825" s="9"/>
      <c r="Q825" s="9"/>
    </row>
    <row r="826" spans="4:17" s="301" customFormat="1" ht="15" customHeight="1">
      <c r="D826" s="10"/>
      <c r="E826" s="10"/>
      <c r="F826" s="9"/>
      <c r="G826" s="9"/>
      <c r="H826" s="9"/>
      <c r="I826" s="9"/>
      <c r="J826" s="9"/>
      <c r="K826" s="9"/>
      <c r="L826" s="9"/>
      <c r="M826" s="9"/>
      <c r="N826" s="9"/>
      <c r="O826" s="9"/>
      <c r="P826" s="9"/>
      <c r="Q826" s="9"/>
    </row>
    <row r="827" spans="4:17" s="301" customFormat="1" ht="15" customHeight="1">
      <c r="D827" s="10"/>
      <c r="E827" s="10"/>
      <c r="F827" s="9"/>
      <c r="G827" s="9"/>
      <c r="H827" s="9"/>
      <c r="I827" s="9"/>
      <c r="J827" s="9"/>
      <c r="K827" s="9"/>
      <c r="L827" s="9"/>
      <c r="M827" s="9"/>
      <c r="N827" s="9"/>
      <c r="O827" s="9"/>
      <c r="P827" s="9"/>
      <c r="Q827" s="9"/>
    </row>
    <row r="828" spans="4:17" s="301" customFormat="1" ht="15" customHeight="1">
      <c r="D828" s="10"/>
      <c r="E828" s="10"/>
      <c r="F828" s="9"/>
      <c r="G828" s="9"/>
      <c r="H828" s="9"/>
      <c r="I828" s="9"/>
      <c r="J828" s="9"/>
      <c r="K828" s="9"/>
      <c r="L828" s="9"/>
      <c r="M828" s="9"/>
      <c r="N828" s="9"/>
      <c r="O828" s="9"/>
      <c r="P828" s="9"/>
      <c r="Q828" s="9"/>
    </row>
    <row r="829" spans="4:17" s="301" customFormat="1" ht="15" customHeight="1">
      <c r="D829" s="10"/>
      <c r="E829" s="10"/>
      <c r="F829" s="9"/>
      <c r="G829" s="9"/>
      <c r="H829" s="9"/>
      <c r="I829" s="9"/>
      <c r="J829" s="9"/>
      <c r="K829" s="9"/>
      <c r="L829" s="9"/>
      <c r="M829" s="9"/>
      <c r="N829" s="9"/>
      <c r="O829" s="9"/>
      <c r="P829" s="9"/>
      <c r="Q829" s="9"/>
    </row>
    <row r="830" spans="4:17" s="301" customFormat="1" ht="15" customHeight="1">
      <c r="D830" s="10"/>
      <c r="E830" s="10"/>
      <c r="F830" s="9"/>
      <c r="G830" s="9"/>
      <c r="H830" s="9"/>
      <c r="I830" s="9"/>
      <c r="J830" s="9"/>
      <c r="K830" s="9"/>
      <c r="L830" s="9"/>
      <c r="M830" s="9"/>
      <c r="N830" s="9"/>
      <c r="O830" s="9"/>
      <c r="P830" s="9"/>
      <c r="Q830" s="9"/>
    </row>
    <row r="831" spans="4:17" s="301" customFormat="1" ht="15" customHeight="1">
      <c r="D831" s="10"/>
      <c r="E831" s="10"/>
      <c r="F831" s="9"/>
      <c r="G831" s="9"/>
      <c r="H831" s="9"/>
      <c r="I831" s="9"/>
      <c r="J831" s="9"/>
      <c r="K831" s="9"/>
      <c r="L831" s="9"/>
      <c r="M831" s="9"/>
      <c r="N831" s="9"/>
      <c r="O831" s="9"/>
      <c r="P831" s="9"/>
      <c r="Q831" s="9"/>
    </row>
    <row r="832" spans="4:17" s="301" customFormat="1" ht="15" customHeight="1">
      <c r="D832" s="10"/>
      <c r="E832" s="10"/>
      <c r="F832" s="9"/>
      <c r="G832" s="9"/>
      <c r="H832" s="9"/>
      <c r="I832" s="9"/>
      <c r="J832" s="9"/>
      <c r="K832" s="9"/>
      <c r="L832" s="9"/>
      <c r="M832" s="9"/>
      <c r="N832" s="9"/>
      <c r="O832" s="9"/>
      <c r="P832" s="9"/>
      <c r="Q832" s="9"/>
    </row>
    <row r="833" spans="4:17" s="301" customFormat="1" ht="15" customHeight="1">
      <c r="D833" s="10"/>
      <c r="E833" s="10"/>
      <c r="F833" s="9"/>
      <c r="G833" s="9"/>
      <c r="H833" s="9"/>
      <c r="I833" s="9"/>
      <c r="J833" s="9"/>
      <c r="K833" s="9"/>
      <c r="L833" s="9"/>
      <c r="M833" s="9"/>
      <c r="N833" s="9"/>
      <c r="O833" s="9"/>
      <c r="P833" s="9"/>
      <c r="Q833" s="9"/>
    </row>
    <row r="834" spans="4:17" s="301" customFormat="1" ht="15" customHeight="1">
      <c r="D834" s="10"/>
      <c r="E834" s="10"/>
      <c r="F834" s="9"/>
      <c r="G834" s="9"/>
      <c r="H834" s="9"/>
      <c r="I834" s="9"/>
      <c r="J834" s="9"/>
      <c r="K834" s="9"/>
      <c r="L834" s="9"/>
      <c r="M834" s="9"/>
      <c r="N834" s="9"/>
      <c r="O834" s="9"/>
      <c r="P834" s="9"/>
      <c r="Q834" s="9"/>
    </row>
    <row r="835" spans="4:17" s="301" customFormat="1" ht="15" customHeight="1">
      <c r="D835" s="10"/>
      <c r="E835" s="10"/>
      <c r="F835" s="9"/>
      <c r="G835" s="9"/>
      <c r="H835" s="9"/>
      <c r="I835" s="9"/>
      <c r="J835" s="9"/>
      <c r="K835" s="9"/>
      <c r="L835" s="9"/>
      <c r="M835" s="9"/>
      <c r="N835" s="9"/>
      <c r="O835" s="9"/>
      <c r="P835" s="9"/>
      <c r="Q835" s="9"/>
    </row>
    <row r="836" spans="4:17" s="301" customFormat="1" ht="15" customHeight="1">
      <c r="D836" s="10"/>
      <c r="E836" s="10"/>
      <c r="F836" s="9"/>
      <c r="G836" s="9"/>
      <c r="H836" s="9"/>
      <c r="I836" s="9"/>
      <c r="J836" s="9"/>
      <c r="K836" s="9"/>
      <c r="L836" s="9"/>
      <c r="M836" s="9"/>
      <c r="N836" s="9"/>
      <c r="O836" s="9"/>
      <c r="P836" s="9"/>
      <c r="Q836" s="9"/>
    </row>
    <row r="837" spans="4:17" s="301" customFormat="1" ht="15" customHeight="1">
      <c r="D837" s="10"/>
      <c r="E837" s="10"/>
      <c r="F837" s="9"/>
      <c r="G837" s="9"/>
      <c r="H837" s="9"/>
      <c r="I837" s="9"/>
      <c r="J837" s="9"/>
      <c r="K837" s="9"/>
      <c r="L837" s="9"/>
      <c r="M837" s="9"/>
      <c r="N837" s="9"/>
      <c r="O837" s="9"/>
      <c r="P837" s="9"/>
      <c r="Q837" s="9"/>
    </row>
    <row r="838" spans="4:17" s="301" customFormat="1" ht="15" customHeight="1">
      <c r="D838" s="10"/>
      <c r="E838" s="10"/>
      <c r="F838" s="9"/>
      <c r="G838" s="9"/>
      <c r="H838" s="9"/>
      <c r="I838" s="9"/>
      <c r="J838" s="9"/>
      <c r="K838" s="9"/>
      <c r="L838" s="9"/>
      <c r="M838" s="9"/>
      <c r="N838" s="9"/>
      <c r="O838" s="9"/>
      <c r="P838" s="9"/>
      <c r="Q838" s="9"/>
    </row>
    <row r="839" spans="4:17" s="301" customFormat="1" ht="15" customHeight="1">
      <c r="D839" s="10"/>
      <c r="E839" s="10"/>
      <c r="F839" s="9"/>
      <c r="G839" s="9"/>
      <c r="H839" s="9"/>
      <c r="I839" s="9"/>
      <c r="J839" s="9"/>
      <c r="K839" s="9"/>
      <c r="L839" s="9"/>
      <c r="M839" s="9"/>
      <c r="N839" s="9"/>
      <c r="O839" s="9"/>
      <c r="P839" s="9"/>
      <c r="Q839" s="9"/>
    </row>
    <row r="840" spans="4:17" s="301" customFormat="1" ht="15" customHeight="1">
      <c r="D840" s="10"/>
      <c r="E840" s="10"/>
      <c r="F840" s="9"/>
      <c r="G840" s="9"/>
      <c r="H840" s="9"/>
      <c r="I840" s="9"/>
      <c r="J840" s="9"/>
      <c r="K840" s="9"/>
      <c r="L840" s="9"/>
      <c r="M840" s="9"/>
      <c r="N840" s="9"/>
      <c r="O840" s="9"/>
      <c r="P840" s="9"/>
      <c r="Q840" s="9"/>
    </row>
    <row r="841" spans="4:17" s="301" customFormat="1" ht="15" customHeight="1">
      <c r="D841" s="10"/>
      <c r="E841" s="10"/>
      <c r="F841" s="9"/>
      <c r="G841" s="9"/>
      <c r="H841" s="9"/>
      <c r="I841" s="9"/>
      <c r="J841" s="9"/>
      <c r="K841" s="9"/>
      <c r="L841" s="9"/>
      <c r="M841" s="9"/>
      <c r="N841" s="9"/>
      <c r="O841" s="9"/>
      <c r="P841" s="9"/>
      <c r="Q841" s="9"/>
    </row>
    <row r="842" spans="4:17" s="301" customFormat="1" ht="15" customHeight="1">
      <c r="D842" s="10"/>
      <c r="E842" s="10"/>
      <c r="F842" s="9"/>
      <c r="G842" s="9"/>
      <c r="H842" s="9"/>
      <c r="I842" s="9"/>
      <c r="J842" s="9"/>
      <c r="K842" s="9"/>
      <c r="L842" s="9"/>
      <c r="M842" s="9"/>
      <c r="N842" s="9"/>
      <c r="O842" s="9"/>
      <c r="P842" s="9"/>
      <c r="Q842" s="9"/>
    </row>
    <row r="843" spans="4:17" s="301" customFormat="1" ht="15" customHeight="1">
      <c r="D843" s="10"/>
      <c r="E843" s="10"/>
      <c r="F843" s="9"/>
      <c r="G843" s="9"/>
      <c r="H843" s="9"/>
      <c r="I843" s="9"/>
      <c r="J843" s="9"/>
      <c r="K843" s="9"/>
      <c r="L843" s="9"/>
      <c r="M843" s="9"/>
      <c r="N843" s="9"/>
      <c r="O843" s="9"/>
      <c r="P843" s="9"/>
      <c r="Q843" s="9"/>
    </row>
    <row r="844" spans="4:17" s="301" customFormat="1" ht="15" customHeight="1">
      <c r="D844" s="10"/>
      <c r="E844" s="10"/>
      <c r="F844" s="9"/>
      <c r="G844" s="9"/>
      <c r="H844" s="9"/>
      <c r="I844" s="9"/>
      <c r="J844" s="9"/>
      <c r="K844" s="9"/>
      <c r="L844" s="9"/>
      <c r="M844" s="9"/>
      <c r="N844" s="9"/>
      <c r="O844" s="9"/>
      <c r="P844" s="9"/>
      <c r="Q844" s="9"/>
    </row>
    <row r="845" spans="4:17" s="301" customFormat="1" ht="15" customHeight="1">
      <c r="D845" s="10"/>
      <c r="E845" s="10"/>
      <c r="F845" s="9"/>
      <c r="G845" s="9"/>
      <c r="H845" s="9"/>
      <c r="I845" s="9"/>
      <c r="J845" s="9"/>
      <c r="K845" s="9"/>
      <c r="L845" s="9"/>
      <c r="M845" s="9"/>
      <c r="N845" s="9"/>
      <c r="O845" s="9"/>
      <c r="P845" s="9"/>
      <c r="Q845" s="9"/>
    </row>
    <row r="846" spans="4:17" s="301" customFormat="1" ht="15" customHeight="1">
      <c r="D846" s="10"/>
      <c r="E846" s="10"/>
      <c r="F846" s="9"/>
      <c r="G846" s="9"/>
      <c r="H846" s="9"/>
      <c r="I846" s="9"/>
      <c r="J846" s="9"/>
      <c r="K846" s="9"/>
      <c r="L846" s="9"/>
      <c r="M846" s="9"/>
      <c r="N846" s="9"/>
      <c r="O846" s="9"/>
      <c r="P846" s="9"/>
      <c r="Q846" s="9"/>
    </row>
    <row r="847" spans="4:17" s="301" customFormat="1" ht="15" customHeight="1">
      <c r="D847" s="10"/>
      <c r="E847" s="10"/>
      <c r="F847" s="9"/>
      <c r="G847" s="9"/>
      <c r="H847" s="9"/>
      <c r="I847" s="9"/>
      <c r="J847" s="9"/>
      <c r="K847" s="9"/>
      <c r="L847" s="9"/>
      <c r="M847" s="9"/>
      <c r="N847" s="9"/>
      <c r="O847" s="9"/>
      <c r="P847" s="9"/>
      <c r="Q847" s="9"/>
    </row>
    <row r="848" spans="4:17" s="301" customFormat="1" ht="15" customHeight="1">
      <c r="D848" s="10"/>
      <c r="E848" s="10"/>
      <c r="F848" s="9"/>
      <c r="G848" s="9"/>
      <c r="H848" s="9"/>
      <c r="I848" s="9"/>
      <c r="J848" s="9"/>
      <c r="K848" s="9"/>
      <c r="L848" s="9"/>
      <c r="M848" s="9"/>
      <c r="N848" s="9"/>
      <c r="O848" s="9"/>
      <c r="P848" s="9"/>
      <c r="Q848" s="9"/>
    </row>
    <row r="849" spans="4:17" s="301" customFormat="1" ht="15" customHeight="1">
      <c r="D849" s="10"/>
      <c r="E849" s="10"/>
      <c r="F849" s="9"/>
      <c r="G849" s="9"/>
      <c r="H849" s="9"/>
      <c r="I849" s="9"/>
      <c r="J849" s="9"/>
      <c r="K849" s="9"/>
      <c r="L849" s="9"/>
      <c r="M849" s="9"/>
      <c r="N849" s="9"/>
      <c r="O849" s="9"/>
      <c r="P849" s="9"/>
      <c r="Q849" s="9"/>
    </row>
    <row r="850" spans="4:17" s="301" customFormat="1" ht="15" customHeight="1">
      <c r="D850" s="10"/>
      <c r="E850" s="10"/>
      <c r="F850" s="9"/>
      <c r="G850" s="9"/>
      <c r="H850" s="9"/>
      <c r="I850" s="9"/>
      <c r="J850" s="9"/>
      <c r="K850" s="9"/>
      <c r="L850" s="9"/>
      <c r="M850" s="9"/>
      <c r="N850" s="9"/>
      <c r="O850" s="9"/>
      <c r="P850" s="9"/>
      <c r="Q850" s="9"/>
    </row>
    <row r="851" spans="4:17" s="301" customFormat="1" ht="15" customHeight="1">
      <c r="D851" s="10"/>
      <c r="E851" s="10"/>
      <c r="F851" s="9"/>
      <c r="G851" s="9"/>
      <c r="H851" s="9"/>
      <c r="I851" s="9"/>
      <c r="J851" s="9"/>
      <c r="K851" s="9"/>
      <c r="L851" s="9"/>
      <c r="M851" s="9"/>
      <c r="N851" s="9"/>
      <c r="O851" s="9"/>
      <c r="P851" s="9"/>
      <c r="Q851" s="9"/>
    </row>
    <row r="852" spans="4:17" s="301" customFormat="1" ht="15" customHeight="1">
      <c r="D852" s="10"/>
      <c r="E852" s="10"/>
      <c r="F852" s="9"/>
      <c r="G852" s="9"/>
      <c r="H852" s="9"/>
      <c r="I852" s="9"/>
      <c r="J852" s="9"/>
      <c r="K852" s="9"/>
      <c r="L852" s="9"/>
      <c r="M852" s="9"/>
      <c r="N852" s="9"/>
      <c r="O852" s="9"/>
      <c r="P852" s="9"/>
      <c r="Q852" s="9"/>
    </row>
    <row r="853" spans="4:17" s="301" customFormat="1" ht="15" customHeight="1">
      <c r="D853" s="10"/>
      <c r="E853" s="10"/>
      <c r="F853" s="9"/>
      <c r="G853" s="9"/>
      <c r="H853" s="9"/>
      <c r="I853" s="9"/>
      <c r="J853" s="9"/>
      <c r="K853" s="9"/>
      <c r="L853" s="9"/>
      <c r="M853" s="9"/>
      <c r="N853" s="9"/>
      <c r="O853" s="9"/>
      <c r="P853" s="9"/>
      <c r="Q853" s="9"/>
    </row>
    <row r="854" spans="4:17" s="301" customFormat="1" ht="15" customHeight="1">
      <c r="D854" s="10"/>
      <c r="E854" s="10"/>
      <c r="F854" s="9"/>
      <c r="G854" s="9"/>
      <c r="H854" s="9"/>
      <c r="I854" s="9"/>
      <c r="J854" s="9"/>
      <c r="K854" s="9"/>
      <c r="L854" s="9"/>
      <c r="M854" s="9"/>
      <c r="N854" s="9"/>
      <c r="O854" s="9"/>
      <c r="P854" s="9"/>
      <c r="Q854" s="9"/>
    </row>
    <row r="855" spans="4:17" s="301" customFormat="1" ht="15" customHeight="1">
      <c r="D855" s="10"/>
      <c r="E855" s="10"/>
      <c r="F855" s="9"/>
      <c r="G855" s="9"/>
      <c r="H855" s="9"/>
      <c r="I855" s="9"/>
      <c r="J855" s="9"/>
      <c r="K855" s="9"/>
      <c r="L855" s="9"/>
      <c r="M855" s="9"/>
      <c r="N855" s="9"/>
      <c r="O855" s="9"/>
      <c r="P855" s="9"/>
      <c r="Q855" s="9"/>
    </row>
    <row r="856" spans="4:17" s="301" customFormat="1" ht="15" customHeight="1">
      <c r="D856" s="10"/>
      <c r="E856" s="10"/>
      <c r="F856" s="9"/>
      <c r="G856" s="9"/>
      <c r="H856" s="9"/>
      <c r="I856" s="9"/>
      <c r="J856" s="9"/>
      <c r="K856" s="9"/>
      <c r="L856" s="9"/>
      <c r="M856" s="9"/>
      <c r="N856" s="9"/>
      <c r="O856" s="9"/>
      <c r="P856" s="9"/>
      <c r="Q856" s="9"/>
    </row>
    <row r="857" spans="4:17" s="301" customFormat="1" ht="15" customHeight="1">
      <c r="D857" s="10"/>
      <c r="E857" s="10"/>
      <c r="F857" s="9"/>
      <c r="G857" s="9"/>
      <c r="H857" s="9"/>
      <c r="I857" s="9"/>
      <c r="J857" s="9"/>
      <c r="K857" s="9"/>
      <c r="L857" s="9"/>
      <c r="M857" s="9"/>
      <c r="N857" s="9"/>
      <c r="O857" s="9"/>
      <c r="P857" s="9"/>
      <c r="Q857" s="9"/>
    </row>
    <row r="858" spans="4:17" s="301" customFormat="1" ht="15" customHeight="1">
      <c r="D858" s="10"/>
      <c r="E858" s="10"/>
      <c r="F858" s="9"/>
      <c r="G858" s="9"/>
      <c r="H858" s="9"/>
      <c r="I858" s="9"/>
      <c r="J858" s="9"/>
      <c r="K858" s="9"/>
      <c r="L858" s="9"/>
      <c r="M858" s="9"/>
      <c r="N858" s="9"/>
      <c r="O858" s="9"/>
      <c r="P858" s="9"/>
      <c r="Q858" s="9"/>
    </row>
    <row r="859" spans="4:17" s="301" customFormat="1" ht="15" customHeight="1">
      <c r="D859" s="10"/>
      <c r="E859" s="10"/>
      <c r="F859" s="9"/>
      <c r="G859" s="9"/>
      <c r="H859" s="9"/>
      <c r="I859" s="9"/>
      <c r="J859" s="9"/>
      <c r="K859" s="9"/>
      <c r="L859" s="9"/>
      <c r="M859" s="9"/>
      <c r="N859" s="9"/>
      <c r="O859" s="9"/>
      <c r="P859" s="9"/>
      <c r="Q859" s="9"/>
    </row>
    <row r="860" spans="4:17" s="301" customFormat="1" ht="15" customHeight="1">
      <c r="D860" s="10"/>
      <c r="E860" s="10"/>
      <c r="F860" s="9"/>
      <c r="G860" s="9"/>
      <c r="H860" s="9"/>
      <c r="I860" s="9"/>
      <c r="J860" s="9"/>
      <c r="K860" s="9"/>
      <c r="L860" s="9"/>
      <c r="M860" s="9"/>
      <c r="N860" s="9"/>
      <c r="O860" s="9"/>
      <c r="P860" s="9"/>
      <c r="Q860" s="9"/>
    </row>
    <row r="861" spans="4:17" s="301" customFormat="1" ht="15" customHeight="1">
      <c r="D861" s="10"/>
      <c r="E861" s="10"/>
      <c r="F861" s="9"/>
      <c r="G861" s="9"/>
      <c r="H861" s="9"/>
      <c r="I861" s="9"/>
      <c r="J861" s="9"/>
      <c r="K861" s="9"/>
      <c r="L861" s="9"/>
      <c r="M861" s="9"/>
      <c r="N861" s="9"/>
      <c r="O861" s="9"/>
      <c r="P861" s="9"/>
      <c r="Q861" s="9"/>
    </row>
    <row r="862" spans="4:17" s="301" customFormat="1" ht="15" customHeight="1">
      <c r="D862" s="10"/>
      <c r="E862" s="10"/>
      <c r="F862" s="9"/>
      <c r="G862" s="9"/>
      <c r="H862" s="9"/>
      <c r="I862" s="9"/>
      <c r="J862" s="9"/>
      <c r="K862" s="9"/>
      <c r="L862" s="9"/>
      <c r="M862" s="9"/>
      <c r="N862" s="9"/>
      <c r="O862" s="9"/>
      <c r="P862" s="9"/>
      <c r="Q862" s="9"/>
    </row>
    <row r="863" spans="4:17" s="301" customFormat="1" ht="15" customHeight="1">
      <c r="D863" s="10"/>
      <c r="E863" s="10"/>
      <c r="F863" s="9"/>
      <c r="G863" s="9"/>
      <c r="H863" s="9"/>
      <c r="I863" s="9"/>
      <c r="J863" s="9"/>
      <c r="K863" s="9"/>
      <c r="L863" s="9"/>
      <c r="M863" s="9"/>
      <c r="N863" s="9"/>
      <c r="O863" s="9"/>
      <c r="P863" s="9"/>
      <c r="Q863" s="9"/>
    </row>
    <row r="864" spans="4:17" s="301" customFormat="1" ht="15" customHeight="1">
      <c r="D864" s="10"/>
      <c r="E864" s="10"/>
      <c r="F864" s="9"/>
      <c r="G864" s="9"/>
      <c r="H864" s="9"/>
      <c r="I864" s="9"/>
      <c r="J864" s="9"/>
      <c r="K864" s="9"/>
      <c r="L864" s="9"/>
      <c r="M864" s="9"/>
      <c r="N864" s="9"/>
      <c r="O864" s="9"/>
      <c r="P864" s="9"/>
      <c r="Q864" s="9"/>
    </row>
    <row r="865" spans="4:17" s="301" customFormat="1" ht="15" customHeight="1">
      <c r="D865" s="10"/>
      <c r="E865" s="10"/>
      <c r="F865" s="9"/>
      <c r="G865" s="9"/>
      <c r="H865" s="9"/>
      <c r="I865" s="9"/>
      <c r="J865" s="9"/>
      <c r="K865" s="9"/>
      <c r="L865" s="9"/>
      <c r="M865" s="9"/>
      <c r="N865" s="9"/>
      <c r="O865" s="9"/>
      <c r="P865" s="9"/>
      <c r="Q865" s="9"/>
    </row>
    <row r="866" spans="4:17" s="301" customFormat="1" ht="15" customHeight="1">
      <c r="D866" s="10"/>
      <c r="E866" s="10"/>
      <c r="F866" s="9"/>
      <c r="G866" s="9"/>
      <c r="H866" s="9"/>
      <c r="I866" s="9"/>
      <c r="J866" s="9"/>
      <c r="K866" s="9"/>
      <c r="L866" s="9"/>
      <c r="M866" s="9"/>
      <c r="N866" s="9"/>
      <c r="O866" s="9"/>
      <c r="P866" s="9"/>
      <c r="Q866" s="9"/>
    </row>
    <row r="867" spans="4:17" s="301" customFormat="1" ht="15" customHeight="1">
      <c r="D867" s="10"/>
      <c r="E867" s="10"/>
      <c r="F867" s="9"/>
      <c r="G867" s="9"/>
      <c r="H867" s="9"/>
      <c r="I867" s="9"/>
      <c r="J867" s="9"/>
      <c r="K867" s="9"/>
      <c r="L867" s="9"/>
      <c r="M867" s="9"/>
      <c r="N867" s="9"/>
      <c r="O867" s="9"/>
      <c r="P867" s="9"/>
      <c r="Q867" s="9"/>
    </row>
    <row r="868" spans="4:17" s="301" customFormat="1" ht="15" customHeight="1">
      <c r="D868" s="10"/>
      <c r="E868" s="10"/>
      <c r="F868" s="9"/>
      <c r="G868" s="9"/>
      <c r="H868" s="9"/>
      <c r="I868" s="9"/>
      <c r="J868" s="9"/>
      <c r="K868" s="9"/>
      <c r="L868" s="9"/>
      <c r="M868" s="9"/>
      <c r="N868" s="9"/>
      <c r="O868" s="9"/>
      <c r="P868" s="9"/>
      <c r="Q868" s="9"/>
    </row>
    <row r="869" spans="4:17" s="301" customFormat="1" ht="15" customHeight="1">
      <c r="D869" s="10"/>
      <c r="E869" s="10"/>
      <c r="F869" s="9"/>
      <c r="G869" s="9"/>
      <c r="H869" s="9"/>
      <c r="I869" s="9"/>
      <c r="J869" s="9"/>
      <c r="K869" s="9"/>
      <c r="L869" s="9"/>
      <c r="M869" s="9"/>
      <c r="N869" s="9"/>
      <c r="O869" s="9"/>
      <c r="P869" s="9"/>
      <c r="Q869" s="9"/>
    </row>
    <row r="870" spans="4:17" s="301" customFormat="1" ht="15" customHeight="1">
      <c r="D870" s="10"/>
      <c r="E870" s="10"/>
      <c r="F870" s="9"/>
      <c r="G870" s="9"/>
      <c r="H870" s="9"/>
      <c r="I870" s="9"/>
      <c r="J870" s="9"/>
      <c r="K870" s="9"/>
      <c r="L870" s="9"/>
      <c r="M870" s="9"/>
      <c r="N870" s="9"/>
      <c r="O870" s="9"/>
      <c r="P870" s="9"/>
      <c r="Q870" s="9"/>
    </row>
    <row r="871" spans="4:17" s="301" customFormat="1" ht="15" customHeight="1">
      <c r="D871" s="10"/>
      <c r="E871" s="10"/>
      <c r="F871" s="9"/>
      <c r="G871" s="9"/>
      <c r="H871" s="9"/>
      <c r="I871" s="9"/>
      <c r="J871" s="9"/>
      <c r="K871" s="9"/>
      <c r="L871" s="9"/>
      <c r="M871" s="9"/>
      <c r="N871" s="9"/>
      <c r="O871" s="9"/>
      <c r="P871" s="9"/>
      <c r="Q871" s="9"/>
    </row>
    <row r="872" spans="4:17" s="301" customFormat="1" ht="15" customHeight="1">
      <c r="D872" s="10"/>
      <c r="E872" s="10"/>
      <c r="F872" s="9"/>
      <c r="G872" s="9"/>
      <c r="H872" s="9"/>
      <c r="I872" s="9"/>
      <c r="J872" s="9"/>
      <c r="K872" s="9"/>
      <c r="L872" s="9"/>
      <c r="M872" s="9"/>
      <c r="N872" s="9"/>
      <c r="O872" s="9"/>
      <c r="P872" s="9"/>
      <c r="Q872" s="9"/>
    </row>
    <row r="873" spans="4:17" s="301" customFormat="1" ht="15" customHeight="1">
      <c r="D873" s="10"/>
      <c r="E873" s="10"/>
      <c r="F873" s="9"/>
      <c r="G873" s="9"/>
      <c r="H873" s="9"/>
      <c r="I873" s="9"/>
      <c r="J873" s="9"/>
      <c r="K873" s="9"/>
      <c r="L873" s="9"/>
      <c r="M873" s="9"/>
      <c r="N873" s="9"/>
      <c r="O873" s="9"/>
      <c r="P873" s="9"/>
      <c r="Q873" s="9"/>
    </row>
    <row r="874" spans="4:17" s="301" customFormat="1" ht="15" customHeight="1">
      <c r="D874" s="10"/>
      <c r="E874" s="10"/>
      <c r="F874" s="9"/>
      <c r="G874" s="9"/>
      <c r="H874" s="9"/>
      <c r="I874" s="9"/>
      <c r="J874" s="9"/>
      <c r="K874" s="9"/>
      <c r="L874" s="9"/>
      <c r="M874" s="9"/>
      <c r="N874" s="9"/>
      <c r="O874" s="9"/>
      <c r="P874" s="9"/>
      <c r="Q874" s="9"/>
    </row>
    <row r="875" spans="4:17" s="301" customFormat="1" ht="15" customHeight="1">
      <c r="D875" s="10"/>
      <c r="E875" s="10"/>
      <c r="F875" s="9"/>
      <c r="G875" s="9"/>
      <c r="H875" s="9"/>
      <c r="I875" s="9"/>
      <c r="J875" s="9"/>
      <c r="K875" s="9"/>
      <c r="L875" s="9"/>
      <c r="M875" s="9"/>
      <c r="N875" s="9"/>
      <c r="O875" s="9"/>
      <c r="P875" s="9"/>
      <c r="Q875" s="9"/>
    </row>
    <row r="876" spans="4:17" s="301" customFormat="1" ht="15" customHeight="1">
      <c r="D876" s="10"/>
      <c r="E876" s="10"/>
      <c r="F876" s="9"/>
      <c r="G876" s="9"/>
      <c r="H876" s="9"/>
      <c r="I876" s="9"/>
      <c r="J876" s="9"/>
      <c r="K876" s="9"/>
      <c r="L876" s="9"/>
      <c r="M876" s="9"/>
      <c r="N876" s="9"/>
      <c r="O876" s="9"/>
      <c r="P876" s="9"/>
      <c r="Q876" s="9"/>
    </row>
    <row r="877" spans="4:17" s="301" customFormat="1" ht="15" customHeight="1">
      <c r="D877" s="10"/>
      <c r="E877" s="10"/>
      <c r="F877" s="9"/>
      <c r="G877" s="9"/>
      <c r="H877" s="9"/>
      <c r="I877" s="9"/>
      <c r="J877" s="9"/>
      <c r="K877" s="9"/>
      <c r="L877" s="9"/>
      <c r="M877" s="9"/>
      <c r="N877" s="9"/>
      <c r="O877" s="9"/>
      <c r="P877" s="9"/>
      <c r="Q877" s="9"/>
    </row>
    <row r="878" spans="4:17" s="301" customFormat="1" ht="15" customHeight="1">
      <c r="D878" s="10"/>
      <c r="E878" s="10"/>
      <c r="F878" s="9"/>
      <c r="G878" s="9"/>
      <c r="H878" s="9"/>
      <c r="I878" s="9"/>
      <c r="J878" s="9"/>
      <c r="K878" s="9"/>
      <c r="L878" s="9"/>
      <c r="M878" s="9"/>
      <c r="N878" s="9"/>
      <c r="O878" s="9"/>
      <c r="P878" s="9"/>
      <c r="Q878" s="9"/>
    </row>
    <row r="879" spans="4:17" s="301" customFormat="1" ht="15" customHeight="1">
      <c r="D879" s="10"/>
      <c r="E879" s="10"/>
      <c r="F879" s="9"/>
      <c r="G879" s="9"/>
      <c r="H879" s="9"/>
      <c r="I879" s="9"/>
      <c r="J879" s="9"/>
      <c r="K879" s="9"/>
      <c r="L879" s="9"/>
      <c r="M879" s="9"/>
      <c r="N879" s="9"/>
      <c r="O879" s="9"/>
      <c r="P879" s="9"/>
      <c r="Q879" s="9"/>
    </row>
    <row r="880" spans="4:17" s="301" customFormat="1" ht="15" customHeight="1">
      <c r="D880" s="10"/>
      <c r="E880" s="10"/>
      <c r="F880" s="9"/>
      <c r="G880" s="9"/>
      <c r="H880" s="9"/>
      <c r="I880" s="9"/>
      <c r="J880" s="9"/>
      <c r="K880" s="9"/>
      <c r="L880" s="9"/>
      <c r="M880" s="9"/>
      <c r="N880" s="9"/>
      <c r="O880" s="9"/>
      <c r="P880" s="9"/>
      <c r="Q880" s="9"/>
    </row>
    <row r="881" spans="4:17" s="301" customFormat="1" ht="15" customHeight="1">
      <c r="D881" s="10"/>
      <c r="E881" s="10"/>
      <c r="F881" s="9"/>
      <c r="G881" s="9"/>
      <c r="H881" s="9"/>
      <c r="I881" s="9"/>
      <c r="J881" s="9"/>
      <c r="K881" s="9"/>
      <c r="L881" s="9"/>
      <c r="M881" s="9"/>
      <c r="N881" s="9"/>
      <c r="O881" s="9"/>
      <c r="P881" s="9"/>
      <c r="Q881" s="9"/>
    </row>
    <row r="882" spans="4:17" s="301" customFormat="1" ht="15" customHeight="1">
      <c r="D882" s="10"/>
      <c r="E882" s="10"/>
      <c r="F882" s="9"/>
      <c r="G882" s="9"/>
      <c r="H882" s="9"/>
      <c r="I882" s="9"/>
      <c r="J882" s="9"/>
      <c r="K882" s="9"/>
      <c r="L882" s="9"/>
      <c r="M882" s="9"/>
      <c r="N882" s="9"/>
      <c r="O882" s="9"/>
      <c r="P882" s="9"/>
      <c r="Q882" s="9"/>
    </row>
    <row r="883" spans="4:17" s="301" customFormat="1" ht="15" customHeight="1">
      <c r="D883" s="10"/>
      <c r="E883" s="10"/>
      <c r="F883" s="9"/>
      <c r="G883" s="9"/>
      <c r="H883" s="9"/>
      <c r="I883" s="9"/>
      <c r="J883" s="9"/>
      <c r="K883" s="9"/>
      <c r="L883" s="9"/>
      <c r="M883" s="9"/>
      <c r="N883" s="9"/>
      <c r="O883" s="9"/>
      <c r="P883" s="9"/>
      <c r="Q883" s="9"/>
    </row>
    <row r="884" spans="4:17" s="301" customFormat="1" ht="15" customHeight="1">
      <c r="D884" s="10"/>
      <c r="E884" s="10"/>
      <c r="F884" s="9"/>
      <c r="G884" s="9"/>
      <c r="H884" s="9"/>
      <c r="I884" s="9"/>
      <c r="J884" s="9"/>
      <c r="K884" s="9"/>
      <c r="L884" s="9"/>
      <c r="M884" s="9"/>
      <c r="N884" s="9"/>
      <c r="O884" s="9"/>
      <c r="P884" s="9"/>
      <c r="Q884" s="9"/>
    </row>
    <row r="885" spans="4:17" s="301" customFormat="1" ht="15" customHeight="1">
      <c r="D885" s="10"/>
      <c r="E885" s="10"/>
      <c r="F885" s="9"/>
      <c r="G885" s="9"/>
      <c r="H885" s="9"/>
      <c r="I885" s="9"/>
      <c r="J885" s="9"/>
      <c r="K885" s="9"/>
      <c r="L885" s="9"/>
      <c r="M885" s="9"/>
      <c r="N885" s="9"/>
      <c r="O885" s="9"/>
      <c r="P885" s="9"/>
      <c r="Q885" s="9"/>
    </row>
    <row r="886" spans="4:17" s="301" customFormat="1" ht="15" customHeight="1">
      <c r="D886" s="10"/>
      <c r="E886" s="10"/>
      <c r="F886" s="9"/>
      <c r="G886" s="9"/>
      <c r="H886" s="9"/>
      <c r="I886" s="9"/>
      <c r="J886" s="9"/>
      <c r="K886" s="9"/>
      <c r="L886" s="9"/>
      <c r="M886" s="9"/>
      <c r="N886" s="9"/>
      <c r="O886" s="9"/>
      <c r="P886" s="9"/>
      <c r="Q886" s="9"/>
    </row>
    <row r="887" spans="4:17" s="301" customFormat="1" ht="15" customHeight="1">
      <c r="D887" s="10"/>
      <c r="E887" s="10"/>
      <c r="F887" s="9"/>
      <c r="G887" s="9"/>
      <c r="H887" s="9"/>
      <c r="I887" s="9"/>
      <c r="J887" s="9"/>
      <c r="K887" s="9"/>
      <c r="L887" s="9"/>
      <c r="M887" s="9"/>
      <c r="N887" s="9"/>
      <c r="O887" s="9"/>
      <c r="P887" s="9"/>
      <c r="Q887" s="9"/>
    </row>
    <row r="888" spans="4:17" s="301" customFormat="1" ht="15" customHeight="1">
      <c r="D888" s="10"/>
      <c r="E888" s="10"/>
      <c r="F888" s="9"/>
      <c r="G888" s="9"/>
      <c r="H888" s="9"/>
      <c r="I888" s="9"/>
      <c r="J888" s="9"/>
      <c r="K888" s="9"/>
      <c r="L888" s="9"/>
      <c r="M888" s="9"/>
      <c r="N888" s="9"/>
      <c r="O888" s="9"/>
      <c r="P888" s="9"/>
      <c r="Q888" s="9"/>
    </row>
    <row r="889" spans="4:17" s="301" customFormat="1" ht="15" customHeight="1">
      <c r="D889" s="10"/>
      <c r="E889" s="10"/>
      <c r="F889" s="9"/>
      <c r="G889" s="9"/>
      <c r="H889" s="9"/>
      <c r="I889" s="9"/>
      <c r="J889" s="9"/>
      <c r="K889" s="9"/>
      <c r="L889" s="9"/>
      <c r="M889" s="9"/>
      <c r="N889" s="9"/>
      <c r="O889" s="9"/>
      <c r="P889" s="9"/>
      <c r="Q889" s="9"/>
    </row>
    <row r="890" spans="4:17" s="301" customFormat="1" ht="15" customHeight="1">
      <c r="D890" s="10"/>
      <c r="E890" s="10"/>
      <c r="F890" s="9"/>
      <c r="G890" s="9"/>
      <c r="H890" s="9"/>
      <c r="I890" s="9"/>
      <c r="J890" s="9"/>
      <c r="K890" s="9"/>
      <c r="L890" s="9"/>
      <c r="M890" s="9"/>
      <c r="N890" s="9"/>
      <c r="O890" s="9"/>
      <c r="P890" s="9"/>
      <c r="Q890" s="9"/>
    </row>
    <row r="891" spans="4:17" s="301" customFormat="1" ht="15" customHeight="1">
      <c r="D891" s="10"/>
      <c r="E891" s="10"/>
      <c r="F891" s="9"/>
      <c r="G891" s="9"/>
      <c r="H891" s="9"/>
      <c r="I891" s="9"/>
      <c r="J891" s="9"/>
      <c r="K891" s="9"/>
      <c r="L891" s="9"/>
      <c r="M891" s="9"/>
      <c r="N891" s="9"/>
      <c r="O891" s="9"/>
      <c r="P891" s="9"/>
      <c r="Q891" s="9"/>
    </row>
    <row r="892" spans="4:17" s="301" customFormat="1" ht="15" customHeight="1">
      <c r="D892" s="10"/>
      <c r="E892" s="10"/>
      <c r="F892" s="9"/>
      <c r="G892" s="9"/>
      <c r="H892" s="9"/>
      <c r="I892" s="9"/>
      <c r="J892" s="9"/>
      <c r="K892" s="9"/>
      <c r="L892" s="9"/>
      <c r="M892" s="9"/>
      <c r="N892" s="9"/>
      <c r="O892" s="9"/>
      <c r="P892" s="9"/>
      <c r="Q892" s="9"/>
    </row>
    <row r="893" spans="4:17" s="301" customFormat="1" ht="15" customHeight="1">
      <c r="D893" s="10"/>
      <c r="E893" s="10"/>
      <c r="F893" s="9"/>
      <c r="G893" s="9"/>
      <c r="H893" s="9"/>
      <c r="I893" s="9"/>
      <c r="J893" s="9"/>
      <c r="K893" s="9"/>
      <c r="L893" s="9"/>
      <c r="M893" s="9"/>
      <c r="N893" s="9"/>
      <c r="O893" s="9"/>
      <c r="P893" s="9"/>
      <c r="Q893" s="9"/>
    </row>
    <row r="894" spans="4:17" s="301" customFormat="1" ht="15" customHeight="1">
      <c r="D894" s="10"/>
      <c r="E894" s="10"/>
      <c r="F894" s="9"/>
      <c r="G894" s="9"/>
      <c r="H894" s="9"/>
      <c r="I894" s="9"/>
      <c r="J894" s="9"/>
      <c r="K894" s="9"/>
      <c r="L894" s="9"/>
      <c r="M894" s="9"/>
      <c r="N894" s="9"/>
      <c r="O894" s="9"/>
      <c r="P894" s="9"/>
      <c r="Q894" s="9"/>
    </row>
    <row r="895" spans="4:17" s="301" customFormat="1" ht="15" customHeight="1">
      <c r="D895" s="10"/>
      <c r="E895" s="10"/>
      <c r="F895" s="9"/>
      <c r="G895" s="9"/>
      <c r="H895" s="9"/>
      <c r="I895" s="9"/>
      <c r="J895" s="9"/>
      <c r="K895" s="9"/>
      <c r="L895" s="9"/>
      <c r="M895" s="9"/>
      <c r="N895" s="9"/>
      <c r="O895" s="9"/>
      <c r="P895" s="9"/>
      <c r="Q895" s="9"/>
    </row>
    <row r="896" spans="4:17" s="301" customFormat="1" ht="15" customHeight="1">
      <c r="D896" s="10"/>
      <c r="E896" s="10"/>
      <c r="F896" s="9"/>
      <c r="G896" s="9"/>
      <c r="H896" s="9"/>
      <c r="I896" s="9"/>
      <c r="J896" s="9"/>
      <c r="K896" s="9"/>
      <c r="L896" s="9"/>
      <c r="M896" s="9"/>
      <c r="N896" s="9"/>
      <c r="O896" s="9"/>
      <c r="P896" s="9"/>
      <c r="Q896" s="9"/>
    </row>
    <row r="897" spans="4:17" s="301" customFormat="1" ht="15" customHeight="1">
      <c r="D897" s="10"/>
      <c r="E897" s="10"/>
      <c r="F897" s="9"/>
      <c r="G897" s="9"/>
      <c r="H897" s="9"/>
      <c r="I897" s="9"/>
      <c r="J897" s="9"/>
      <c r="K897" s="9"/>
      <c r="L897" s="9"/>
      <c r="M897" s="9"/>
      <c r="N897" s="9"/>
      <c r="O897" s="9"/>
      <c r="P897" s="9"/>
      <c r="Q897" s="9"/>
    </row>
    <row r="898" spans="4:17" s="301" customFormat="1" ht="15" customHeight="1">
      <c r="D898" s="10"/>
      <c r="E898" s="10"/>
      <c r="F898" s="9"/>
      <c r="G898" s="9"/>
      <c r="H898" s="9"/>
      <c r="I898" s="9"/>
      <c r="J898" s="9"/>
      <c r="K898" s="9"/>
      <c r="L898" s="9"/>
      <c r="M898" s="9"/>
      <c r="N898" s="9"/>
      <c r="O898" s="9"/>
      <c r="P898" s="9"/>
      <c r="Q898" s="9"/>
    </row>
    <row r="899" spans="4:17" s="301" customFormat="1" ht="15" customHeight="1">
      <c r="D899" s="10"/>
      <c r="E899" s="10"/>
      <c r="F899" s="9"/>
      <c r="G899" s="9"/>
      <c r="H899" s="9"/>
      <c r="I899" s="9"/>
      <c r="J899" s="9"/>
      <c r="K899" s="9"/>
      <c r="L899" s="9"/>
      <c r="M899" s="9"/>
      <c r="N899" s="9"/>
      <c r="O899" s="9"/>
      <c r="P899" s="9"/>
      <c r="Q899" s="9"/>
    </row>
    <row r="900" spans="4:17" s="301" customFormat="1" ht="15" customHeight="1">
      <c r="D900" s="10"/>
      <c r="E900" s="10"/>
      <c r="F900" s="9"/>
      <c r="G900" s="9"/>
      <c r="H900" s="9"/>
      <c r="I900" s="9"/>
      <c r="J900" s="9"/>
      <c r="K900" s="9"/>
      <c r="L900" s="9"/>
      <c r="M900" s="9"/>
      <c r="N900" s="9"/>
      <c r="O900" s="9"/>
      <c r="P900" s="9"/>
      <c r="Q900" s="9"/>
    </row>
    <row r="901" spans="4:17" s="301" customFormat="1" ht="15" customHeight="1">
      <c r="D901" s="10"/>
      <c r="E901" s="10"/>
      <c r="F901" s="9"/>
      <c r="G901" s="9"/>
      <c r="H901" s="9"/>
      <c r="I901" s="9"/>
      <c r="J901" s="9"/>
      <c r="K901" s="9"/>
      <c r="L901" s="9"/>
      <c r="M901" s="9"/>
      <c r="N901" s="9"/>
      <c r="O901" s="9"/>
      <c r="P901" s="9"/>
      <c r="Q901" s="9"/>
    </row>
    <row r="902" spans="4:17" s="301" customFormat="1" ht="15" customHeight="1">
      <c r="D902" s="10"/>
      <c r="E902" s="10"/>
      <c r="F902" s="9"/>
      <c r="G902" s="9"/>
      <c r="H902" s="9"/>
      <c r="I902" s="9"/>
      <c r="J902" s="9"/>
      <c r="K902" s="9"/>
      <c r="L902" s="9"/>
      <c r="M902" s="9"/>
      <c r="N902" s="9"/>
      <c r="O902" s="9"/>
      <c r="P902" s="9"/>
      <c r="Q902" s="9"/>
    </row>
    <row r="903" spans="4:17" s="301" customFormat="1" ht="15" customHeight="1">
      <c r="D903" s="10"/>
      <c r="E903" s="10"/>
      <c r="F903" s="9"/>
      <c r="G903" s="9"/>
      <c r="H903" s="9"/>
      <c r="I903" s="9"/>
      <c r="J903" s="9"/>
      <c r="K903" s="9"/>
      <c r="L903" s="9"/>
      <c r="M903" s="9"/>
      <c r="N903" s="9"/>
      <c r="O903" s="9"/>
      <c r="P903" s="9"/>
      <c r="Q903" s="9"/>
    </row>
    <row r="904" spans="4:17" s="301" customFormat="1" ht="15" customHeight="1">
      <c r="D904" s="10"/>
      <c r="E904" s="10"/>
      <c r="F904" s="9"/>
      <c r="G904" s="9"/>
      <c r="H904" s="9"/>
      <c r="I904" s="9"/>
      <c r="J904" s="9"/>
      <c r="K904" s="9"/>
      <c r="L904" s="9"/>
      <c r="M904" s="9"/>
      <c r="N904" s="9"/>
      <c r="O904" s="9"/>
      <c r="P904" s="9"/>
      <c r="Q904" s="9"/>
    </row>
    <row r="905" spans="4:17" s="301" customFormat="1" ht="15" customHeight="1">
      <c r="D905" s="10"/>
      <c r="E905" s="10"/>
      <c r="F905" s="9"/>
      <c r="G905" s="9"/>
      <c r="H905" s="9"/>
      <c r="I905" s="9"/>
      <c r="J905" s="9"/>
      <c r="K905" s="9"/>
      <c r="L905" s="9"/>
      <c r="M905" s="9"/>
      <c r="N905" s="9"/>
      <c r="O905" s="9"/>
      <c r="P905" s="9"/>
      <c r="Q905" s="9"/>
    </row>
    <row r="906" spans="4:17" s="301" customFormat="1" ht="15" customHeight="1">
      <c r="D906" s="10"/>
      <c r="E906" s="10"/>
      <c r="F906" s="9"/>
      <c r="G906" s="9"/>
      <c r="H906" s="9"/>
      <c r="I906" s="9"/>
      <c r="J906" s="9"/>
      <c r="K906" s="9"/>
      <c r="L906" s="9"/>
      <c r="M906" s="9"/>
      <c r="N906" s="9"/>
      <c r="O906" s="9"/>
      <c r="P906" s="9"/>
      <c r="Q906" s="9"/>
    </row>
    <row r="907" spans="4:17" s="301" customFormat="1" ht="15" customHeight="1">
      <c r="D907" s="10"/>
      <c r="E907" s="10"/>
      <c r="F907" s="9"/>
      <c r="G907" s="9"/>
      <c r="H907" s="9"/>
      <c r="I907" s="9"/>
      <c r="J907" s="9"/>
      <c r="K907" s="9"/>
      <c r="L907" s="9"/>
      <c r="M907" s="9"/>
      <c r="N907" s="9"/>
      <c r="O907" s="9"/>
      <c r="P907" s="9"/>
      <c r="Q907" s="9"/>
    </row>
    <row r="908" spans="4:17" s="301" customFormat="1" ht="15" customHeight="1">
      <c r="D908" s="10"/>
      <c r="E908" s="10"/>
      <c r="F908" s="9"/>
      <c r="G908" s="9"/>
      <c r="H908" s="9"/>
      <c r="I908" s="9"/>
      <c r="J908" s="9"/>
      <c r="K908" s="9"/>
      <c r="L908" s="9"/>
      <c r="M908" s="9"/>
      <c r="N908" s="9"/>
      <c r="O908" s="9"/>
      <c r="P908" s="9"/>
      <c r="Q908" s="9"/>
    </row>
    <row r="909" spans="4:17" s="301" customFormat="1" ht="15" customHeight="1">
      <c r="D909" s="10"/>
      <c r="E909" s="10"/>
      <c r="F909" s="9"/>
      <c r="G909" s="9"/>
      <c r="H909" s="9"/>
      <c r="I909" s="9"/>
      <c r="J909" s="9"/>
      <c r="K909" s="9"/>
      <c r="L909" s="9"/>
      <c r="M909" s="9"/>
      <c r="N909" s="9"/>
      <c r="O909" s="9"/>
      <c r="P909" s="9"/>
      <c r="Q909" s="9"/>
    </row>
    <row r="910" spans="4:17" s="301" customFormat="1" ht="15" customHeight="1">
      <c r="D910" s="10"/>
      <c r="E910" s="10"/>
      <c r="F910" s="9"/>
      <c r="G910" s="9"/>
      <c r="H910" s="9"/>
      <c r="I910" s="9"/>
      <c r="J910" s="9"/>
      <c r="K910" s="9"/>
      <c r="L910" s="9"/>
      <c r="M910" s="9"/>
      <c r="N910" s="9"/>
      <c r="O910" s="9"/>
      <c r="P910" s="9"/>
      <c r="Q910" s="9"/>
    </row>
    <row r="911" spans="4:17" s="301" customFormat="1" ht="15" customHeight="1">
      <c r="D911" s="10"/>
      <c r="E911" s="10"/>
      <c r="F911" s="9"/>
      <c r="G911" s="9"/>
      <c r="H911" s="9"/>
      <c r="I911" s="9"/>
      <c r="J911" s="9"/>
      <c r="K911" s="9"/>
      <c r="L911" s="9"/>
      <c r="M911" s="9"/>
      <c r="N911" s="9"/>
      <c r="O911" s="9"/>
      <c r="P911" s="9"/>
      <c r="Q911" s="9"/>
    </row>
    <row r="912" spans="4:17" s="301" customFormat="1" ht="15" customHeight="1">
      <c r="D912" s="10"/>
      <c r="E912" s="10"/>
      <c r="F912" s="9"/>
      <c r="G912" s="9"/>
      <c r="H912" s="9"/>
      <c r="I912" s="9"/>
      <c r="J912" s="9"/>
      <c r="K912" s="9"/>
      <c r="L912" s="9"/>
      <c r="M912" s="9"/>
      <c r="N912" s="9"/>
      <c r="O912" s="9"/>
      <c r="P912" s="9"/>
      <c r="Q912" s="9"/>
    </row>
    <row r="913" spans="4:17" s="301" customFormat="1" ht="15" customHeight="1">
      <c r="D913" s="10"/>
      <c r="E913" s="10"/>
      <c r="F913" s="9"/>
      <c r="G913" s="9"/>
      <c r="H913" s="9"/>
      <c r="I913" s="9"/>
      <c r="J913" s="9"/>
      <c r="K913" s="9"/>
      <c r="L913" s="9"/>
      <c r="M913" s="9"/>
      <c r="N913" s="9"/>
      <c r="O913" s="9"/>
      <c r="P913" s="9"/>
      <c r="Q913" s="9"/>
    </row>
    <row r="914" spans="4:17" s="301" customFormat="1" ht="15" customHeight="1">
      <c r="D914" s="10"/>
      <c r="E914" s="10"/>
      <c r="F914" s="9"/>
      <c r="G914" s="9"/>
      <c r="H914" s="9"/>
      <c r="I914" s="9"/>
      <c r="J914" s="9"/>
      <c r="K914" s="9"/>
      <c r="L914" s="9"/>
      <c r="M914" s="9"/>
      <c r="N914" s="9"/>
      <c r="O914" s="9"/>
      <c r="P914" s="9"/>
      <c r="Q914" s="9"/>
    </row>
    <row r="915" spans="4:17" s="301" customFormat="1" ht="15" customHeight="1">
      <c r="D915" s="10"/>
      <c r="E915" s="10"/>
      <c r="F915" s="9"/>
      <c r="G915" s="9"/>
      <c r="H915" s="9"/>
      <c r="I915" s="9"/>
      <c r="J915" s="9"/>
      <c r="K915" s="9"/>
      <c r="L915" s="9"/>
      <c r="M915" s="9"/>
      <c r="N915" s="9"/>
      <c r="O915" s="9"/>
      <c r="P915" s="9"/>
      <c r="Q915" s="9"/>
    </row>
    <row r="916" spans="4:17" s="301" customFormat="1" ht="15" customHeight="1">
      <c r="D916" s="10"/>
      <c r="E916" s="10"/>
      <c r="F916" s="9"/>
      <c r="G916" s="9"/>
      <c r="H916" s="9"/>
      <c r="I916" s="9"/>
      <c r="J916" s="9"/>
      <c r="K916" s="9"/>
      <c r="L916" s="9"/>
      <c r="M916" s="9"/>
      <c r="N916" s="9"/>
      <c r="O916" s="9"/>
      <c r="P916" s="9"/>
      <c r="Q916" s="9"/>
    </row>
    <row r="917" spans="4:17" s="301" customFormat="1" ht="15" customHeight="1">
      <c r="D917" s="10"/>
      <c r="E917" s="10"/>
      <c r="F917" s="9"/>
      <c r="G917" s="9"/>
      <c r="H917" s="9"/>
      <c r="I917" s="9"/>
      <c r="J917" s="9"/>
      <c r="K917" s="9"/>
      <c r="L917" s="9"/>
      <c r="M917" s="9"/>
      <c r="N917" s="9"/>
      <c r="O917" s="9"/>
      <c r="P917" s="9"/>
      <c r="Q917" s="9"/>
    </row>
    <row r="918" spans="4:17" s="301" customFormat="1" ht="15" customHeight="1">
      <c r="D918" s="10"/>
      <c r="E918" s="10"/>
      <c r="F918" s="9"/>
      <c r="G918" s="9"/>
      <c r="H918" s="9"/>
      <c r="I918" s="9"/>
      <c r="J918" s="9"/>
      <c r="K918" s="9"/>
      <c r="L918" s="9"/>
      <c r="M918" s="9"/>
      <c r="N918" s="9"/>
      <c r="O918" s="9"/>
      <c r="P918" s="9"/>
      <c r="Q918" s="9"/>
    </row>
    <row r="919" spans="4:17" s="301" customFormat="1" ht="15" customHeight="1">
      <c r="D919" s="10"/>
      <c r="E919" s="10"/>
      <c r="F919" s="9"/>
      <c r="G919" s="9"/>
      <c r="H919" s="9"/>
      <c r="I919" s="9"/>
      <c r="J919" s="9"/>
      <c r="K919" s="9"/>
      <c r="L919" s="9"/>
      <c r="M919" s="9"/>
      <c r="N919" s="9"/>
      <c r="O919" s="9"/>
      <c r="P919" s="9"/>
      <c r="Q919" s="9"/>
    </row>
    <row r="920" spans="4:17" s="301" customFormat="1" ht="15" customHeight="1">
      <c r="D920" s="10"/>
      <c r="E920" s="10"/>
      <c r="F920" s="9"/>
      <c r="G920" s="9"/>
      <c r="H920" s="9"/>
      <c r="I920" s="9"/>
      <c r="J920" s="9"/>
      <c r="K920" s="9"/>
      <c r="L920" s="9"/>
      <c r="M920" s="9"/>
      <c r="N920" s="9"/>
      <c r="O920" s="9"/>
      <c r="P920" s="9"/>
      <c r="Q920" s="9"/>
    </row>
    <row r="921" spans="4:17" s="301" customFormat="1" ht="15" customHeight="1">
      <c r="D921" s="10"/>
      <c r="E921" s="10"/>
      <c r="F921" s="9"/>
      <c r="G921" s="9"/>
      <c r="H921" s="9"/>
      <c r="I921" s="9"/>
      <c r="J921" s="9"/>
      <c r="K921" s="9"/>
      <c r="L921" s="9"/>
      <c r="M921" s="9"/>
      <c r="N921" s="9"/>
      <c r="O921" s="9"/>
      <c r="P921" s="9"/>
      <c r="Q921" s="9"/>
    </row>
    <row r="922" spans="4:17" s="301" customFormat="1" ht="15" customHeight="1">
      <c r="D922" s="10"/>
      <c r="E922" s="10"/>
      <c r="F922" s="9"/>
      <c r="G922" s="9"/>
      <c r="H922" s="9"/>
      <c r="I922" s="9"/>
      <c r="J922" s="9"/>
      <c r="K922" s="9"/>
      <c r="L922" s="9"/>
      <c r="M922" s="9"/>
      <c r="N922" s="9"/>
      <c r="O922" s="9"/>
      <c r="P922" s="9"/>
      <c r="Q922" s="9"/>
    </row>
    <row r="923" spans="4:17" s="301" customFormat="1" ht="15" customHeight="1">
      <c r="D923" s="10"/>
      <c r="E923" s="10"/>
      <c r="F923" s="9"/>
      <c r="G923" s="9"/>
      <c r="H923" s="9"/>
      <c r="I923" s="9"/>
      <c r="J923" s="9"/>
      <c r="K923" s="9"/>
      <c r="L923" s="9"/>
      <c r="M923" s="9"/>
      <c r="N923" s="9"/>
      <c r="O923" s="9"/>
      <c r="P923" s="9"/>
      <c r="Q923" s="9"/>
    </row>
    <row r="924" spans="4:17" s="301" customFormat="1" ht="15" customHeight="1">
      <c r="D924" s="10"/>
      <c r="E924" s="10"/>
      <c r="F924" s="9"/>
      <c r="G924" s="9"/>
      <c r="H924" s="9"/>
      <c r="I924" s="9"/>
      <c r="J924" s="9"/>
      <c r="K924" s="9"/>
      <c r="L924" s="9"/>
      <c r="M924" s="9"/>
      <c r="N924" s="9"/>
      <c r="O924" s="9"/>
      <c r="P924" s="9"/>
      <c r="Q924" s="9"/>
    </row>
    <row r="925" spans="4:17" s="301" customFormat="1" ht="15" customHeight="1">
      <c r="D925" s="10"/>
      <c r="E925" s="10"/>
      <c r="F925" s="9"/>
      <c r="G925" s="9"/>
      <c r="H925" s="9"/>
      <c r="I925" s="9"/>
      <c r="J925" s="9"/>
      <c r="K925" s="9"/>
      <c r="L925" s="9"/>
      <c r="M925" s="9"/>
      <c r="N925" s="9"/>
      <c r="O925" s="9"/>
      <c r="P925" s="9"/>
      <c r="Q925" s="9"/>
    </row>
    <row r="926" spans="4:17" s="301" customFormat="1" ht="15" customHeight="1">
      <c r="D926" s="10"/>
      <c r="E926" s="10"/>
      <c r="F926" s="9"/>
      <c r="G926" s="9"/>
      <c r="H926" s="9"/>
      <c r="I926" s="9"/>
      <c r="J926" s="9"/>
      <c r="K926" s="9"/>
      <c r="L926" s="9"/>
      <c r="M926" s="9"/>
      <c r="N926" s="9"/>
      <c r="O926" s="9"/>
      <c r="P926" s="9"/>
      <c r="Q926" s="9"/>
    </row>
    <row r="927" spans="4:17" s="301" customFormat="1" ht="15" customHeight="1">
      <c r="D927" s="10"/>
      <c r="E927" s="10"/>
      <c r="F927" s="9"/>
      <c r="G927" s="9"/>
      <c r="H927" s="9"/>
      <c r="I927" s="9"/>
      <c r="J927" s="9"/>
      <c r="K927" s="9"/>
      <c r="L927" s="9"/>
      <c r="M927" s="9"/>
      <c r="N927" s="9"/>
      <c r="O927" s="9"/>
      <c r="P927" s="9"/>
      <c r="Q927" s="9"/>
    </row>
    <row r="928" spans="4:17" s="301" customFormat="1" ht="15" customHeight="1">
      <c r="D928" s="10"/>
      <c r="E928" s="10"/>
      <c r="F928" s="9"/>
      <c r="G928" s="9"/>
      <c r="H928" s="9"/>
      <c r="I928" s="9"/>
      <c r="J928" s="9"/>
      <c r="K928" s="9"/>
      <c r="L928" s="9"/>
      <c r="M928" s="9"/>
      <c r="N928" s="9"/>
      <c r="O928" s="9"/>
      <c r="P928" s="9"/>
      <c r="Q928" s="9"/>
    </row>
    <row r="929" spans="4:17" s="301" customFormat="1" ht="15" customHeight="1">
      <c r="D929" s="10"/>
      <c r="E929" s="10"/>
      <c r="F929" s="9"/>
      <c r="G929" s="9"/>
      <c r="H929" s="9"/>
      <c r="I929" s="9"/>
      <c r="J929" s="9"/>
      <c r="K929" s="9"/>
      <c r="L929" s="9"/>
      <c r="M929" s="9"/>
      <c r="N929" s="9"/>
      <c r="O929" s="9"/>
      <c r="P929" s="9"/>
      <c r="Q929" s="9"/>
    </row>
    <row r="930" spans="4:17" s="301" customFormat="1" ht="15" customHeight="1">
      <c r="D930" s="10"/>
      <c r="E930" s="10"/>
      <c r="F930" s="9"/>
      <c r="G930" s="9"/>
      <c r="H930" s="9"/>
      <c r="I930" s="9"/>
      <c r="J930" s="9"/>
      <c r="K930" s="9"/>
      <c r="L930" s="9"/>
      <c r="M930" s="9"/>
      <c r="N930" s="9"/>
      <c r="O930" s="9"/>
      <c r="P930" s="9"/>
      <c r="Q930" s="9"/>
    </row>
    <row r="931" spans="4:17" s="301" customFormat="1" ht="15" customHeight="1">
      <c r="D931" s="10"/>
      <c r="E931" s="10"/>
      <c r="F931" s="9"/>
      <c r="G931" s="9"/>
      <c r="H931" s="9"/>
      <c r="I931" s="9"/>
      <c r="J931" s="9"/>
      <c r="K931" s="9"/>
      <c r="L931" s="9"/>
      <c r="M931" s="9"/>
      <c r="N931" s="9"/>
      <c r="O931" s="9"/>
      <c r="P931" s="9"/>
      <c r="Q931" s="9"/>
    </row>
    <row r="932" spans="4:17" s="301" customFormat="1" ht="15" customHeight="1">
      <c r="D932" s="10"/>
      <c r="E932" s="10"/>
      <c r="F932" s="9"/>
      <c r="G932" s="9"/>
      <c r="H932" s="9"/>
      <c r="I932" s="9"/>
      <c r="J932" s="9"/>
      <c r="K932" s="9"/>
      <c r="L932" s="9"/>
      <c r="M932" s="9"/>
      <c r="N932" s="9"/>
      <c r="O932" s="9"/>
      <c r="P932" s="9"/>
      <c r="Q932" s="9"/>
    </row>
    <row r="933" spans="4:17" s="301" customFormat="1" ht="15" customHeight="1">
      <c r="D933" s="10"/>
      <c r="E933" s="10"/>
      <c r="F933" s="9"/>
      <c r="G933" s="9"/>
      <c r="H933" s="9"/>
      <c r="I933" s="9"/>
      <c r="J933" s="9"/>
      <c r="K933" s="9"/>
      <c r="L933" s="9"/>
      <c r="M933" s="9"/>
      <c r="N933" s="9"/>
      <c r="O933" s="9"/>
      <c r="P933" s="9"/>
      <c r="Q933" s="9"/>
    </row>
    <row r="934" spans="4:17" s="301" customFormat="1" ht="15" customHeight="1">
      <c r="D934" s="10"/>
      <c r="E934" s="10"/>
      <c r="F934" s="9"/>
      <c r="G934" s="9"/>
      <c r="H934" s="9"/>
      <c r="I934" s="9"/>
      <c r="J934" s="9"/>
      <c r="K934" s="9"/>
      <c r="L934" s="9"/>
      <c r="M934" s="9"/>
      <c r="N934" s="9"/>
      <c r="O934" s="9"/>
      <c r="P934" s="9"/>
      <c r="Q934" s="9"/>
    </row>
    <row r="935" spans="4:17" s="301" customFormat="1" ht="15" customHeight="1">
      <c r="D935" s="10"/>
      <c r="E935" s="10"/>
      <c r="F935" s="9"/>
      <c r="G935" s="9"/>
      <c r="H935" s="9"/>
      <c r="I935" s="9"/>
      <c r="J935" s="9"/>
      <c r="K935" s="9"/>
      <c r="L935" s="9"/>
      <c r="M935" s="9"/>
      <c r="N935" s="9"/>
      <c r="O935" s="9"/>
      <c r="P935" s="9"/>
      <c r="Q935" s="9"/>
    </row>
    <row r="936" spans="4:17" s="301" customFormat="1" ht="15" customHeight="1">
      <c r="D936" s="10"/>
      <c r="E936" s="10"/>
      <c r="F936" s="9"/>
      <c r="G936" s="9"/>
      <c r="H936" s="9"/>
      <c r="I936" s="9"/>
      <c r="J936" s="9"/>
      <c r="K936" s="9"/>
      <c r="L936" s="9"/>
      <c r="M936" s="9"/>
      <c r="N936" s="9"/>
      <c r="O936" s="9"/>
      <c r="P936" s="9"/>
      <c r="Q936" s="9"/>
    </row>
    <row r="937" spans="4:17" s="301" customFormat="1" ht="15" customHeight="1">
      <c r="D937" s="10"/>
      <c r="E937" s="10"/>
      <c r="F937" s="9"/>
      <c r="G937" s="9"/>
      <c r="H937" s="9"/>
      <c r="I937" s="9"/>
      <c r="J937" s="9"/>
      <c r="K937" s="9"/>
      <c r="L937" s="9"/>
      <c r="M937" s="9"/>
      <c r="N937" s="9"/>
      <c r="O937" s="9"/>
      <c r="P937" s="9"/>
      <c r="Q937" s="9"/>
    </row>
    <row r="938" spans="4:17" s="301" customFormat="1" ht="15" customHeight="1">
      <c r="D938" s="10"/>
      <c r="E938" s="10"/>
      <c r="F938" s="9"/>
      <c r="G938" s="9"/>
      <c r="H938" s="9"/>
      <c r="I938" s="9"/>
      <c r="J938" s="9"/>
      <c r="K938" s="9"/>
      <c r="L938" s="9"/>
      <c r="M938" s="9"/>
      <c r="N938" s="9"/>
      <c r="O938" s="9"/>
      <c r="P938" s="9"/>
      <c r="Q938" s="9"/>
    </row>
    <row r="939" spans="4:17" s="301" customFormat="1" ht="15" customHeight="1">
      <c r="D939" s="10"/>
      <c r="E939" s="10"/>
      <c r="F939" s="9"/>
      <c r="G939" s="9"/>
      <c r="H939" s="9"/>
      <c r="I939" s="9"/>
      <c r="J939" s="9"/>
      <c r="K939" s="9"/>
      <c r="L939" s="9"/>
      <c r="M939" s="9"/>
      <c r="N939" s="9"/>
      <c r="O939" s="9"/>
      <c r="P939" s="9"/>
      <c r="Q939" s="9"/>
    </row>
    <row r="940" spans="4:17" s="301" customFormat="1" ht="15" customHeight="1">
      <c r="D940" s="10"/>
      <c r="E940" s="10"/>
      <c r="F940" s="9"/>
      <c r="G940" s="9"/>
      <c r="H940" s="9"/>
      <c r="I940" s="9"/>
      <c r="J940" s="9"/>
      <c r="K940" s="9"/>
      <c r="L940" s="9"/>
      <c r="M940" s="9"/>
      <c r="N940" s="9"/>
      <c r="O940" s="9"/>
      <c r="P940" s="9"/>
      <c r="Q940" s="9"/>
    </row>
    <row r="941" spans="4:17" s="301" customFormat="1" ht="15" customHeight="1">
      <c r="D941" s="10"/>
      <c r="E941" s="10"/>
      <c r="F941" s="9"/>
      <c r="G941" s="9"/>
      <c r="H941" s="9"/>
      <c r="I941" s="9"/>
      <c r="J941" s="9"/>
      <c r="K941" s="9"/>
      <c r="L941" s="9"/>
      <c r="M941" s="9"/>
      <c r="N941" s="9"/>
      <c r="O941" s="9"/>
      <c r="P941" s="9"/>
      <c r="Q941" s="9"/>
    </row>
    <row r="942" spans="4:17" s="301" customFormat="1" ht="15" customHeight="1">
      <c r="D942" s="10"/>
      <c r="E942" s="10"/>
      <c r="F942" s="9"/>
      <c r="G942" s="9"/>
      <c r="H942" s="9"/>
      <c r="I942" s="9"/>
      <c r="J942" s="9"/>
      <c r="K942" s="9"/>
      <c r="L942" s="9"/>
      <c r="M942" s="9"/>
      <c r="N942" s="9"/>
      <c r="O942" s="9"/>
      <c r="P942" s="9"/>
      <c r="Q942" s="9"/>
    </row>
    <row r="943" spans="4:17" s="301" customFormat="1" ht="15" customHeight="1">
      <c r="D943" s="10"/>
      <c r="E943" s="10"/>
      <c r="F943" s="9"/>
      <c r="G943" s="9"/>
      <c r="H943" s="9"/>
      <c r="I943" s="9"/>
      <c r="J943" s="9"/>
      <c r="K943" s="9"/>
      <c r="L943" s="9"/>
      <c r="M943" s="9"/>
      <c r="N943" s="9"/>
      <c r="O943" s="9"/>
      <c r="P943" s="9"/>
      <c r="Q943" s="9"/>
    </row>
    <row r="944" spans="4:17" s="301" customFormat="1" ht="15" customHeight="1">
      <c r="D944" s="10"/>
      <c r="E944" s="10"/>
      <c r="F944" s="9"/>
      <c r="G944" s="9"/>
      <c r="H944" s="9"/>
      <c r="I944" s="9"/>
      <c r="J944" s="9"/>
      <c r="K944" s="9"/>
      <c r="L944" s="9"/>
      <c r="M944" s="9"/>
      <c r="N944" s="9"/>
      <c r="O944" s="9"/>
      <c r="P944" s="9"/>
      <c r="Q944" s="9"/>
    </row>
    <row r="945" spans="4:17" s="301" customFormat="1" ht="15" customHeight="1">
      <c r="D945" s="10"/>
      <c r="E945" s="10"/>
      <c r="F945" s="9"/>
      <c r="G945" s="9"/>
      <c r="H945" s="9"/>
      <c r="I945" s="9"/>
      <c r="J945" s="9"/>
      <c r="K945" s="9"/>
      <c r="L945" s="9"/>
      <c r="M945" s="9"/>
      <c r="N945" s="9"/>
      <c r="O945" s="9"/>
      <c r="P945" s="9"/>
      <c r="Q945" s="9"/>
    </row>
    <row r="946" spans="4:17" s="301" customFormat="1" ht="15" customHeight="1">
      <c r="D946" s="10"/>
      <c r="E946" s="10"/>
      <c r="F946" s="9"/>
      <c r="G946" s="9"/>
      <c r="H946" s="9"/>
      <c r="I946" s="9"/>
      <c r="J946" s="9"/>
      <c r="K946" s="9"/>
      <c r="L946" s="9"/>
      <c r="M946" s="9"/>
      <c r="N946" s="9"/>
      <c r="O946" s="9"/>
      <c r="P946" s="9"/>
      <c r="Q946" s="9"/>
    </row>
    <row r="947" spans="4:17" s="301" customFormat="1" ht="15" customHeight="1">
      <c r="D947" s="10"/>
      <c r="E947" s="10"/>
      <c r="F947" s="9"/>
      <c r="G947" s="9"/>
      <c r="H947" s="9"/>
      <c r="I947" s="9"/>
      <c r="J947" s="9"/>
      <c r="K947" s="9"/>
      <c r="L947" s="9"/>
      <c r="M947" s="9"/>
      <c r="N947" s="9"/>
      <c r="O947" s="9"/>
      <c r="P947" s="9"/>
      <c r="Q947" s="9"/>
    </row>
    <row r="948" spans="4:17" s="301" customFormat="1" ht="15" customHeight="1">
      <c r="D948" s="10"/>
      <c r="E948" s="10"/>
      <c r="F948" s="9"/>
      <c r="G948" s="9"/>
      <c r="H948" s="9"/>
      <c r="I948" s="9"/>
      <c r="J948" s="9"/>
      <c r="K948" s="9"/>
      <c r="L948" s="9"/>
      <c r="M948" s="9"/>
      <c r="N948" s="9"/>
      <c r="O948" s="9"/>
      <c r="P948" s="9"/>
      <c r="Q948" s="9"/>
    </row>
    <row r="949" spans="4:17" s="301" customFormat="1" ht="15" customHeight="1">
      <c r="D949" s="10"/>
      <c r="E949" s="10"/>
      <c r="F949" s="9"/>
      <c r="G949" s="9"/>
      <c r="H949" s="9"/>
      <c r="I949" s="9"/>
      <c r="J949" s="9"/>
      <c r="K949" s="9"/>
      <c r="L949" s="9"/>
      <c r="M949" s="9"/>
      <c r="N949" s="9"/>
      <c r="O949" s="9"/>
      <c r="P949" s="9"/>
      <c r="Q949" s="9"/>
    </row>
    <row r="950" spans="4:17" s="301" customFormat="1" ht="15" customHeight="1">
      <c r="D950" s="10"/>
      <c r="E950" s="10"/>
      <c r="F950" s="9"/>
      <c r="G950" s="9"/>
      <c r="H950" s="9"/>
      <c r="I950" s="9"/>
      <c r="J950" s="9"/>
      <c r="K950" s="9"/>
      <c r="L950" s="9"/>
      <c r="M950" s="9"/>
      <c r="N950" s="9"/>
      <c r="O950" s="9"/>
      <c r="P950" s="9"/>
      <c r="Q950" s="9"/>
    </row>
    <row r="951" spans="4:17" s="301" customFormat="1" ht="15" customHeight="1">
      <c r="D951" s="10"/>
      <c r="E951" s="10"/>
      <c r="F951" s="9"/>
      <c r="G951" s="9"/>
      <c r="H951" s="9"/>
      <c r="I951" s="9"/>
      <c r="J951" s="9"/>
      <c r="K951" s="9"/>
      <c r="L951" s="9"/>
      <c r="M951" s="9"/>
      <c r="N951" s="9"/>
      <c r="O951" s="9"/>
      <c r="P951" s="9"/>
      <c r="Q951" s="9"/>
    </row>
    <row r="952" spans="4:17" s="301" customFormat="1" ht="15" customHeight="1">
      <c r="D952" s="10"/>
      <c r="E952" s="10"/>
      <c r="F952" s="9"/>
      <c r="G952" s="9"/>
      <c r="H952" s="9"/>
      <c r="I952" s="9"/>
      <c r="J952" s="9"/>
      <c r="K952" s="9"/>
      <c r="L952" s="9"/>
      <c r="M952" s="9"/>
      <c r="N952" s="9"/>
      <c r="O952" s="9"/>
      <c r="P952" s="9"/>
      <c r="Q952" s="9"/>
    </row>
    <row r="953" spans="4:17" s="301" customFormat="1" ht="15" customHeight="1">
      <c r="D953" s="10"/>
      <c r="E953" s="10"/>
      <c r="F953" s="9"/>
      <c r="G953" s="9"/>
      <c r="H953" s="9"/>
      <c r="I953" s="9"/>
      <c r="J953" s="9"/>
      <c r="K953" s="9"/>
      <c r="L953" s="9"/>
      <c r="M953" s="9"/>
      <c r="N953" s="9"/>
      <c r="O953" s="9"/>
      <c r="P953" s="9"/>
      <c r="Q953" s="9"/>
    </row>
    <row r="954" spans="4:17" s="301" customFormat="1" ht="15" customHeight="1">
      <c r="D954" s="10"/>
      <c r="E954" s="10"/>
      <c r="F954" s="9"/>
      <c r="G954" s="9"/>
      <c r="H954" s="9"/>
      <c r="I954" s="9"/>
      <c r="J954" s="9"/>
      <c r="K954" s="9"/>
      <c r="L954" s="9"/>
      <c r="M954" s="9"/>
      <c r="N954" s="9"/>
      <c r="O954" s="9"/>
      <c r="P954" s="9"/>
      <c r="Q954" s="9"/>
    </row>
    <row r="955" spans="4:17" s="301" customFormat="1" ht="15" customHeight="1">
      <c r="D955" s="10"/>
      <c r="E955" s="10"/>
      <c r="F955" s="9"/>
      <c r="G955" s="9"/>
      <c r="H955" s="9"/>
      <c r="I955" s="9"/>
      <c r="J955" s="9"/>
      <c r="K955" s="9"/>
      <c r="L955" s="9"/>
      <c r="M955" s="9"/>
      <c r="N955" s="9"/>
      <c r="O955" s="9"/>
      <c r="P955" s="9"/>
      <c r="Q955" s="9"/>
    </row>
    <row r="956" spans="4:17" s="301" customFormat="1" ht="15" customHeight="1">
      <c r="D956" s="10"/>
      <c r="E956" s="10"/>
      <c r="F956" s="9"/>
      <c r="G956" s="9"/>
      <c r="H956" s="9"/>
      <c r="I956" s="9"/>
      <c r="J956" s="9"/>
      <c r="K956" s="9"/>
      <c r="L956" s="9"/>
      <c r="M956" s="9"/>
      <c r="N956" s="9"/>
      <c r="O956" s="9"/>
      <c r="P956" s="9"/>
      <c r="Q956" s="9"/>
    </row>
    <row r="957" spans="4:17" s="301" customFormat="1" ht="15" customHeight="1">
      <c r="D957" s="10"/>
      <c r="E957" s="10"/>
      <c r="F957" s="9"/>
      <c r="G957" s="9"/>
      <c r="H957" s="9"/>
      <c r="I957" s="9"/>
      <c r="J957" s="9"/>
      <c r="K957" s="9"/>
      <c r="L957" s="9"/>
      <c r="M957" s="9"/>
      <c r="N957" s="9"/>
      <c r="O957" s="9"/>
      <c r="P957" s="9"/>
      <c r="Q957" s="9"/>
    </row>
    <row r="958" spans="4:17" s="301" customFormat="1" ht="15" customHeight="1">
      <c r="D958" s="10"/>
      <c r="E958" s="10"/>
      <c r="F958" s="9"/>
      <c r="G958" s="9"/>
      <c r="H958" s="9"/>
      <c r="I958" s="9"/>
      <c r="J958" s="9"/>
      <c r="K958" s="9"/>
      <c r="L958" s="9"/>
      <c r="M958" s="9"/>
      <c r="N958" s="9"/>
      <c r="O958" s="9"/>
      <c r="P958" s="9"/>
      <c r="Q958" s="9"/>
    </row>
    <row r="959" spans="4:17" s="301" customFormat="1" ht="15" customHeight="1">
      <c r="D959" s="10"/>
      <c r="E959" s="10"/>
      <c r="F959" s="9"/>
      <c r="G959" s="9"/>
      <c r="H959" s="9"/>
      <c r="I959" s="9"/>
      <c r="J959" s="9"/>
      <c r="K959" s="9"/>
      <c r="L959" s="9"/>
      <c r="M959" s="9"/>
      <c r="N959" s="9"/>
      <c r="O959" s="9"/>
      <c r="P959" s="9"/>
      <c r="Q959" s="9"/>
    </row>
    <row r="960" spans="4:17" s="301" customFormat="1" ht="15" customHeight="1">
      <c r="D960" s="10"/>
      <c r="E960" s="10"/>
      <c r="F960" s="9"/>
      <c r="G960" s="9"/>
      <c r="H960" s="9"/>
      <c r="I960" s="9"/>
      <c r="J960" s="9"/>
      <c r="K960" s="9"/>
      <c r="L960" s="9"/>
      <c r="M960" s="9"/>
      <c r="N960" s="9"/>
      <c r="O960" s="9"/>
      <c r="P960" s="9"/>
      <c r="Q960" s="9"/>
    </row>
    <row r="961" spans="4:17" s="301" customFormat="1" ht="15" customHeight="1">
      <c r="D961" s="10"/>
      <c r="E961" s="10"/>
      <c r="F961" s="9"/>
      <c r="G961" s="9"/>
      <c r="H961" s="9"/>
      <c r="I961" s="9"/>
      <c r="J961" s="9"/>
      <c r="K961" s="9"/>
      <c r="L961" s="9"/>
      <c r="M961" s="9"/>
      <c r="N961" s="9"/>
      <c r="O961" s="9"/>
      <c r="P961" s="9"/>
      <c r="Q961" s="9"/>
    </row>
    <row r="962" spans="4:17" s="301" customFormat="1" ht="15" customHeight="1">
      <c r="D962" s="10"/>
      <c r="E962" s="10"/>
      <c r="F962" s="9"/>
      <c r="G962" s="9"/>
      <c r="H962" s="9"/>
      <c r="I962" s="9"/>
      <c r="J962" s="9"/>
      <c r="K962" s="9"/>
      <c r="L962" s="9"/>
      <c r="M962" s="9"/>
      <c r="N962" s="9"/>
      <c r="O962" s="9"/>
      <c r="P962" s="9"/>
      <c r="Q962" s="9"/>
    </row>
    <row r="963" spans="4:17" s="301" customFormat="1" ht="15" customHeight="1">
      <c r="D963" s="10"/>
      <c r="E963" s="10"/>
      <c r="F963" s="9"/>
      <c r="G963" s="9"/>
      <c r="H963" s="9"/>
      <c r="I963" s="9"/>
      <c r="J963" s="9"/>
      <c r="K963" s="9"/>
      <c r="L963" s="9"/>
      <c r="M963" s="9"/>
      <c r="N963" s="9"/>
      <c r="O963" s="9"/>
      <c r="P963" s="9"/>
      <c r="Q963" s="9"/>
    </row>
    <row r="964" spans="4:17" s="301" customFormat="1" ht="15" customHeight="1">
      <c r="D964" s="10"/>
      <c r="E964" s="10"/>
      <c r="F964" s="9"/>
      <c r="G964" s="9"/>
      <c r="H964" s="9"/>
      <c r="I964" s="9"/>
      <c r="J964" s="9"/>
      <c r="K964" s="9"/>
      <c r="L964" s="9"/>
      <c r="M964" s="9"/>
      <c r="N964" s="9"/>
      <c r="O964" s="9"/>
      <c r="P964" s="9"/>
      <c r="Q964" s="9"/>
    </row>
    <row r="965" spans="4:17" s="301" customFormat="1" ht="15" customHeight="1">
      <c r="D965" s="10"/>
      <c r="E965" s="10"/>
      <c r="F965" s="9"/>
      <c r="G965" s="9"/>
      <c r="H965" s="9"/>
      <c r="I965" s="9"/>
      <c r="J965" s="9"/>
      <c r="K965" s="9"/>
      <c r="L965" s="9"/>
      <c r="M965" s="9"/>
      <c r="N965" s="9"/>
      <c r="O965" s="9"/>
      <c r="P965" s="9"/>
      <c r="Q965" s="9"/>
    </row>
    <row r="966" spans="4:17" s="301" customFormat="1" ht="15" customHeight="1">
      <c r="D966" s="10"/>
      <c r="E966" s="10"/>
      <c r="F966" s="9"/>
      <c r="G966" s="9"/>
      <c r="H966" s="9"/>
      <c r="I966" s="9"/>
      <c r="J966" s="9"/>
      <c r="K966" s="9"/>
      <c r="L966" s="9"/>
      <c r="M966" s="9"/>
      <c r="N966" s="9"/>
      <c r="O966" s="9"/>
      <c r="P966" s="9"/>
      <c r="Q966" s="9"/>
    </row>
    <row r="967" spans="4:17" s="301" customFormat="1" ht="15" customHeight="1">
      <c r="D967" s="10"/>
      <c r="E967" s="10"/>
      <c r="F967" s="9"/>
      <c r="G967" s="9"/>
      <c r="H967" s="9"/>
      <c r="I967" s="9"/>
      <c r="J967" s="9"/>
      <c r="K967" s="9"/>
      <c r="L967" s="9"/>
      <c r="M967" s="9"/>
      <c r="N967" s="9"/>
      <c r="O967" s="9"/>
      <c r="P967" s="9"/>
      <c r="Q967" s="9"/>
    </row>
    <row r="968" spans="4:17" s="301" customFormat="1" ht="15" customHeight="1">
      <c r="D968" s="10"/>
      <c r="E968" s="10"/>
      <c r="F968" s="9"/>
      <c r="G968" s="9"/>
      <c r="H968" s="9"/>
      <c r="I968" s="9"/>
      <c r="J968" s="9"/>
      <c r="K968" s="9"/>
      <c r="L968" s="9"/>
      <c r="M968" s="9"/>
      <c r="N968" s="9"/>
      <c r="O968" s="9"/>
      <c r="P968" s="9"/>
      <c r="Q968" s="9"/>
    </row>
    <row r="969" spans="4:17" s="301" customFormat="1" ht="15" customHeight="1">
      <c r="D969" s="10"/>
      <c r="E969" s="10"/>
      <c r="F969" s="9"/>
      <c r="G969" s="9"/>
      <c r="H969" s="9"/>
      <c r="I969" s="9"/>
      <c r="J969" s="9"/>
      <c r="K969" s="9"/>
      <c r="L969" s="9"/>
      <c r="M969" s="9"/>
      <c r="N969" s="9"/>
      <c r="O969" s="9"/>
      <c r="P969" s="9"/>
      <c r="Q969" s="9"/>
    </row>
    <row r="970" spans="4:17" s="301" customFormat="1" ht="15" customHeight="1">
      <c r="D970" s="10"/>
      <c r="E970" s="10"/>
      <c r="F970" s="9"/>
      <c r="G970" s="9"/>
      <c r="H970" s="9"/>
      <c r="I970" s="9"/>
      <c r="J970" s="9"/>
      <c r="K970" s="9"/>
      <c r="L970" s="9"/>
      <c r="M970" s="9"/>
      <c r="N970" s="9"/>
      <c r="O970" s="9"/>
      <c r="P970" s="9"/>
      <c r="Q970" s="9"/>
    </row>
    <row r="971" spans="4:17" s="301" customFormat="1" ht="15" customHeight="1">
      <c r="D971" s="10"/>
      <c r="E971" s="10"/>
      <c r="F971" s="9"/>
      <c r="G971" s="9"/>
      <c r="H971" s="9"/>
      <c r="I971" s="9"/>
      <c r="J971" s="9"/>
      <c r="K971" s="9"/>
      <c r="L971" s="9"/>
      <c r="M971" s="9"/>
      <c r="N971" s="9"/>
      <c r="O971" s="9"/>
      <c r="P971" s="9"/>
      <c r="Q971" s="9"/>
    </row>
    <row r="972" spans="4:17" s="301" customFormat="1" ht="15" customHeight="1">
      <c r="D972" s="10"/>
      <c r="E972" s="10"/>
      <c r="F972" s="9"/>
      <c r="G972" s="9"/>
      <c r="H972" s="9"/>
      <c r="I972" s="9"/>
      <c r="J972" s="9"/>
      <c r="K972" s="9"/>
      <c r="L972" s="9"/>
      <c r="M972" s="9"/>
      <c r="N972" s="9"/>
      <c r="O972" s="9"/>
      <c r="P972" s="9"/>
      <c r="Q972" s="9"/>
    </row>
    <row r="973" spans="4:17" s="301" customFormat="1" ht="15" customHeight="1">
      <c r="D973" s="10"/>
      <c r="E973" s="10"/>
      <c r="F973" s="9"/>
      <c r="G973" s="9"/>
      <c r="H973" s="9"/>
      <c r="I973" s="9"/>
      <c r="J973" s="9"/>
      <c r="K973" s="9"/>
      <c r="L973" s="9"/>
      <c r="M973" s="9"/>
      <c r="N973" s="9"/>
      <c r="O973" s="9"/>
      <c r="P973" s="9"/>
      <c r="Q973" s="9"/>
    </row>
    <row r="974" spans="4:17" s="301" customFormat="1" ht="15" customHeight="1">
      <c r="D974" s="10"/>
      <c r="E974" s="10"/>
      <c r="F974" s="9"/>
      <c r="G974" s="9"/>
      <c r="H974" s="9"/>
      <c r="I974" s="9"/>
      <c r="J974" s="9"/>
      <c r="K974" s="9"/>
      <c r="L974" s="9"/>
      <c r="M974" s="9"/>
      <c r="N974" s="9"/>
      <c r="O974" s="9"/>
      <c r="P974" s="9"/>
      <c r="Q974" s="9"/>
    </row>
    <row r="975" spans="4:17" s="301" customFormat="1" ht="15" customHeight="1">
      <c r="D975" s="10"/>
      <c r="E975" s="10"/>
      <c r="F975" s="9"/>
      <c r="G975" s="9"/>
      <c r="H975" s="9"/>
      <c r="I975" s="9"/>
      <c r="J975" s="9"/>
      <c r="K975" s="9"/>
      <c r="L975" s="9"/>
      <c r="M975" s="9"/>
      <c r="N975" s="9"/>
      <c r="O975" s="9"/>
      <c r="P975" s="9"/>
      <c r="Q975" s="9"/>
    </row>
    <row r="976" spans="4:17" s="301" customFormat="1" ht="15" customHeight="1">
      <c r="D976" s="10"/>
      <c r="E976" s="10"/>
      <c r="F976" s="9"/>
      <c r="G976" s="9"/>
      <c r="H976" s="9"/>
      <c r="I976" s="9"/>
      <c r="J976" s="9"/>
      <c r="K976" s="9"/>
      <c r="L976" s="9"/>
      <c r="M976" s="9"/>
      <c r="N976" s="9"/>
      <c r="O976" s="9"/>
      <c r="P976" s="9"/>
      <c r="Q976" s="9"/>
    </row>
    <row r="977" spans="4:17" s="301" customFormat="1" ht="15" customHeight="1">
      <c r="D977" s="10"/>
      <c r="E977" s="10"/>
      <c r="F977" s="9"/>
      <c r="G977" s="9"/>
      <c r="H977" s="9"/>
      <c r="I977" s="9"/>
      <c r="J977" s="9"/>
      <c r="K977" s="9"/>
      <c r="L977" s="9"/>
      <c r="M977" s="9"/>
      <c r="N977" s="9"/>
      <c r="O977" s="9"/>
      <c r="P977" s="9"/>
      <c r="Q977" s="9"/>
    </row>
    <row r="978" spans="4:17" s="301" customFormat="1" ht="15" customHeight="1">
      <c r="D978" s="10"/>
      <c r="E978" s="10"/>
      <c r="F978" s="9"/>
      <c r="G978" s="9"/>
      <c r="H978" s="9"/>
      <c r="I978" s="9"/>
      <c r="J978" s="9"/>
      <c r="K978" s="9"/>
      <c r="L978" s="9"/>
      <c r="M978" s="9"/>
      <c r="N978" s="9"/>
      <c r="O978" s="9"/>
      <c r="P978" s="9"/>
      <c r="Q978" s="9"/>
    </row>
    <row r="979" spans="4:17" s="301" customFormat="1" ht="15" customHeight="1">
      <c r="D979" s="10"/>
      <c r="E979" s="10"/>
      <c r="F979" s="9"/>
      <c r="G979" s="9"/>
      <c r="H979" s="9"/>
      <c r="I979" s="9"/>
      <c r="J979" s="9"/>
      <c r="K979" s="9"/>
      <c r="L979" s="9"/>
      <c r="M979" s="9"/>
      <c r="N979" s="9"/>
      <c r="O979" s="9"/>
      <c r="P979" s="9"/>
      <c r="Q979" s="9"/>
    </row>
    <row r="980" spans="4:17" s="301" customFormat="1" ht="15" customHeight="1">
      <c r="D980" s="10"/>
      <c r="E980" s="10"/>
      <c r="F980" s="9"/>
      <c r="G980" s="9"/>
      <c r="H980" s="9"/>
      <c r="I980" s="9"/>
      <c r="J980" s="9"/>
      <c r="K980" s="9"/>
      <c r="L980" s="9"/>
      <c r="M980" s="9"/>
      <c r="N980" s="9"/>
      <c r="O980" s="9"/>
      <c r="P980" s="9"/>
      <c r="Q980" s="9"/>
    </row>
    <row r="981" spans="4:17" s="301" customFormat="1" ht="15" customHeight="1">
      <c r="D981" s="10"/>
      <c r="E981" s="10"/>
      <c r="F981" s="9"/>
      <c r="G981" s="9"/>
      <c r="H981" s="9"/>
      <c r="I981" s="9"/>
      <c r="J981" s="9"/>
      <c r="K981" s="9"/>
      <c r="L981" s="9"/>
      <c r="M981" s="9"/>
      <c r="N981" s="9"/>
      <c r="O981" s="9"/>
      <c r="P981" s="9"/>
      <c r="Q981" s="9"/>
    </row>
    <row r="982" spans="4:17" s="301" customFormat="1" ht="15" customHeight="1">
      <c r="D982" s="10"/>
      <c r="E982" s="10"/>
      <c r="F982" s="9"/>
      <c r="G982" s="9"/>
      <c r="H982" s="9"/>
      <c r="I982" s="9"/>
      <c r="J982" s="9"/>
      <c r="K982" s="9"/>
      <c r="L982" s="9"/>
      <c r="M982" s="9"/>
      <c r="N982" s="9"/>
      <c r="O982" s="9"/>
      <c r="P982" s="9"/>
      <c r="Q982" s="9"/>
    </row>
    <row r="983" spans="4:17" s="301" customFormat="1" ht="15" customHeight="1">
      <c r="D983" s="10"/>
      <c r="E983" s="10"/>
      <c r="F983" s="9"/>
      <c r="G983" s="9"/>
      <c r="H983" s="9"/>
      <c r="I983" s="9"/>
      <c r="J983" s="9"/>
      <c r="K983" s="9"/>
      <c r="L983" s="9"/>
      <c r="M983" s="9"/>
      <c r="N983" s="9"/>
      <c r="O983" s="9"/>
      <c r="P983" s="9"/>
      <c r="Q983" s="9"/>
    </row>
    <row r="984" spans="4:17" s="301" customFormat="1" ht="15" customHeight="1">
      <c r="D984" s="10"/>
      <c r="E984" s="10"/>
      <c r="F984" s="9"/>
      <c r="G984" s="9"/>
      <c r="H984" s="9"/>
      <c r="I984" s="9"/>
      <c r="J984" s="9"/>
      <c r="K984" s="9"/>
      <c r="L984" s="9"/>
      <c r="M984" s="9"/>
      <c r="N984" s="9"/>
      <c r="O984" s="9"/>
      <c r="P984" s="9"/>
      <c r="Q984" s="9"/>
    </row>
    <row r="985" spans="4:17" s="301" customFormat="1" ht="15" customHeight="1">
      <c r="D985" s="10"/>
      <c r="E985" s="10"/>
      <c r="F985" s="9"/>
      <c r="G985" s="9"/>
      <c r="H985" s="9"/>
      <c r="I985" s="9"/>
      <c r="J985" s="9"/>
      <c r="K985" s="9"/>
      <c r="L985" s="9"/>
      <c r="M985" s="9"/>
      <c r="N985" s="9"/>
      <c r="O985" s="9"/>
      <c r="P985" s="9"/>
      <c r="Q985" s="9"/>
    </row>
    <row r="986" spans="4:17" s="301" customFormat="1" ht="15" customHeight="1">
      <c r="D986" s="10"/>
      <c r="E986" s="10"/>
      <c r="F986" s="9"/>
      <c r="G986" s="9"/>
      <c r="H986" s="9"/>
      <c r="I986" s="9"/>
      <c r="J986" s="9"/>
      <c r="K986" s="9"/>
      <c r="L986" s="9"/>
      <c r="M986" s="9"/>
      <c r="N986" s="9"/>
      <c r="O986" s="9"/>
      <c r="P986" s="9"/>
      <c r="Q986" s="9"/>
    </row>
    <row r="987" spans="4:17" s="301" customFormat="1" ht="15" customHeight="1">
      <c r="D987" s="10"/>
      <c r="E987" s="10"/>
      <c r="F987" s="9"/>
      <c r="G987" s="9"/>
      <c r="H987" s="9"/>
      <c r="I987" s="9"/>
      <c r="J987" s="9"/>
      <c r="K987" s="9"/>
      <c r="L987" s="9"/>
      <c r="M987" s="9"/>
      <c r="N987" s="9"/>
      <c r="O987" s="9"/>
      <c r="P987" s="9"/>
      <c r="Q987" s="9"/>
    </row>
    <row r="988" spans="4:17" s="301" customFormat="1" ht="15" customHeight="1">
      <c r="D988" s="10"/>
      <c r="E988" s="10"/>
      <c r="F988" s="9"/>
      <c r="G988" s="9"/>
      <c r="H988" s="9"/>
      <c r="I988" s="9"/>
      <c r="J988" s="9"/>
      <c r="K988" s="9"/>
      <c r="L988" s="9"/>
      <c r="M988" s="9"/>
      <c r="N988" s="9"/>
      <c r="O988" s="9"/>
      <c r="P988" s="9"/>
      <c r="Q988" s="9"/>
    </row>
    <row r="989" spans="4:17" s="301" customFormat="1" ht="15" customHeight="1">
      <c r="D989" s="10"/>
      <c r="E989" s="10"/>
      <c r="F989" s="9"/>
      <c r="G989" s="9"/>
      <c r="H989" s="9"/>
      <c r="I989" s="9"/>
      <c r="J989" s="9"/>
      <c r="K989" s="9"/>
      <c r="L989" s="9"/>
      <c r="M989" s="9"/>
      <c r="N989" s="9"/>
      <c r="O989" s="9"/>
      <c r="P989" s="9"/>
      <c r="Q989" s="9"/>
    </row>
    <row r="990" spans="4:17" s="301" customFormat="1" ht="15" customHeight="1">
      <c r="D990" s="10"/>
      <c r="E990" s="10"/>
      <c r="F990" s="9"/>
      <c r="G990" s="9"/>
      <c r="H990" s="9"/>
      <c r="I990" s="9"/>
      <c r="J990" s="9"/>
      <c r="K990" s="9"/>
      <c r="L990" s="9"/>
      <c r="M990" s="9"/>
      <c r="N990" s="9"/>
      <c r="O990" s="9"/>
      <c r="P990" s="9"/>
      <c r="Q990" s="9"/>
    </row>
    <row r="991" spans="4:17" s="301" customFormat="1" ht="15" customHeight="1">
      <c r="D991" s="10"/>
      <c r="E991" s="10"/>
      <c r="F991" s="9"/>
      <c r="G991" s="9"/>
      <c r="H991" s="9"/>
      <c r="I991" s="9"/>
      <c r="J991" s="9"/>
      <c r="K991" s="9"/>
      <c r="L991" s="9"/>
      <c r="M991" s="9"/>
      <c r="N991" s="9"/>
      <c r="O991" s="9"/>
      <c r="P991" s="9"/>
      <c r="Q991" s="9"/>
    </row>
    <row r="992" spans="4:17" s="301" customFormat="1" ht="15" customHeight="1">
      <c r="D992" s="10"/>
      <c r="E992" s="10"/>
      <c r="F992" s="9"/>
      <c r="G992" s="9"/>
      <c r="H992" s="9"/>
      <c r="I992" s="9"/>
      <c r="J992" s="9"/>
      <c r="K992" s="9"/>
      <c r="L992" s="9"/>
      <c r="M992" s="9"/>
      <c r="N992" s="9"/>
      <c r="O992" s="9"/>
      <c r="P992" s="9"/>
      <c r="Q992" s="9"/>
    </row>
    <row r="993" spans="4:17" s="301" customFormat="1" ht="15" customHeight="1">
      <c r="D993" s="10"/>
      <c r="E993" s="10"/>
      <c r="F993" s="9"/>
      <c r="G993" s="9"/>
      <c r="H993" s="9"/>
      <c r="I993" s="9"/>
      <c r="J993" s="9"/>
      <c r="K993" s="9"/>
      <c r="L993" s="9"/>
      <c r="M993" s="9"/>
      <c r="N993" s="9"/>
      <c r="O993" s="9"/>
      <c r="P993" s="9"/>
      <c r="Q993" s="9"/>
    </row>
    <row r="994" spans="4:17" s="301" customFormat="1" ht="15" customHeight="1">
      <c r="D994" s="10"/>
      <c r="E994" s="10"/>
      <c r="F994" s="9"/>
      <c r="G994" s="9"/>
      <c r="H994" s="9"/>
      <c r="I994" s="9"/>
      <c r="J994" s="9"/>
      <c r="K994" s="9"/>
      <c r="L994" s="9"/>
      <c r="M994" s="9"/>
      <c r="N994" s="9"/>
      <c r="O994" s="9"/>
      <c r="P994" s="9"/>
      <c r="Q994" s="9"/>
    </row>
    <row r="995" spans="4:17" s="301" customFormat="1" ht="15" customHeight="1">
      <c r="D995" s="10"/>
      <c r="E995" s="10"/>
      <c r="F995" s="9"/>
      <c r="G995" s="9"/>
      <c r="H995" s="9"/>
      <c r="I995" s="9"/>
      <c r="J995" s="9"/>
      <c r="K995" s="9"/>
      <c r="L995" s="9"/>
      <c r="M995" s="9"/>
      <c r="N995" s="9"/>
      <c r="O995" s="9"/>
      <c r="P995" s="9"/>
      <c r="Q995" s="9"/>
    </row>
    <row r="996" spans="4:17" s="301" customFormat="1" ht="15" customHeight="1">
      <c r="D996" s="10"/>
      <c r="E996" s="10"/>
      <c r="F996" s="9"/>
      <c r="G996" s="9"/>
      <c r="H996" s="9"/>
      <c r="I996" s="9"/>
      <c r="J996" s="9"/>
      <c r="K996" s="9"/>
      <c r="L996" s="9"/>
      <c r="M996" s="9"/>
      <c r="N996" s="9"/>
      <c r="O996" s="9"/>
      <c r="P996" s="9"/>
      <c r="Q996" s="9"/>
    </row>
    <row r="997" spans="4:17" s="301" customFormat="1" ht="15" customHeight="1">
      <c r="D997" s="10"/>
      <c r="E997" s="10"/>
      <c r="F997" s="9"/>
      <c r="G997" s="9"/>
      <c r="H997" s="9"/>
      <c r="I997" s="9"/>
      <c r="J997" s="9"/>
      <c r="K997" s="9"/>
      <c r="L997" s="9"/>
      <c r="M997" s="9"/>
      <c r="N997" s="9"/>
      <c r="O997" s="9"/>
      <c r="P997" s="9"/>
      <c r="Q997" s="9"/>
    </row>
    <row r="998" spans="4:17" s="301" customFormat="1" ht="15" customHeight="1">
      <c r="D998" s="10"/>
      <c r="E998" s="10"/>
      <c r="F998" s="9"/>
      <c r="G998" s="9"/>
      <c r="H998" s="9"/>
      <c r="I998" s="9"/>
      <c r="J998" s="9"/>
      <c r="K998" s="9"/>
      <c r="L998" s="9"/>
      <c r="M998" s="9"/>
      <c r="N998" s="9"/>
      <c r="O998" s="9"/>
      <c r="P998" s="9"/>
      <c r="Q998" s="9"/>
    </row>
    <row r="999" spans="4:17" s="301" customFormat="1" ht="15" customHeight="1">
      <c r="D999" s="10"/>
      <c r="E999" s="10"/>
      <c r="F999" s="9"/>
      <c r="G999" s="9"/>
      <c r="H999" s="9"/>
      <c r="I999" s="9"/>
      <c r="J999" s="9"/>
      <c r="K999" s="9"/>
      <c r="L999" s="9"/>
      <c r="M999" s="9"/>
      <c r="N999" s="9"/>
      <c r="O999" s="9"/>
      <c r="P999" s="9"/>
      <c r="Q999" s="9"/>
    </row>
    <row r="1000" spans="4:17" s="301" customFormat="1" ht="15" customHeight="1">
      <c r="D1000" s="10"/>
      <c r="E1000" s="10"/>
      <c r="F1000" s="9"/>
      <c r="G1000" s="9"/>
      <c r="H1000" s="9"/>
      <c r="I1000" s="9"/>
      <c r="J1000" s="9"/>
      <c r="K1000" s="9"/>
      <c r="L1000" s="9"/>
      <c r="M1000" s="9"/>
      <c r="N1000" s="9"/>
      <c r="O1000" s="9"/>
      <c r="P1000" s="9"/>
      <c r="Q1000" s="9"/>
    </row>
    <row r="1001" spans="4:17" s="301" customFormat="1" ht="15" customHeight="1">
      <c r="D1001" s="10"/>
      <c r="E1001" s="10"/>
      <c r="F1001" s="9"/>
      <c r="G1001" s="9"/>
      <c r="H1001" s="9"/>
      <c r="I1001" s="9"/>
      <c r="J1001" s="9"/>
      <c r="K1001" s="9"/>
      <c r="L1001" s="9"/>
      <c r="M1001" s="9"/>
      <c r="N1001" s="9"/>
      <c r="O1001" s="9"/>
      <c r="P1001" s="9"/>
      <c r="Q1001" s="9"/>
    </row>
    <row r="1002" spans="4:17" s="301" customFormat="1" ht="15" customHeight="1">
      <c r="D1002" s="10"/>
      <c r="E1002" s="10"/>
      <c r="F1002" s="9"/>
      <c r="G1002" s="9"/>
      <c r="H1002" s="9"/>
      <c r="I1002" s="9"/>
      <c r="J1002" s="9"/>
      <c r="K1002" s="9"/>
      <c r="L1002" s="9"/>
      <c r="M1002" s="9"/>
      <c r="N1002" s="9"/>
      <c r="O1002" s="9"/>
      <c r="P1002" s="9"/>
      <c r="Q1002" s="9"/>
    </row>
    <row r="1003" spans="4:17" s="301" customFormat="1" ht="15" customHeight="1">
      <c r="D1003" s="10"/>
      <c r="E1003" s="10"/>
      <c r="F1003" s="9"/>
      <c r="G1003" s="9"/>
      <c r="H1003" s="9"/>
      <c r="I1003" s="9"/>
      <c r="J1003" s="9"/>
      <c r="K1003" s="9"/>
      <c r="L1003" s="9"/>
      <c r="M1003" s="9"/>
      <c r="N1003" s="9"/>
      <c r="O1003" s="9"/>
      <c r="P1003" s="9"/>
      <c r="Q1003" s="9"/>
    </row>
    <row r="1004" spans="4:17" s="301" customFormat="1" ht="15" customHeight="1">
      <c r="D1004" s="10"/>
      <c r="E1004" s="10"/>
      <c r="F1004" s="9"/>
      <c r="G1004" s="9"/>
      <c r="H1004" s="9"/>
      <c r="I1004" s="9"/>
      <c r="J1004" s="9"/>
      <c r="K1004" s="9"/>
      <c r="L1004" s="9"/>
      <c r="M1004" s="9"/>
      <c r="N1004" s="9"/>
      <c r="O1004" s="9"/>
      <c r="P1004" s="9"/>
      <c r="Q1004" s="9"/>
    </row>
    <row r="1005" spans="4:17" s="301" customFormat="1" ht="15" customHeight="1">
      <c r="D1005" s="10"/>
      <c r="E1005" s="10"/>
      <c r="F1005" s="9"/>
      <c r="G1005" s="9"/>
      <c r="H1005" s="9"/>
      <c r="I1005" s="9"/>
      <c r="J1005" s="9"/>
      <c r="K1005" s="9"/>
      <c r="L1005" s="9"/>
      <c r="M1005" s="9"/>
      <c r="N1005" s="9"/>
      <c r="O1005" s="9"/>
      <c r="P1005" s="9"/>
      <c r="Q1005" s="9"/>
    </row>
    <row r="1006" spans="4:17" s="301" customFormat="1" ht="15" customHeight="1">
      <c r="D1006" s="10"/>
      <c r="E1006" s="10"/>
      <c r="F1006" s="9"/>
      <c r="G1006" s="9"/>
      <c r="H1006" s="9"/>
      <c r="I1006" s="9"/>
      <c r="J1006" s="9"/>
      <c r="K1006" s="9"/>
      <c r="L1006" s="9"/>
      <c r="M1006" s="9"/>
      <c r="N1006" s="9"/>
      <c r="O1006" s="9"/>
      <c r="P1006" s="9"/>
      <c r="Q1006" s="9"/>
    </row>
    <row r="1007" spans="4:17" s="301" customFormat="1" ht="15" customHeight="1">
      <c r="D1007" s="10"/>
      <c r="E1007" s="10"/>
      <c r="F1007" s="9"/>
      <c r="G1007" s="9"/>
      <c r="H1007" s="9"/>
      <c r="I1007" s="9"/>
      <c r="J1007" s="9"/>
      <c r="K1007" s="9"/>
      <c r="L1007" s="9"/>
      <c r="M1007" s="9"/>
      <c r="N1007" s="9"/>
      <c r="O1007" s="9"/>
      <c r="P1007" s="9"/>
      <c r="Q1007" s="9"/>
    </row>
    <row r="1008" spans="4:17" s="301" customFormat="1" ht="15" customHeight="1">
      <c r="D1008" s="10"/>
      <c r="E1008" s="10"/>
      <c r="F1008" s="9"/>
      <c r="G1008" s="9"/>
      <c r="H1008" s="9"/>
      <c r="I1008" s="9"/>
      <c r="J1008" s="9"/>
      <c r="K1008" s="9"/>
      <c r="L1008" s="9"/>
      <c r="M1008" s="9"/>
      <c r="N1008" s="9"/>
      <c r="O1008" s="9"/>
      <c r="P1008" s="9"/>
      <c r="Q1008" s="9"/>
    </row>
    <row r="1009" spans="4:17" s="301" customFormat="1" ht="15" customHeight="1">
      <c r="D1009" s="10"/>
      <c r="E1009" s="10"/>
      <c r="F1009" s="9"/>
      <c r="G1009" s="9"/>
      <c r="H1009" s="9"/>
      <c r="I1009" s="9"/>
      <c r="J1009" s="9"/>
      <c r="K1009" s="9"/>
      <c r="L1009" s="9"/>
      <c r="M1009" s="9"/>
      <c r="N1009" s="9"/>
      <c r="O1009" s="9"/>
      <c r="P1009" s="9"/>
      <c r="Q1009" s="9"/>
    </row>
    <row r="1010" spans="4:17" s="301" customFormat="1" ht="15" customHeight="1">
      <c r="D1010" s="10"/>
      <c r="E1010" s="10"/>
      <c r="F1010" s="9"/>
      <c r="G1010" s="9"/>
      <c r="H1010" s="9"/>
      <c r="I1010" s="9"/>
      <c r="J1010" s="9"/>
      <c r="K1010" s="9"/>
      <c r="L1010" s="9"/>
      <c r="M1010" s="9"/>
      <c r="N1010" s="9"/>
      <c r="O1010" s="9"/>
      <c r="P1010" s="9"/>
      <c r="Q1010" s="9"/>
    </row>
    <row r="1011" spans="4:17" s="301" customFormat="1" ht="15" customHeight="1">
      <c r="D1011" s="10"/>
      <c r="E1011" s="10"/>
      <c r="F1011" s="9"/>
      <c r="G1011" s="9"/>
      <c r="H1011" s="9"/>
      <c r="I1011" s="9"/>
      <c r="J1011" s="9"/>
      <c r="K1011" s="9"/>
      <c r="L1011" s="9"/>
      <c r="M1011" s="9"/>
      <c r="N1011" s="9"/>
      <c r="O1011" s="9"/>
      <c r="P1011" s="9"/>
      <c r="Q1011" s="9"/>
    </row>
    <row r="1012" spans="4:17" s="301" customFormat="1" ht="15" customHeight="1">
      <c r="D1012" s="10"/>
      <c r="E1012" s="10"/>
      <c r="F1012" s="9"/>
      <c r="G1012" s="9"/>
      <c r="H1012" s="9"/>
      <c r="I1012" s="9"/>
      <c r="J1012" s="9"/>
      <c r="K1012" s="9"/>
      <c r="L1012" s="9"/>
      <c r="M1012" s="9"/>
      <c r="N1012" s="9"/>
      <c r="O1012" s="9"/>
      <c r="P1012" s="9"/>
      <c r="Q1012" s="9"/>
    </row>
    <row r="1013" spans="4:17" s="301" customFormat="1" ht="15" customHeight="1">
      <c r="D1013" s="10"/>
      <c r="E1013" s="10"/>
      <c r="F1013" s="9"/>
      <c r="G1013" s="9"/>
      <c r="H1013" s="9"/>
      <c r="I1013" s="9"/>
      <c r="J1013" s="9"/>
      <c r="K1013" s="9"/>
      <c r="L1013" s="9"/>
      <c r="M1013" s="9"/>
      <c r="N1013" s="9"/>
      <c r="O1013" s="9"/>
      <c r="P1013" s="9"/>
      <c r="Q1013" s="9"/>
    </row>
    <row r="1014" spans="4:17" s="301" customFormat="1" ht="15" customHeight="1">
      <c r="D1014" s="10"/>
      <c r="E1014" s="10"/>
      <c r="F1014" s="9"/>
      <c r="G1014" s="9"/>
      <c r="H1014" s="9"/>
      <c r="I1014" s="9"/>
      <c r="J1014" s="9"/>
      <c r="K1014" s="9"/>
      <c r="L1014" s="9"/>
      <c r="M1014" s="9"/>
      <c r="N1014" s="9"/>
      <c r="O1014" s="9"/>
      <c r="P1014" s="9"/>
      <c r="Q1014" s="9"/>
    </row>
    <row r="1015" spans="4:17" s="301" customFormat="1" ht="15" customHeight="1">
      <c r="D1015" s="10"/>
      <c r="E1015" s="10"/>
      <c r="F1015" s="9"/>
      <c r="G1015" s="9"/>
      <c r="H1015" s="9"/>
      <c r="I1015" s="9"/>
      <c r="J1015" s="9"/>
      <c r="K1015" s="9"/>
      <c r="L1015" s="9"/>
      <c r="M1015" s="9"/>
      <c r="N1015" s="9"/>
      <c r="O1015" s="9"/>
      <c r="P1015" s="9"/>
      <c r="Q1015" s="9"/>
    </row>
    <row r="1016" spans="4:17" s="301" customFormat="1" ht="15" customHeight="1">
      <c r="D1016" s="10"/>
      <c r="E1016" s="10"/>
      <c r="F1016" s="9"/>
      <c r="G1016" s="9"/>
      <c r="H1016" s="9"/>
      <c r="I1016" s="9"/>
      <c r="J1016" s="9"/>
      <c r="K1016" s="9"/>
      <c r="L1016" s="9"/>
      <c r="M1016" s="9"/>
      <c r="N1016" s="9"/>
      <c r="O1016" s="9"/>
      <c r="P1016" s="9"/>
      <c r="Q1016" s="9"/>
    </row>
    <row r="1017" spans="4:17" s="301" customFormat="1" ht="15" customHeight="1">
      <c r="D1017" s="10"/>
      <c r="E1017" s="10"/>
      <c r="F1017" s="9"/>
      <c r="G1017" s="9"/>
      <c r="H1017" s="9"/>
      <c r="I1017" s="9"/>
      <c r="J1017" s="9"/>
      <c r="K1017" s="9"/>
      <c r="L1017" s="9"/>
      <c r="M1017" s="9"/>
      <c r="N1017" s="9"/>
      <c r="O1017" s="9"/>
      <c r="P1017" s="9"/>
      <c r="Q1017" s="9"/>
    </row>
    <row r="1018" spans="4:17" s="301" customFormat="1" ht="15" customHeight="1">
      <c r="D1018" s="10"/>
      <c r="E1018" s="10"/>
      <c r="F1018" s="9"/>
      <c r="G1018" s="9"/>
      <c r="H1018" s="9"/>
      <c r="I1018" s="9"/>
      <c r="J1018" s="9"/>
      <c r="K1018" s="9"/>
      <c r="L1018" s="9"/>
      <c r="M1018" s="9"/>
      <c r="N1018" s="9"/>
      <c r="O1018" s="9"/>
      <c r="P1018" s="9"/>
      <c r="Q1018" s="9"/>
    </row>
    <row r="1019" spans="4:17" s="301" customFormat="1" ht="15" customHeight="1">
      <c r="D1019" s="10"/>
      <c r="E1019" s="10"/>
      <c r="F1019" s="9"/>
      <c r="G1019" s="9"/>
      <c r="H1019" s="9"/>
      <c r="I1019" s="9"/>
      <c r="J1019" s="9"/>
      <c r="K1019" s="9"/>
      <c r="L1019" s="9"/>
      <c r="M1019" s="9"/>
      <c r="N1019" s="9"/>
      <c r="O1019" s="9"/>
      <c r="P1019" s="9"/>
      <c r="Q1019" s="9"/>
    </row>
    <row r="1020" spans="4:17" s="301" customFormat="1" ht="15" customHeight="1">
      <c r="D1020" s="10"/>
      <c r="E1020" s="10"/>
      <c r="F1020" s="9"/>
      <c r="G1020" s="9"/>
      <c r="H1020" s="9"/>
      <c r="I1020" s="9"/>
      <c r="J1020" s="9"/>
      <c r="K1020" s="9"/>
      <c r="L1020" s="9"/>
      <c r="M1020" s="9"/>
      <c r="N1020" s="9"/>
      <c r="O1020" s="9"/>
      <c r="P1020" s="9"/>
      <c r="Q1020" s="9"/>
    </row>
    <row r="1021" spans="4:17" s="301" customFormat="1" ht="15" customHeight="1">
      <c r="D1021" s="10"/>
      <c r="E1021" s="10"/>
      <c r="F1021" s="9"/>
      <c r="G1021" s="9"/>
      <c r="H1021" s="9"/>
      <c r="I1021" s="9"/>
      <c r="J1021" s="9"/>
      <c r="K1021" s="9"/>
      <c r="L1021" s="9"/>
      <c r="M1021" s="9"/>
      <c r="N1021" s="9"/>
      <c r="O1021" s="9"/>
      <c r="P1021" s="9"/>
      <c r="Q1021" s="9"/>
    </row>
    <row r="1022" spans="4:17" s="301" customFormat="1" ht="15" customHeight="1">
      <c r="D1022" s="10"/>
      <c r="E1022" s="10"/>
      <c r="F1022" s="9"/>
      <c r="G1022" s="9"/>
      <c r="H1022" s="9"/>
      <c r="I1022" s="9"/>
      <c r="J1022" s="9"/>
      <c r="K1022" s="9"/>
      <c r="L1022" s="9"/>
      <c r="M1022" s="9"/>
      <c r="N1022" s="9"/>
      <c r="O1022" s="9"/>
      <c r="P1022" s="9"/>
      <c r="Q1022" s="9"/>
    </row>
    <row r="1023" spans="4:17" s="301" customFormat="1" ht="15" customHeight="1">
      <c r="D1023" s="10"/>
      <c r="E1023" s="10"/>
      <c r="F1023" s="9"/>
      <c r="G1023" s="9"/>
      <c r="H1023" s="9"/>
      <c r="I1023" s="9"/>
      <c r="J1023" s="9"/>
      <c r="K1023" s="9"/>
      <c r="L1023" s="9"/>
      <c r="M1023" s="9"/>
      <c r="N1023" s="9"/>
      <c r="O1023" s="9"/>
      <c r="P1023" s="9"/>
      <c r="Q1023" s="9"/>
    </row>
    <row r="1024" spans="4:17" s="301" customFormat="1" ht="15" customHeight="1">
      <c r="D1024" s="10"/>
      <c r="E1024" s="10"/>
      <c r="F1024" s="9"/>
      <c r="G1024" s="9"/>
      <c r="H1024" s="9"/>
      <c r="I1024" s="9"/>
      <c r="J1024" s="9"/>
      <c r="K1024" s="9"/>
      <c r="L1024" s="9"/>
      <c r="M1024" s="9"/>
      <c r="N1024" s="9"/>
      <c r="O1024" s="9"/>
      <c r="P1024" s="9"/>
      <c r="Q1024" s="9"/>
    </row>
    <row r="1025" spans="4:17" s="301" customFormat="1" ht="15" customHeight="1">
      <c r="D1025" s="10"/>
      <c r="E1025" s="10"/>
      <c r="F1025" s="9"/>
      <c r="G1025" s="9"/>
      <c r="H1025" s="9"/>
      <c r="I1025" s="9"/>
      <c r="J1025" s="9"/>
      <c r="K1025" s="9"/>
      <c r="L1025" s="9"/>
      <c r="M1025" s="9"/>
      <c r="N1025" s="9"/>
      <c r="O1025" s="9"/>
      <c r="P1025" s="9"/>
      <c r="Q1025" s="9"/>
    </row>
    <row r="1026" spans="4:17" s="301" customFormat="1" ht="15" customHeight="1">
      <c r="D1026" s="10"/>
      <c r="E1026" s="10"/>
      <c r="F1026" s="9"/>
      <c r="G1026" s="9"/>
      <c r="H1026" s="9"/>
      <c r="I1026" s="9"/>
      <c r="J1026" s="9"/>
      <c r="K1026" s="9"/>
      <c r="L1026" s="9"/>
      <c r="M1026" s="9"/>
      <c r="N1026" s="9"/>
      <c r="O1026" s="9"/>
      <c r="P1026" s="9"/>
      <c r="Q1026" s="9"/>
    </row>
    <row r="1027" spans="4:17" s="301" customFormat="1" ht="15" customHeight="1">
      <c r="D1027" s="10"/>
      <c r="E1027" s="10"/>
      <c r="F1027" s="9"/>
      <c r="G1027" s="9"/>
      <c r="H1027" s="9"/>
      <c r="I1027" s="9"/>
      <c r="J1027" s="9"/>
      <c r="K1027" s="9"/>
      <c r="L1027" s="9"/>
      <c r="M1027" s="9"/>
      <c r="N1027" s="9"/>
      <c r="O1027" s="9"/>
      <c r="P1027" s="9"/>
      <c r="Q1027" s="9"/>
    </row>
    <row r="1028" spans="4:17" s="301" customFormat="1" ht="15" customHeight="1">
      <c r="D1028" s="10"/>
      <c r="E1028" s="10"/>
      <c r="F1028" s="9"/>
      <c r="G1028" s="9"/>
      <c r="H1028" s="9"/>
      <c r="I1028" s="9"/>
      <c r="J1028" s="9"/>
      <c r="K1028" s="9"/>
      <c r="L1028" s="9"/>
      <c r="M1028" s="9"/>
      <c r="N1028" s="9"/>
      <c r="O1028" s="9"/>
      <c r="P1028" s="9"/>
      <c r="Q1028" s="9"/>
    </row>
    <row r="1029" spans="4:17" s="301" customFormat="1" ht="15" customHeight="1">
      <c r="D1029" s="10"/>
      <c r="E1029" s="10"/>
      <c r="F1029" s="9"/>
      <c r="G1029" s="9"/>
      <c r="H1029" s="9"/>
      <c r="I1029" s="9"/>
      <c r="J1029" s="9"/>
      <c r="K1029" s="9"/>
      <c r="L1029" s="9"/>
      <c r="M1029" s="9"/>
      <c r="N1029" s="9"/>
      <c r="O1029" s="9"/>
      <c r="P1029" s="9"/>
      <c r="Q1029" s="9"/>
    </row>
    <row r="1030" spans="4:17" s="301" customFormat="1" ht="15" customHeight="1">
      <c r="D1030" s="10"/>
      <c r="E1030" s="10"/>
      <c r="F1030" s="9"/>
      <c r="G1030" s="9"/>
      <c r="H1030" s="9"/>
      <c r="I1030" s="9"/>
      <c r="J1030" s="9"/>
      <c r="K1030" s="9"/>
      <c r="L1030" s="9"/>
      <c r="M1030" s="9"/>
      <c r="N1030" s="9"/>
      <c r="O1030" s="9"/>
      <c r="P1030" s="9"/>
      <c r="Q1030" s="9"/>
    </row>
    <row r="1031" spans="4:17" s="301" customFormat="1" ht="15" customHeight="1">
      <c r="D1031" s="10"/>
      <c r="E1031" s="10"/>
      <c r="F1031" s="9"/>
      <c r="G1031" s="9"/>
      <c r="H1031" s="9"/>
      <c r="I1031" s="9"/>
      <c r="J1031" s="9"/>
      <c r="K1031" s="9"/>
      <c r="L1031" s="9"/>
      <c r="M1031" s="9"/>
      <c r="N1031" s="9"/>
      <c r="O1031" s="9"/>
      <c r="P1031" s="9"/>
      <c r="Q1031" s="9"/>
    </row>
    <row r="1032" spans="4:17" s="301" customFormat="1" ht="15" customHeight="1">
      <c r="D1032" s="10"/>
      <c r="E1032" s="10"/>
      <c r="F1032" s="9"/>
      <c r="G1032" s="9"/>
      <c r="H1032" s="9"/>
      <c r="I1032" s="9"/>
      <c r="J1032" s="9"/>
      <c r="K1032" s="9"/>
      <c r="L1032" s="9"/>
      <c r="M1032" s="9"/>
      <c r="N1032" s="9"/>
      <c r="O1032" s="9"/>
      <c r="P1032" s="9"/>
      <c r="Q1032" s="9"/>
    </row>
    <row r="1033" spans="4:17" s="301" customFormat="1" ht="15" customHeight="1">
      <c r="D1033" s="10"/>
      <c r="E1033" s="10"/>
      <c r="F1033" s="9"/>
      <c r="G1033" s="9"/>
      <c r="H1033" s="9"/>
      <c r="I1033" s="9"/>
      <c r="J1033" s="9"/>
      <c r="K1033" s="9"/>
      <c r="L1033" s="9"/>
      <c r="M1033" s="9"/>
      <c r="N1033" s="9"/>
      <c r="O1033" s="9"/>
      <c r="P1033" s="9"/>
      <c r="Q1033" s="9"/>
    </row>
    <row r="1034" spans="4:17" s="301" customFormat="1" ht="15" customHeight="1">
      <c r="D1034" s="10"/>
      <c r="E1034" s="10"/>
      <c r="F1034" s="9"/>
      <c r="G1034" s="9"/>
      <c r="H1034" s="9"/>
      <c r="I1034" s="9"/>
      <c r="J1034" s="9"/>
      <c r="K1034" s="9"/>
      <c r="L1034" s="9"/>
      <c r="M1034" s="9"/>
      <c r="N1034" s="9"/>
      <c r="O1034" s="9"/>
      <c r="P1034" s="9"/>
      <c r="Q1034" s="9"/>
    </row>
    <row r="1035" spans="4:17" s="301" customFormat="1" ht="15" customHeight="1">
      <c r="D1035" s="10"/>
      <c r="E1035" s="10"/>
      <c r="F1035" s="9"/>
      <c r="G1035" s="9"/>
      <c r="H1035" s="9"/>
      <c r="I1035" s="9"/>
      <c r="J1035" s="9"/>
      <c r="K1035" s="9"/>
      <c r="L1035" s="9"/>
      <c r="M1035" s="9"/>
      <c r="N1035" s="9"/>
      <c r="O1035" s="9"/>
      <c r="P1035" s="9"/>
      <c r="Q1035" s="9"/>
    </row>
    <row r="1036" spans="4:17" s="301" customFormat="1" ht="15" customHeight="1">
      <c r="D1036" s="10"/>
      <c r="E1036" s="10"/>
      <c r="F1036" s="9"/>
      <c r="G1036" s="9"/>
      <c r="H1036" s="9"/>
      <c r="I1036" s="9"/>
      <c r="J1036" s="9"/>
      <c r="K1036" s="9"/>
      <c r="L1036" s="9"/>
      <c r="M1036" s="9"/>
      <c r="N1036" s="9"/>
      <c r="O1036" s="9"/>
      <c r="P1036" s="9"/>
      <c r="Q1036" s="9"/>
    </row>
    <row r="1037" spans="4:17" s="301" customFormat="1" ht="15" customHeight="1">
      <c r="D1037" s="10"/>
      <c r="E1037" s="10"/>
      <c r="F1037" s="9"/>
      <c r="G1037" s="9"/>
      <c r="H1037" s="9"/>
      <c r="I1037" s="9"/>
      <c r="J1037" s="9"/>
      <c r="K1037" s="9"/>
      <c r="L1037" s="9"/>
      <c r="M1037" s="9"/>
      <c r="N1037" s="9"/>
      <c r="O1037" s="9"/>
      <c r="P1037" s="9"/>
      <c r="Q1037" s="9"/>
    </row>
    <row r="1038" spans="4:17" s="301" customFormat="1" ht="15" customHeight="1">
      <c r="D1038" s="10"/>
      <c r="E1038" s="10"/>
      <c r="F1038" s="9"/>
      <c r="G1038" s="9"/>
      <c r="H1038" s="9"/>
      <c r="I1038" s="9"/>
      <c r="J1038" s="9"/>
      <c r="K1038" s="9"/>
      <c r="L1038" s="9"/>
      <c r="M1038" s="9"/>
      <c r="N1038" s="9"/>
      <c r="O1038" s="9"/>
      <c r="P1038" s="9"/>
      <c r="Q1038" s="9"/>
    </row>
    <row r="1039" spans="4:17" s="301" customFormat="1" ht="15" customHeight="1">
      <c r="D1039" s="10"/>
      <c r="E1039" s="10"/>
      <c r="F1039" s="9"/>
      <c r="G1039" s="9"/>
      <c r="H1039" s="9"/>
      <c r="I1039" s="9"/>
      <c r="J1039" s="9"/>
      <c r="K1039" s="9"/>
      <c r="L1039" s="9"/>
      <c r="M1039" s="9"/>
      <c r="N1039" s="9"/>
      <c r="O1039" s="9"/>
      <c r="P1039" s="9"/>
      <c r="Q1039" s="9"/>
    </row>
    <row r="1040" spans="4:17" s="301" customFormat="1" ht="15" customHeight="1">
      <c r="D1040" s="10"/>
      <c r="E1040" s="10"/>
      <c r="F1040" s="9"/>
      <c r="G1040" s="9"/>
      <c r="H1040" s="9"/>
      <c r="I1040" s="9"/>
      <c r="J1040" s="9"/>
      <c r="K1040" s="9"/>
      <c r="L1040" s="9"/>
      <c r="M1040" s="9"/>
      <c r="N1040" s="9"/>
      <c r="O1040" s="9"/>
      <c r="P1040" s="9"/>
      <c r="Q1040" s="9"/>
    </row>
    <row r="1041" spans="4:17" s="301" customFormat="1" ht="15" customHeight="1">
      <c r="D1041" s="10"/>
      <c r="E1041" s="10"/>
      <c r="F1041" s="9"/>
      <c r="G1041" s="9"/>
      <c r="H1041" s="9"/>
      <c r="I1041" s="9"/>
      <c r="J1041" s="9"/>
      <c r="K1041" s="9"/>
      <c r="L1041" s="9"/>
      <c r="M1041" s="9"/>
      <c r="N1041" s="9"/>
      <c r="O1041" s="9"/>
      <c r="P1041" s="9"/>
      <c r="Q1041" s="9"/>
    </row>
    <row r="1042" spans="4:17" s="301" customFormat="1" ht="15" customHeight="1">
      <c r="D1042" s="10"/>
      <c r="E1042" s="10"/>
      <c r="F1042" s="9"/>
      <c r="G1042" s="9"/>
      <c r="H1042" s="9"/>
      <c r="I1042" s="9"/>
      <c r="J1042" s="9"/>
      <c r="K1042" s="9"/>
      <c r="L1042" s="9"/>
      <c r="M1042" s="9"/>
      <c r="N1042" s="9"/>
      <c r="O1042" s="9"/>
      <c r="P1042" s="9"/>
      <c r="Q1042" s="9"/>
    </row>
    <row r="1043" spans="4:17" s="301" customFormat="1" ht="15" customHeight="1">
      <c r="D1043" s="10"/>
      <c r="E1043" s="10"/>
      <c r="F1043" s="9"/>
      <c r="G1043" s="9"/>
      <c r="H1043" s="9"/>
      <c r="I1043" s="9"/>
      <c r="J1043" s="9"/>
      <c r="K1043" s="9"/>
      <c r="L1043" s="9"/>
      <c r="M1043" s="9"/>
      <c r="N1043" s="9"/>
      <c r="O1043" s="9"/>
      <c r="P1043" s="9"/>
      <c r="Q1043" s="9"/>
    </row>
    <row r="1044" spans="4:17" s="301" customFormat="1" ht="15" customHeight="1">
      <c r="D1044" s="10"/>
      <c r="E1044" s="10"/>
      <c r="F1044" s="9"/>
      <c r="G1044" s="9"/>
      <c r="H1044" s="9"/>
      <c r="I1044" s="9"/>
      <c r="J1044" s="9"/>
      <c r="K1044" s="9"/>
      <c r="L1044" s="9"/>
      <c r="M1044" s="9"/>
      <c r="N1044" s="9"/>
      <c r="O1044" s="9"/>
      <c r="P1044" s="9"/>
      <c r="Q1044" s="9"/>
    </row>
    <row r="1045" spans="4:17" s="301" customFormat="1" ht="15" customHeight="1">
      <c r="D1045" s="10"/>
      <c r="E1045" s="10"/>
      <c r="F1045" s="9"/>
      <c r="G1045" s="9"/>
      <c r="H1045" s="9"/>
      <c r="I1045" s="9"/>
      <c r="J1045" s="9"/>
      <c r="K1045" s="9"/>
      <c r="L1045" s="9"/>
      <c r="M1045" s="9"/>
      <c r="N1045" s="9"/>
      <c r="O1045" s="9"/>
      <c r="P1045" s="9"/>
      <c r="Q1045" s="9"/>
    </row>
    <row r="1046" spans="4:17" s="301" customFormat="1" ht="15" customHeight="1">
      <c r="D1046" s="10"/>
      <c r="E1046" s="10"/>
      <c r="F1046" s="9"/>
      <c r="G1046" s="9"/>
      <c r="H1046" s="9"/>
      <c r="I1046" s="9"/>
      <c r="J1046" s="9"/>
      <c r="K1046" s="9"/>
      <c r="L1046" s="9"/>
      <c r="M1046" s="9"/>
      <c r="N1046" s="9"/>
      <c r="O1046" s="9"/>
      <c r="P1046" s="9"/>
      <c r="Q1046" s="9"/>
    </row>
    <row r="1047" spans="4:17" s="301" customFormat="1" ht="15" customHeight="1">
      <c r="D1047" s="10"/>
      <c r="E1047" s="10"/>
      <c r="F1047" s="9"/>
      <c r="G1047" s="9"/>
      <c r="H1047" s="9"/>
      <c r="I1047" s="9"/>
      <c r="J1047" s="9"/>
      <c r="K1047" s="9"/>
      <c r="L1047" s="9"/>
      <c r="M1047" s="9"/>
      <c r="N1047" s="9"/>
      <c r="O1047" s="9"/>
      <c r="P1047" s="9"/>
      <c r="Q1047" s="9"/>
    </row>
    <row r="1048" spans="4:17" s="301" customFormat="1" ht="15" customHeight="1">
      <c r="D1048" s="10"/>
      <c r="E1048" s="10"/>
      <c r="F1048" s="9"/>
      <c r="G1048" s="9"/>
      <c r="H1048" s="9"/>
      <c r="I1048" s="9"/>
      <c r="J1048" s="9"/>
      <c r="K1048" s="9"/>
      <c r="L1048" s="9"/>
      <c r="M1048" s="9"/>
      <c r="N1048" s="9"/>
      <c r="O1048" s="9"/>
      <c r="P1048" s="9"/>
      <c r="Q1048" s="9"/>
    </row>
    <row r="1049" spans="4:17" s="301" customFormat="1" ht="15" customHeight="1">
      <c r="D1049" s="10"/>
      <c r="E1049" s="10"/>
      <c r="F1049" s="9"/>
      <c r="G1049" s="9"/>
      <c r="H1049" s="9"/>
      <c r="I1049" s="9"/>
      <c r="J1049" s="9"/>
      <c r="K1049" s="9"/>
      <c r="L1049" s="9"/>
      <c r="M1049" s="9"/>
      <c r="N1049" s="9"/>
      <c r="O1049" s="9"/>
      <c r="P1049" s="9"/>
      <c r="Q1049" s="9"/>
    </row>
    <row r="1050" spans="4:17" s="301" customFormat="1" ht="15" customHeight="1">
      <c r="D1050" s="10"/>
      <c r="E1050" s="10"/>
      <c r="F1050" s="9"/>
      <c r="G1050" s="9"/>
      <c r="H1050" s="9"/>
      <c r="I1050" s="9"/>
      <c r="J1050" s="9"/>
      <c r="K1050" s="9"/>
      <c r="L1050" s="9"/>
      <c r="M1050" s="9"/>
      <c r="N1050" s="9"/>
      <c r="O1050" s="9"/>
      <c r="P1050" s="9"/>
      <c r="Q1050" s="9"/>
    </row>
    <row r="1051" spans="4:17" s="301" customFormat="1" ht="15" customHeight="1">
      <c r="D1051" s="10"/>
      <c r="E1051" s="10"/>
      <c r="F1051" s="9"/>
      <c r="G1051" s="9"/>
      <c r="H1051" s="9"/>
      <c r="I1051" s="9"/>
      <c r="J1051" s="9"/>
      <c r="K1051" s="9"/>
      <c r="L1051" s="9"/>
      <c r="M1051" s="9"/>
      <c r="N1051" s="9"/>
      <c r="O1051" s="9"/>
      <c r="P1051" s="9"/>
      <c r="Q1051" s="9"/>
    </row>
    <row r="1052" spans="4:17" s="301" customFormat="1" ht="15" customHeight="1">
      <c r="D1052" s="10"/>
      <c r="E1052" s="10"/>
      <c r="F1052" s="9"/>
      <c r="G1052" s="9"/>
      <c r="H1052" s="9"/>
      <c r="I1052" s="9"/>
      <c r="J1052" s="9"/>
      <c r="K1052" s="9"/>
      <c r="L1052" s="9"/>
      <c r="M1052" s="9"/>
      <c r="N1052" s="9"/>
      <c r="O1052" s="9"/>
      <c r="P1052" s="9"/>
      <c r="Q1052" s="9"/>
    </row>
    <row r="1053" spans="4:17" s="301" customFormat="1" ht="15" customHeight="1">
      <c r="D1053" s="10"/>
      <c r="E1053" s="10"/>
      <c r="F1053" s="9"/>
      <c r="G1053" s="9"/>
      <c r="H1053" s="9"/>
      <c r="I1053" s="9"/>
      <c r="J1053" s="9"/>
      <c r="K1053" s="9"/>
      <c r="L1053" s="9"/>
      <c r="M1053" s="9"/>
      <c r="N1053" s="9"/>
      <c r="O1053" s="9"/>
      <c r="P1053" s="9"/>
      <c r="Q1053" s="9"/>
    </row>
    <row r="1054" spans="4:17" s="301" customFormat="1" ht="15" customHeight="1">
      <c r="D1054" s="10"/>
      <c r="E1054" s="10"/>
      <c r="F1054" s="9"/>
      <c r="G1054" s="9"/>
      <c r="H1054" s="9"/>
      <c r="I1054" s="9"/>
      <c r="J1054" s="9"/>
      <c r="K1054" s="9"/>
      <c r="L1054" s="9"/>
      <c r="M1054" s="9"/>
      <c r="N1054" s="9"/>
      <c r="O1054" s="9"/>
      <c r="P1054" s="9"/>
      <c r="Q1054" s="9"/>
    </row>
    <row r="1055" spans="4:17" s="301" customFormat="1" ht="15" customHeight="1">
      <c r="D1055" s="10"/>
      <c r="E1055" s="10"/>
      <c r="F1055" s="9"/>
      <c r="G1055" s="9"/>
      <c r="H1055" s="9"/>
      <c r="I1055" s="9"/>
      <c r="J1055" s="9"/>
      <c r="K1055" s="9"/>
      <c r="L1055" s="9"/>
      <c r="M1055" s="9"/>
      <c r="N1055" s="9"/>
      <c r="O1055" s="9"/>
      <c r="P1055" s="9"/>
      <c r="Q1055" s="9"/>
    </row>
    <row r="1056" spans="4:17" s="301" customFormat="1" ht="15" customHeight="1">
      <c r="D1056" s="10"/>
      <c r="E1056" s="10"/>
      <c r="F1056" s="9"/>
      <c r="G1056" s="9"/>
      <c r="H1056" s="9"/>
      <c r="I1056" s="9"/>
      <c r="J1056" s="9"/>
      <c r="K1056" s="9"/>
      <c r="L1056" s="9"/>
      <c r="M1056" s="9"/>
      <c r="N1056" s="9"/>
      <c r="O1056" s="9"/>
      <c r="P1056" s="9"/>
      <c r="Q1056" s="9"/>
    </row>
    <row r="1057" spans="4:17" s="301" customFormat="1" ht="15" customHeight="1">
      <c r="D1057" s="10"/>
      <c r="E1057" s="10"/>
      <c r="F1057" s="9"/>
      <c r="G1057" s="9"/>
      <c r="H1057" s="9"/>
      <c r="I1057" s="9"/>
      <c r="J1057" s="9"/>
      <c r="K1057" s="9"/>
      <c r="L1057" s="9"/>
      <c r="M1057" s="9"/>
      <c r="N1057" s="9"/>
      <c r="O1057" s="9"/>
      <c r="P1057" s="9"/>
      <c r="Q1057" s="9"/>
    </row>
    <row r="1058" spans="4:17" s="301" customFormat="1" ht="15" customHeight="1">
      <c r="D1058" s="10"/>
      <c r="E1058" s="10"/>
      <c r="F1058" s="9"/>
      <c r="G1058" s="9"/>
      <c r="H1058" s="9"/>
      <c r="I1058" s="9"/>
      <c r="J1058" s="9"/>
      <c r="K1058" s="9"/>
      <c r="L1058" s="9"/>
      <c r="M1058" s="9"/>
      <c r="N1058" s="9"/>
      <c r="O1058" s="9"/>
      <c r="P1058" s="9"/>
      <c r="Q1058" s="9"/>
    </row>
    <row r="1059" spans="4:17" s="301" customFormat="1" ht="15" customHeight="1">
      <c r="D1059" s="10"/>
      <c r="E1059" s="10"/>
      <c r="F1059" s="9"/>
      <c r="G1059" s="9"/>
      <c r="H1059" s="9"/>
      <c r="I1059" s="9"/>
      <c r="J1059" s="9"/>
      <c r="K1059" s="9"/>
      <c r="L1059" s="9"/>
      <c r="M1059" s="9"/>
      <c r="N1059" s="9"/>
      <c r="O1059" s="9"/>
      <c r="P1059" s="9"/>
      <c r="Q1059" s="9"/>
    </row>
    <row r="1060" spans="4:17" s="301" customFormat="1" ht="15" customHeight="1">
      <c r="D1060" s="10"/>
      <c r="E1060" s="10"/>
      <c r="F1060" s="9"/>
      <c r="G1060" s="9"/>
      <c r="H1060" s="9"/>
      <c r="I1060" s="9"/>
      <c r="J1060" s="9"/>
      <c r="K1060" s="9"/>
      <c r="L1060" s="9"/>
      <c r="M1060" s="9"/>
      <c r="N1060" s="9"/>
      <c r="O1060" s="9"/>
      <c r="P1060" s="9"/>
      <c r="Q1060" s="9"/>
    </row>
    <row r="1061" spans="4:17" s="301" customFormat="1" ht="15" customHeight="1">
      <c r="D1061" s="10"/>
      <c r="E1061" s="10"/>
      <c r="F1061" s="9"/>
      <c r="G1061" s="9"/>
      <c r="H1061" s="9"/>
      <c r="I1061" s="9"/>
      <c r="J1061" s="9"/>
      <c r="K1061" s="9"/>
      <c r="L1061" s="9"/>
      <c r="M1061" s="9"/>
      <c r="N1061" s="9"/>
      <c r="O1061" s="9"/>
      <c r="P1061" s="9"/>
      <c r="Q1061" s="9"/>
    </row>
    <row r="1062" spans="4:17" s="301" customFormat="1" ht="15" customHeight="1">
      <c r="D1062" s="10"/>
      <c r="E1062" s="10"/>
      <c r="F1062" s="9"/>
      <c r="G1062" s="9"/>
      <c r="H1062" s="9"/>
      <c r="I1062" s="9"/>
      <c r="J1062" s="9"/>
      <c r="K1062" s="9"/>
      <c r="L1062" s="9"/>
      <c r="M1062" s="9"/>
      <c r="N1062" s="9"/>
      <c r="O1062" s="9"/>
      <c r="P1062" s="9"/>
      <c r="Q1062" s="9"/>
    </row>
    <row r="1063" spans="4:17" s="301" customFormat="1" ht="15" customHeight="1">
      <c r="D1063" s="10"/>
      <c r="E1063" s="10"/>
      <c r="F1063" s="9"/>
      <c r="G1063" s="9"/>
      <c r="H1063" s="9"/>
      <c r="I1063" s="9"/>
      <c r="J1063" s="9"/>
      <c r="K1063" s="9"/>
      <c r="L1063" s="9"/>
      <c r="M1063" s="9"/>
      <c r="N1063" s="9"/>
      <c r="O1063" s="9"/>
      <c r="P1063" s="9"/>
      <c r="Q1063" s="9"/>
    </row>
    <row r="1064" spans="4:17" s="301" customFormat="1" ht="15" customHeight="1">
      <c r="D1064" s="10"/>
      <c r="E1064" s="10"/>
      <c r="F1064" s="9"/>
      <c r="G1064" s="9"/>
      <c r="H1064" s="9"/>
      <c r="I1064" s="9"/>
      <c r="J1064" s="9"/>
      <c r="K1064" s="9"/>
      <c r="L1064" s="9"/>
      <c r="M1064" s="9"/>
      <c r="N1064" s="9"/>
      <c r="O1064" s="9"/>
      <c r="P1064" s="9"/>
      <c r="Q1064" s="9"/>
    </row>
    <row r="1065" spans="4:17" s="301" customFormat="1" ht="15" customHeight="1">
      <c r="D1065" s="10"/>
      <c r="E1065" s="10"/>
      <c r="F1065" s="9"/>
      <c r="G1065" s="9"/>
      <c r="H1065" s="9"/>
      <c r="I1065" s="9"/>
      <c r="J1065" s="9"/>
      <c r="K1065" s="9"/>
      <c r="L1065" s="9"/>
      <c r="M1065" s="9"/>
      <c r="N1065" s="9"/>
      <c r="O1065" s="9"/>
      <c r="P1065" s="9"/>
      <c r="Q1065" s="9"/>
    </row>
    <row r="1066" spans="4:17" s="301" customFormat="1" ht="15" customHeight="1">
      <c r="D1066" s="10"/>
      <c r="E1066" s="10"/>
      <c r="F1066" s="9"/>
      <c r="G1066" s="9"/>
      <c r="H1066" s="9"/>
      <c r="I1066" s="9"/>
      <c r="J1066" s="9"/>
      <c r="K1066" s="9"/>
      <c r="L1066" s="9"/>
      <c r="M1066" s="9"/>
      <c r="N1066" s="9"/>
      <c r="O1066" s="9"/>
      <c r="P1066" s="9"/>
      <c r="Q1066" s="9"/>
    </row>
    <row r="1067" spans="4:17" s="301" customFormat="1" ht="15" customHeight="1">
      <c r="D1067" s="10"/>
      <c r="E1067" s="10"/>
      <c r="F1067" s="9"/>
      <c r="G1067" s="9"/>
      <c r="H1067" s="9"/>
      <c r="I1067" s="9"/>
      <c r="J1067" s="9"/>
      <c r="K1067" s="9"/>
      <c r="L1067" s="9"/>
      <c r="M1067" s="9"/>
      <c r="N1067" s="9"/>
      <c r="O1067" s="9"/>
      <c r="P1067" s="9"/>
      <c r="Q1067" s="9"/>
    </row>
    <row r="1068" spans="4:17" s="301" customFormat="1" ht="15" customHeight="1">
      <c r="D1068" s="10"/>
      <c r="E1068" s="10"/>
      <c r="F1068" s="9"/>
      <c r="G1068" s="9"/>
      <c r="H1068" s="9"/>
      <c r="I1068" s="9"/>
      <c r="J1068" s="9"/>
      <c r="K1068" s="9"/>
      <c r="L1068" s="9"/>
      <c r="M1068" s="9"/>
      <c r="N1068" s="9"/>
      <c r="O1068" s="9"/>
      <c r="P1068" s="9"/>
      <c r="Q1068" s="9"/>
    </row>
    <row r="1069" spans="4:17" s="301" customFormat="1" ht="15" customHeight="1">
      <c r="D1069" s="10"/>
      <c r="E1069" s="10"/>
      <c r="F1069" s="9"/>
      <c r="G1069" s="9"/>
      <c r="H1069" s="9"/>
      <c r="I1069" s="9"/>
      <c r="J1069" s="9"/>
      <c r="K1069" s="9"/>
      <c r="L1069" s="9"/>
      <c r="M1069" s="9"/>
      <c r="N1069" s="9"/>
      <c r="O1069" s="9"/>
      <c r="P1069" s="9"/>
      <c r="Q1069" s="9"/>
    </row>
    <row r="1070" spans="4:17" s="301" customFormat="1" ht="15" customHeight="1">
      <c r="D1070" s="10"/>
      <c r="E1070" s="10"/>
      <c r="F1070" s="9"/>
      <c r="G1070" s="9"/>
      <c r="H1070" s="9"/>
      <c r="I1070" s="9"/>
      <c r="J1070" s="9"/>
      <c r="K1070" s="9"/>
      <c r="L1070" s="9"/>
      <c r="M1070" s="9"/>
      <c r="N1070" s="9"/>
      <c r="O1070" s="9"/>
      <c r="P1070" s="9"/>
      <c r="Q1070" s="9"/>
    </row>
    <row r="1071" spans="4:17" s="301" customFormat="1" ht="15" customHeight="1">
      <c r="D1071" s="10"/>
      <c r="E1071" s="10"/>
      <c r="F1071" s="9"/>
      <c r="G1071" s="9"/>
      <c r="H1071" s="9"/>
      <c r="I1071" s="9"/>
      <c r="J1071" s="9"/>
      <c r="K1071" s="9"/>
      <c r="L1071" s="9"/>
      <c r="M1071" s="9"/>
      <c r="N1071" s="9"/>
      <c r="O1071" s="9"/>
      <c r="P1071" s="9"/>
      <c r="Q1071" s="9"/>
    </row>
    <row r="1072" spans="4:17" s="301" customFormat="1" ht="15" customHeight="1">
      <c r="D1072" s="10"/>
      <c r="E1072" s="10"/>
      <c r="F1072" s="9"/>
      <c r="G1072" s="9"/>
      <c r="H1072" s="9"/>
      <c r="I1072" s="9"/>
      <c r="J1072" s="9"/>
      <c r="K1072" s="9"/>
      <c r="L1072" s="9"/>
      <c r="M1072" s="9"/>
      <c r="N1072" s="9"/>
      <c r="O1072" s="9"/>
      <c r="P1072" s="9"/>
      <c r="Q1072" s="9"/>
    </row>
    <row r="1073" spans="4:17" s="301" customFormat="1" ht="15" customHeight="1">
      <c r="D1073" s="10"/>
      <c r="E1073" s="10"/>
      <c r="F1073" s="9"/>
      <c r="G1073" s="9"/>
      <c r="H1073" s="9"/>
      <c r="I1073" s="9"/>
      <c r="J1073" s="9"/>
      <c r="K1073" s="9"/>
      <c r="L1073" s="9"/>
      <c r="M1073" s="9"/>
      <c r="N1073" s="9"/>
      <c r="O1073" s="9"/>
      <c r="P1073" s="9"/>
      <c r="Q1073" s="9"/>
    </row>
    <row r="1074" spans="4:17" s="301" customFormat="1" ht="15" customHeight="1">
      <c r="D1074" s="10"/>
      <c r="E1074" s="10"/>
      <c r="F1074" s="9"/>
      <c r="G1074" s="9"/>
      <c r="H1074" s="9"/>
      <c r="I1074" s="9"/>
      <c r="J1074" s="9"/>
      <c r="K1074" s="9"/>
      <c r="L1074" s="9"/>
      <c r="M1074" s="9"/>
      <c r="N1074" s="9"/>
      <c r="O1074" s="9"/>
      <c r="P1074" s="9"/>
      <c r="Q1074" s="9"/>
    </row>
    <row r="1075" spans="4:17" s="301" customFormat="1" ht="15" customHeight="1">
      <c r="D1075" s="10"/>
      <c r="E1075" s="10"/>
      <c r="F1075" s="9"/>
      <c r="G1075" s="9"/>
      <c r="H1075" s="9"/>
      <c r="I1075" s="9"/>
      <c r="J1075" s="9"/>
      <c r="K1075" s="9"/>
      <c r="L1075" s="9"/>
      <c r="M1075" s="9"/>
      <c r="N1075" s="9"/>
      <c r="O1075" s="9"/>
      <c r="P1075" s="9"/>
      <c r="Q1075" s="9"/>
    </row>
    <row r="1076" spans="4:17" s="301" customFormat="1" ht="15" customHeight="1">
      <c r="D1076" s="10"/>
      <c r="E1076" s="10"/>
      <c r="F1076" s="9"/>
      <c r="G1076" s="9"/>
      <c r="H1076" s="9"/>
      <c r="I1076" s="9"/>
      <c r="J1076" s="9"/>
      <c r="K1076" s="9"/>
      <c r="L1076" s="9"/>
      <c r="M1076" s="9"/>
      <c r="N1076" s="9"/>
      <c r="O1076" s="9"/>
      <c r="P1076" s="9"/>
      <c r="Q1076" s="9"/>
    </row>
    <row r="1077" spans="4:17" s="301" customFormat="1" ht="15" customHeight="1">
      <c r="D1077" s="10"/>
      <c r="E1077" s="10"/>
      <c r="F1077" s="9"/>
      <c r="G1077" s="9"/>
      <c r="H1077" s="9"/>
      <c r="I1077" s="9"/>
      <c r="J1077" s="9"/>
      <c r="K1077" s="9"/>
      <c r="L1077" s="9"/>
      <c r="M1077" s="9"/>
      <c r="N1077" s="9"/>
      <c r="O1077" s="9"/>
      <c r="P1077" s="9"/>
      <c r="Q1077" s="9"/>
    </row>
    <row r="1078" spans="4:17" s="301" customFormat="1" ht="15" customHeight="1">
      <c r="D1078" s="10"/>
      <c r="E1078" s="10"/>
      <c r="F1078" s="9"/>
      <c r="G1078" s="9"/>
      <c r="H1078" s="9"/>
      <c r="I1078" s="9"/>
      <c r="J1078" s="9"/>
      <c r="K1078" s="9"/>
      <c r="L1078" s="9"/>
      <c r="M1078" s="9"/>
      <c r="N1078" s="9"/>
      <c r="O1078" s="9"/>
      <c r="P1078" s="9"/>
      <c r="Q1078" s="9"/>
    </row>
    <row r="1079" spans="4:17" s="301" customFormat="1" ht="15" customHeight="1">
      <c r="D1079" s="10"/>
      <c r="E1079" s="10"/>
      <c r="F1079" s="9"/>
      <c r="G1079" s="9"/>
      <c r="H1079" s="9"/>
      <c r="I1079" s="9"/>
      <c r="J1079" s="9"/>
      <c r="K1079" s="9"/>
      <c r="L1079" s="9"/>
      <c r="M1079" s="9"/>
      <c r="N1079" s="9"/>
      <c r="O1079" s="9"/>
      <c r="P1079" s="9"/>
      <c r="Q1079" s="9"/>
    </row>
    <row r="1080" spans="4:17" s="301" customFormat="1" ht="15" customHeight="1">
      <c r="D1080" s="10"/>
      <c r="E1080" s="10"/>
      <c r="F1080" s="9"/>
      <c r="G1080" s="9"/>
      <c r="H1080" s="9"/>
      <c r="I1080" s="9"/>
      <c r="J1080" s="9"/>
      <c r="K1080" s="9"/>
      <c r="L1080" s="9"/>
      <c r="M1080" s="9"/>
      <c r="N1080" s="9"/>
      <c r="O1080" s="9"/>
      <c r="P1080" s="9"/>
      <c r="Q1080" s="9"/>
    </row>
    <row r="1081" spans="4:17" s="301" customFormat="1" ht="15" customHeight="1">
      <c r="D1081" s="10"/>
      <c r="E1081" s="10"/>
      <c r="F1081" s="9"/>
      <c r="G1081" s="9"/>
      <c r="H1081" s="9"/>
      <c r="I1081" s="9"/>
      <c r="J1081" s="9"/>
      <c r="K1081" s="9"/>
      <c r="L1081" s="9"/>
      <c r="M1081" s="9"/>
      <c r="N1081" s="9"/>
      <c r="O1081" s="9"/>
      <c r="P1081" s="9"/>
      <c r="Q1081" s="9"/>
    </row>
    <row r="1082" spans="4:17" s="301" customFormat="1" ht="15" customHeight="1">
      <c r="D1082" s="10"/>
      <c r="E1082" s="10"/>
      <c r="F1082" s="9"/>
      <c r="G1082" s="9"/>
      <c r="H1082" s="9"/>
      <c r="I1082" s="9"/>
      <c r="J1082" s="9"/>
      <c r="K1082" s="9"/>
      <c r="L1082" s="9"/>
      <c r="M1082" s="9"/>
      <c r="N1082" s="9"/>
      <c r="O1082" s="9"/>
      <c r="P1082" s="9"/>
      <c r="Q1082" s="9"/>
    </row>
    <row r="1083" spans="4:17" s="301" customFormat="1" ht="15" customHeight="1">
      <c r="D1083" s="10"/>
      <c r="E1083" s="10"/>
      <c r="F1083" s="9"/>
      <c r="G1083" s="9"/>
      <c r="H1083" s="9"/>
      <c r="I1083" s="9"/>
      <c r="J1083" s="9"/>
      <c r="K1083" s="9"/>
      <c r="L1083" s="9"/>
      <c r="M1083" s="9"/>
      <c r="N1083" s="9"/>
      <c r="O1083" s="9"/>
      <c r="P1083" s="9"/>
      <c r="Q1083" s="9"/>
    </row>
    <row r="1084" spans="4:17" s="301" customFormat="1" ht="15" customHeight="1">
      <c r="D1084" s="10"/>
      <c r="E1084" s="10"/>
      <c r="F1084" s="9"/>
      <c r="G1084" s="9"/>
      <c r="H1084" s="9"/>
      <c r="I1084" s="9"/>
      <c r="J1084" s="9"/>
      <c r="K1084" s="9"/>
      <c r="L1084" s="9"/>
      <c r="M1084" s="9"/>
      <c r="N1084" s="9"/>
      <c r="O1084" s="9"/>
      <c r="P1084" s="9"/>
      <c r="Q1084" s="9"/>
    </row>
    <row r="1085" spans="4:17" s="301" customFormat="1" ht="15" customHeight="1">
      <c r="D1085" s="10"/>
      <c r="E1085" s="10"/>
      <c r="F1085" s="9"/>
      <c r="G1085" s="9"/>
      <c r="H1085" s="9"/>
      <c r="I1085" s="9"/>
      <c r="J1085" s="9"/>
      <c r="K1085" s="9"/>
      <c r="L1085" s="9"/>
      <c r="M1085" s="9"/>
      <c r="N1085" s="9"/>
      <c r="O1085" s="9"/>
      <c r="P1085" s="9"/>
      <c r="Q1085" s="9"/>
    </row>
    <row r="1086" spans="4:17" s="301" customFormat="1" ht="15" customHeight="1">
      <c r="D1086" s="10"/>
      <c r="E1086" s="10"/>
      <c r="F1086" s="9"/>
      <c r="G1086" s="9"/>
      <c r="H1086" s="9"/>
      <c r="I1086" s="9"/>
      <c r="J1086" s="9"/>
      <c r="K1086" s="9"/>
      <c r="L1086" s="9"/>
      <c r="M1086" s="9"/>
      <c r="N1086" s="9"/>
      <c r="O1086" s="9"/>
      <c r="P1086" s="9"/>
      <c r="Q1086" s="9"/>
    </row>
    <row r="1087" spans="4:17" s="301" customFormat="1" ht="15" customHeight="1">
      <c r="D1087" s="10"/>
      <c r="E1087" s="10"/>
      <c r="F1087" s="9"/>
      <c r="G1087" s="9"/>
      <c r="H1087" s="9"/>
      <c r="I1087" s="9"/>
      <c r="J1087" s="9"/>
      <c r="K1087" s="9"/>
      <c r="L1087" s="9"/>
      <c r="M1087" s="9"/>
      <c r="N1087" s="9"/>
      <c r="O1087" s="9"/>
      <c r="P1087" s="9"/>
      <c r="Q1087" s="9"/>
    </row>
    <row r="1088" spans="4:17" s="301" customFormat="1" ht="15" customHeight="1">
      <c r="D1088" s="10"/>
      <c r="E1088" s="10"/>
      <c r="F1088" s="9"/>
      <c r="G1088" s="9"/>
      <c r="H1088" s="9"/>
      <c r="I1088" s="9"/>
      <c r="J1088" s="9"/>
      <c r="K1088" s="9"/>
      <c r="L1088" s="9"/>
      <c r="M1088" s="9"/>
      <c r="N1088" s="9"/>
      <c r="O1088" s="9"/>
      <c r="P1088" s="9"/>
      <c r="Q1088" s="9"/>
    </row>
    <row r="1089" spans="4:17" s="301" customFormat="1" ht="15" customHeight="1">
      <c r="D1089" s="10"/>
      <c r="E1089" s="10"/>
      <c r="F1089" s="9"/>
      <c r="G1089" s="9"/>
      <c r="H1089" s="9"/>
      <c r="I1089" s="9"/>
      <c r="J1089" s="9"/>
      <c r="K1089" s="9"/>
      <c r="L1089" s="9"/>
      <c r="M1089" s="9"/>
      <c r="N1089" s="9"/>
      <c r="O1089" s="9"/>
      <c r="P1089" s="9"/>
      <c r="Q1089" s="9"/>
    </row>
    <row r="1090" spans="4:17" s="301" customFormat="1" ht="15" customHeight="1">
      <c r="D1090" s="10"/>
      <c r="E1090" s="10"/>
      <c r="F1090" s="9"/>
      <c r="G1090" s="9"/>
      <c r="H1090" s="9"/>
      <c r="I1090" s="9"/>
      <c r="J1090" s="9"/>
      <c r="K1090" s="9"/>
      <c r="L1090" s="9"/>
      <c r="M1090" s="9"/>
      <c r="N1090" s="9"/>
      <c r="O1090" s="9"/>
      <c r="P1090" s="9"/>
      <c r="Q1090" s="9"/>
    </row>
    <row r="1091" spans="4:17" s="301" customFormat="1" ht="15" customHeight="1">
      <c r="D1091" s="10"/>
      <c r="E1091" s="10"/>
      <c r="F1091" s="9"/>
      <c r="G1091" s="9"/>
      <c r="H1091" s="9"/>
      <c r="I1091" s="9"/>
      <c r="J1091" s="9"/>
      <c r="K1091" s="9"/>
      <c r="L1091" s="9"/>
      <c r="M1091" s="9"/>
      <c r="N1091" s="9"/>
      <c r="O1091" s="9"/>
      <c r="P1091" s="9"/>
      <c r="Q1091" s="9"/>
    </row>
    <row r="1092" spans="4:17" s="301" customFormat="1" ht="15" customHeight="1">
      <c r="D1092" s="10"/>
      <c r="E1092" s="10"/>
      <c r="F1092" s="9"/>
      <c r="G1092" s="9"/>
      <c r="H1092" s="9"/>
      <c r="I1092" s="9"/>
      <c r="J1092" s="9"/>
      <c r="K1092" s="9"/>
      <c r="L1092" s="9"/>
      <c r="M1092" s="9"/>
      <c r="N1092" s="9"/>
      <c r="O1092" s="9"/>
      <c r="P1092" s="9"/>
      <c r="Q1092" s="9"/>
    </row>
    <row r="1093" spans="4:17" s="301" customFormat="1" ht="15" customHeight="1">
      <c r="D1093" s="10"/>
      <c r="E1093" s="10"/>
      <c r="F1093" s="9"/>
      <c r="G1093" s="9"/>
      <c r="H1093" s="9"/>
      <c r="I1093" s="9"/>
      <c r="J1093" s="9"/>
      <c r="K1093" s="9"/>
      <c r="L1093" s="9"/>
      <c r="M1093" s="9"/>
      <c r="N1093" s="9"/>
      <c r="O1093" s="9"/>
      <c r="P1093" s="9"/>
      <c r="Q1093" s="9"/>
    </row>
    <row r="1094" spans="4:17" s="301" customFormat="1" ht="15" customHeight="1">
      <c r="D1094" s="10"/>
      <c r="E1094" s="10"/>
      <c r="F1094" s="9"/>
      <c r="G1094" s="9"/>
      <c r="H1094" s="9"/>
      <c r="I1094" s="9"/>
      <c r="J1094" s="9"/>
      <c r="K1094" s="9"/>
      <c r="L1094" s="9"/>
      <c r="M1094" s="9"/>
      <c r="N1094" s="9"/>
      <c r="O1094" s="9"/>
      <c r="P1094" s="9"/>
      <c r="Q1094" s="9"/>
    </row>
    <row r="1095" spans="4:17" s="301" customFormat="1" ht="15" customHeight="1">
      <c r="D1095" s="10"/>
      <c r="E1095" s="10"/>
      <c r="F1095" s="9"/>
      <c r="G1095" s="9"/>
      <c r="H1095" s="9"/>
      <c r="I1095" s="9"/>
      <c r="J1095" s="9"/>
      <c r="K1095" s="9"/>
      <c r="L1095" s="9"/>
      <c r="M1095" s="9"/>
      <c r="N1095" s="9"/>
      <c r="O1095" s="9"/>
      <c r="P1095" s="9"/>
      <c r="Q1095" s="9"/>
    </row>
    <row r="1096" spans="4:17" s="301" customFormat="1" ht="15" customHeight="1">
      <c r="D1096" s="10"/>
      <c r="E1096" s="10"/>
      <c r="F1096" s="9"/>
      <c r="G1096" s="9"/>
      <c r="H1096" s="9"/>
      <c r="I1096" s="9"/>
      <c r="J1096" s="9"/>
      <c r="K1096" s="9"/>
      <c r="L1096" s="9"/>
      <c r="M1096" s="9"/>
      <c r="N1096" s="9"/>
      <c r="O1096" s="9"/>
      <c r="P1096" s="9"/>
      <c r="Q1096" s="9"/>
    </row>
    <row r="1097" spans="4:17" s="301" customFormat="1" ht="15" customHeight="1">
      <c r="D1097" s="10"/>
      <c r="E1097" s="10"/>
      <c r="F1097" s="9"/>
      <c r="G1097" s="9"/>
      <c r="H1097" s="9"/>
      <c r="I1097" s="9"/>
      <c r="J1097" s="9"/>
      <c r="K1097" s="9"/>
      <c r="L1097" s="9"/>
      <c r="M1097" s="9"/>
      <c r="N1097" s="9"/>
      <c r="O1097" s="9"/>
      <c r="P1097" s="9"/>
      <c r="Q1097" s="9"/>
    </row>
    <row r="1098" spans="4:17" s="301" customFormat="1" ht="15" customHeight="1">
      <c r="D1098" s="10"/>
      <c r="E1098" s="10"/>
      <c r="F1098" s="9"/>
      <c r="G1098" s="9"/>
      <c r="H1098" s="9"/>
      <c r="I1098" s="9"/>
      <c r="J1098" s="9"/>
      <c r="K1098" s="9"/>
      <c r="L1098" s="9"/>
      <c r="M1098" s="9"/>
      <c r="N1098" s="9"/>
      <c r="O1098" s="9"/>
      <c r="P1098" s="9"/>
      <c r="Q1098" s="9"/>
    </row>
    <row r="1099" spans="4:17" s="301" customFormat="1" ht="15" customHeight="1">
      <c r="D1099" s="10"/>
      <c r="E1099" s="10"/>
      <c r="F1099" s="9"/>
      <c r="G1099" s="9"/>
      <c r="H1099" s="9"/>
      <c r="I1099" s="9"/>
      <c r="J1099" s="9"/>
      <c r="K1099" s="9"/>
      <c r="L1099" s="9"/>
      <c r="M1099" s="9"/>
      <c r="N1099" s="9"/>
      <c r="O1099" s="9"/>
      <c r="P1099" s="9"/>
      <c r="Q1099" s="9"/>
    </row>
    <row r="1100" spans="4:17" s="301" customFormat="1" ht="15" customHeight="1">
      <c r="D1100" s="10"/>
      <c r="E1100" s="10"/>
      <c r="F1100" s="9"/>
      <c r="G1100" s="9"/>
      <c r="H1100" s="9"/>
      <c r="I1100" s="9"/>
      <c r="J1100" s="9"/>
      <c r="K1100" s="9"/>
      <c r="L1100" s="9"/>
      <c r="M1100" s="9"/>
      <c r="N1100" s="9"/>
      <c r="O1100" s="9"/>
      <c r="P1100" s="9"/>
      <c r="Q1100" s="9"/>
    </row>
    <row r="1101" spans="4:17" s="301" customFormat="1" ht="15" customHeight="1">
      <c r="D1101" s="10"/>
      <c r="E1101" s="10"/>
      <c r="F1101" s="9"/>
      <c r="G1101" s="9"/>
      <c r="H1101" s="9"/>
      <c r="I1101" s="9"/>
      <c r="J1101" s="9"/>
      <c r="K1101" s="9"/>
      <c r="L1101" s="9"/>
      <c r="M1101" s="9"/>
      <c r="N1101" s="9"/>
      <c r="O1101" s="9"/>
      <c r="P1101" s="9"/>
      <c r="Q1101" s="9"/>
    </row>
    <row r="1102" spans="4:17" s="301" customFormat="1" ht="15" customHeight="1">
      <c r="D1102" s="10"/>
      <c r="E1102" s="10"/>
      <c r="F1102" s="9"/>
      <c r="G1102" s="9"/>
      <c r="H1102" s="9"/>
      <c r="I1102" s="9"/>
      <c r="J1102" s="9"/>
      <c r="K1102" s="9"/>
      <c r="L1102" s="9"/>
      <c r="M1102" s="9"/>
      <c r="N1102" s="9"/>
      <c r="O1102" s="9"/>
      <c r="P1102" s="9"/>
      <c r="Q1102" s="9"/>
    </row>
    <row r="1103" spans="4:17" s="301" customFormat="1" ht="15" customHeight="1">
      <c r="D1103" s="10"/>
      <c r="E1103" s="10"/>
      <c r="F1103" s="9"/>
      <c r="G1103" s="9"/>
      <c r="H1103" s="9"/>
      <c r="I1103" s="9"/>
      <c r="J1103" s="9"/>
      <c r="K1103" s="9"/>
      <c r="L1103" s="9"/>
      <c r="M1103" s="9"/>
      <c r="N1103" s="9"/>
      <c r="O1103" s="9"/>
      <c r="P1103" s="9"/>
      <c r="Q1103" s="9"/>
    </row>
    <row r="1104" spans="4:17" s="301" customFormat="1" ht="15" customHeight="1">
      <c r="D1104" s="10"/>
      <c r="E1104" s="10"/>
      <c r="F1104" s="9"/>
      <c r="G1104" s="9"/>
      <c r="H1104" s="9"/>
      <c r="I1104" s="9"/>
      <c r="J1104" s="9"/>
      <c r="K1104" s="9"/>
      <c r="L1104" s="9"/>
      <c r="M1104" s="9"/>
      <c r="N1104" s="9"/>
      <c r="O1104" s="9"/>
      <c r="P1104" s="9"/>
      <c r="Q1104" s="9"/>
    </row>
    <row r="1105" spans="4:17" s="301" customFormat="1" ht="15" customHeight="1">
      <c r="D1105" s="10"/>
      <c r="E1105" s="10"/>
      <c r="F1105" s="9"/>
      <c r="G1105" s="9"/>
      <c r="H1105" s="9"/>
      <c r="I1105" s="9"/>
      <c r="J1105" s="9"/>
      <c r="K1105" s="9"/>
      <c r="L1105" s="9"/>
      <c r="M1105" s="9"/>
      <c r="N1105" s="9"/>
      <c r="O1105" s="9"/>
      <c r="P1105" s="9"/>
      <c r="Q1105" s="9"/>
    </row>
    <row r="1106" spans="4:17" s="301" customFormat="1" ht="15" customHeight="1">
      <c r="D1106" s="10"/>
      <c r="E1106" s="10"/>
      <c r="F1106" s="9"/>
      <c r="G1106" s="9"/>
      <c r="H1106" s="9"/>
      <c r="I1106" s="9"/>
      <c r="J1106" s="9"/>
      <c r="K1106" s="9"/>
      <c r="L1106" s="9"/>
      <c r="M1106" s="9"/>
      <c r="N1106" s="9"/>
      <c r="O1106" s="9"/>
      <c r="P1106" s="9"/>
      <c r="Q1106" s="9"/>
    </row>
    <row r="1107" spans="4:17" s="301" customFormat="1" ht="15" customHeight="1">
      <c r="D1107" s="10"/>
      <c r="E1107" s="10"/>
      <c r="F1107" s="9"/>
      <c r="G1107" s="9"/>
      <c r="H1107" s="9"/>
      <c r="I1107" s="9"/>
      <c r="J1107" s="9"/>
      <c r="K1107" s="9"/>
      <c r="L1107" s="9"/>
      <c r="M1107" s="9"/>
      <c r="N1107" s="9"/>
      <c r="O1107" s="9"/>
      <c r="P1107" s="9"/>
      <c r="Q1107" s="9"/>
    </row>
    <row r="1108" spans="4:17" s="301" customFormat="1" ht="15" customHeight="1">
      <c r="D1108" s="10"/>
      <c r="E1108" s="10"/>
      <c r="F1108" s="9"/>
      <c r="G1108" s="9"/>
      <c r="H1108" s="9"/>
      <c r="I1108" s="9"/>
      <c r="J1108" s="9"/>
      <c r="K1108" s="9"/>
      <c r="L1108" s="9"/>
      <c r="M1108" s="9"/>
      <c r="N1108" s="9"/>
      <c r="O1108" s="9"/>
      <c r="P1108" s="9"/>
      <c r="Q1108" s="9"/>
    </row>
    <row r="1109" spans="4:17" s="301" customFormat="1" ht="15" customHeight="1">
      <c r="D1109" s="10"/>
      <c r="E1109" s="10"/>
      <c r="F1109" s="9"/>
      <c r="G1109" s="9"/>
      <c r="H1109" s="9"/>
      <c r="I1109" s="9"/>
      <c r="J1109" s="9"/>
      <c r="K1109" s="9"/>
      <c r="L1109" s="9"/>
      <c r="M1109" s="9"/>
      <c r="N1109" s="9"/>
      <c r="O1109" s="9"/>
      <c r="P1109" s="9"/>
      <c r="Q1109" s="9"/>
    </row>
    <row r="1110" spans="4:17" s="301" customFormat="1" ht="15" customHeight="1">
      <c r="D1110" s="10"/>
      <c r="E1110" s="10"/>
      <c r="F1110" s="9"/>
      <c r="G1110" s="9"/>
      <c r="H1110" s="9"/>
      <c r="I1110" s="9"/>
      <c r="J1110" s="9"/>
      <c r="K1110" s="9"/>
      <c r="L1110" s="9"/>
      <c r="M1110" s="9"/>
      <c r="N1110" s="9"/>
      <c r="O1110" s="9"/>
      <c r="P1110" s="9"/>
      <c r="Q1110" s="9"/>
    </row>
    <row r="1111" spans="4:17" s="301" customFormat="1" ht="15" customHeight="1">
      <c r="D1111" s="10"/>
      <c r="E1111" s="10"/>
      <c r="F1111" s="9"/>
      <c r="G1111" s="9"/>
      <c r="H1111" s="9"/>
      <c r="I1111" s="9"/>
      <c r="J1111" s="9"/>
      <c r="K1111" s="9"/>
      <c r="L1111" s="9"/>
      <c r="M1111" s="9"/>
      <c r="N1111" s="9"/>
      <c r="O1111" s="9"/>
      <c r="P1111" s="9"/>
      <c r="Q1111" s="9"/>
    </row>
    <row r="1112" spans="4:17" s="301" customFormat="1" ht="15" customHeight="1">
      <c r="D1112" s="10"/>
      <c r="E1112" s="10"/>
      <c r="F1112" s="9"/>
      <c r="G1112" s="9"/>
      <c r="H1112" s="9"/>
      <c r="I1112" s="9"/>
      <c r="J1112" s="9"/>
      <c r="K1112" s="9"/>
      <c r="L1112" s="9"/>
      <c r="M1112" s="9"/>
      <c r="N1112" s="9"/>
      <c r="O1112" s="9"/>
      <c r="P1112" s="9"/>
      <c r="Q1112" s="9"/>
    </row>
    <row r="1113" spans="4:17" s="301" customFormat="1" ht="15" customHeight="1">
      <c r="D1113" s="10"/>
      <c r="E1113" s="10"/>
      <c r="F1113" s="9"/>
      <c r="G1113" s="9"/>
      <c r="H1113" s="9"/>
      <c r="I1113" s="9"/>
      <c r="J1113" s="9"/>
      <c r="K1113" s="9"/>
      <c r="L1113" s="9"/>
      <c r="M1113" s="9"/>
      <c r="N1113" s="9"/>
      <c r="O1113" s="9"/>
      <c r="P1113" s="9"/>
      <c r="Q1113" s="9"/>
    </row>
    <row r="1114" spans="4:17" s="301" customFormat="1" ht="15" customHeight="1">
      <c r="D1114" s="10"/>
      <c r="E1114" s="10"/>
      <c r="F1114" s="9"/>
      <c r="G1114" s="9"/>
      <c r="H1114" s="9"/>
      <c r="I1114" s="9"/>
      <c r="J1114" s="9"/>
      <c r="K1114" s="9"/>
      <c r="L1114" s="9"/>
      <c r="M1114" s="9"/>
      <c r="N1114" s="9"/>
      <c r="O1114" s="9"/>
      <c r="P1114" s="9"/>
      <c r="Q1114" s="9"/>
    </row>
    <row r="1115" spans="4:17" s="301" customFormat="1" ht="15" customHeight="1">
      <c r="D1115" s="10"/>
      <c r="E1115" s="10"/>
      <c r="F1115" s="9"/>
      <c r="G1115" s="9"/>
      <c r="H1115" s="9"/>
      <c r="I1115" s="9"/>
      <c r="J1115" s="9"/>
      <c r="K1115" s="9"/>
      <c r="L1115" s="9"/>
      <c r="M1115" s="9"/>
      <c r="N1115" s="9"/>
      <c r="O1115" s="9"/>
      <c r="P1115" s="9"/>
      <c r="Q1115" s="9"/>
    </row>
    <row r="1116" spans="4:17" s="301" customFormat="1" ht="15" customHeight="1">
      <c r="D1116" s="10"/>
      <c r="E1116" s="10"/>
      <c r="F1116" s="9"/>
      <c r="G1116" s="9"/>
      <c r="H1116" s="9"/>
      <c r="I1116" s="9"/>
      <c r="J1116" s="9"/>
      <c r="K1116" s="9"/>
      <c r="L1116" s="9"/>
      <c r="M1116" s="9"/>
      <c r="N1116" s="9"/>
      <c r="O1116" s="9"/>
      <c r="P1116" s="9"/>
      <c r="Q1116" s="9"/>
    </row>
    <row r="1117" spans="4:17" s="301" customFormat="1" ht="15" customHeight="1">
      <c r="D1117" s="10"/>
      <c r="E1117" s="10"/>
      <c r="F1117" s="9"/>
      <c r="G1117" s="9"/>
      <c r="H1117" s="9"/>
      <c r="I1117" s="9"/>
      <c r="J1117" s="9"/>
      <c r="K1117" s="9"/>
      <c r="L1117" s="9"/>
      <c r="M1117" s="9"/>
      <c r="N1117" s="9"/>
      <c r="O1117" s="9"/>
      <c r="P1117" s="9"/>
      <c r="Q1117" s="9"/>
    </row>
    <row r="1118" spans="4:17" s="301" customFormat="1" ht="15" customHeight="1">
      <c r="D1118" s="10"/>
      <c r="E1118" s="10"/>
      <c r="F1118" s="9"/>
      <c r="G1118" s="9"/>
      <c r="H1118" s="9"/>
      <c r="I1118" s="9"/>
      <c r="J1118" s="9"/>
      <c r="K1118" s="9"/>
      <c r="L1118" s="9"/>
      <c r="M1118" s="9"/>
      <c r="N1118" s="9"/>
      <c r="O1118" s="9"/>
      <c r="P1118" s="9"/>
      <c r="Q1118" s="9"/>
    </row>
    <row r="1119" spans="4:17" s="301" customFormat="1" ht="15" customHeight="1">
      <c r="D1119" s="10"/>
      <c r="E1119" s="10"/>
      <c r="F1119" s="9"/>
      <c r="G1119" s="9"/>
      <c r="H1119" s="9"/>
      <c r="I1119" s="9"/>
      <c r="J1119" s="9"/>
      <c r="K1119" s="9"/>
      <c r="L1119" s="9"/>
      <c r="M1119" s="9"/>
      <c r="N1119" s="9"/>
      <c r="O1119" s="9"/>
      <c r="P1119" s="9"/>
      <c r="Q1119" s="9"/>
    </row>
    <row r="1120" spans="4:17" s="301" customFormat="1" ht="15" customHeight="1">
      <c r="D1120" s="10"/>
      <c r="E1120" s="10"/>
      <c r="F1120" s="9"/>
      <c r="G1120" s="9"/>
      <c r="H1120" s="9"/>
      <c r="I1120" s="9"/>
      <c r="J1120" s="9"/>
      <c r="K1120" s="9"/>
      <c r="L1120" s="9"/>
      <c r="M1120" s="9"/>
      <c r="N1120" s="9"/>
      <c r="O1120" s="9"/>
      <c r="P1120" s="9"/>
      <c r="Q1120" s="9"/>
    </row>
    <row r="1121" spans="4:17" s="301" customFormat="1" ht="15" customHeight="1">
      <c r="D1121" s="10"/>
      <c r="E1121" s="10"/>
      <c r="F1121" s="9"/>
      <c r="G1121" s="9"/>
      <c r="H1121" s="9"/>
      <c r="I1121" s="9"/>
      <c r="J1121" s="9"/>
      <c r="K1121" s="9"/>
      <c r="L1121" s="9"/>
      <c r="M1121" s="9"/>
      <c r="N1121" s="9"/>
      <c r="O1121" s="9"/>
      <c r="P1121" s="9"/>
      <c r="Q1121" s="9"/>
    </row>
    <row r="1122" spans="4:17" s="301" customFormat="1" ht="15" customHeight="1">
      <c r="D1122" s="10"/>
      <c r="E1122" s="10"/>
      <c r="F1122" s="9"/>
      <c r="G1122" s="9"/>
      <c r="H1122" s="9"/>
      <c r="I1122" s="9"/>
      <c r="J1122" s="9"/>
      <c r="K1122" s="9"/>
      <c r="L1122" s="9"/>
      <c r="M1122" s="9"/>
      <c r="N1122" s="9"/>
      <c r="O1122" s="9"/>
      <c r="P1122" s="9"/>
      <c r="Q1122" s="9"/>
    </row>
    <row r="1123" spans="4:17" s="301" customFormat="1" ht="15" customHeight="1">
      <c r="D1123" s="10"/>
      <c r="E1123" s="10"/>
      <c r="F1123" s="9"/>
      <c r="G1123" s="9"/>
      <c r="H1123" s="9"/>
      <c r="I1123" s="9"/>
      <c r="J1123" s="9"/>
      <c r="K1123" s="9"/>
      <c r="L1123" s="9"/>
      <c r="M1123" s="9"/>
      <c r="N1123" s="9"/>
      <c r="O1123" s="9"/>
      <c r="P1123" s="9"/>
      <c r="Q1123" s="9"/>
    </row>
    <row r="1124" spans="4:17" s="301" customFormat="1" ht="15" customHeight="1">
      <c r="D1124" s="10"/>
      <c r="E1124" s="10"/>
      <c r="F1124" s="9"/>
      <c r="G1124" s="9"/>
      <c r="H1124" s="9"/>
      <c r="I1124" s="9"/>
      <c r="J1124" s="9"/>
      <c r="K1124" s="9"/>
      <c r="L1124" s="9"/>
      <c r="M1124" s="9"/>
      <c r="N1124" s="9"/>
      <c r="O1124" s="9"/>
      <c r="P1124" s="9"/>
      <c r="Q1124" s="9"/>
    </row>
    <row r="1125" spans="4:17" s="301" customFormat="1" ht="15" customHeight="1">
      <c r="D1125" s="10"/>
      <c r="E1125" s="10"/>
      <c r="F1125" s="9"/>
      <c r="G1125" s="9"/>
      <c r="H1125" s="9"/>
      <c r="I1125" s="9"/>
      <c r="J1125" s="9"/>
      <c r="K1125" s="9"/>
      <c r="L1125" s="9"/>
      <c r="M1125" s="9"/>
      <c r="N1125" s="9"/>
      <c r="O1125" s="9"/>
      <c r="P1125" s="9"/>
      <c r="Q1125" s="9"/>
    </row>
    <row r="1126" spans="4:17" s="301" customFormat="1" ht="15" customHeight="1">
      <c r="D1126" s="10"/>
      <c r="E1126" s="10"/>
      <c r="F1126" s="9"/>
      <c r="G1126" s="9"/>
      <c r="H1126" s="9"/>
      <c r="I1126" s="9"/>
      <c r="J1126" s="9"/>
      <c r="K1126" s="9"/>
      <c r="L1126" s="9"/>
      <c r="M1126" s="9"/>
      <c r="N1126" s="9"/>
      <c r="O1126" s="9"/>
      <c r="P1126" s="9"/>
      <c r="Q1126" s="9"/>
    </row>
    <row r="1127" spans="4:17" s="301" customFormat="1" ht="15" customHeight="1">
      <c r="D1127" s="10"/>
      <c r="E1127" s="10"/>
      <c r="F1127" s="9"/>
      <c r="G1127" s="9"/>
      <c r="H1127" s="9"/>
      <c r="I1127" s="9"/>
      <c r="J1127" s="9"/>
      <c r="K1127" s="9"/>
      <c r="L1127" s="9"/>
      <c r="M1127" s="9"/>
      <c r="N1127" s="9"/>
      <c r="O1127" s="9"/>
      <c r="P1127" s="9"/>
      <c r="Q1127" s="9"/>
    </row>
    <row r="1128" spans="4:17" s="301" customFormat="1" ht="15" customHeight="1">
      <c r="D1128" s="10"/>
      <c r="E1128" s="10"/>
      <c r="F1128" s="9"/>
      <c r="G1128" s="9"/>
      <c r="H1128" s="9"/>
      <c r="I1128" s="9"/>
      <c r="J1128" s="9"/>
      <c r="K1128" s="9"/>
      <c r="L1128" s="9"/>
      <c r="M1128" s="9"/>
      <c r="N1128" s="9"/>
      <c r="O1128" s="9"/>
      <c r="P1128" s="9"/>
      <c r="Q1128" s="9"/>
    </row>
    <row r="1129" spans="4:17" s="301" customFormat="1" ht="15" customHeight="1">
      <c r="D1129" s="10"/>
      <c r="E1129" s="10"/>
      <c r="F1129" s="9"/>
      <c r="G1129" s="9"/>
      <c r="H1129" s="9"/>
      <c r="I1129" s="9"/>
      <c r="J1129" s="9"/>
      <c r="K1129" s="9"/>
      <c r="L1129" s="9"/>
      <c r="M1129" s="9"/>
      <c r="N1129" s="9"/>
      <c r="O1129" s="9"/>
      <c r="P1129" s="9"/>
      <c r="Q1129" s="9"/>
    </row>
    <row r="1130" spans="4:17" s="301" customFormat="1" ht="15" customHeight="1">
      <c r="D1130" s="10"/>
      <c r="E1130" s="10"/>
      <c r="F1130" s="9"/>
      <c r="G1130" s="9"/>
      <c r="H1130" s="9"/>
      <c r="I1130" s="9"/>
      <c r="J1130" s="9"/>
      <c r="K1130" s="9"/>
      <c r="L1130" s="9"/>
      <c r="M1130" s="9"/>
      <c r="N1130" s="9"/>
      <c r="O1130" s="9"/>
      <c r="P1130" s="9"/>
      <c r="Q1130" s="9"/>
    </row>
    <row r="1131" spans="4:17" s="301" customFormat="1" ht="15" customHeight="1">
      <c r="D1131" s="10"/>
      <c r="E1131" s="10"/>
      <c r="F1131" s="9"/>
      <c r="G1131" s="9"/>
      <c r="H1131" s="9"/>
      <c r="I1131" s="9"/>
      <c r="J1131" s="9"/>
      <c r="K1131" s="9"/>
      <c r="L1131" s="9"/>
      <c r="M1131" s="9"/>
      <c r="N1131" s="9"/>
      <c r="O1131" s="9"/>
      <c r="P1131" s="9"/>
      <c r="Q1131" s="9"/>
    </row>
    <row r="1132" spans="4:17" s="301" customFormat="1" ht="15" customHeight="1">
      <c r="D1132" s="10"/>
      <c r="E1132" s="10"/>
      <c r="F1132" s="9"/>
      <c r="G1132" s="9"/>
      <c r="H1132" s="9"/>
      <c r="I1132" s="9"/>
      <c r="J1132" s="9"/>
      <c r="K1132" s="9"/>
      <c r="L1132" s="9"/>
      <c r="M1132" s="9"/>
      <c r="N1132" s="9"/>
      <c r="O1132" s="9"/>
      <c r="P1132" s="9"/>
      <c r="Q1132" s="9"/>
    </row>
    <row r="1133" spans="4:17" s="301" customFormat="1" ht="15" customHeight="1">
      <c r="D1133" s="10"/>
      <c r="E1133" s="10"/>
      <c r="F1133" s="9"/>
      <c r="G1133" s="9"/>
      <c r="H1133" s="9"/>
      <c r="I1133" s="9"/>
      <c r="J1133" s="9"/>
      <c r="K1133" s="9"/>
      <c r="L1133" s="9"/>
      <c r="M1133" s="9"/>
      <c r="N1133" s="9"/>
      <c r="O1133" s="9"/>
      <c r="P1133" s="9"/>
      <c r="Q1133" s="9"/>
    </row>
    <row r="1134" spans="4:17" s="301" customFormat="1" ht="15" customHeight="1">
      <c r="D1134" s="10"/>
      <c r="E1134" s="10"/>
      <c r="F1134" s="9"/>
      <c r="G1134" s="9"/>
      <c r="H1134" s="9"/>
      <c r="I1134" s="9"/>
      <c r="J1134" s="9"/>
      <c r="K1134" s="9"/>
      <c r="L1134" s="9"/>
      <c r="M1134" s="9"/>
      <c r="N1134" s="9"/>
      <c r="O1134" s="9"/>
      <c r="P1134" s="9"/>
      <c r="Q1134" s="9"/>
    </row>
    <row r="1135" spans="4:17" s="301" customFormat="1" ht="15" customHeight="1">
      <c r="D1135" s="10"/>
      <c r="E1135" s="10"/>
      <c r="F1135" s="9"/>
      <c r="G1135" s="9"/>
      <c r="H1135" s="9"/>
      <c r="I1135" s="9"/>
      <c r="J1135" s="9"/>
      <c r="K1135" s="9"/>
      <c r="L1135" s="9"/>
      <c r="M1135" s="9"/>
      <c r="N1135" s="9"/>
      <c r="O1135" s="9"/>
      <c r="P1135" s="9"/>
      <c r="Q1135" s="9"/>
    </row>
    <row r="1136" spans="4:17" s="301" customFormat="1" ht="15" customHeight="1">
      <c r="D1136" s="10"/>
      <c r="E1136" s="10"/>
      <c r="F1136" s="9"/>
      <c r="G1136" s="9"/>
      <c r="H1136" s="9"/>
      <c r="I1136" s="9"/>
      <c r="J1136" s="9"/>
      <c r="K1136" s="9"/>
      <c r="L1136" s="9"/>
      <c r="M1136" s="9"/>
      <c r="N1136" s="9"/>
      <c r="O1136" s="9"/>
      <c r="P1136" s="9"/>
      <c r="Q1136" s="9"/>
    </row>
    <row r="1137" spans="4:17" s="301" customFormat="1" ht="15" customHeight="1">
      <c r="D1137" s="10"/>
      <c r="E1137" s="10"/>
      <c r="F1137" s="9"/>
      <c r="G1137" s="9"/>
      <c r="H1137" s="9"/>
      <c r="I1137" s="9"/>
      <c r="J1137" s="9"/>
      <c r="K1137" s="9"/>
      <c r="L1137" s="9"/>
      <c r="M1137" s="9"/>
      <c r="N1137" s="9"/>
      <c r="O1137" s="9"/>
      <c r="P1137" s="9"/>
      <c r="Q1137" s="9"/>
    </row>
    <row r="1138" spans="4:17" s="301" customFormat="1" ht="15" customHeight="1">
      <c r="D1138" s="10"/>
      <c r="E1138" s="10"/>
      <c r="F1138" s="9"/>
      <c r="G1138" s="9"/>
      <c r="H1138" s="9"/>
      <c r="I1138" s="9"/>
      <c r="J1138" s="9"/>
      <c r="K1138" s="9"/>
      <c r="L1138" s="9"/>
      <c r="M1138" s="9"/>
      <c r="N1138" s="9"/>
      <c r="O1138" s="9"/>
      <c r="P1138" s="9"/>
      <c r="Q1138" s="9"/>
    </row>
    <row r="1139" spans="4:17" s="301" customFormat="1" ht="15" customHeight="1">
      <c r="D1139" s="10"/>
      <c r="E1139" s="10"/>
      <c r="F1139" s="9"/>
      <c r="G1139" s="9"/>
      <c r="H1139" s="9"/>
      <c r="I1139" s="9"/>
      <c r="J1139" s="9"/>
      <c r="K1139" s="9"/>
      <c r="L1139" s="9"/>
      <c r="M1139" s="9"/>
      <c r="N1139" s="9"/>
      <c r="O1139" s="9"/>
      <c r="P1139" s="9"/>
      <c r="Q1139" s="9"/>
    </row>
    <row r="1140" spans="4:17" s="301" customFormat="1" ht="15" customHeight="1">
      <c r="D1140" s="10"/>
      <c r="E1140" s="10"/>
      <c r="F1140" s="9"/>
      <c r="G1140" s="9"/>
      <c r="H1140" s="9"/>
      <c r="I1140" s="9"/>
      <c r="J1140" s="9"/>
      <c r="K1140" s="9"/>
      <c r="L1140" s="9"/>
      <c r="M1140" s="9"/>
      <c r="N1140" s="9"/>
      <c r="O1140" s="9"/>
      <c r="P1140" s="9"/>
      <c r="Q1140" s="9"/>
    </row>
    <row r="1141" spans="4:17" s="301" customFormat="1" ht="15" customHeight="1">
      <c r="D1141" s="10"/>
      <c r="E1141" s="10"/>
      <c r="F1141" s="9"/>
      <c r="G1141" s="9"/>
      <c r="H1141" s="9"/>
      <c r="I1141" s="9"/>
      <c r="J1141" s="9"/>
      <c r="K1141" s="9"/>
      <c r="L1141" s="9"/>
      <c r="M1141" s="9"/>
      <c r="N1141" s="9"/>
      <c r="O1141" s="9"/>
      <c r="P1141" s="9"/>
      <c r="Q1141" s="9"/>
    </row>
    <row r="1142" spans="4:17" s="301" customFormat="1" ht="15" customHeight="1">
      <c r="D1142" s="10"/>
      <c r="E1142" s="10"/>
      <c r="F1142" s="9"/>
      <c r="G1142" s="9"/>
      <c r="H1142" s="9"/>
      <c r="I1142" s="9"/>
      <c r="J1142" s="9"/>
      <c r="K1142" s="9"/>
      <c r="L1142" s="9"/>
      <c r="M1142" s="9"/>
      <c r="N1142" s="9"/>
      <c r="O1142" s="9"/>
      <c r="P1142" s="9"/>
      <c r="Q1142" s="9"/>
    </row>
    <row r="1143" spans="4:17" s="301" customFormat="1" ht="15" customHeight="1">
      <c r="D1143" s="10"/>
      <c r="E1143" s="10"/>
      <c r="F1143" s="9"/>
      <c r="G1143" s="9"/>
      <c r="H1143" s="9"/>
      <c r="I1143" s="9"/>
      <c r="J1143" s="9"/>
      <c r="K1143" s="9"/>
      <c r="L1143" s="9"/>
      <c r="M1143" s="9"/>
      <c r="N1143" s="9"/>
      <c r="O1143" s="9"/>
      <c r="P1143" s="9"/>
      <c r="Q1143" s="9"/>
    </row>
    <row r="1144" spans="4:17" s="301" customFormat="1" ht="15" customHeight="1">
      <c r="D1144" s="10"/>
      <c r="E1144" s="10"/>
      <c r="F1144" s="9"/>
      <c r="G1144" s="9"/>
      <c r="H1144" s="9"/>
      <c r="I1144" s="9"/>
      <c r="J1144" s="9"/>
      <c r="K1144" s="9"/>
      <c r="L1144" s="9"/>
      <c r="M1144" s="9"/>
      <c r="N1144" s="9"/>
      <c r="O1144" s="9"/>
      <c r="P1144" s="9"/>
      <c r="Q1144" s="9"/>
    </row>
    <row r="1145" spans="4:17" s="301" customFormat="1" ht="15" customHeight="1">
      <c r="D1145" s="10"/>
      <c r="E1145" s="10"/>
      <c r="F1145" s="9"/>
      <c r="G1145" s="9"/>
      <c r="H1145" s="9"/>
      <c r="I1145" s="9"/>
      <c r="J1145" s="9"/>
      <c r="K1145" s="9"/>
      <c r="L1145" s="9"/>
      <c r="M1145" s="9"/>
      <c r="N1145" s="9"/>
      <c r="O1145" s="9"/>
      <c r="P1145" s="9"/>
      <c r="Q1145" s="9"/>
    </row>
    <row r="1146" spans="4:17" s="301" customFormat="1" ht="15" customHeight="1">
      <c r="D1146" s="10"/>
      <c r="E1146" s="10"/>
      <c r="F1146" s="9"/>
      <c r="G1146" s="9"/>
      <c r="H1146" s="9"/>
      <c r="I1146" s="9"/>
      <c r="J1146" s="9"/>
      <c r="K1146" s="9"/>
      <c r="L1146" s="9"/>
      <c r="M1146" s="9"/>
      <c r="N1146" s="9"/>
      <c r="O1146" s="9"/>
      <c r="P1146" s="9"/>
      <c r="Q1146" s="9"/>
    </row>
    <row r="1147" spans="4:17" s="301" customFormat="1" ht="15" customHeight="1">
      <c r="D1147" s="10"/>
      <c r="E1147" s="10"/>
      <c r="F1147" s="9"/>
      <c r="G1147" s="9"/>
      <c r="H1147" s="9"/>
      <c r="I1147" s="9"/>
      <c r="J1147" s="9"/>
      <c r="K1147" s="9"/>
      <c r="L1147" s="9"/>
      <c r="M1147" s="9"/>
      <c r="N1147" s="9"/>
      <c r="O1147" s="9"/>
      <c r="P1147" s="9"/>
      <c r="Q1147" s="9"/>
    </row>
    <row r="1148" spans="4:17" s="301" customFormat="1" ht="15" customHeight="1">
      <c r="D1148" s="10"/>
      <c r="E1148" s="10"/>
      <c r="F1148" s="9"/>
      <c r="G1148" s="9"/>
      <c r="H1148" s="9"/>
      <c r="I1148" s="9"/>
      <c r="J1148" s="9"/>
      <c r="K1148" s="9"/>
      <c r="L1148" s="9"/>
      <c r="M1148" s="9"/>
      <c r="N1148" s="9"/>
      <c r="O1148" s="9"/>
      <c r="P1148" s="9"/>
      <c r="Q1148" s="9"/>
    </row>
    <row r="1149" spans="4:17" s="301" customFormat="1" ht="15" customHeight="1">
      <c r="D1149" s="10"/>
      <c r="E1149" s="10"/>
      <c r="F1149" s="9"/>
      <c r="G1149" s="9"/>
      <c r="H1149" s="9"/>
      <c r="I1149" s="9"/>
      <c r="J1149" s="9"/>
      <c r="K1149" s="9"/>
      <c r="L1149" s="9"/>
      <c r="M1149" s="9"/>
      <c r="N1149" s="9"/>
      <c r="O1149" s="9"/>
      <c r="P1149" s="9"/>
      <c r="Q1149" s="9"/>
    </row>
    <row r="1150" spans="4:17" s="301" customFormat="1" ht="15" customHeight="1">
      <c r="D1150" s="10"/>
      <c r="E1150" s="10"/>
      <c r="F1150" s="9"/>
      <c r="G1150" s="9"/>
      <c r="H1150" s="9"/>
      <c r="I1150" s="9"/>
      <c r="J1150" s="9"/>
      <c r="K1150" s="9"/>
      <c r="L1150" s="9"/>
      <c r="M1150" s="9"/>
      <c r="N1150" s="9"/>
      <c r="O1150" s="9"/>
      <c r="P1150" s="9"/>
      <c r="Q1150" s="9"/>
    </row>
    <row r="1151" spans="4:17" s="301" customFormat="1" ht="15" customHeight="1">
      <c r="D1151" s="10"/>
      <c r="E1151" s="10"/>
      <c r="F1151" s="9"/>
      <c r="G1151" s="9"/>
      <c r="H1151" s="9"/>
      <c r="I1151" s="9"/>
      <c r="J1151" s="9"/>
      <c r="K1151" s="9"/>
      <c r="L1151" s="9"/>
      <c r="M1151" s="9"/>
      <c r="N1151" s="9"/>
      <c r="O1151" s="9"/>
      <c r="P1151" s="9"/>
      <c r="Q1151" s="9"/>
    </row>
    <row r="1152" spans="4:17" s="301" customFormat="1" ht="15" customHeight="1">
      <c r="D1152" s="10"/>
      <c r="E1152" s="10"/>
      <c r="F1152" s="9"/>
      <c r="G1152" s="9"/>
      <c r="H1152" s="9"/>
      <c r="I1152" s="9"/>
      <c r="J1152" s="9"/>
      <c r="K1152" s="9"/>
      <c r="L1152" s="9"/>
      <c r="M1152" s="9"/>
      <c r="N1152" s="9"/>
      <c r="O1152" s="9"/>
      <c r="P1152" s="9"/>
      <c r="Q1152" s="9"/>
    </row>
    <row r="1153" spans="4:17" s="301" customFormat="1" ht="15" customHeight="1">
      <c r="D1153" s="10"/>
      <c r="E1153" s="10"/>
      <c r="F1153" s="9"/>
      <c r="G1153" s="9"/>
      <c r="H1153" s="9"/>
      <c r="I1153" s="9"/>
      <c r="J1153" s="9"/>
      <c r="K1153" s="9"/>
      <c r="L1153" s="9"/>
      <c r="M1153" s="9"/>
      <c r="N1153" s="9"/>
      <c r="O1153" s="9"/>
      <c r="P1153" s="9"/>
      <c r="Q1153" s="9"/>
    </row>
    <row r="1154" spans="4:17" s="301" customFormat="1" ht="15" customHeight="1">
      <c r="D1154" s="10"/>
      <c r="E1154" s="10"/>
      <c r="F1154" s="9"/>
      <c r="G1154" s="9"/>
      <c r="H1154" s="9"/>
      <c r="I1154" s="9"/>
      <c r="J1154" s="9"/>
      <c r="K1154" s="9"/>
      <c r="L1154" s="9"/>
      <c r="M1154" s="9"/>
      <c r="N1154" s="9"/>
      <c r="O1154" s="9"/>
      <c r="P1154" s="9"/>
      <c r="Q1154" s="9"/>
    </row>
    <row r="1155" spans="4:17" s="301" customFormat="1" ht="15" customHeight="1">
      <c r="D1155" s="10"/>
      <c r="E1155" s="10"/>
      <c r="F1155" s="9"/>
      <c r="G1155" s="9"/>
      <c r="H1155" s="9"/>
      <c r="I1155" s="9"/>
      <c r="J1155" s="9"/>
      <c r="K1155" s="9"/>
      <c r="L1155" s="9"/>
      <c r="M1155" s="9"/>
      <c r="N1155" s="9"/>
      <c r="O1155" s="9"/>
      <c r="P1155" s="9"/>
      <c r="Q1155" s="9"/>
    </row>
    <row r="1156" spans="4:17" s="301" customFormat="1" ht="15" customHeight="1">
      <c r="D1156" s="10"/>
      <c r="E1156" s="10"/>
      <c r="F1156" s="9"/>
      <c r="G1156" s="9"/>
      <c r="H1156" s="9"/>
      <c r="I1156" s="9"/>
      <c r="J1156" s="9"/>
      <c r="K1156" s="9"/>
      <c r="L1156" s="9"/>
      <c r="M1156" s="9"/>
      <c r="N1156" s="9"/>
      <c r="O1156" s="9"/>
      <c r="P1156" s="9"/>
      <c r="Q1156" s="9"/>
    </row>
    <row r="1157" spans="4:17" s="301" customFormat="1" ht="15" customHeight="1">
      <c r="D1157" s="10"/>
      <c r="E1157" s="10"/>
      <c r="F1157" s="9"/>
      <c r="G1157" s="9"/>
      <c r="H1157" s="9"/>
      <c r="I1157" s="9"/>
      <c r="J1157" s="9"/>
      <c r="K1157" s="9"/>
      <c r="L1157" s="9"/>
      <c r="M1157" s="9"/>
      <c r="N1157" s="9"/>
      <c r="O1157" s="9"/>
      <c r="P1157" s="9"/>
      <c r="Q1157" s="9"/>
    </row>
    <row r="1158" spans="4:17" s="301" customFormat="1" ht="15" customHeight="1">
      <c r="D1158" s="10"/>
      <c r="E1158" s="10"/>
      <c r="F1158" s="9"/>
      <c r="G1158" s="9"/>
      <c r="H1158" s="9"/>
      <c r="I1158" s="9"/>
      <c r="J1158" s="9"/>
      <c r="K1158" s="9"/>
      <c r="L1158" s="9"/>
      <c r="M1158" s="9"/>
      <c r="N1158" s="9"/>
      <c r="O1158" s="9"/>
      <c r="P1158" s="9"/>
      <c r="Q1158" s="9"/>
    </row>
    <row r="1159" spans="4:17" s="301" customFormat="1" ht="15" customHeight="1">
      <c r="D1159" s="10"/>
      <c r="E1159" s="10"/>
      <c r="F1159" s="9"/>
      <c r="G1159" s="9"/>
      <c r="H1159" s="9"/>
      <c r="I1159" s="9"/>
      <c r="J1159" s="9"/>
      <c r="K1159" s="9"/>
      <c r="L1159" s="9"/>
      <c r="M1159" s="9"/>
      <c r="N1159" s="9"/>
      <c r="O1159" s="9"/>
      <c r="P1159" s="9"/>
      <c r="Q1159" s="9"/>
    </row>
    <row r="1160" spans="4:17" s="301" customFormat="1" ht="15" customHeight="1">
      <c r="D1160" s="10"/>
      <c r="E1160" s="10"/>
      <c r="F1160" s="9"/>
      <c r="G1160" s="9"/>
      <c r="H1160" s="9"/>
      <c r="I1160" s="9"/>
      <c r="J1160" s="9"/>
      <c r="K1160" s="9"/>
      <c r="L1160" s="9"/>
      <c r="M1160" s="9"/>
      <c r="N1160" s="9"/>
      <c r="O1160" s="9"/>
      <c r="P1160" s="9"/>
      <c r="Q1160" s="9"/>
    </row>
    <row r="1161" spans="4:17" s="301" customFormat="1" ht="15" customHeight="1">
      <c r="D1161" s="10"/>
      <c r="E1161" s="10"/>
      <c r="F1161" s="9"/>
      <c r="G1161" s="9"/>
      <c r="H1161" s="9"/>
      <c r="I1161" s="9"/>
      <c r="J1161" s="9"/>
      <c r="K1161" s="9"/>
      <c r="L1161" s="9"/>
      <c r="M1161" s="9"/>
      <c r="N1161" s="9"/>
      <c r="O1161" s="9"/>
      <c r="P1161" s="9"/>
      <c r="Q1161" s="9"/>
    </row>
    <row r="1162" spans="4:17" s="301" customFormat="1" ht="15" customHeight="1">
      <c r="D1162" s="10"/>
      <c r="E1162" s="10"/>
      <c r="F1162" s="9"/>
      <c r="G1162" s="9"/>
      <c r="H1162" s="9"/>
      <c r="I1162" s="9"/>
      <c r="J1162" s="9"/>
      <c r="K1162" s="9"/>
      <c r="L1162" s="9"/>
      <c r="M1162" s="9"/>
      <c r="N1162" s="9"/>
      <c r="O1162" s="9"/>
      <c r="P1162" s="9"/>
      <c r="Q1162" s="9"/>
    </row>
    <row r="1163" spans="4:17" s="301" customFormat="1" ht="15" customHeight="1">
      <c r="D1163" s="10"/>
      <c r="E1163" s="10"/>
      <c r="F1163" s="9"/>
      <c r="G1163" s="9"/>
      <c r="H1163" s="9"/>
      <c r="I1163" s="9"/>
      <c r="J1163" s="9"/>
      <c r="K1163" s="9"/>
      <c r="L1163" s="9"/>
      <c r="M1163" s="9"/>
      <c r="N1163" s="9"/>
      <c r="O1163" s="9"/>
      <c r="P1163" s="9"/>
      <c r="Q1163" s="9"/>
    </row>
    <row r="1164" spans="4:17" s="301" customFormat="1" ht="15" customHeight="1">
      <c r="D1164" s="10"/>
      <c r="E1164" s="10"/>
      <c r="F1164" s="9"/>
      <c r="G1164" s="9"/>
      <c r="H1164" s="9"/>
      <c r="I1164" s="9"/>
      <c r="J1164" s="9"/>
      <c r="K1164" s="9"/>
      <c r="L1164" s="9"/>
      <c r="M1164" s="9"/>
      <c r="N1164" s="9"/>
      <c r="O1164" s="9"/>
      <c r="P1164" s="9"/>
      <c r="Q1164" s="9"/>
    </row>
    <row r="1165" spans="4:17" s="301" customFormat="1" ht="15" customHeight="1">
      <c r="D1165" s="10"/>
      <c r="E1165" s="10"/>
      <c r="F1165" s="9"/>
      <c r="G1165" s="9"/>
      <c r="H1165" s="9"/>
      <c r="I1165" s="9"/>
      <c r="J1165" s="9"/>
      <c r="K1165" s="9"/>
      <c r="L1165" s="9"/>
      <c r="M1165" s="9"/>
      <c r="N1165" s="9"/>
      <c r="O1165" s="9"/>
      <c r="P1165" s="9"/>
      <c r="Q1165" s="9"/>
    </row>
    <row r="1166" spans="4:17" s="301" customFormat="1" ht="15" customHeight="1">
      <c r="D1166" s="10"/>
      <c r="E1166" s="10"/>
      <c r="F1166" s="9"/>
      <c r="G1166" s="9"/>
      <c r="H1166" s="9"/>
      <c r="I1166" s="9"/>
      <c r="J1166" s="9"/>
      <c r="K1166" s="9"/>
      <c r="L1166" s="9"/>
      <c r="M1166" s="9"/>
      <c r="N1166" s="9"/>
      <c r="O1166" s="9"/>
      <c r="P1166" s="9"/>
      <c r="Q1166" s="9"/>
    </row>
    <row r="1167" spans="4:17" s="301" customFormat="1" ht="15" customHeight="1">
      <c r="D1167" s="10"/>
      <c r="E1167" s="10"/>
      <c r="F1167" s="9"/>
      <c r="G1167" s="9"/>
      <c r="H1167" s="9"/>
      <c r="I1167" s="9"/>
      <c r="J1167" s="9"/>
      <c r="K1167" s="9"/>
      <c r="L1167" s="9"/>
      <c r="M1167" s="9"/>
      <c r="N1167" s="9"/>
      <c r="O1167" s="9"/>
      <c r="P1167" s="9"/>
      <c r="Q1167" s="9"/>
    </row>
    <row r="1168" spans="4:17" s="301" customFormat="1" ht="15" customHeight="1">
      <c r="D1168" s="10"/>
      <c r="E1168" s="10"/>
      <c r="F1168" s="9"/>
      <c r="G1168" s="9"/>
      <c r="H1168" s="9"/>
      <c r="I1168" s="9"/>
      <c r="J1168" s="9"/>
      <c r="K1168" s="9"/>
      <c r="L1168" s="9"/>
      <c r="M1168" s="9"/>
      <c r="N1168" s="9"/>
      <c r="O1168" s="9"/>
      <c r="P1168" s="9"/>
      <c r="Q1168" s="9"/>
    </row>
    <row r="1169" spans="4:17" s="301" customFormat="1" ht="15" customHeight="1">
      <c r="D1169" s="10"/>
      <c r="E1169" s="10"/>
      <c r="F1169" s="9"/>
      <c r="G1169" s="9"/>
      <c r="H1169" s="9"/>
      <c r="I1169" s="9"/>
      <c r="J1169" s="9"/>
      <c r="K1169" s="9"/>
      <c r="L1169" s="9"/>
      <c r="M1169" s="9"/>
      <c r="N1169" s="9"/>
      <c r="O1169" s="9"/>
      <c r="P1169" s="9"/>
      <c r="Q1169" s="9"/>
    </row>
    <row r="1170" spans="4:17" s="301" customFormat="1" ht="15" customHeight="1">
      <c r="D1170" s="10"/>
      <c r="E1170" s="10"/>
      <c r="F1170" s="9"/>
      <c r="G1170" s="9"/>
      <c r="H1170" s="9"/>
      <c r="I1170" s="9"/>
      <c r="J1170" s="9"/>
      <c r="K1170" s="9"/>
      <c r="L1170" s="9"/>
      <c r="M1170" s="9"/>
      <c r="N1170" s="9"/>
      <c r="O1170" s="9"/>
      <c r="P1170" s="9"/>
      <c r="Q1170" s="9"/>
    </row>
    <row r="1171" spans="4:17" s="301" customFormat="1" ht="15" customHeight="1">
      <c r="D1171" s="10"/>
      <c r="E1171" s="10"/>
      <c r="F1171" s="9"/>
      <c r="G1171" s="9"/>
      <c r="H1171" s="9"/>
      <c r="I1171" s="9"/>
      <c r="J1171" s="9"/>
      <c r="K1171" s="9"/>
      <c r="L1171" s="9"/>
      <c r="M1171" s="9"/>
      <c r="N1171" s="9"/>
      <c r="O1171" s="9"/>
      <c r="P1171" s="9"/>
      <c r="Q1171" s="9"/>
    </row>
    <row r="1172" spans="4:17" s="301" customFormat="1" ht="15" customHeight="1">
      <c r="D1172" s="10"/>
      <c r="E1172" s="10"/>
      <c r="F1172" s="9"/>
      <c r="G1172" s="9"/>
      <c r="H1172" s="9"/>
      <c r="I1172" s="9"/>
      <c r="J1172" s="9"/>
      <c r="K1172" s="9"/>
      <c r="L1172" s="9"/>
      <c r="M1172" s="9"/>
      <c r="N1172" s="9"/>
      <c r="O1172" s="9"/>
      <c r="P1172" s="9"/>
      <c r="Q1172" s="9"/>
    </row>
    <row r="1173" spans="4:17" s="301" customFormat="1" ht="15" customHeight="1">
      <c r="D1173" s="10"/>
      <c r="E1173" s="10"/>
      <c r="F1173" s="9"/>
      <c r="G1173" s="9"/>
      <c r="H1173" s="9"/>
      <c r="I1173" s="9"/>
      <c r="J1173" s="9"/>
      <c r="K1173" s="9"/>
      <c r="L1173" s="9"/>
      <c r="M1173" s="9"/>
      <c r="N1173" s="9"/>
      <c r="O1173" s="9"/>
      <c r="P1173" s="9"/>
      <c r="Q1173" s="9"/>
    </row>
    <row r="1174" spans="4:17" s="301" customFormat="1" ht="15" customHeight="1">
      <c r="D1174" s="10"/>
      <c r="E1174" s="10"/>
      <c r="F1174" s="9"/>
      <c r="G1174" s="9"/>
      <c r="H1174" s="9"/>
      <c r="I1174" s="9"/>
      <c r="J1174" s="9"/>
      <c r="K1174" s="9"/>
      <c r="L1174" s="9"/>
      <c r="M1174" s="9"/>
      <c r="N1174" s="9"/>
      <c r="O1174" s="9"/>
      <c r="P1174" s="9"/>
      <c r="Q1174" s="9"/>
    </row>
    <row r="1175" spans="4:17" s="301" customFormat="1" ht="15" customHeight="1">
      <c r="D1175" s="10"/>
      <c r="E1175" s="10"/>
      <c r="F1175" s="9"/>
      <c r="G1175" s="9"/>
      <c r="H1175" s="9"/>
      <c r="I1175" s="9"/>
      <c r="J1175" s="9"/>
      <c r="K1175" s="9"/>
      <c r="L1175" s="9"/>
      <c r="M1175" s="9"/>
      <c r="N1175" s="9"/>
      <c r="O1175" s="9"/>
      <c r="P1175" s="9"/>
      <c r="Q1175" s="9"/>
    </row>
    <row r="1176" spans="4:17" s="301" customFormat="1" ht="15" customHeight="1">
      <c r="D1176" s="10"/>
      <c r="E1176" s="10"/>
      <c r="F1176" s="9"/>
      <c r="G1176" s="9"/>
      <c r="H1176" s="9"/>
      <c r="I1176" s="9"/>
      <c r="J1176" s="9"/>
      <c r="K1176" s="9"/>
      <c r="L1176" s="9"/>
      <c r="M1176" s="9"/>
      <c r="N1176" s="9"/>
      <c r="O1176" s="9"/>
      <c r="P1176" s="9"/>
      <c r="Q1176" s="9"/>
    </row>
    <row r="1177" spans="4:17" s="301" customFormat="1" ht="15" customHeight="1">
      <c r="D1177" s="10"/>
      <c r="E1177" s="10"/>
      <c r="F1177" s="9"/>
      <c r="G1177" s="9"/>
      <c r="H1177" s="9"/>
      <c r="I1177" s="9"/>
      <c r="J1177" s="9"/>
      <c r="K1177" s="9"/>
      <c r="L1177" s="9"/>
      <c r="M1177" s="9"/>
      <c r="N1177" s="9"/>
      <c r="O1177" s="9"/>
      <c r="P1177" s="9"/>
      <c r="Q1177" s="9"/>
    </row>
    <row r="1178" spans="4:17" s="301" customFormat="1" ht="15" customHeight="1">
      <c r="D1178" s="10"/>
      <c r="E1178" s="10"/>
      <c r="F1178" s="9"/>
      <c r="G1178" s="9"/>
      <c r="H1178" s="9"/>
      <c r="I1178" s="9"/>
      <c r="J1178" s="9"/>
      <c r="K1178" s="9"/>
      <c r="L1178" s="9"/>
      <c r="M1178" s="9"/>
      <c r="N1178" s="9"/>
      <c r="O1178" s="9"/>
      <c r="P1178" s="9"/>
      <c r="Q1178" s="9"/>
    </row>
    <row r="1179" spans="4:17" s="301" customFormat="1" ht="15" customHeight="1">
      <c r="D1179" s="10"/>
      <c r="E1179" s="10"/>
      <c r="F1179" s="9"/>
      <c r="G1179" s="9"/>
      <c r="H1179" s="9"/>
      <c r="I1179" s="9"/>
      <c r="J1179" s="9"/>
      <c r="K1179" s="9"/>
      <c r="L1179" s="9"/>
      <c r="M1179" s="9"/>
      <c r="N1179" s="9"/>
      <c r="O1179" s="9"/>
      <c r="P1179" s="9"/>
      <c r="Q1179" s="9"/>
    </row>
    <row r="1180" spans="4:17" s="301" customFormat="1" ht="15" customHeight="1">
      <c r="D1180" s="10"/>
      <c r="E1180" s="10"/>
      <c r="F1180" s="9"/>
      <c r="G1180" s="9"/>
      <c r="H1180" s="9"/>
      <c r="I1180" s="9"/>
      <c r="J1180" s="9"/>
      <c r="K1180" s="9"/>
      <c r="L1180" s="9"/>
      <c r="M1180" s="9"/>
      <c r="N1180" s="9"/>
      <c r="O1180" s="9"/>
      <c r="P1180" s="9"/>
      <c r="Q1180" s="9"/>
    </row>
    <row r="1181" spans="4:17" s="301" customFormat="1" ht="15" customHeight="1">
      <c r="D1181" s="10"/>
      <c r="E1181" s="10"/>
      <c r="F1181" s="9"/>
      <c r="G1181" s="9"/>
      <c r="H1181" s="9"/>
      <c r="I1181" s="9"/>
      <c r="J1181" s="9"/>
      <c r="K1181" s="9"/>
      <c r="L1181" s="9"/>
      <c r="M1181" s="9"/>
      <c r="N1181" s="9"/>
      <c r="O1181" s="9"/>
      <c r="P1181" s="9"/>
      <c r="Q1181" s="9"/>
    </row>
    <row r="1182" spans="4:17" s="301" customFormat="1" ht="15" customHeight="1">
      <c r="D1182" s="10"/>
      <c r="E1182" s="10"/>
      <c r="F1182" s="9"/>
      <c r="G1182" s="9"/>
      <c r="H1182" s="9"/>
      <c r="I1182" s="9"/>
      <c r="J1182" s="9"/>
      <c r="K1182" s="9"/>
      <c r="L1182" s="9"/>
      <c r="M1182" s="9"/>
      <c r="N1182" s="9"/>
      <c r="O1182" s="9"/>
      <c r="P1182" s="9"/>
      <c r="Q1182" s="9"/>
    </row>
    <row r="1183" spans="4:17" s="301" customFormat="1" ht="15" customHeight="1">
      <c r="D1183" s="10"/>
      <c r="E1183" s="10"/>
      <c r="F1183" s="9"/>
      <c r="G1183" s="9"/>
      <c r="H1183" s="9"/>
      <c r="I1183" s="9"/>
      <c r="J1183" s="9"/>
      <c r="K1183" s="9"/>
      <c r="L1183" s="9"/>
      <c r="M1183" s="9"/>
      <c r="N1183" s="9"/>
      <c r="O1183" s="9"/>
      <c r="P1183" s="9"/>
      <c r="Q1183" s="9"/>
    </row>
    <row r="1184" spans="4:17" s="301" customFormat="1" ht="15" customHeight="1">
      <c r="D1184" s="10"/>
      <c r="E1184" s="10"/>
      <c r="F1184" s="9"/>
      <c r="G1184" s="9"/>
      <c r="H1184" s="9"/>
      <c r="I1184" s="9"/>
      <c r="J1184" s="9"/>
      <c r="K1184" s="9"/>
      <c r="L1184" s="9"/>
      <c r="M1184" s="9"/>
      <c r="N1184" s="9"/>
      <c r="O1184" s="9"/>
      <c r="P1184" s="9"/>
      <c r="Q1184" s="9"/>
    </row>
    <row r="1185" spans="4:17" s="301" customFormat="1" ht="15" customHeight="1">
      <c r="D1185" s="10"/>
      <c r="E1185" s="10"/>
      <c r="F1185" s="9"/>
      <c r="G1185" s="9"/>
      <c r="H1185" s="9"/>
      <c r="I1185" s="9"/>
      <c r="J1185" s="9"/>
      <c r="K1185" s="9"/>
      <c r="L1185" s="9"/>
      <c r="M1185" s="9"/>
      <c r="N1185" s="9"/>
      <c r="O1185" s="9"/>
      <c r="P1185" s="9"/>
      <c r="Q1185" s="9"/>
    </row>
    <row r="1186" spans="4:17" s="301" customFormat="1" ht="15" customHeight="1">
      <c r="D1186" s="10"/>
      <c r="E1186" s="10"/>
      <c r="F1186" s="9"/>
      <c r="G1186" s="9"/>
      <c r="H1186" s="9"/>
      <c r="I1186" s="9"/>
      <c r="J1186" s="9"/>
      <c r="K1186" s="9"/>
      <c r="L1186" s="9"/>
      <c r="M1186" s="9"/>
      <c r="N1186" s="9"/>
      <c r="O1186" s="9"/>
      <c r="P1186" s="9"/>
      <c r="Q1186" s="9"/>
    </row>
    <row r="1187" spans="4:17" s="301" customFormat="1" ht="15" customHeight="1">
      <c r="D1187" s="10"/>
      <c r="E1187" s="10"/>
      <c r="F1187" s="9"/>
      <c r="G1187" s="9"/>
      <c r="H1187" s="9"/>
      <c r="I1187" s="9"/>
      <c r="J1187" s="9"/>
      <c r="K1187" s="9"/>
      <c r="L1187" s="9"/>
      <c r="M1187" s="9"/>
      <c r="N1187" s="9"/>
      <c r="O1187" s="9"/>
      <c r="P1187" s="9"/>
      <c r="Q1187" s="9"/>
    </row>
    <row r="1188" spans="4:17" s="301" customFormat="1" ht="15" customHeight="1">
      <c r="D1188" s="10"/>
      <c r="E1188" s="10"/>
      <c r="F1188" s="9"/>
      <c r="G1188" s="9"/>
      <c r="H1188" s="9"/>
      <c r="I1188" s="9"/>
      <c r="J1188" s="9"/>
      <c r="K1188" s="9"/>
      <c r="L1188" s="9"/>
      <c r="M1188" s="9"/>
      <c r="N1188" s="9"/>
      <c r="O1188" s="9"/>
      <c r="P1188" s="9"/>
      <c r="Q1188" s="9"/>
    </row>
    <row r="1189" spans="4:17" s="301" customFormat="1" ht="15" customHeight="1">
      <c r="D1189" s="10"/>
      <c r="E1189" s="10"/>
      <c r="F1189" s="9"/>
      <c r="G1189" s="9"/>
      <c r="H1189" s="9"/>
      <c r="I1189" s="9"/>
      <c r="J1189" s="9"/>
      <c r="K1189" s="9"/>
      <c r="L1189" s="9"/>
      <c r="M1189" s="9"/>
      <c r="N1189" s="9"/>
      <c r="O1189" s="9"/>
      <c r="P1189" s="9"/>
      <c r="Q1189" s="9"/>
    </row>
    <row r="1190" spans="4:17" s="301" customFormat="1" ht="15" customHeight="1">
      <c r="D1190" s="10"/>
      <c r="E1190" s="10"/>
      <c r="F1190" s="9"/>
      <c r="G1190" s="9"/>
      <c r="H1190" s="9"/>
      <c r="I1190" s="9"/>
      <c r="J1190" s="9"/>
      <c r="K1190" s="9"/>
      <c r="L1190" s="9"/>
      <c r="M1190" s="9"/>
      <c r="N1190" s="9"/>
      <c r="O1190" s="9"/>
      <c r="P1190" s="9"/>
      <c r="Q1190" s="9"/>
    </row>
    <row r="1191" spans="4:17" s="301" customFormat="1" ht="15" customHeight="1">
      <c r="D1191" s="10"/>
      <c r="E1191" s="10"/>
      <c r="F1191" s="9"/>
      <c r="G1191" s="9"/>
      <c r="H1191" s="9"/>
      <c r="I1191" s="9"/>
      <c r="J1191" s="9"/>
      <c r="K1191" s="9"/>
      <c r="L1191" s="9"/>
      <c r="M1191" s="9"/>
      <c r="N1191" s="9"/>
      <c r="O1191" s="9"/>
      <c r="P1191" s="9"/>
      <c r="Q1191" s="9"/>
    </row>
    <row r="1192" spans="4:17" s="301" customFormat="1" ht="15" customHeight="1">
      <c r="D1192" s="10"/>
      <c r="E1192" s="10"/>
      <c r="F1192" s="9"/>
      <c r="G1192" s="9"/>
      <c r="H1192" s="9"/>
      <c r="I1192" s="9"/>
      <c r="J1192" s="9"/>
      <c r="K1192" s="9"/>
      <c r="L1192" s="9"/>
      <c r="M1192" s="9"/>
      <c r="N1192" s="9"/>
      <c r="O1192" s="9"/>
      <c r="P1192" s="9"/>
      <c r="Q1192" s="9"/>
    </row>
    <row r="1193" spans="4:17" s="301" customFormat="1" ht="15" customHeight="1">
      <c r="D1193" s="10"/>
      <c r="E1193" s="10"/>
      <c r="F1193" s="9"/>
      <c r="G1193" s="9"/>
      <c r="H1193" s="9"/>
      <c r="I1193" s="9"/>
      <c r="J1193" s="9"/>
      <c r="K1193" s="9"/>
      <c r="L1193" s="9"/>
      <c r="M1193" s="9"/>
      <c r="N1193" s="9"/>
      <c r="O1193" s="9"/>
      <c r="P1193" s="9"/>
      <c r="Q1193" s="9"/>
    </row>
    <row r="1194" spans="4:17" s="301" customFormat="1" ht="15" customHeight="1">
      <c r="D1194" s="10"/>
      <c r="E1194" s="10"/>
      <c r="F1194" s="9"/>
      <c r="G1194" s="9"/>
      <c r="H1194" s="9"/>
      <c r="I1194" s="9"/>
      <c r="J1194" s="9"/>
      <c r="K1194" s="9"/>
      <c r="L1194" s="9"/>
      <c r="M1194" s="9"/>
      <c r="N1194" s="9"/>
      <c r="O1194" s="9"/>
      <c r="P1194" s="9"/>
      <c r="Q1194" s="9"/>
    </row>
    <row r="1195" spans="4:17" s="301" customFormat="1" ht="15" customHeight="1">
      <c r="D1195" s="10"/>
      <c r="E1195" s="10"/>
      <c r="F1195" s="9"/>
      <c r="G1195" s="9"/>
      <c r="H1195" s="9"/>
      <c r="I1195" s="9"/>
      <c r="J1195" s="9"/>
      <c r="K1195" s="9"/>
      <c r="L1195" s="9"/>
      <c r="M1195" s="9"/>
      <c r="N1195" s="9"/>
      <c r="O1195" s="9"/>
      <c r="P1195" s="9"/>
      <c r="Q1195" s="9"/>
    </row>
    <row r="1196" spans="4:17" s="301" customFormat="1" ht="15" customHeight="1">
      <c r="D1196" s="10"/>
      <c r="E1196" s="10"/>
      <c r="F1196" s="9"/>
      <c r="G1196" s="9"/>
      <c r="H1196" s="9"/>
      <c r="I1196" s="9"/>
      <c r="J1196" s="9"/>
      <c r="K1196" s="9"/>
      <c r="L1196" s="9"/>
      <c r="M1196" s="9"/>
      <c r="N1196" s="9"/>
      <c r="O1196" s="9"/>
      <c r="P1196" s="9"/>
      <c r="Q1196" s="9"/>
    </row>
    <row r="1197" spans="4:17" s="301" customFormat="1" ht="15" customHeight="1">
      <c r="D1197" s="10"/>
      <c r="E1197" s="10"/>
      <c r="F1197" s="9"/>
      <c r="G1197" s="9"/>
      <c r="H1197" s="9"/>
      <c r="I1197" s="9"/>
      <c r="J1197" s="9"/>
      <c r="K1197" s="9"/>
      <c r="L1197" s="9"/>
      <c r="M1197" s="9"/>
      <c r="N1197" s="9"/>
      <c r="O1197" s="9"/>
      <c r="P1197" s="9"/>
      <c r="Q1197" s="9"/>
    </row>
    <row r="1198" spans="4:17" s="301" customFormat="1" ht="15" customHeight="1">
      <c r="D1198" s="10"/>
      <c r="E1198" s="10"/>
      <c r="F1198" s="9"/>
      <c r="G1198" s="9"/>
      <c r="H1198" s="9"/>
      <c r="I1198" s="9"/>
      <c r="J1198" s="9"/>
      <c r="K1198" s="9"/>
      <c r="L1198" s="9"/>
      <c r="M1198" s="9"/>
      <c r="N1198" s="9"/>
      <c r="O1198" s="9"/>
      <c r="P1198" s="9"/>
      <c r="Q1198" s="9"/>
    </row>
    <row r="1199" spans="4:17" s="301" customFormat="1" ht="15" customHeight="1">
      <c r="D1199" s="10"/>
      <c r="E1199" s="10"/>
      <c r="F1199" s="9"/>
      <c r="G1199" s="9"/>
      <c r="H1199" s="9"/>
      <c r="I1199" s="9"/>
      <c r="J1199" s="9"/>
      <c r="K1199" s="9"/>
      <c r="L1199" s="9"/>
      <c r="M1199" s="9"/>
      <c r="N1199" s="9"/>
      <c r="O1199" s="9"/>
      <c r="P1199" s="9"/>
      <c r="Q1199" s="9"/>
    </row>
    <row r="1200" spans="4:17" s="301" customFormat="1" ht="15" customHeight="1">
      <c r="D1200" s="10"/>
      <c r="E1200" s="10"/>
      <c r="F1200" s="9"/>
      <c r="G1200" s="9"/>
      <c r="H1200" s="9"/>
      <c r="I1200" s="9"/>
      <c r="J1200" s="9"/>
      <c r="K1200" s="9"/>
      <c r="L1200" s="9"/>
      <c r="M1200" s="9"/>
      <c r="N1200" s="9"/>
      <c r="O1200" s="9"/>
      <c r="P1200" s="9"/>
      <c r="Q1200" s="9"/>
    </row>
    <row r="1201" spans="4:17" s="301" customFormat="1" ht="15" customHeight="1">
      <c r="D1201" s="10"/>
      <c r="E1201" s="10"/>
      <c r="F1201" s="9"/>
      <c r="G1201" s="9"/>
      <c r="H1201" s="9"/>
      <c r="I1201" s="9"/>
      <c r="J1201" s="9"/>
      <c r="K1201" s="9"/>
      <c r="L1201" s="9"/>
      <c r="M1201" s="9"/>
      <c r="N1201" s="9"/>
      <c r="O1201" s="9"/>
      <c r="P1201" s="9"/>
      <c r="Q1201" s="9"/>
    </row>
    <row r="1202" spans="4:17" s="301" customFormat="1" ht="15" customHeight="1">
      <c r="D1202" s="10"/>
      <c r="E1202" s="10"/>
      <c r="F1202" s="9"/>
      <c r="G1202" s="9"/>
      <c r="H1202" s="9"/>
      <c r="I1202" s="9"/>
      <c r="J1202" s="9"/>
      <c r="K1202" s="9"/>
      <c r="L1202" s="9"/>
      <c r="M1202" s="9"/>
      <c r="N1202" s="9"/>
      <c r="O1202" s="9"/>
      <c r="P1202" s="9"/>
      <c r="Q1202" s="9"/>
    </row>
    <row r="1203" spans="4:17" s="301" customFormat="1" ht="15" customHeight="1">
      <c r="D1203" s="10"/>
      <c r="E1203" s="10"/>
      <c r="F1203" s="9"/>
      <c r="G1203" s="9"/>
      <c r="H1203" s="9"/>
      <c r="I1203" s="9"/>
      <c r="J1203" s="9"/>
      <c r="K1203" s="9"/>
      <c r="L1203" s="9"/>
      <c r="M1203" s="9"/>
      <c r="N1203" s="9"/>
      <c r="O1203" s="9"/>
      <c r="P1203" s="9"/>
      <c r="Q1203" s="9"/>
    </row>
    <row r="1204" spans="4:17" s="301" customFormat="1" ht="15" customHeight="1">
      <c r="D1204" s="10"/>
      <c r="E1204" s="10"/>
      <c r="F1204" s="9"/>
      <c r="G1204" s="9"/>
      <c r="H1204" s="9"/>
      <c r="I1204" s="9"/>
      <c r="J1204" s="9"/>
      <c r="K1204" s="9"/>
      <c r="L1204" s="9"/>
      <c r="M1204" s="9"/>
      <c r="N1204" s="9"/>
      <c r="O1204" s="9"/>
      <c r="P1204" s="9"/>
      <c r="Q1204" s="9"/>
    </row>
    <row r="1205" spans="4:17" s="301" customFormat="1" ht="15" customHeight="1">
      <c r="D1205" s="10"/>
      <c r="E1205" s="10"/>
      <c r="F1205" s="9"/>
      <c r="G1205" s="9"/>
      <c r="H1205" s="9"/>
      <c r="I1205" s="9"/>
      <c r="J1205" s="9"/>
      <c r="K1205" s="9"/>
      <c r="L1205" s="9"/>
      <c r="M1205" s="9"/>
      <c r="N1205" s="9"/>
      <c r="O1205" s="9"/>
      <c r="P1205" s="9"/>
      <c r="Q1205" s="9"/>
    </row>
    <row r="1206" spans="4:17" s="301" customFormat="1" ht="15" customHeight="1">
      <c r="D1206" s="10"/>
      <c r="E1206" s="10"/>
      <c r="F1206" s="9"/>
      <c r="G1206" s="9"/>
      <c r="H1206" s="9"/>
      <c r="I1206" s="9"/>
      <c r="J1206" s="9"/>
      <c r="K1206" s="9"/>
      <c r="L1206" s="9"/>
      <c r="M1206" s="9"/>
      <c r="N1206" s="9"/>
      <c r="O1206" s="9"/>
      <c r="P1206" s="9"/>
      <c r="Q1206" s="9"/>
    </row>
    <row r="1207" spans="4:17" s="301" customFormat="1" ht="15" customHeight="1">
      <c r="D1207" s="10"/>
      <c r="E1207" s="10"/>
      <c r="F1207" s="9"/>
      <c r="G1207" s="9"/>
      <c r="H1207" s="9"/>
      <c r="I1207" s="9"/>
      <c r="J1207" s="9"/>
      <c r="K1207" s="9"/>
      <c r="L1207" s="9"/>
      <c r="M1207" s="9"/>
      <c r="N1207" s="9"/>
      <c r="O1207" s="9"/>
      <c r="P1207" s="9"/>
      <c r="Q1207" s="9"/>
    </row>
    <row r="1208" spans="4:17" s="301" customFormat="1" ht="15" customHeight="1">
      <c r="D1208" s="10"/>
      <c r="E1208" s="10"/>
      <c r="F1208" s="9"/>
      <c r="G1208" s="9"/>
      <c r="H1208" s="9"/>
      <c r="I1208" s="9"/>
      <c r="J1208" s="9"/>
      <c r="K1208" s="9"/>
      <c r="L1208" s="9"/>
      <c r="M1208" s="9"/>
      <c r="N1208" s="9"/>
      <c r="O1208" s="9"/>
      <c r="P1208" s="9"/>
      <c r="Q1208" s="9"/>
    </row>
    <row r="1209" spans="4:17" s="301" customFormat="1" ht="15" customHeight="1">
      <c r="D1209" s="10"/>
      <c r="E1209" s="10"/>
      <c r="F1209" s="9"/>
      <c r="G1209" s="9"/>
      <c r="H1209" s="9"/>
      <c r="I1209" s="9"/>
      <c r="J1209" s="9"/>
      <c r="K1209" s="9"/>
      <c r="L1209" s="9"/>
      <c r="M1209" s="9"/>
      <c r="N1209" s="9"/>
      <c r="O1209" s="9"/>
      <c r="P1209" s="9"/>
      <c r="Q1209" s="9"/>
    </row>
    <row r="1210" spans="4:17" s="301" customFormat="1" ht="15" customHeight="1">
      <c r="D1210" s="10"/>
      <c r="E1210" s="10"/>
      <c r="F1210" s="9"/>
      <c r="G1210" s="9"/>
      <c r="H1210" s="9"/>
      <c r="I1210" s="9"/>
      <c r="J1210" s="9"/>
      <c r="K1210" s="9"/>
      <c r="L1210" s="9"/>
      <c r="M1210" s="9"/>
      <c r="N1210" s="9"/>
      <c r="O1210" s="9"/>
      <c r="P1210" s="9"/>
      <c r="Q1210" s="9"/>
    </row>
    <row r="1211" spans="4:17" s="301" customFormat="1" ht="15" customHeight="1">
      <c r="D1211" s="10"/>
      <c r="E1211" s="10"/>
      <c r="F1211" s="9"/>
      <c r="G1211" s="9"/>
      <c r="H1211" s="9"/>
      <c r="I1211" s="9"/>
      <c r="J1211" s="9"/>
      <c r="K1211" s="9"/>
      <c r="L1211" s="9"/>
      <c r="M1211" s="9"/>
      <c r="N1211" s="9"/>
      <c r="O1211" s="9"/>
      <c r="P1211" s="9"/>
      <c r="Q1211" s="9"/>
    </row>
    <row r="1212" spans="4:17" s="301" customFormat="1" ht="15" customHeight="1">
      <c r="D1212" s="10"/>
      <c r="E1212" s="10"/>
      <c r="F1212" s="9"/>
      <c r="G1212" s="9"/>
      <c r="H1212" s="9"/>
      <c r="I1212" s="9"/>
      <c r="J1212" s="9"/>
      <c r="K1212" s="9"/>
      <c r="L1212" s="9"/>
      <c r="M1212" s="9"/>
      <c r="N1212" s="9"/>
      <c r="O1212" s="9"/>
      <c r="P1212" s="9"/>
      <c r="Q1212" s="9"/>
    </row>
    <row r="1213" spans="4:17" s="301" customFormat="1" ht="15" customHeight="1">
      <c r="D1213" s="10"/>
      <c r="E1213" s="10"/>
      <c r="F1213" s="9"/>
      <c r="G1213" s="9"/>
      <c r="H1213" s="9"/>
      <c r="I1213" s="9"/>
      <c r="J1213" s="9"/>
      <c r="K1213" s="9"/>
      <c r="L1213" s="9"/>
      <c r="M1213" s="9"/>
      <c r="N1213" s="9"/>
      <c r="O1213" s="9"/>
      <c r="P1213" s="9"/>
      <c r="Q1213" s="9"/>
    </row>
    <row r="1214" spans="4:17" s="301" customFormat="1" ht="15" customHeight="1">
      <c r="D1214" s="10"/>
      <c r="E1214" s="10"/>
      <c r="F1214" s="9"/>
      <c r="G1214" s="9"/>
      <c r="H1214" s="9"/>
      <c r="I1214" s="9"/>
      <c r="J1214" s="9"/>
      <c r="K1214" s="9"/>
      <c r="L1214" s="9"/>
      <c r="M1214" s="9"/>
      <c r="N1214" s="9"/>
      <c r="O1214" s="9"/>
      <c r="P1214" s="9"/>
      <c r="Q1214" s="9"/>
    </row>
    <row r="1215" spans="4:17" s="301" customFormat="1" ht="15" customHeight="1">
      <c r="D1215" s="10"/>
      <c r="E1215" s="10"/>
      <c r="F1215" s="9"/>
      <c r="G1215" s="9"/>
      <c r="H1215" s="9"/>
      <c r="I1215" s="9"/>
      <c r="J1215" s="9"/>
      <c r="K1215" s="9"/>
      <c r="L1215" s="9"/>
      <c r="M1215" s="9"/>
      <c r="N1215" s="9"/>
      <c r="O1215" s="9"/>
      <c r="P1215" s="9"/>
      <c r="Q1215" s="9"/>
    </row>
    <row r="1216" spans="4:17" s="301" customFormat="1" ht="15" customHeight="1">
      <c r="D1216" s="10"/>
      <c r="E1216" s="10"/>
      <c r="F1216" s="9"/>
      <c r="G1216" s="9"/>
      <c r="H1216" s="9"/>
      <c r="I1216" s="9"/>
      <c r="J1216" s="9"/>
      <c r="K1216" s="9"/>
      <c r="L1216" s="9"/>
      <c r="M1216" s="9"/>
      <c r="N1216" s="9"/>
      <c r="O1216" s="9"/>
      <c r="P1216" s="9"/>
      <c r="Q1216" s="9"/>
    </row>
    <row r="1217" spans="4:17" s="301" customFormat="1" ht="15" customHeight="1">
      <c r="D1217" s="10"/>
      <c r="E1217" s="10"/>
      <c r="F1217" s="9"/>
      <c r="G1217" s="9"/>
      <c r="H1217" s="9"/>
      <c r="I1217" s="9"/>
      <c r="J1217" s="9"/>
      <c r="K1217" s="9"/>
      <c r="L1217" s="9"/>
      <c r="M1217" s="9"/>
      <c r="N1217" s="9"/>
      <c r="O1217" s="9"/>
      <c r="P1217" s="9"/>
      <c r="Q1217" s="9"/>
    </row>
    <row r="1218" spans="4:17" s="301" customFormat="1" ht="15" customHeight="1">
      <c r="D1218" s="10"/>
      <c r="E1218" s="10"/>
      <c r="F1218" s="9"/>
      <c r="G1218" s="9"/>
      <c r="H1218" s="9"/>
      <c r="I1218" s="9"/>
      <c r="J1218" s="9"/>
      <c r="K1218" s="9"/>
      <c r="L1218" s="9"/>
      <c r="M1218" s="9"/>
      <c r="N1218" s="9"/>
      <c r="O1218" s="9"/>
      <c r="P1218" s="9"/>
      <c r="Q1218" s="9"/>
    </row>
    <row r="1219" spans="4:17" s="301" customFormat="1" ht="15" customHeight="1">
      <c r="D1219" s="10"/>
      <c r="E1219" s="10"/>
      <c r="F1219" s="9"/>
      <c r="G1219" s="9"/>
      <c r="H1219" s="9"/>
      <c r="I1219" s="9"/>
      <c r="J1219" s="9"/>
      <c r="K1219" s="9"/>
      <c r="L1219" s="9"/>
      <c r="M1219" s="9"/>
      <c r="N1219" s="9"/>
      <c r="O1219" s="9"/>
      <c r="P1219" s="9"/>
      <c r="Q1219" s="9"/>
    </row>
    <row r="1220" spans="4:17" s="301" customFormat="1" ht="15" customHeight="1">
      <c r="D1220" s="10"/>
      <c r="E1220" s="10"/>
      <c r="F1220" s="9"/>
      <c r="G1220" s="9"/>
      <c r="H1220" s="9"/>
      <c r="I1220" s="9"/>
      <c r="J1220" s="9"/>
      <c r="K1220" s="9"/>
      <c r="L1220" s="9"/>
      <c r="M1220" s="9"/>
      <c r="N1220" s="9"/>
      <c r="O1220" s="9"/>
      <c r="P1220" s="9"/>
      <c r="Q1220" s="9"/>
    </row>
    <row r="1221" spans="4:17" s="301" customFormat="1" ht="15" customHeight="1">
      <c r="D1221" s="10"/>
      <c r="E1221" s="10"/>
      <c r="F1221" s="9"/>
      <c r="G1221" s="9"/>
      <c r="H1221" s="9"/>
      <c r="I1221" s="9"/>
      <c r="J1221" s="9"/>
      <c r="K1221" s="9"/>
      <c r="L1221" s="9"/>
      <c r="M1221" s="9"/>
      <c r="N1221" s="9"/>
      <c r="O1221" s="9"/>
      <c r="P1221" s="9"/>
      <c r="Q1221" s="9"/>
    </row>
    <row r="1222" spans="4:17" s="301" customFormat="1" ht="15" customHeight="1">
      <c r="D1222" s="10"/>
      <c r="E1222" s="10"/>
      <c r="F1222" s="9"/>
      <c r="G1222" s="9"/>
      <c r="H1222" s="9"/>
      <c r="I1222" s="9"/>
      <c r="J1222" s="9"/>
      <c r="K1222" s="9"/>
      <c r="L1222" s="9"/>
      <c r="M1222" s="9"/>
      <c r="N1222" s="9"/>
      <c r="O1222" s="9"/>
      <c r="P1222" s="9"/>
      <c r="Q1222" s="9"/>
    </row>
    <row r="1223" spans="4:17" s="301" customFormat="1" ht="15" customHeight="1">
      <c r="D1223" s="10"/>
      <c r="E1223" s="10"/>
      <c r="F1223" s="9"/>
      <c r="G1223" s="9"/>
      <c r="H1223" s="9"/>
      <c r="I1223" s="9"/>
      <c r="J1223" s="9"/>
      <c r="K1223" s="9"/>
      <c r="L1223" s="9"/>
      <c r="M1223" s="9"/>
      <c r="N1223" s="9"/>
      <c r="O1223" s="9"/>
      <c r="P1223" s="9"/>
      <c r="Q1223" s="9"/>
    </row>
    <row r="1224" spans="4:17" s="301" customFormat="1" ht="15" customHeight="1">
      <c r="D1224" s="10"/>
      <c r="E1224" s="10"/>
      <c r="F1224" s="9"/>
      <c r="G1224" s="9"/>
      <c r="H1224" s="9"/>
      <c r="I1224" s="9"/>
      <c r="J1224" s="9"/>
      <c r="K1224" s="9"/>
      <c r="L1224" s="9"/>
      <c r="M1224" s="9"/>
      <c r="N1224" s="9"/>
      <c r="O1224" s="9"/>
      <c r="P1224" s="9"/>
      <c r="Q1224" s="9"/>
    </row>
    <row r="1225" spans="4:17" s="301" customFormat="1" ht="15" customHeight="1">
      <c r="D1225" s="10"/>
      <c r="E1225" s="10"/>
      <c r="F1225" s="9"/>
      <c r="G1225" s="9"/>
      <c r="H1225" s="9"/>
      <c r="I1225" s="9"/>
      <c r="J1225" s="9"/>
      <c r="K1225" s="9"/>
      <c r="L1225" s="9"/>
      <c r="M1225" s="9"/>
      <c r="N1225" s="9"/>
      <c r="O1225" s="9"/>
      <c r="P1225" s="9"/>
      <c r="Q1225" s="9"/>
    </row>
    <row r="1226" spans="4:17" s="301" customFormat="1" ht="15" customHeight="1">
      <c r="D1226" s="10"/>
      <c r="E1226" s="10"/>
      <c r="F1226" s="9"/>
      <c r="G1226" s="9"/>
      <c r="H1226" s="9"/>
      <c r="I1226" s="9"/>
      <c r="J1226" s="9"/>
      <c r="K1226" s="9"/>
      <c r="L1226" s="9"/>
      <c r="M1226" s="9"/>
      <c r="N1226" s="9"/>
      <c r="O1226" s="9"/>
      <c r="P1226" s="9"/>
      <c r="Q1226" s="9"/>
    </row>
    <row r="1227" spans="4:17" s="301" customFormat="1" ht="15" customHeight="1">
      <c r="D1227" s="10"/>
      <c r="E1227" s="10"/>
      <c r="F1227" s="9"/>
      <c r="G1227" s="9"/>
      <c r="H1227" s="9"/>
      <c r="I1227" s="9"/>
      <c r="J1227" s="9"/>
      <c r="K1227" s="9"/>
      <c r="L1227" s="9"/>
      <c r="M1227" s="9"/>
      <c r="N1227" s="9"/>
      <c r="O1227" s="9"/>
      <c r="P1227" s="9"/>
      <c r="Q1227" s="9"/>
    </row>
    <row r="1228" spans="4:17" s="301" customFormat="1" ht="15" customHeight="1">
      <c r="D1228" s="10"/>
      <c r="E1228" s="10"/>
      <c r="F1228" s="9"/>
      <c r="G1228" s="9"/>
      <c r="H1228" s="9"/>
      <c r="I1228" s="9"/>
      <c r="J1228" s="9"/>
      <c r="K1228" s="9"/>
      <c r="L1228" s="9"/>
      <c r="M1228" s="9"/>
      <c r="N1228" s="9"/>
      <c r="O1228" s="9"/>
      <c r="P1228" s="9"/>
      <c r="Q1228" s="9"/>
    </row>
    <row r="1229" spans="4:17" s="301" customFormat="1" ht="15" customHeight="1">
      <c r="D1229" s="10"/>
      <c r="E1229" s="10"/>
      <c r="F1229" s="9"/>
      <c r="G1229" s="9"/>
      <c r="H1229" s="9"/>
      <c r="I1229" s="9"/>
      <c r="J1229" s="9"/>
      <c r="K1229" s="9"/>
      <c r="L1229" s="9"/>
      <c r="M1229" s="9"/>
      <c r="N1229" s="9"/>
      <c r="O1229" s="9"/>
      <c r="P1229" s="9"/>
      <c r="Q1229" s="9"/>
    </row>
    <row r="1230" spans="4:17" s="301" customFormat="1" ht="15" customHeight="1">
      <c r="D1230" s="10"/>
      <c r="E1230" s="10"/>
      <c r="F1230" s="9"/>
      <c r="G1230" s="9"/>
      <c r="H1230" s="9"/>
      <c r="I1230" s="9"/>
      <c r="J1230" s="9"/>
      <c r="K1230" s="9"/>
      <c r="L1230" s="9"/>
      <c r="M1230" s="9"/>
      <c r="N1230" s="9"/>
      <c r="O1230" s="9"/>
      <c r="P1230" s="9"/>
      <c r="Q1230" s="9"/>
    </row>
    <row r="1231" spans="4:17" s="301" customFormat="1" ht="15" customHeight="1">
      <c r="D1231" s="10"/>
      <c r="E1231" s="10"/>
      <c r="F1231" s="9"/>
      <c r="G1231" s="9"/>
      <c r="H1231" s="9"/>
      <c r="I1231" s="9"/>
      <c r="J1231" s="9"/>
      <c r="K1231" s="9"/>
      <c r="L1231" s="9"/>
      <c r="M1231" s="9"/>
      <c r="N1231" s="9"/>
      <c r="O1231" s="9"/>
      <c r="P1231" s="9"/>
      <c r="Q1231" s="9"/>
    </row>
    <row r="1232" spans="4:17" s="301" customFormat="1" ht="15" customHeight="1">
      <c r="D1232" s="10"/>
      <c r="E1232" s="10"/>
      <c r="F1232" s="9"/>
      <c r="G1232" s="9"/>
      <c r="H1232" s="9"/>
      <c r="I1232" s="9"/>
      <c r="J1232" s="9"/>
      <c r="K1232" s="9"/>
      <c r="L1232" s="9"/>
      <c r="M1232" s="9"/>
      <c r="N1232" s="9"/>
      <c r="O1232" s="9"/>
      <c r="P1232" s="9"/>
      <c r="Q1232" s="9"/>
    </row>
    <row r="1233" spans="4:17" s="301" customFormat="1" ht="15" customHeight="1">
      <c r="D1233" s="10"/>
      <c r="E1233" s="10"/>
      <c r="F1233" s="9"/>
      <c r="G1233" s="9"/>
      <c r="H1233" s="9"/>
      <c r="I1233" s="9"/>
      <c r="J1233" s="9"/>
      <c r="K1233" s="9"/>
      <c r="L1233" s="9"/>
      <c r="M1233" s="9"/>
      <c r="N1233" s="9"/>
      <c r="O1233" s="9"/>
      <c r="P1233" s="9"/>
      <c r="Q1233" s="9"/>
    </row>
    <row r="1234" spans="4:17" s="301" customFormat="1" ht="15" customHeight="1">
      <c r="D1234" s="10"/>
      <c r="E1234" s="10"/>
      <c r="F1234" s="9"/>
      <c r="G1234" s="9"/>
      <c r="H1234" s="9"/>
      <c r="I1234" s="9"/>
      <c r="J1234" s="9"/>
      <c r="K1234" s="9"/>
      <c r="L1234" s="9"/>
      <c r="M1234" s="9"/>
      <c r="N1234" s="9"/>
      <c r="O1234" s="9"/>
      <c r="P1234" s="9"/>
      <c r="Q1234" s="9"/>
    </row>
    <row r="1235" spans="4:17" s="301" customFormat="1" ht="15" customHeight="1">
      <c r="D1235" s="10"/>
      <c r="E1235" s="10"/>
      <c r="F1235" s="9"/>
      <c r="G1235" s="9"/>
      <c r="H1235" s="9"/>
      <c r="I1235" s="9"/>
      <c r="J1235" s="9"/>
      <c r="K1235" s="9"/>
      <c r="L1235" s="9"/>
      <c r="M1235" s="9"/>
      <c r="N1235" s="9"/>
      <c r="O1235" s="9"/>
      <c r="P1235" s="9"/>
      <c r="Q1235" s="9"/>
    </row>
    <row r="1236" spans="4:17" s="301" customFormat="1" ht="15" customHeight="1">
      <c r="D1236" s="10"/>
      <c r="E1236" s="10"/>
      <c r="F1236" s="9"/>
      <c r="G1236" s="9"/>
      <c r="H1236" s="9"/>
      <c r="I1236" s="9"/>
      <c r="J1236" s="9"/>
      <c r="K1236" s="9"/>
      <c r="L1236" s="9"/>
      <c r="M1236" s="9"/>
      <c r="N1236" s="9"/>
      <c r="O1236" s="9"/>
      <c r="P1236" s="9"/>
      <c r="Q1236" s="9"/>
    </row>
    <row r="1237" spans="4:17" s="301" customFormat="1" ht="15" customHeight="1">
      <c r="D1237" s="10"/>
      <c r="E1237" s="10"/>
      <c r="F1237" s="9"/>
      <c r="G1237" s="9"/>
      <c r="H1237" s="9"/>
      <c r="I1237" s="9"/>
      <c r="J1237" s="9"/>
      <c r="K1237" s="9"/>
      <c r="L1237" s="9"/>
      <c r="M1237" s="9"/>
      <c r="N1237" s="9"/>
      <c r="O1237" s="9"/>
      <c r="P1237" s="9"/>
      <c r="Q1237" s="9"/>
    </row>
    <row r="1238" spans="4:17" s="301" customFormat="1" ht="15" customHeight="1">
      <c r="D1238" s="10"/>
      <c r="E1238" s="10"/>
      <c r="F1238" s="9"/>
      <c r="G1238" s="9"/>
      <c r="H1238" s="9"/>
      <c r="I1238" s="9"/>
      <c r="J1238" s="9"/>
      <c r="K1238" s="9"/>
      <c r="L1238" s="9"/>
      <c r="M1238" s="9"/>
      <c r="N1238" s="9"/>
      <c r="O1238" s="9"/>
      <c r="P1238" s="9"/>
      <c r="Q1238" s="9"/>
    </row>
    <row r="1239" spans="4:17" s="301" customFormat="1" ht="15" customHeight="1">
      <c r="D1239" s="10"/>
      <c r="E1239" s="10"/>
      <c r="F1239" s="9"/>
      <c r="G1239" s="9"/>
      <c r="H1239" s="9"/>
      <c r="I1239" s="9"/>
      <c r="J1239" s="9"/>
      <c r="K1239" s="9"/>
      <c r="L1239" s="9"/>
      <c r="M1239" s="9"/>
      <c r="N1239" s="9"/>
      <c r="O1239" s="9"/>
      <c r="P1239" s="9"/>
      <c r="Q1239" s="9"/>
    </row>
    <row r="1240" spans="4:17" s="301" customFormat="1" ht="15" customHeight="1">
      <c r="D1240" s="10"/>
      <c r="E1240" s="10"/>
      <c r="F1240" s="9"/>
      <c r="G1240" s="9"/>
      <c r="H1240" s="9"/>
      <c r="I1240" s="9"/>
      <c r="J1240" s="9"/>
      <c r="K1240" s="9"/>
      <c r="L1240" s="9"/>
      <c r="M1240" s="9"/>
      <c r="N1240" s="9"/>
      <c r="O1240" s="9"/>
      <c r="P1240" s="9"/>
      <c r="Q1240" s="9"/>
    </row>
    <row r="1241" spans="4:17" s="301" customFormat="1" ht="15" customHeight="1">
      <c r="D1241" s="10"/>
      <c r="E1241" s="10"/>
      <c r="F1241" s="9"/>
      <c r="G1241" s="9"/>
      <c r="H1241" s="9"/>
      <c r="I1241" s="9"/>
      <c r="J1241" s="9"/>
      <c r="K1241" s="9"/>
      <c r="L1241" s="9"/>
      <c r="M1241" s="9"/>
      <c r="N1241" s="9"/>
      <c r="O1241" s="9"/>
      <c r="P1241" s="9"/>
      <c r="Q1241" s="9"/>
    </row>
    <row r="1242" spans="4:17" s="301" customFormat="1" ht="15" customHeight="1">
      <c r="D1242" s="10"/>
      <c r="E1242" s="10"/>
      <c r="F1242" s="9"/>
      <c r="G1242" s="9"/>
      <c r="H1242" s="9"/>
      <c r="I1242" s="9"/>
      <c r="J1242" s="9"/>
      <c r="K1242" s="9"/>
      <c r="L1242" s="9"/>
      <c r="M1242" s="9"/>
      <c r="N1242" s="9"/>
      <c r="O1242" s="9"/>
      <c r="P1242" s="9"/>
      <c r="Q1242" s="9"/>
    </row>
    <row r="1243" spans="4:17" s="301" customFormat="1" ht="15" customHeight="1">
      <c r="D1243" s="10"/>
      <c r="E1243" s="10"/>
      <c r="F1243" s="9"/>
      <c r="G1243" s="9"/>
      <c r="H1243" s="9"/>
      <c r="I1243" s="9"/>
      <c r="J1243" s="9"/>
      <c r="K1243" s="9"/>
      <c r="L1243" s="9"/>
      <c r="M1243" s="9"/>
      <c r="N1243" s="9"/>
      <c r="O1243" s="9"/>
      <c r="P1243" s="9"/>
      <c r="Q1243" s="9"/>
    </row>
    <row r="1244" spans="4:17" s="301" customFormat="1" ht="15" customHeight="1">
      <c r="D1244" s="10"/>
      <c r="E1244" s="10"/>
      <c r="F1244" s="9"/>
      <c r="G1244" s="9"/>
      <c r="H1244" s="9"/>
      <c r="I1244" s="9"/>
      <c r="J1244" s="9"/>
      <c r="K1244" s="9"/>
      <c r="L1244" s="9"/>
      <c r="M1244" s="9"/>
      <c r="N1244" s="9"/>
      <c r="O1244" s="9"/>
      <c r="P1244" s="9"/>
      <c r="Q1244" s="9"/>
    </row>
    <row r="1245" spans="4:17" s="301" customFormat="1" ht="15" customHeight="1">
      <c r="D1245" s="10"/>
      <c r="E1245" s="10"/>
      <c r="F1245" s="9"/>
      <c r="G1245" s="9"/>
      <c r="H1245" s="9"/>
      <c r="I1245" s="9"/>
      <c r="J1245" s="9"/>
      <c r="K1245" s="9"/>
      <c r="L1245" s="9"/>
      <c r="M1245" s="9"/>
      <c r="N1245" s="9"/>
      <c r="O1245" s="9"/>
      <c r="P1245" s="9"/>
      <c r="Q1245" s="9"/>
    </row>
    <row r="1246" spans="4:17" s="301" customFormat="1" ht="15" customHeight="1">
      <c r="D1246" s="10"/>
      <c r="E1246" s="10"/>
      <c r="F1246" s="9"/>
      <c r="G1246" s="9"/>
      <c r="H1246" s="9"/>
      <c r="I1246" s="9"/>
      <c r="J1246" s="9"/>
      <c r="K1246" s="9"/>
      <c r="L1246" s="9"/>
      <c r="M1246" s="9"/>
      <c r="N1246" s="9"/>
      <c r="O1246" s="9"/>
      <c r="P1246" s="9"/>
      <c r="Q1246" s="9"/>
    </row>
    <row r="1247" spans="4:17" s="301" customFormat="1" ht="15" customHeight="1">
      <c r="D1247" s="10"/>
      <c r="E1247" s="10"/>
      <c r="F1247" s="9"/>
      <c r="G1247" s="9"/>
      <c r="H1247" s="9"/>
      <c r="I1247" s="9"/>
      <c r="J1247" s="9"/>
      <c r="K1247" s="9"/>
      <c r="L1247" s="9"/>
      <c r="M1247" s="9"/>
      <c r="N1247" s="9"/>
      <c r="O1247" s="9"/>
      <c r="P1247" s="9"/>
      <c r="Q1247" s="9"/>
    </row>
    <row r="1248" spans="4:17" s="301" customFormat="1" ht="15" customHeight="1">
      <c r="D1248" s="10"/>
      <c r="E1248" s="10"/>
      <c r="F1248" s="9"/>
      <c r="G1248" s="9"/>
      <c r="H1248" s="9"/>
      <c r="I1248" s="9"/>
      <c r="J1248" s="9"/>
      <c r="K1248" s="9"/>
      <c r="L1248" s="9"/>
      <c r="M1248" s="9"/>
      <c r="N1248" s="9"/>
      <c r="O1248" s="9"/>
      <c r="P1248" s="9"/>
      <c r="Q1248" s="9"/>
    </row>
    <row r="1249" spans="4:17" s="301" customFormat="1" ht="15" customHeight="1">
      <c r="D1249" s="10"/>
      <c r="E1249" s="10"/>
      <c r="F1249" s="9"/>
      <c r="G1249" s="9"/>
      <c r="H1249" s="9"/>
      <c r="I1249" s="9"/>
      <c r="J1249" s="9"/>
      <c r="K1249" s="9"/>
      <c r="L1249" s="9"/>
      <c r="M1249" s="9"/>
      <c r="N1249" s="9"/>
      <c r="O1249" s="9"/>
      <c r="P1249" s="9"/>
      <c r="Q1249" s="9"/>
    </row>
    <row r="1250" spans="4:17" s="301" customFormat="1" ht="15" customHeight="1">
      <c r="D1250" s="10"/>
      <c r="E1250" s="10"/>
      <c r="F1250" s="9"/>
      <c r="G1250" s="9"/>
      <c r="H1250" s="9"/>
      <c r="I1250" s="9"/>
      <c r="J1250" s="9"/>
      <c r="K1250" s="9"/>
      <c r="L1250" s="9"/>
      <c r="M1250" s="9"/>
      <c r="N1250" s="9"/>
      <c r="O1250" s="9"/>
      <c r="P1250" s="9"/>
      <c r="Q1250" s="9"/>
    </row>
    <row r="1251" spans="4:17" s="301" customFormat="1" ht="15" customHeight="1">
      <c r="D1251" s="10"/>
      <c r="E1251" s="10"/>
      <c r="F1251" s="9"/>
      <c r="G1251" s="9"/>
      <c r="H1251" s="9"/>
      <c r="I1251" s="9"/>
      <c r="J1251" s="9"/>
      <c r="K1251" s="9"/>
      <c r="L1251" s="9"/>
      <c r="M1251" s="9"/>
      <c r="N1251" s="9"/>
      <c r="O1251" s="9"/>
      <c r="P1251" s="9"/>
      <c r="Q1251" s="9"/>
    </row>
    <row r="1252" spans="4:17" s="301" customFormat="1" ht="15" customHeight="1">
      <c r="D1252" s="10"/>
      <c r="E1252" s="10"/>
      <c r="F1252" s="9"/>
      <c r="G1252" s="9"/>
      <c r="H1252" s="9"/>
      <c r="I1252" s="9"/>
      <c r="J1252" s="9"/>
      <c r="K1252" s="9"/>
      <c r="L1252" s="9"/>
      <c r="M1252" s="9"/>
      <c r="N1252" s="9"/>
      <c r="O1252" s="9"/>
      <c r="P1252" s="9"/>
      <c r="Q1252" s="9"/>
    </row>
    <row r="1253" spans="4:17" s="301" customFormat="1" ht="15" customHeight="1">
      <c r="D1253" s="10"/>
      <c r="E1253" s="10"/>
      <c r="F1253" s="9"/>
      <c r="G1253" s="9"/>
      <c r="H1253" s="9"/>
      <c r="I1253" s="9"/>
      <c r="J1253" s="9"/>
      <c r="K1253" s="9"/>
      <c r="L1253" s="9"/>
      <c r="M1253" s="9"/>
      <c r="N1253" s="9"/>
      <c r="O1253" s="9"/>
      <c r="P1253" s="9"/>
      <c r="Q1253" s="9"/>
    </row>
    <row r="1254" spans="4:17" s="301" customFormat="1" ht="15" customHeight="1">
      <c r="D1254" s="10"/>
      <c r="E1254" s="10"/>
      <c r="F1254" s="9"/>
      <c r="G1254" s="9"/>
      <c r="H1254" s="9"/>
      <c r="I1254" s="9"/>
      <c r="J1254" s="9"/>
      <c r="K1254" s="9"/>
      <c r="L1254" s="9"/>
      <c r="M1254" s="9"/>
      <c r="N1254" s="9"/>
      <c r="O1254" s="9"/>
      <c r="P1254" s="9"/>
      <c r="Q1254" s="9"/>
    </row>
    <row r="1255" spans="4:17" s="301" customFormat="1" ht="15" customHeight="1">
      <c r="D1255" s="10"/>
      <c r="E1255" s="10"/>
      <c r="F1255" s="9"/>
      <c r="G1255" s="9"/>
      <c r="H1255" s="9"/>
      <c r="I1255" s="9"/>
      <c r="J1255" s="9"/>
      <c r="K1255" s="9"/>
      <c r="L1255" s="9"/>
      <c r="M1255" s="9"/>
      <c r="N1255" s="9"/>
      <c r="O1255" s="9"/>
      <c r="P1255" s="9"/>
      <c r="Q1255" s="9"/>
    </row>
    <row r="1256" spans="4:17" s="301" customFormat="1" ht="15" customHeight="1">
      <c r="D1256" s="10"/>
      <c r="E1256" s="10"/>
      <c r="F1256" s="9"/>
      <c r="G1256" s="9"/>
      <c r="H1256" s="9"/>
      <c r="I1256" s="9"/>
      <c r="J1256" s="9"/>
      <c r="K1256" s="9"/>
      <c r="L1256" s="9"/>
      <c r="M1256" s="9"/>
      <c r="N1256" s="9"/>
      <c r="O1256" s="9"/>
      <c r="P1256" s="9"/>
      <c r="Q1256" s="9"/>
    </row>
    <row r="1257" spans="4:17" s="301" customFormat="1" ht="15" customHeight="1">
      <c r="D1257" s="10"/>
      <c r="E1257" s="10"/>
      <c r="F1257" s="9"/>
      <c r="G1257" s="9"/>
      <c r="H1257" s="9"/>
      <c r="I1257" s="9"/>
      <c r="J1257" s="9"/>
      <c r="K1257" s="9"/>
      <c r="L1257" s="9"/>
      <c r="M1257" s="9"/>
      <c r="N1257" s="9"/>
      <c r="O1257" s="9"/>
      <c r="P1257" s="9"/>
      <c r="Q1257" s="9"/>
    </row>
    <row r="1258" spans="4:17" s="301" customFormat="1" ht="15" customHeight="1">
      <c r="D1258" s="10"/>
      <c r="E1258" s="10"/>
      <c r="F1258" s="9"/>
      <c r="G1258" s="9"/>
      <c r="H1258" s="9"/>
      <c r="I1258" s="9"/>
      <c r="J1258" s="9"/>
      <c r="K1258" s="9"/>
      <c r="L1258" s="9"/>
      <c r="M1258" s="9"/>
      <c r="N1258" s="9"/>
      <c r="O1258" s="9"/>
      <c r="P1258" s="9"/>
      <c r="Q1258" s="9"/>
    </row>
    <row r="1259" spans="4:17" s="301" customFormat="1" ht="15" customHeight="1">
      <c r="D1259" s="10"/>
      <c r="E1259" s="10"/>
      <c r="F1259" s="9"/>
      <c r="G1259" s="9"/>
      <c r="H1259" s="9"/>
      <c r="I1259" s="9"/>
      <c r="J1259" s="9"/>
      <c r="K1259" s="9"/>
      <c r="L1259" s="9"/>
      <c r="M1259" s="9"/>
      <c r="N1259" s="9"/>
      <c r="O1259" s="9"/>
      <c r="P1259" s="9"/>
      <c r="Q1259" s="9"/>
    </row>
    <row r="1260" spans="4:17" s="301" customFormat="1" ht="15" customHeight="1">
      <c r="D1260" s="10"/>
      <c r="E1260" s="10"/>
      <c r="F1260" s="9"/>
      <c r="G1260" s="9"/>
      <c r="H1260" s="9"/>
      <c r="I1260" s="9"/>
      <c r="J1260" s="9"/>
      <c r="K1260" s="9"/>
      <c r="L1260" s="9"/>
      <c r="M1260" s="9"/>
      <c r="N1260" s="9"/>
      <c r="O1260" s="9"/>
      <c r="P1260" s="9"/>
      <c r="Q1260" s="9"/>
    </row>
    <row r="1261" spans="4:17" s="301" customFormat="1" ht="15" customHeight="1">
      <c r="D1261" s="10"/>
      <c r="E1261" s="10"/>
      <c r="F1261" s="9"/>
      <c r="G1261" s="9"/>
      <c r="H1261" s="9"/>
      <c r="I1261" s="9"/>
      <c r="J1261" s="9"/>
      <c r="K1261" s="9"/>
      <c r="L1261" s="9"/>
      <c r="M1261" s="9"/>
      <c r="N1261" s="9"/>
      <c r="O1261" s="9"/>
      <c r="P1261" s="9"/>
      <c r="Q1261" s="9"/>
    </row>
    <row r="1262" spans="4:17" s="301" customFormat="1" ht="15" customHeight="1">
      <c r="D1262" s="10"/>
      <c r="E1262" s="10"/>
      <c r="F1262" s="9"/>
      <c r="G1262" s="9"/>
      <c r="H1262" s="9"/>
      <c r="I1262" s="9"/>
      <c r="J1262" s="9"/>
      <c r="K1262" s="9"/>
      <c r="L1262" s="9"/>
      <c r="M1262" s="9"/>
      <c r="N1262" s="9"/>
      <c r="O1262" s="9"/>
      <c r="P1262" s="9"/>
      <c r="Q1262" s="9"/>
    </row>
    <row r="1263" spans="4:17" s="301" customFormat="1" ht="15" customHeight="1">
      <c r="D1263" s="10"/>
      <c r="E1263" s="10"/>
      <c r="F1263" s="9"/>
      <c r="G1263" s="9"/>
      <c r="H1263" s="9"/>
      <c r="I1263" s="9"/>
      <c r="J1263" s="9"/>
      <c r="K1263" s="9"/>
      <c r="L1263" s="9"/>
      <c r="M1263" s="9"/>
      <c r="N1263" s="9"/>
      <c r="O1263" s="9"/>
      <c r="P1263" s="9"/>
      <c r="Q1263" s="9"/>
    </row>
    <row r="1264" spans="4:17" s="301" customFormat="1" ht="15" customHeight="1">
      <c r="D1264" s="10"/>
      <c r="E1264" s="10"/>
      <c r="F1264" s="9"/>
      <c r="G1264" s="9"/>
      <c r="H1264" s="9"/>
      <c r="I1264" s="9"/>
      <c r="J1264" s="9"/>
      <c r="K1264" s="9"/>
      <c r="L1264" s="9"/>
      <c r="M1264" s="9"/>
      <c r="N1264" s="9"/>
      <c r="O1264" s="9"/>
      <c r="P1264" s="9"/>
      <c r="Q1264" s="9"/>
    </row>
    <row r="1265" spans="4:17" s="301" customFormat="1" ht="15" customHeight="1">
      <c r="D1265" s="10"/>
      <c r="E1265" s="10"/>
      <c r="F1265" s="9"/>
      <c r="G1265" s="9"/>
      <c r="H1265" s="9"/>
      <c r="I1265" s="9"/>
      <c r="J1265" s="9"/>
      <c r="K1265" s="9"/>
      <c r="L1265" s="9"/>
      <c r="M1265" s="9"/>
      <c r="N1265" s="9"/>
      <c r="O1265" s="9"/>
      <c r="P1265" s="9"/>
      <c r="Q1265" s="9"/>
    </row>
    <row r="1266" spans="4:17" s="301" customFormat="1" ht="15" customHeight="1">
      <c r="D1266" s="10"/>
      <c r="E1266" s="10"/>
      <c r="F1266" s="9"/>
      <c r="G1266" s="9"/>
      <c r="H1266" s="9"/>
      <c r="I1266" s="9"/>
      <c r="J1266" s="9"/>
      <c r="K1266" s="9"/>
      <c r="L1266" s="9"/>
      <c r="M1266" s="9"/>
      <c r="N1266" s="9"/>
      <c r="O1266" s="9"/>
      <c r="P1266" s="9"/>
      <c r="Q1266" s="9"/>
    </row>
    <row r="1267" spans="4:17" s="301" customFormat="1" ht="15" customHeight="1">
      <c r="D1267" s="10"/>
      <c r="E1267" s="10"/>
      <c r="F1267" s="9"/>
      <c r="G1267" s="9"/>
      <c r="H1267" s="9"/>
      <c r="I1267" s="9"/>
      <c r="J1267" s="9"/>
      <c r="K1267" s="9"/>
      <c r="L1267" s="9"/>
      <c r="M1267" s="9"/>
      <c r="N1267" s="9"/>
      <c r="O1267" s="9"/>
      <c r="P1267" s="9"/>
      <c r="Q1267" s="9"/>
    </row>
    <row r="1268" spans="4:17" s="301" customFormat="1" ht="15" customHeight="1">
      <c r="D1268" s="10"/>
      <c r="E1268" s="10"/>
      <c r="F1268" s="9"/>
      <c r="G1268" s="9"/>
      <c r="H1268" s="9"/>
      <c r="I1268" s="9"/>
      <c r="J1268" s="9"/>
      <c r="K1268" s="9"/>
      <c r="L1268" s="9"/>
      <c r="M1268" s="9"/>
      <c r="N1268" s="9"/>
      <c r="O1268" s="9"/>
      <c r="P1268" s="9"/>
      <c r="Q1268" s="9"/>
    </row>
    <row r="1269" spans="4:17" s="301" customFormat="1" ht="15" customHeight="1">
      <c r="D1269" s="10"/>
      <c r="E1269" s="10"/>
      <c r="F1269" s="9"/>
      <c r="G1269" s="9"/>
      <c r="H1269" s="9"/>
      <c r="I1269" s="9"/>
      <c r="J1269" s="9"/>
      <c r="K1269" s="9"/>
      <c r="L1269" s="9"/>
      <c r="M1269" s="9"/>
      <c r="N1269" s="9"/>
      <c r="O1269" s="9"/>
      <c r="P1269" s="9"/>
      <c r="Q1269" s="9"/>
    </row>
    <row r="1270" spans="4:17" s="301" customFormat="1" ht="15" customHeight="1">
      <c r="D1270" s="10"/>
      <c r="E1270" s="10"/>
      <c r="F1270" s="9"/>
      <c r="G1270" s="9"/>
      <c r="H1270" s="9"/>
      <c r="I1270" s="9"/>
      <c r="J1270" s="9"/>
      <c r="K1270" s="9"/>
      <c r="L1270" s="9"/>
      <c r="M1270" s="9"/>
      <c r="N1270" s="9"/>
      <c r="O1270" s="9"/>
      <c r="P1270" s="9"/>
      <c r="Q1270" s="9"/>
    </row>
  </sheetData>
  <sheetProtection algorithmName="SHA-512" hashValue="u2LV5mx/BlN2YIQNUwPQakr5yh7+wVhrdEcIAAKTInmHddOx0alBPIHe1v9P5Qt1YXLGROVYla7UOZd0XRCQTg==" saltValue="Gchkhkuedn290W23+drrXw==" spinCount="100000" sheet="1" objects="1" scenarios="1"/>
  <conditionalFormatting sqref="F7:Q7">
    <cfRule type="cellIs" dxfId="156" priority="3" operator="equal">
      <formula>0</formula>
    </cfRule>
  </conditionalFormatting>
  <conditionalFormatting sqref="C119:Q124">
    <cfRule type="colorScale" priority="2">
      <colorScale>
        <cfvo type="min"/>
        <cfvo type="percentile" val="50"/>
        <cfvo type="max"/>
        <color rgb="FFF8696B"/>
        <color rgb="FFFCFCFF"/>
        <color rgb="FF63BE7B"/>
      </colorScale>
    </cfRule>
  </conditionalFormatting>
  <conditionalFormatting sqref="C137:Q142">
    <cfRule type="colorScale" priority="1">
      <colorScale>
        <cfvo type="min"/>
        <cfvo type="percentile" val="50"/>
        <cfvo type="max"/>
        <color rgb="FFF8696B"/>
        <color rgb="FFFCFCFF"/>
        <color rgb="FF63BE7B"/>
      </colorScale>
    </cfRule>
  </conditionalFormatting>
  <pageMargins left="0.78740157480314965" right="0.78740157480314965" top="0.98425196850393704" bottom="0.98425196850393704" header="0.59055118110236227" footer="0.59055118110236227"/>
  <pageSetup paperSize="9" scale="44" fitToHeight="0" orientation="landscape" horizontalDpi="4294967293" verticalDpi="1200" r:id="rId1"/>
  <headerFooter scaleWithDoc="0">
    <oddHeader>&amp;C&amp;"Arial,Fett"&amp;18EEG Calculator</oddHeader>
    <oddFooter>&amp;LKontostandsberechnung&amp;C&amp;F  &amp;A  Seite &amp;P/&amp;N&amp;R&amp;D  &amp;T</oddFooter>
  </headerFooter>
  <rowBreaks count="1" manualBreakCount="1">
    <brk id="62"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tabColor rgb="FF00B0F0"/>
  </sheetPr>
  <dimension ref="A1:AI996"/>
  <sheetViews>
    <sheetView workbookViewId="0"/>
  </sheetViews>
  <sheetFormatPr baseColWidth="10" defaultColWidth="11.5703125" defaultRowHeight="12.75" outlineLevelCol="1"/>
  <cols>
    <col min="1" max="1" width="7.7109375" style="9" customWidth="1"/>
    <col min="2" max="2" width="26.28515625" style="301" hidden="1" customWidth="1" outlineLevel="1"/>
    <col min="3" max="3" width="20.7109375" style="10" hidden="1" customWidth="1" outlineLevel="1"/>
    <col min="4" max="4" width="4" style="29" customWidth="1" outlineLevel="1"/>
    <col min="5" max="5" width="74.5703125" style="36" customWidth="1"/>
    <col min="6" max="6" width="8" style="331" bestFit="1" customWidth="1"/>
    <col min="7" max="7" width="8.42578125" style="331" bestFit="1" customWidth="1"/>
    <col min="8" max="8" width="7.5703125" style="331" bestFit="1" customWidth="1"/>
    <col min="9" max="9" width="7.85546875" style="331" bestFit="1" customWidth="1"/>
    <col min="10" max="10" width="7.5703125" style="331" bestFit="1" customWidth="1"/>
    <col min="11" max="11" width="8.5703125" style="331" bestFit="1" customWidth="1"/>
    <col min="12" max="14" width="7.5703125" style="331" bestFit="1" customWidth="1"/>
    <col min="15" max="15" width="7.5703125" style="331" customWidth="1"/>
    <col min="16" max="16" width="7.85546875" style="331" customWidth="1"/>
    <col min="17" max="31" width="7.5703125" style="331" customWidth="1"/>
    <col min="32" max="33" width="8" style="9" hidden="1" customWidth="1" outlineLevel="1"/>
    <col min="34" max="34" width="41.28515625" style="9" customWidth="1" collapsed="1"/>
    <col min="35" max="35" width="13.7109375" style="9" bestFit="1" customWidth="1"/>
    <col min="36" max="16384" width="11.5703125" style="9"/>
  </cols>
  <sheetData>
    <row r="1" spans="1:34">
      <c r="A1" s="9" t="s">
        <v>183</v>
      </c>
      <c r="B1" s="20"/>
      <c r="C1" s="19"/>
      <c r="D1" s="28"/>
      <c r="E1" s="198" t="s">
        <v>657</v>
      </c>
    </row>
    <row r="2" spans="1:34" ht="47.25" customHeight="1">
      <c r="B2" s="10"/>
      <c r="E2" s="527" t="s">
        <v>219</v>
      </c>
    </row>
    <row r="3" spans="1:34">
      <c r="B3" s="10"/>
      <c r="E3" s="85"/>
    </row>
    <row r="4" spans="1:34">
      <c r="B4" s="10"/>
      <c r="E4" s="321"/>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row>
    <row r="5" spans="1:34">
      <c r="A5" s="938" t="s">
        <v>484</v>
      </c>
      <c r="B5" s="10"/>
      <c r="E5" s="195"/>
      <c r="F5" s="70">
        <v>2010</v>
      </c>
      <c r="G5" s="70">
        <v>2011</v>
      </c>
      <c r="H5" s="70">
        <v>2012</v>
      </c>
      <c r="I5" s="70">
        <v>2013</v>
      </c>
      <c r="J5" s="70">
        <v>2014</v>
      </c>
      <c r="K5" s="70">
        <v>2015</v>
      </c>
      <c r="L5" s="70">
        <v>2016</v>
      </c>
      <c r="M5" s="70">
        <v>2017</v>
      </c>
      <c r="N5" s="70">
        <v>2018</v>
      </c>
      <c r="O5" s="70">
        <v>2019</v>
      </c>
      <c r="P5" s="70">
        <v>2020</v>
      </c>
      <c r="Q5" s="70">
        <v>2021</v>
      </c>
      <c r="R5" s="70">
        <v>2022</v>
      </c>
      <c r="S5" s="70">
        <v>2023</v>
      </c>
      <c r="T5" s="70">
        <v>2024</v>
      </c>
      <c r="U5" s="70">
        <v>2025</v>
      </c>
      <c r="V5" s="70">
        <v>2026</v>
      </c>
      <c r="W5" s="70">
        <v>2027</v>
      </c>
      <c r="X5" s="70">
        <v>2028</v>
      </c>
      <c r="Y5" s="70">
        <v>2029</v>
      </c>
      <c r="Z5" s="70">
        <v>2030</v>
      </c>
      <c r="AA5" s="70">
        <v>2031</v>
      </c>
      <c r="AB5" s="70">
        <v>2032</v>
      </c>
      <c r="AC5" s="70">
        <v>2033</v>
      </c>
      <c r="AD5" s="70">
        <v>2034</v>
      </c>
      <c r="AE5" s="70">
        <v>2035</v>
      </c>
      <c r="AF5" s="9" t="s">
        <v>483</v>
      </c>
      <c r="AG5" s="9" t="s">
        <v>433</v>
      </c>
    </row>
    <row r="6" spans="1:34">
      <c r="B6" s="10"/>
      <c r="E6" s="199" t="s">
        <v>952</v>
      </c>
    </row>
    <row r="7" spans="1:34" s="301" customFormat="1">
      <c r="A7" s="561">
        <v>7</v>
      </c>
      <c r="C7" s="10"/>
      <c r="D7" s="29"/>
      <c r="E7" s="590" t="s">
        <v>469</v>
      </c>
    </row>
    <row r="8" spans="1:34" s="301" customFormat="1">
      <c r="A8" s="561">
        <v>8</v>
      </c>
      <c r="C8" s="10"/>
      <c r="D8" s="29"/>
      <c r="E8" s="206" t="s">
        <v>166</v>
      </c>
      <c r="F8" s="197">
        <v>2.0469999999999997</v>
      </c>
      <c r="G8" s="197">
        <v>3.5300000000000007</v>
      </c>
      <c r="H8" s="197">
        <v>3.5920000000000005</v>
      </c>
      <c r="I8" s="197">
        <v>5.2769999999999992</v>
      </c>
      <c r="J8" s="197">
        <v>6.2399999999999993</v>
      </c>
      <c r="K8" s="197">
        <v>6.1695706877643843</v>
      </c>
      <c r="L8" s="197">
        <v>6.3382686397238945</v>
      </c>
      <c r="M8" s="197">
        <v>6.8602264368703567</v>
      </c>
      <c r="N8" s="197">
        <v>6.7788048363237206</v>
      </c>
      <c r="O8" s="197">
        <v>6.406581826229905</v>
      </c>
      <c r="P8" s="197">
        <v>6.7581163138201807</v>
      </c>
      <c r="Q8" s="197">
        <v>6.5036153637169205</v>
      </c>
      <c r="R8" s="197">
        <v>3.7230827721473405</v>
      </c>
      <c r="S8" s="197">
        <v>2.2272344363967198</v>
      </c>
      <c r="T8" s="197">
        <v>3.997717348887194</v>
      </c>
      <c r="U8" s="197">
        <v>3.5327567363462515</v>
      </c>
      <c r="V8" s="197">
        <v>3.3456608408726511</v>
      </c>
      <c r="W8" s="197">
        <v>2.7477292039835279</v>
      </c>
      <c r="X8" s="197">
        <v>2.3631891682261594</v>
      </c>
      <c r="Y8" s="197">
        <v>1.9970413628901464</v>
      </c>
      <c r="Z8" s="197">
        <v>1.5260557430647477</v>
      </c>
      <c r="AA8" s="197">
        <v>0.92732335121019616</v>
      </c>
      <c r="AB8" s="197">
        <v>0.45098491127943902</v>
      </c>
      <c r="AC8" s="197">
        <v>0.26749493423098486</v>
      </c>
      <c r="AD8" s="197">
        <v>0.26273394437983666</v>
      </c>
      <c r="AE8" s="1032">
        <v>0.34336969445583421</v>
      </c>
      <c r="AF8" s="939"/>
      <c r="AG8" s="939"/>
      <c r="AH8" s="567"/>
    </row>
    <row r="9" spans="1:34" s="301" customFormat="1">
      <c r="A9" s="561">
        <v>9</v>
      </c>
      <c r="C9" s="10"/>
      <c r="D9" s="29"/>
      <c r="E9" s="204" t="s">
        <v>157</v>
      </c>
      <c r="F9" s="57">
        <v>0.12188854688</v>
      </c>
      <c r="G9" s="57">
        <v>5.7623056991530017E-2</v>
      </c>
      <c r="H9" s="57">
        <v>0.14606846574000004</v>
      </c>
      <c r="I9" s="57">
        <v>0.19491568635000001</v>
      </c>
      <c r="J9" s="57">
        <v>0.28466948240000001</v>
      </c>
      <c r="K9" s="57">
        <v>0.33879737999000004</v>
      </c>
      <c r="L9" s="57">
        <v>0.38709749236000002</v>
      </c>
      <c r="M9" s="57">
        <v>0.42404636424999992</v>
      </c>
      <c r="N9" s="57">
        <v>0.33617967500000001</v>
      </c>
      <c r="O9" s="57">
        <v>0.30603378476000004</v>
      </c>
      <c r="P9" s="57">
        <v>0.26585502989999993</v>
      </c>
      <c r="Q9" s="57">
        <v>0.33209319147999994</v>
      </c>
      <c r="R9" s="57">
        <v>0.15405119179999999</v>
      </c>
      <c r="S9" s="57">
        <v>7.2850887905401618E-2</v>
      </c>
      <c r="T9" s="57">
        <v>0.19288878527829945</v>
      </c>
      <c r="U9" s="57">
        <v>0.20165175324113038</v>
      </c>
      <c r="V9" s="57">
        <v>0.2108731335112316</v>
      </c>
      <c r="W9" s="57">
        <v>0.21441480661902546</v>
      </c>
      <c r="X9" s="57">
        <v>0.22177649766684715</v>
      </c>
      <c r="Y9" s="57">
        <v>0.22868825932424952</v>
      </c>
      <c r="Z9" s="57">
        <v>0.21594840351927369</v>
      </c>
      <c r="AA9" s="57">
        <v>0.21560026880961791</v>
      </c>
      <c r="AB9" s="57">
        <v>0.21164031051301152</v>
      </c>
      <c r="AC9" s="57">
        <v>0.20926461201464785</v>
      </c>
      <c r="AD9" s="57">
        <v>0.20854738760688019</v>
      </c>
      <c r="AE9" s="1033">
        <v>0.2121679200180443</v>
      </c>
      <c r="AF9" s="939"/>
      <c r="AG9" s="939"/>
      <c r="AH9" s="567"/>
    </row>
    <row r="10" spans="1:34" s="301" customFormat="1">
      <c r="A10" s="561">
        <v>10</v>
      </c>
      <c r="C10" s="10"/>
      <c r="D10" s="29"/>
      <c r="E10" s="204" t="s">
        <v>158</v>
      </c>
      <c r="F10" s="57">
        <v>3.1084019199999993E-2</v>
      </c>
      <c r="G10" s="57">
        <v>3.9630446239100024E-3</v>
      </c>
      <c r="H10" s="57">
        <v>1.2397567299999995E-2</v>
      </c>
      <c r="I10" s="57">
        <v>3.4412212400000003E-2</v>
      </c>
      <c r="J10" s="57">
        <v>3.0887643399999998E-2</v>
      </c>
      <c r="K10" s="57">
        <v>5.7881579700000012E-2</v>
      </c>
      <c r="L10" s="57">
        <v>6.2763596220000023E-2</v>
      </c>
      <c r="M10" s="57">
        <v>5.9041663249999987E-2</v>
      </c>
      <c r="N10" s="57">
        <v>4.9687954939999994E-2</v>
      </c>
      <c r="O10" s="57">
        <v>3.6943855719999988E-2</v>
      </c>
      <c r="P10" s="57">
        <v>2.3317509879999997E-2</v>
      </c>
      <c r="Q10" s="57">
        <v>3.0264385259999999E-2</v>
      </c>
      <c r="R10" s="57">
        <v>5.5437765999999944E-3</v>
      </c>
      <c r="S10" s="57">
        <v>0</v>
      </c>
      <c r="T10" s="57">
        <v>1.2568987892947192E-3</v>
      </c>
      <c r="U10" s="57">
        <v>1.8986535589654921E-3</v>
      </c>
      <c r="V10" s="57">
        <v>1.9193770476566632E-3</v>
      </c>
      <c r="W10" s="57">
        <v>1.8589919257422094E-3</v>
      </c>
      <c r="X10" s="57">
        <v>1.8930244201065434E-3</v>
      </c>
      <c r="Y10" s="57">
        <v>1.9217026813010372E-3</v>
      </c>
      <c r="Z10" s="57">
        <v>1.6723539974382792E-3</v>
      </c>
      <c r="AA10" s="57">
        <v>1.4825272357865127E-3</v>
      </c>
      <c r="AB10" s="57">
        <v>1.6290282715145585E-3</v>
      </c>
      <c r="AC10" s="57">
        <v>1.5729295498031065E-3</v>
      </c>
      <c r="AD10" s="57">
        <v>1.5430692457934977E-3</v>
      </c>
      <c r="AE10" s="1033">
        <v>1.4938851706931405E-3</v>
      </c>
      <c r="AF10" s="939"/>
      <c r="AG10" s="939"/>
      <c r="AH10" s="567"/>
    </row>
    <row r="11" spans="1:34" s="301" customFormat="1">
      <c r="A11" s="561">
        <v>11</v>
      </c>
      <c r="C11" s="10"/>
      <c r="D11" s="29"/>
      <c r="E11" s="204" t="s">
        <v>159</v>
      </c>
      <c r="F11" s="57">
        <v>2.5418863742400002</v>
      </c>
      <c r="G11" s="57">
        <v>3.0160733982850703</v>
      </c>
      <c r="H11" s="57">
        <v>3.4528402965599998</v>
      </c>
      <c r="I11" s="57">
        <v>4.3539807116499984</v>
      </c>
      <c r="J11" s="57">
        <v>4.9918920658999983</v>
      </c>
      <c r="K11" s="57">
        <v>5.7822353740800008</v>
      </c>
      <c r="L11" s="57">
        <v>6.2681851475200006</v>
      </c>
      <c r="M11" s="57">
        <v>6.5923082929999994</v>
      </c>
      <c r="N11" s="57">
        <v>6.629159948239999</v>
      </c>
      <c r="O11" s="57">
        <v>6.38129394072</v>
      </c>
      <c r="P11" s="57">
        <v>6.1288223976400005</v>
      </c>
      <c r="Q11" s="57">
        <v>6.4954462491599987</v>
      </c>
      <c r="R11" s="57">
        <v>4.9186771040000004</v>
      </c>
      <c r="S11" s="57">
        <v>4.42186470501656</v>
      </c>
      <c r="T11" s="57">
        <v>5.1116376904387089</v>
      </c>
      <c r="U11" s="57">
        <v>5.0010796783223412</v>
      </c>
      <c r="V11" s="57">
        <v>4.6386122420915488</v>
      </c>
      <c r="W11" s="57">
        <v>4.1247554511591655</v>
      </c>
      <c r="X11" s="57">
        <v>3.7295508356101021</v>
      </c>
      <c r="Y11" s="57">
        <v>3.5539578509020022</v>
      </c>
      <c r="Z11" s="57">
        <v>3.2751925750661717</v>
      </c>
      <c r="AA11" s="57">
        <v>2.8124472806373086</v>
      </c>
      <c r="AB11" s="57">
        <v>2.0115250332439722</v>
      </c>
      <c r="AC11" s="57">
        <v>1.8248699920449114</v>
      </c>
      <c r="AD11" s="57">
        <v>1.6943681097858987</v>
      </c>
      <c r="AE11" s="1033">
        <v>1.6050230074876106</v>
      </c>
      <c r="AF11" s="939"/>
      <c r="AG11" s="939"/>
      <c r="AH11" s="567"/>
    </row>
    <row r="12" spans="1:34" s="301" customFormat="1">
      <c r="A12" s="561">
        <v>12</v>
      </c>
      <c r="C12" s="10"/>
      <c r="D12" s="29"/>
      <c r="E12" s="204" t="s">
        <v>160</v>
      </c>
      <c r="F12" s="57">
        <v>3.4685827199999993E-3</v>
      </c>
      <c r="G12" s="57">
        <v>9.9642191869200002E-3</v>
      </c>
      <c r="H12" s="57">
        <v>1.78074919E-2</v>
      </c>
      <c r="I12" s="57">
        <v>1.4191574750000002E-2</v>
      </c>
      <c r="J12" s="57">
        <v>2.6326473849999997E-2</v>
      </c>
      <c r="K12" s="57">
        <v>3.3365317839999999E-2</v>
      </c>
      <c r="L12" s="57">
        <v>3.8348230140000002E-2</v>
      </c>
      <c r="M12" s="57">
        <v>4.1819045749999992E-2</v>
      </c>
      <c r="N12" s="57">
        <v>4.3220429720000009E-2</v>
      </c>
      <c r="O12" s="57">
        <v>4.8019032759999997E-2</v>
      </c>
      <c r="P12" s="57">
        <v>3.4556578400000003E-2</v>
      </c>
      <c r="Q12" s="57">
        <v>4.5731817699999996E-2</v>
      </c>
      <c r="R12" s="57">
        <v>6.4352222000000014E-2</v>
      </c>
      <c r="S12" s="57">
        <v>7.3789647999846053E-2</v>
      </c>
      <c r="T12" s="57">
        <v>0.1015826024425627</v>
      </c>
      <c r="U12" s="57">
        <v>0.12241827574942685</v>
      </c>
      <c r="V12" s="57">
        <v>0.1436546381376419</v>
      </c>
      <c r="W12" s="57">
        <v>0.15629180750808519</v>
      </c>
      <c r="X12" s="57">
        <v>0.16118324442027615</v>
      </c>
      <c r="Y12" s="57">
        <v>0.16569656801105112</v>
      </c>
      <c r="Z12" s="57">
        <v>0.16797271614117462</v>
      </c>
      <c r="AA12" s="57">
        <v>0.17153995924362705</v>
      </c>
      <c r="AB12" s="57">
        <v>0.1753716064778757</v>
      </c>
      <c r="AC12" s="57">
        <v>0.16784309475846862</v>
      </c>
      <c r="AD12" s="57">
        <v>0.15938004170763601</v>
      </c>
      <c r="AE12" s="1033">
        <v>0.15943973788247814</v>
      </c>
      <c r="AF12" s="939"/>
      <c r="AG12" s="939"/>
      <c r="AH12" s="567"/>
    </row>
    <row r="13" spans="1:34" s="301" customFormat="1">
      <c r="A13" s="561">
        <v>13</v>
      </c>
      <c r="C13" s="10"/>
      <c r="D13" s="29"/>
      <c r="E13" s="204" t="s">
        <v>161</v>
      </c>
      <c r="F13" s="57">
        <v>2.0691241629712005</v>
      </c>
      <c r="G13" s="57">
        <v>2.3808718814407634</v>
      </c>
      <c r="H13" s="57">
        <v>1.9247531760680991</v>
      </c>
      <c r="I13" s="57">
        <v>2.8611378375708987</v>
      </c>
      <c r="J13" s="57">
        <v>3.9666377987833004</v>
      </c>
      <c r="K13" s="57">
        <v>4.1260719783591906</v>
      </c>
      <c r="L13" s="57">
        <v>4.8417365215600006</v>
      </c>
      <c r="M13" s="57">
        <v>5.2807615635032494</v>
      </c>
      <c r="N13" s="57">
        <v>5.5775143741272988</v>
      </c>
      <c r="O13" s="57">
        <v>5.6413579340662405</v>
      </c>
      <c r="P13" s="57">
        <v>4.8133747401611213</v>
      </c>
      <c r="Q13" s="57">
        <v>5.691108289571261</v>
      </c>
      <c r="R13" s="57">
        <v>2.5635095979447229</v>
      </c>
      <c r="S13" s="57">
        <v>0.98915395948168694</v>
      </c>
      <c r="T13" s="57">
        <v>1.7619668179237324</v>
      </c>
      <c r="U13" s="57">
        <v>2.1002090028872349</v>
      </c>
      <c r="V13" s="57">
        <v>1.9427503068108143</v>
      </c>
      <c r="W13" s="57">
        <v>2.0622717463040114</v>
      </c>
      <c r="X13" s="57">
        <v>2.0557102023277301</v>
      </c>
      <c r="Y13" s="57">
        <v>2.1478441158238413</v>
      </c>
      <c r="Z13" s="57">
        <v>2.1915690458960633</v>
      </c>
      <c r="AA13" s="57">
        <v>2.2010549877886154</v>
      </c>
      <c r="AB13" s="57">
        <v>2.1804643153840431</v>
      </c>
      <c r="AC13" s="57">
        <v>2.0478318645110809</v>
      </c>
      <c r="AD13" s="57">
        <v>2.2982203032022328</v>
      </c>
      <c r="AE13" s="1033">
        <v>2.8073316410300828</v>
      </c>
      <c r="AF13" s="939"/>
      <c r="AG13" s="939"/>
      <c r="AH13" s="567"/>
    </row>
    <row r="14" spans="1:34" s="301" customFormat="1">
      <c r="A14" s="561">
        <v>14</v>
      </c>
      <c r="C14" s="10"/>
      <c r="D14" s="29"/>
      <c r="E14" s="204" t="s">
        <v>162</v>
      </c>
      <c r="F14" s="57">
        <v>6.9065164981200008E-2</v>
      </c>
      <c r="G14" s="57">
        <v>0.12430523595664419</v>
      </c>
      <c r="H14" s="57">
        <v>0.1405379763604</v>
      </c>
      <c r="I14" s="57">
        <v>0.34442926899999993</v>
      </c>
      <c r="J14" s="57">
        <v>1.1323432339999999</v>
      </c>
      <c r="K14" s="57">
        <v>1.672005118</v>
      </c>
      <c r="L14" s="57">
        <v>2.3516706750000003</v>
      </c>
      <c r="M14" s="57">
        <v>3.1470822620000001</v>
      </c>
      <c r="N14" s="57">
        <v>3.553076645</v>
      </c>
      <c r="O14" s="57">
        <v>3.9923599769999991</v>
      </c>
      <c r="P14" s="57">
        <v>4.3621876259999999</v>
      </c>
      <c r="Q14" s="57">
        <v>4.5754770980000004</v>
      </c>
      <c r="R14" s="57">
        <v>3.6909425960000002</v>
      </c>
      <c r="S14" s="57">
        <v>2.1668723227346516</v>
      </c>
      <c r="T14" s="57">
        <v>2.240108393263915</v>
      </c>
      <c r="U14" s="57">
        <v>2.0613563390696852</v>
      </c>
      <c r="V14" s="57">
        <v>1.499105694692211</v>
      </c>
      <c r="W14" s="57">
        <v>0.58148210307472281</v>
      </c>
      <c r="X14" s="57">
        <v>0.33863358092956863</v>
      </c>
      <c r="Y14" s="57">
        <v>0</v>
      </c>
      <c r="Z14" s="57">
        <v>5.0700894998887414E-2</v>
      </c>
      <c r="AA14" s="57">
        <v>0.20003924640302362</v>
      </c>
      <c r="AB14" s="57">
        <v>0.40774165118934258</v>
      </c>
      <c r="AC14" s="57">
        <v>0.62365123469072392</v>
      </c>
      <c r="AD14" s="57">
        <v>0.53470600359293297</v>
      </c>
      <c r="AE14" s="1033">
        <v>0.64478200320588019</v>
      </c>
      <c r="AF14" s="939"/>
      <c r="AG14" s="939"/>
      <c r="AH14" s="567"/>
    </row>
    <row r="15" spans="1:34" s="301" customFormat="1">
      <c r="A15" s="561">
        <v>15</v>
      </c>
      <c r="C15" s="10"/>
      <c r="D15" s="29"/>
      <c r="E15" s="204" t="s">
        <v>163</v>
      </c>
      <c r="F15" s="57">
        <v>3.3485097015039997</v>
      </c>
      <c r="G15" s="57">
        <v>6.8394584121654045</v>
      </c>
      <c r="H15" s="57">
        <v>7.4319177811085613</v>
      </c>
      <c r="I15" s="57">
        <v>8.6799413922943494</v>
      </c>
      <c r="J15" s="57">
        <v>9.3130277127160497</v>
      </c>
      <c r="K15" s="57">
        <v>9.8694338882490946</v>
      </c>
      <c r="L15" s="57">
        <v>9.675200021434593</v>
      </c>
      <c r="M15" s="57">
        <v>9.3939693082298774</v>
      </c>
      <c r="N15" s="57">
        <v>9.6111611490678754</v>
      </c>
      <c r="O15" s="57">
        <v>8.9507207324301969</v>
      </c>
      <c r="P15" s="57">
        <v>8.9741895297191867</v>
      </c>
      <c r="Q15" s="57">
        <v>9.5790299026995775</v>
      </c>
      <c r="R15" s="57">
        <v>8.7942608065317263</v>
      </c>
      <c r="S15" s="57">
        <v>8.4271545798572518</v>
      </c>
      <c r="T15" s="57">
        <v>9.3907374932728676</v>
      </c>
      <c r="U15" s="57">
        <v>9.4205248014053833</v>
      </c>
      <c r="V15" s="57">
        <v>9.3225381005177326</v>
      </c>
      <c r="W15" s="57">
        <v>9.1665997980688623</v>
      </c>
      <c r="X15" s="57">
        <v>8.8701302245800502</v>
      </c>
      <c r="Y15" s="57">
        <v>8.3060763259479433</v>
      </c>
      <c r="Z15" s="57">
        <v>6.9391789509553812</v>
      </c>
      <c r="AA15" s="57">
        <v>4.8951787198828338</v>
      </c>
      <c r="AB15" s="57">
        <v>3.400621803538217</v>
      </c>
      <c r="AC15" s="57">
        <v>2.6229176681578119</v>
      </c>
      <c r="AD15" s="57">
        <v>2.576104705251963</v>
      </c>
      <c r="AE15" s="1033">
        <v>2.5063051102483587</v>
      </c>
      <c r="AF15" s="939"/>
      <c r="AG15" s="939"/>
      <c r="AH15" s="567"/>
    </row>
    <row r="16" spans="1:34" s="301" customFormat="1">
      <c r="A16" s="561">
        <v>16</v>
      </c>
      <c r="C16" s="10"/>
      <c r="D16" s="29"/>
      <c r="E16" s="204" t="s">
        <v>164</v>
      </c>
      <c r="F16" s="57">
        <v>8.200179649999999</v>
      </c>
      <c r="G16" s="57">
        <v>13.525185549484002</v>
      </c>
      <c r="H16" s="57">
        <v>13.883379644640002</v>
      </c>
      <c r="I16" s="57">
        <v>20.224554263969999</v>
      </c>
      <c r="J16" s="57">
        <v>23.104251892799997</v>
      </c>
      <c r="K16" s="57">
        <v>21.638272271801092</v>
      </c>
      <c r="L16" s="57">
        <v>22.555421131422555</v>
      </c>
      <c r="M16" s="57">
        <v>23.513570322565116</v>
      </c>
      <c r="N16" s="57">
        <v>23.285053272826968</v>
      </c>
      <c r="O16" s="57">
        <v>22.055778972951767</v>
      </c>
      <c r="P16" s="57">
        <v>23.252845747155028</v>
      </c>
      <c r="Q16" s="57">
        <v>21.567921937973843</v>
      </c>
      <c r="R16" s="57">
        <v>12.434418620167067</v>
      </c>
      <c r="S16" s="57">
        <v>7.4573205629005477</v>
      </c>
      <c r="T16" s="57">
        <v>13.206036125008161</v>
      </c>
      <c r="U16" s="57">
        <v>11.533481966867591</v>
      </c>
      <c r="V16" s="57">
        <v>10.83383279381896</v>
      </c>
      <c r="W16" s="57">
        <v>9.4904201820535192</v>
      </c>
      <c r="X16" s="57">
        <v>8.6776288445485505</v>
      </c>
      <c r="Y16" s="57">
        <v>7.7713746948790545</v>
      </c>
      <c r="Z16" s="57">
        <v>6.2758863589680152</v>
      </c>
      <c r="AA16" s="57">
        <v>4.0186271666380886</v>
      </c>
      <c r="AB16" s="57">
        <v>2.054108579737469</v>
      </c>
      <c r="AC16" s="57">
        <v>1.2768805001393664</v>
      </c>
      <c r="AD16" s="57">
        <v>1.3114241019030082</v>
      </c>
      <c r="AE16" s="1033">
        <v>1.788399695292934</v>
      </c>
      <c r="AF16" s="939"/>
      <c r="AG16" s="939"/>
      <c r="AH16" s="567"/>
    </row>
    <row r="17" spans="1:34" s="301" customFormat="1">
      <c r="A17" s="561">
        <v>17</v>
      </c>
      <c r="C17" s="10"/>
      <c r="D17" s="29"/>
      <c r="E17" s="204" t="s">
        <v>165</v>
      </c>
      <c r="F17" s="57">
        <v>3.393607614718952E-2</v>
      </c>
      <c r="G17" s="57">
        <v>3.735757423773732E-2</v>
      </c>
      <c r="H17" s="57">
        <v>4.2365070647105346E-2</v>
      </c>
      <c r="I17" s="57">
        <v>3.2711856918474516E-2</v>
      </c>
      <c r="J17" s="57">
        <v>0.13849324742799995</v>
      </c>
      <c r="K17" s="57">
        <v>0.4754434850701581</v>
      </c>
      <c r="L17" s="57">
        <v>0.49193394541548258</v>
      </c>
      <c r="M17" s="57">
        <v>0.44685654303362132</v>
      </c>
      <c r="N17" s="57">
        <v>0.46668132346493202</v>
      </c>
      <c r="O17" s="57">
        <v>0.41825657234659019</v>
      </c>
      <c r="P17" s="57">
        <v>0.44473750674681178</v>
      </c>
      <c r="Q17" s="57">
        <v>0.41990360429802659</v>
      </c>
      <c r="R17" s="57">
        <v>0.26105747067618412</v>
      </c>
      <c r="S17" s="57">
        <v>0.15349801007635749</v>
      </c>
      <c r="T17" s="57">
        <v>0.28251218231608166</v>
      </c>
      <c r="U17" s="57">
        <v>0.25019712558611273</v>
      </c>
      <c r="V17" s="57">
        <v>0.23943849287007959</v>
      </c>
      <c r="W17" s="57">
        <v>0.19664639385423052</v>
      </c>
      <c r="X17" s="57">
        <v>0.16912606498971383</v>
      </c>
      <c r="Y17" s="57">
        <v>0.14292201058996323</v>
      </c>
      <c r="Z17" s="57">
        <v>0.10921504137276689</v>
      </c>
      <c r="AA17" s="57">
        <v>6.6365634825999525E-2</v>
      </c>
      <c r="AB17" s="57">
        <v>3.2275580998739284E-2</v>
      </c>
      <c r="AC17" s="57">
        <v>1.9143776655478995E-2</v>
      </c>
      <c r="AD17" s="57">
        <v>1.8803047487536396E-2</v>
      </c>
      <c r="AE17" s="1033">
        <v>2.4573896174221961E-2</v>
      </c>
      <c r="AF17" s="939"/>
      <c r="AG17" s="939"/>
      <c r="AH17" s="567"/>
    </row>
    <row r="18" spans="1:34" s="301" customFormat="1">
      <c r="A18" s="561">
        <v>18</v>
      </c>
      <c r="C18" s="10"/>
      <c r="D18" s="29"/>
      <c r="E18" s="204" t="s">
        <v>280</v>
      </c>
      <c r="F18" s="57">
        <v>0</v>
      </c>
      <c r="G18" s="57">
        <v>0</v>
      </c>
      <c r="H18" s="57">
        <v>0</v>
      </c>
      <c r="I18" s="57">
        <v>0</v>
      </c>
      <c r="J18" s="57">
        <v>0</v>
      </c>
      <c r="K18" s="57">
        <v>9.8178863999999998E-4</v>
      </c>
      <c r="L18" s="57">
        <v>3.6367778999999993E-3</v>
      </c>
      <c r="M18" s="57">
        <v>1.662114917116593E-2</v>
      </c>
      <c r="N18" s="57">
        <v>2.1945423981766587E-2</v>
      </c>
      <c r="O18" s="57">
        <v>3.8712181810251711E-2</v>
      </c>
      <c r="P18" s="57">
        <v>5.1853512467374019E-2</v>
      </c>
      <c r="Q18" s="57">
        <v>6.298200678060191E-2</v>
      </c>
      <c r="R18" s="57">
        <v>9.4375536482462941E-2</v>
      </c>
      <c r="S18" s="57">
        <v>9.9406123510297609E-2</v>
      </c>
      <c r="T18" s="57">
        <v>0.10485662162788723</v>
      </c>
      <c r="U18" s="57">
        <v>0.11029423598039961</v>
      </c>
      <c r="V18" s="57">
        <v>0.11564133734662643</v>
      </c>
      <c r="W18" s="57">
        <v>0.11793095911153799</v>
      </c>
      <c r="X18" s="57">
        <v>0.11920825665971836</v>
      </c>
      <c r="Y18" s="57">
        <v>0.12049294826378795</v>
      </c>
      <c r="Z18" s="57">
        <v>0.12178503392374677</v>
      </c>
      <c r="AA18" s="57">
        <v>0.12308451363959481</v>
      </c>
      <c r="AB18" s="57">
        <v>0.1243913874113321</v>
      </c>
      <c r="AC18" s="57">
        <v>0.1257056552389586</v>
      </c>
      <c r="AD18" s="57">
        <v>0.12702731712247434</v>
      </c>
      <c r="AE18" s="1033">
        <v>0.12834840331938507</v>
      </c>
      <c r="AF18" s="939"/>
      <c r="AG18" s="939"/>
      <c r="AH18" s="567"/>
    </row>
    <row r="19" spans="1:34" s="301" customFormat="1">
      <c r="A19" s="561">
        <v>19</v>
      </c>
      <c r="C19" s="10"/>
      <c r="D19" s="29"/>
      <c r="E19" s="204" t="s">
        <v>179</v>
      </c>
      <c r="F19" s="57">
        <v>5.3650479999999998</v>
      </c>
      <c r="G19" s="57">
        <v>5.0739089999999996</v>
      </c>
      <c r="H19" s="57">
        <v>5.5220000000000002</v>
      </c>
      <c r="I19" s="57">
        <v>5.1150000000000002</v>
      </c>
      <c r="J19" s="57">
        <v>4.1450000000000005</v>
      </c>
      <c r="K19" s="57">
        <v>3.5670000000000002</v>
      </c>
      <c r="L19" s="57">
        <v>3.1260000000000003</v>
      </c>
      <c r="M19" s="57">
        <v>2.6749999999999998</v>
      </c>
      <c r="N19" s="57">
        <v>3.222</v>
      </c>
      <c r="O19" s="57">
        <v>4.6280000000000001</v>
      </c>
      <c r="P19" s="57">
        <v>4.9340000000000002</v>
      </c>
      <c r="Q19" s="57">
        <v>4.0739999999999998</v>
      </c>
      <c r="R19" s="57">
        <v>7.8400000000000007</v>
      </c>
      <c r="S19" s="57">
        <v>8.7519999999999989</v>
      </c>
      <c r="T19" s="57">
        <v>7.2530000000000001</v>
      </c>
      <c r="U19" s="57">
        <v>7.1599999999999993</v>
      </c>
      <c r="V19" s="57">
        <v>7.0620000000000003</v>
      </c>
      <c r="W19" s="57">
        <v>7.035000000000001</v>
      </c>
      <c r="X19" s="57">
        <v>6.9610000000000003</v>
      </c>
      <c r="Y19" s="57">
        <v>6.8930000000000007</v>
      </c>
      <c r="Z19" s="57">
        <v>6.8579999999999997</v>
      </c>
      <c r="AA19" s="57">
        <v>6.8170000000000002</v>
      </c>
      <c r="AB19" s="57">
        <v>6.7377500000000001</v>
      </c>
      <c r="AC19" s="57">
        <v>6.658500000000001</v>
      </c>
      <c r="AD19" s="57">
        <v>6.57925</v>
      </c>
      <c r="AE19" s="1033">
        <v>6.5</v>
      </c>
      <c r="AF19" s="939"/>
      <c r="AG19" s="939"/>
      <c r="AH19" s="567"/>
    </row>
    <row r="20" spans="1:34" s="301" customFormat="1">
      <c r="A20" s="561">
        <v>20</v>
      </c>
      <c r="C20" s="10"/>
      <c r="D20" s="29"/>
      <c r="E20" s="205" t="s">
        <v>181</v>
      </c>
      <c r="F20" s="58">
        <v>7.4120479999999995</v>
      </c>
      <c r="G20" s="58">
        <v>8.6039089999999998</v>
      </c>
      <c r="H20" s="58">
        <v>9.1140000000000008</v>
      </c>
      <c r="I20" s="58">
        <v>10.391999999999999</v>
      </c>
      <c r="J20" s="58">
        <v>10.385</v>
      </c>
      <c r="K20" s="58">
        <v>9.7365706877643845</v>
      </c>
      <c r="L20" s="58">
        <v>9.464268639723894</v>
      </c>
      <c r="M20" s="58">
        <v>9.5352264368703565</v>
      </c>
      <c r="N20" s="58">
        <v>10.00080483632372</v>
      </c>
      <c r="O20" s="58">
        <v>11.034581826229905</v>
      </c>
      <c r="P20" s="58">
        <v>11.692116313820181</v>
      </c>
      <c r="Q20" s="58">
        <v>10.577615363716919</v>
      </c>
      <c r="R20" s="58">
        <v>11.563082772147341</v>
      </c>
      <c r="S20" s="58">
        <v>10.97923443639672</v>
      </c>
      <c r="T20" s="58">
        <v>11.250717348887195</v>
      </c>
      <c r="U20" s="58">
        <v>10.692756736346251</v>
      </c>
      <c r="V20" s="58">
        <v>10.407660840872651</v>
      </c>
      <c r="W20" s="58">
        <v>9.7827292039835285</v>
      </c>
      <c r="X20" s="58">
        <v>9.3241891682261588</v>
      </c>
      <c r="Y20" s="58">
        <v>8.8900413628901465</v>
      </c>
      <c r="Z20" s="58">
        <v>8.3840557430647475</v>
      </c>
      <c r="AA20" s="58">
        <v>7.7443233512101965</v>
      </c>
      <c r="AB20" s="58">
        <v>7.1887349112794388</v>
      </c>
      <c r="AC20" s="58">
        <v>6.9259949342309861</v>
      </c>
      <c r="AD20" s="58">
        <v>6.8419839443798365</v>
      </c>
      <c r="AE20" s="1034">
        <v>6.8433696944558342</v>
      </c>
      <c r="AF20" s="939"/>
      <c r="AG20" s="939"/>
      <c r="AH20" s="567"/>
    </row>
    <row r="21" spans="1:34" s="301" customFormat="1">
      <c r="A21" s="561">
        <v>21</v>
      </c>
      <c r="C21" s="10"/>
      <c r="D21" s="29"/>
      <c r="E21" s="204" t="s">
        <v>229</v>
      </c>
      <c r="F21" s="57">
        <v>4.9989800764796158E-2</v>
      </c>
      <c r="G21" s="57">
        <v>4.9990085901745564E-2</v>
      </c>
      <c r="H21" s="57">
        <v>5.0001590567365077E-2</v>
      </c>
      <c r="I21" s="57">
        <v>3.3995000948890464E-2</v>
      </c>
      <c r="J21" s="57">
        <v>0.13001254107481827</v>
      </c>
      <c r="K21" s="57">
        <v>0.43125299107473047</v>
      </c>
      <c r="L21" s="57">
        <v>0.47346866738737492</v>
      </c>
      <c r="M21" s="57">
        <v>0.39147943922324169</v>
      </c>
      <c r="N21" s="57">
        <v>0.40690666517638763</v>
      </c>
      <c r="O21" s="57">
        <v>0.36712782552459544</v>
      </c>
      <c r="P21" s="57">
        <v>0.38282786662893387</v>
      </c>
      <c r="Q21" s="57">
        <v>0.37248612108402962</v>
      </c>
      <c r="R21" s="57">
        <v>0.22007879841189015</v>
      </c>
      <c r="S21" s="57">
        <v>0.1316562398802277</v>
      </c>
      <c r="T21" s="57">
        <v>0.23631299231792693</v>
      </c>
      <c r="U21" s="57">
        <v>0.20882824938328412</v>
      </c>
      <c r="V21" s="57">
        <v>0.19776864034862443</v>
      </c>
      <c r="W21" s="57">
        <v>0.16242371673761505</v>
      </c>
      <c r="X21" s="57">
        <v>0.13969279341679511</v>
      </c>
      <c r="Y21" s="57">
        <v>0.11804907127278702</v>
      </c>
      <c r="Z21" s="57">
        <v>9.020817822149739E-2</v>
      </c>
      <c r="AA21" s="57">
        <v>5.4815920398116398E-2</v>
      </c>
      <c r="AB21" s="57">
        <v>2.6658611545997593E-2</v>
      </c>
      <c r="AC21" s="57">
        <v>1.5812155493085817E-2</v>
      </c>
      <c r="AD21" s="57">
        <v>1.5530723951050134E-2</v>
      </c>
      <c r="AE21" s="1033">
        <v>2.0297262884465157E-2</v>
      </c>
      <c r="AF21" s="939"/>
      <c r="AG21" s="939"/>
      <c r="AH21" s="567"/>
    </row>
    <row r="22" spans="1:34" s="301" customFormat="1">
      <c r="A22" s="561">
        <v>22</v>
      </c>
      <c r="C22" s="10"/>
      <c r="D22" s="29"/>
      <c r="E22" s="205" t="s">
        <v>283</v>
      </c>
      <c r="F22" s="58">
        <v>0</v>
      </c>
      <c r="G22" s="58">
        <v>0</v>
      </c>
      <c r="H22" s="58">
        <v>0</v>
      </c>
      <c r="I22" s="58">
        <v>0</v>
      </c>
      <c r="J22" s="58">
        <v>0</v>
      </c>
      <c r="K22" s="58">
        <v>5.854136932987768E-4</v>
      </c>
      <c r="L22" s="58">
        <v>1.8852721831826521E-3</v>
      </c>
      <c r="M22" s="58">
        <v>1.0804901280122412E-2</v>
      </c>
      <c r="N22" s="58">
        <v>1.4583188073286832E-2</v>
      </c>
      <c r="O22" s="58">
        <v>3.0211868860009018E-2</v>
      </c>
      <c r="P22" s="58">
        <v>4.0587414086677188E-2</v>
      </c>
      <c r="Q22" s="58">
        <v>4.6711929238572099E-2</v>
      </c>
      <c r="R22" s="58">
        <v>6.1719908126301799E-2</v>
      </c>
      <c r="S22" s="58">
        <v>6.39039914374534E-2</v>
      </c>
      <c r="T22" s="58">
        <v>6.8482472436662001E-2</v>
      </c>
      <c r="U22" s="58">
        <v>7.3144294689524686E-2</v>
      </c>
      <c r="V22" s="58">
        <v>7.7841161598149577E-2</v>
      </c>
      <c r="W22" s="58">
        <v>7.982582307750738E-2</v>
      </c>
      <c r="X22" s="58">
        <v>8.0859050341680339E-2</v>
      </c>
      <c r="Y22" s="58">
        <v>8.1737110459934662E-2</v>
      </c>
      <c r="Z22" s="58">
        <v>8.2425538201379253E-2</v>
      </c>
      <c r="AA22" s="58">
        <v>8.3109491862724122E-2</v>
      </c>
      <c r="AB22" s="58">
        <v>8.3787941120848017E-2</v>
      </c>
      <c r="AC22" s="58">
        <v>8.4766410064830724E-2</v>
      </c>
      <c r="AD22" s="58">
        <v>8.5851047137419575E-2</v>
      </c>
      <c r="AE22" s="1034">
        <v>8.7074181312661966E-2</v>
      </c>
      <c r="AF22" s="939"/>
      <c r="AG22" s="939"/>
      <c r="AH22" s="567"/>
    </row>
    <row r="23" spans="1:34" s="301" customFormat="1">
      <c r="A23" s="561">
        <v>23</v>
      </c>
      <c r="C23" s="10"/>
      <c r="D23" s="29"/>
      <c r="E23" s="205" t="s">
        <v>66</v>
      </c>
      <c r="F23" s="58">
        <v>0</v>
      </c>
      <c r="G23" s="58">
        <v>-1.11629894236</v>
      </c>
      <c r="H23" s="58">
        <v>-0.71124112144000007</v>
      </c>
      <c r="I23" s="58">
        <v>-2.5889139132900003</v>
      </c>
      <c r="J23" s="58">
        <v>-2.1969250054800002</v>
      </c>
      <c r="K23" s="58">
        <v>1.38074493721</v>
      </c>
      <c r="L23" s="58">
        <v>2.5211899999999998</v>
      </c>
      <c r="M23" s="58">
        <v>1.9478101488699999</v>
      </c>
      <c r="N23" s="58">
        <v>3.3292301430700002</v>
      </c>
      <c r="O23" s="58">
        <v>3.6518353547200002</v>
      </c>
      <c r="P23" s="58">
        <v>2.19040541733</v>
      </c>
      <c r="Q23" s="58">
        <v>-4.0803942770500008</v>
      </c>
      <c r="R23" s="58">
        <v>4.5469536436400002</v>
      </c>
      <c r="S23" s="58">
        <v>5.9271580274705027</v>
      </c>
      <c r="T23" s="58">
        <v>0.95430437784443045</v>
      </c>
      <c r="U23" s="58">
        <v>1.1129456502224246</v>
      </c>
      <c r="V23" s="58">
        <v>1.1199774027065672</v>
      </c>
      <c r="W23" s="58">
        <v>1.0517063424533397</v>
      </c>
      <c r="X23" s="58">
        <v>0.96581973162824397</v>
      </c>
      <c r="Y23" s="58">
        <v>0.91099733785289949</v>
      </c>
      <c r="Z23" s="58">
        <v>0.85278811952497868</v>
      </c>
      <c r="AA23" s="58">
        <v>0.75983435492289253</v>
      </c>
      <c r="AB23" s="58">
        <v>0.6203188471730563</v>
      </c>
      <c r="AC23" s="58">
        <v>0.49600764038065392</v>
      </c>
      <c r="AD23" s="58">
        <v>0.44296174772581765</v>
      </c>
      <c r="AE23" s="1034">
        <v>0.44188094067101513</v>
      </c>
      <c r="AF23" s="939"/>
      <c r="AG23" s="939"/>
      <c r="AH23" s="567"/>
    </row>
    <row r="24" spans="1:34" s="301" customFormat="1">
      <c r="A24" s="561">
        <v>24</v>
      </c>
      <c r="C24" s="10"/>
      <c r="D24" s="29"/>
      <c r="F24" s="662"/>
      <c r="G24" s="662"/>
      <c r="H24" s="662"/>
      <c r="I24" s="662"/>
      <c r="J24" s="662"/>
      <c r="K24" s="662"/>
      <c r="L24" s="662"/>
      <c r="M24" s="662"/>
      <c r="N24" s="662"/>
      <c r="O24" s="662"/>
      <c r="P24" s="662"/>
      <c r="Q24" s="662"/>
      <c r="R24" s="662"/>
      <c r="S24" s="662"/>
      <c r="T24" s="662"/>
      <c r="U24" s="662"/>
      <c r="V24" s="662"/>
      <c r="W24" s="662"/>
      <c r="X24" s="662"/>
      <c r="Y24" s="662"/>
      <c r="Z24" s="662"/>
      <c r="AA24" s="662"/>
      <c r="AB24" s="662"/>
      <c r="AC24" s="662"/>
      <c r="AD24" s="662"/>
      <c r="AE24" s="662"/>
      <c r="AF24" s="939" t="s">
        <v>468</v>
      </c>
      <c r="AG24" s="939" t="s">
        <v>468</v>
      </c>
      <c r="AH24" s="567"/>
    </row>
    <row r="25" spans="1:34" s="301" customFormat="1">
      <c r="A25" s="561">
        <v>25</v>
      </c>
      <c r="C25" s="10"/>
      <c r="D25" s="29"/>
      <c r="E25" s="590" t="s">
        <v>470</v>
      </c>
      <c r="F25" s="662"/>
      <c r="G25" s="662"/>
      <c r="H25" s="662"/>
      <c r="I25" s="662"/>
      <c r="J25" s="662"/>
      <c r="K25" s="662"/>
      <c r="L25" s="662"/>
      <c r="M25" s="662"/>
      <c r="N25" s="662"/>
      <c r="O25" s="662"/>
      <c r="P25" s="662"/>
      <c r="Q25" s="662"/>
      <c r="R25" s="662"/>
      <c r="S25" s="662"/>
      <c r="T25" s="662"/>
      <c r="U25" s="662"/>
      <c r="V25" s="662"/>
      <c r="W25" s="662"/>
      <c r="X25" s="662"/>
      <c r="Y25" s="662"/>
      <c r="Z25" s="662"/>
      <c r="AA25" s="662"/>
      <c r="AB25" s="662"/>
      <c r="AC25" s="662"/>
      <c r="AD25" s="662"/>
      <c r="AE25" s="662"/>
      <c r="AF25" s="939" t="s">
        <v>468</v>
      </c>
      <c r="AG25" s="939" t="s">
        <v>468</v>
      </c>
      <c r="AH25" s="567"/>
    </row>
    <row r="26" spans="1:34" s="301" customFormat="1">
      <c r="A26" s="561">
        <v>26</v>
      </c>
      <c r="C26" s="10"/>
      <c r="D26" s="29"/>
      <c r="E26" s="206" t="s">
        <v>166</v>
      </c>
      <c r="F26" s="197">
        <v>2.4251268658849647</v>
      </c>
      <c r="G26" s="197">
        <v>4.0960531508444449</v>
      </c>
      <c r="H26" s="197">
        <v>4.0862697655483107</v>
      </c>
      <c r="I26" s="197">
        <v>5.9202472601832774</v>
      </c>
      <c r="J26" s="197">
        <v>6.9313202827783655</v>
      </c>
      <c r="K26" s="197">
        <v>6.8189932459714511</v>
      </c>
      <c r="L26" s="197">
        <v>6.9705957361134576</v>
      </c>
      <c r="M26" s="197">
        <v>7.4331288736835921</v>
      </c>
      <c r="N26" s="197">
        <v>7.2150370302530984</v>
      </c>
      <c r="O26" s="197">
        <v>6.724714581126821</v>
      </c>
      <c r="P26" s="197">
        <v>7.0584132122247789</v>
      </c>
      <c r="Q26" s="197">
        <v>6.6011695941726733</v>
      </c>
      <c r="R26" s="197">
        <v>3.7230827721473405</v>
      </c>
      <c r="S26" s="197">
        <v>2.1943196417701674</v>
      </c>
      <c r="T26" s="197">
        <v>3.880431312467854</v>
      </c>
      <c r="U26" s="197">
        <v>3.3784353017210029</v>
      </c>
      <c r="V26" s="197">
        <v>3.1522288841580344</v>
      </c>
      <c r="W26" s="197">
        <v>2.5506080050163296</v>
      </c>
      <c r="X26" s="197">
        <v>2.1612362032440382</v>
      </c>
      <c r="Y26" s="197">
        <v>1.7993877700161913</v>
      </c>
      <c r="Z26" s="197">
        <v>1.3546966586589582</v>
      </c>
      <c r="AA26" s="197">
        <v>0.81102980712285822</v>
      </c>
      <c r="AB26" s="197">
        <v>0.38859892005062924</v>
      </c>
      <c r="AC26" s="197">
        <v>0.22708533938770503</v>
      </c>
      <c r="AD26" s="197">
        <v>0.21974736638426007</v>
      </c>
      <c r="AE26" s="1032">
        <v>0.2829459049289903</v>
      </c>
      <c r="AF26" s="939" t="s">
        <v>468</v>
      </c>
      <c r="AG26" s="939" t="s">
        <v>468</v>
      </c>
      <c r="AH26" s="567"/>
    </row>
    <row r="27" spans="1:34" s="301" customFormat="1">
      <c r="A27" s="561">
        <v>27</v>
      </c>
      <c r="C27" s="10"/>
      <c r="D27" s="29"/>
      <c r="E27" s="204" t="s">
        <v>157</v>
      </c>
      <c r="F27" s="57">
        <v>0.14440409852582661</v>
      </c>
      <c r="G27" s="57">
        <v>6.6863202309191364E-2</v>
      </c>
      <c r="H27" s="57">
        <v>0.16616791627321584</v>
      </c>
      <c r="I27" s="57">
        <v>0.21867520524546724</v>
      </c>
      <c r="J27" s="57">
        <v>0.31620758930242615</v>
      </c>
      <c r="K27" s="57">
        <v>0.37445993616482603</v>
      </c>
      <c r="L27" s="57">
        <v>0.42571564619299102</v>
      </c>
      <c r="M27" s="57">
        <v>0.45945878068205082</v>
      </c>
      <c r="N27" s="57">
        <v>0.35781363566425889</v>
      </c>
      <c r="O27" s="57">
        <v>0.32123055796573957</v>
      </c>
      <c r="P27" s="57">
        <v>0.27766829815360639</v>
      </c>
      <c r="Q27" s="57">
        <v>0.33707458935219992</v>
      </c>
      <c r="R27" s="57">
        <v>0.15405119179999999</v>
      </c>
      <c r="S27" s="57">
        <v>7.1774273798425242E-2</v>
      </c>
      <c r="T27" s="57">
        <v>0.18722976561265695</v>
      </c>
      <c r="U27" s="57">
        <v>0.19284299844216485</v>
      </c>
      <c r="V27" s="57">
        <v>0.19868134098542942</v>
      </c>
      <c r="W27" s="57">
        <v>0.19903275816396393</v>
      </c>
      <c r="X27" s="57">
        <v>0.20282396442517314</v>
      </c>
      <c r="Y27" s="57">
        <v>0.20605424836009348</v>
      </c>
      <c r="Z27" s="57">
        <v>0.19169979997112355</v>
      </c>
      <c r="AA27" s="57">
        <v>0.18856232208549845</v>
      </c>
      <c r="AB27" s="57">
        <v>0.1823635204805702</v>
      </c>
      <c r="AC27" s="57">
        <v>0.17765168367692477</v>
      </c>
      <c r="AD27" s="57">
        <v>0.17442641186353847</v>
      </c>
      <c r="AE27" s="1033">
        <v>0.17483209816039483</v>
      </c>
      <c r="AF27" s="939" t="s">
        <v>468</v>
      </c>
      <c r="AG27" s="939" t="s">
        <v>468</v>
      </c>
      <c r="AH27" s="567"/>
    </row>
    <row r="28" spans="1:34" s="301" customFormat="1">
      <c r="A28" s="561">
        <v>28</v>
      </c>
      <c r="C28" s="10"/>
      <c r="D28" s="29"/>
      <c r="E28" s="204" t="s">
        <v>158</v>
      </c>
      <c r="F28" s="57">
        <v>3.6825935545483177E-2</v>
      </c>
      <c r="G28" s="57">
        <v>4.5985386455251282E-3</v>
      </c>
      <c r="H28" s="57">
        <v>1.4103509026820817E-2</v>
      </c>
      <c r="I28" s="57">
        <v>3.8606936929684484E-2</v>
      </c>
      <c r="J28" s="57">
        <v>3.4309639292571366E-2</v>
      </c>
      <c r="K28" s="57">
        <v>6.3974321880001073E-2</v>
      </c>
      <c r="L28" s="57">
        <v>6.9025104655920211E-2</v>
      </c>
      <c r="M28" s="57">
        <v>6.3972274952208252E-2</v>
      </c>
      <c r="N28" s="57">
        <v>5.2885492871641536E-2</v>
      </c>
      <c r="O28" s="57">
        <v>3.8778383228662769E-2</v>
      </c>
      <c r="P28" s="57">
        <v>2.4353623431517792E-2</v>
      </c>
      <c r="Q28" s="57">
        <v>3.0718351038899996E-2</v>
      </c>
      <c r="R28" s="57">
        <v>5.5437765999999944E-3</v>
      </c>
      <c r="S28" s="57">
        <v>0</v>
      </c>
      <c r="T28" s="57">
        <v>1.2200235766892859E-3</v>
      </c>
      <c r="U28" s="57">
        <v>1.8157146636655777E-3</v>
      </c>
      <c r="V28" s="57">
        <v>1.8084067862763988E-3</v>
      </c>
      <c r="W28" s="57">
        <v>1.7256284499159206E-3</v>
      </c>
      <c r="X28" s="57">
        <v>1.7312507036541115E-3</v>
      </c>
      <c r="Y28" s="57">
        <v>1.7315055995315511E-3</v>
      </c>
      <c r="Z28" s="57">
        <v>1.4845672464590086E-3</v>
      </c>
      <c r="AA28" s="57">
        <v>1.2966068163011003E-3</v>
      </c>
      <c r="AB28" s="57">
        <v>1.403680281113125E-3</v>
      </c>
      <c r="AC28" s="57">
        <v>1.3353121683476502E-3</v>
      </c>
      <c r="AD28" s="57">
        <v>1.2906037082952974E-3</v>
      </c>
      <c r="AE28" s="1033">
        <v>1.231001740417537E-3</v>
      </c>
      <c r="AF28" s="939" t="s">
        <v>468</v>
      </c>
      <c r="AG28" s="939" t="s">
        <v>468</v>
      </c>
      <c r="AH28" s="567"/>
    </row>
    <row r="29" spans="1:34" s="301" customFormat="1">
      <c r="A29" s="561">
        <v>29</v>
      </c>
      <c r="C29" s="10"/>
      <c r="D29" s="29"/>
      <c r="E29" s="204" t="s">
        <v>159</v>
      </c>
      <c r="F29" s="57">
        <v>3.0114298662414996</v>
      </c>
      <c r="G29" s="57">
        <v>3.499715848788576</v>
      </c>
      <c r="H29" s="57">
        <v>3.9279612775890831</v>
      </c>
      <c r="I29" s="57">
        <v>4.884715250907095</v>
      </c>
      <c r="J29" s="57">
        <v>5.5449363342649134</v>
      </c>
      <c r="K29" s="57">
        <v>6.3908861666282801</v>
      </c>
      <c r="L29" s="57">
        <v>6.8935204779164989</v>
      </c>
      <c r="M29" s="57">
        <v>7.1428366931976406</v>
      </c>
      <c r="N29" s="57">
        <v>7.05576213814724</v>
      </c>
      <c r="O29" s="57">
        <v>6.6981709706607706</v>
      </c>
      <c r="P29" s="57">
        <v>6.4011566208791324</v>
      </c>
      <c r="Q29" s="57">
        <v>6.592877942897398</v>
      </c>
      <c r="R29" s="57">
        <v>4.9186771040000004</v>
      </c>
      <c r="S29" s="57">
        <v>4.3565169507552319</v>
      </c>
      <c r="T29" s="57">
        <v>4.9616711790518675</v>
      </c>
      <c r="U29" s="57">
        <v>4.7826174834325546</v>
      </c>
      <c r="V29" s="57">
        <v>4.3704273049136031</v>
      </c>
      <c r="W29" s="57">
        <v>3.8288468373116942</v>
      </c>
      <c r="X29" s="57">
        <v>3.4108315983057249</v>
      </c>
      <c r="Y29" s="57">
        <v>3.2022112365320416</v>
      </c>
      <c r="Z29" s="57">
        <v>2.9074248814766412</v>
      </c>
      <c r="AA29" s="57">
        <v>2.4597445676114056</v>
      </c>
      <c r="AB29" s="57">
        <v>1.733265206935209</v>
      </c>
      <c r="AC29" s="57">
        <v>1.5491927825598266</v>
      </c>
      <c r="AD29" s="57">
        <v>1.4171481750856039</v>
      </c>
      <c r="AE29" s="1033">
        <v>1.322582320507742</v>
      </c>
      <c r="AF29" s="939" t="s">
        <v>468</v>
      </c>
      <c r="AG29" s="939" t="s">
        <v>468</v>
      </c>
      <c r="AH29" s="567"/>
    </row>
    <row r="30" spans="1:34" s="301" customFormat="1">
      <c r="A30" s="561">
        <v>30</v>
      </c>
      <c r="C30" s="10"/>
      <c r="D30" s="29"/>
      <c r="E30" s="204" t="s">
        <v>160</v>
      </c>
      <c r="F30" s="57">
        <v>4.1093078362561533E-3</v>
      </c>
      <c r="G30" s="57">
        <v>1.1562031557022191E-2</v>
      </c>
      <c r="H30" s="57">
        <v>2.0257855164592546E-2</v>
      </c>
      <c r="I30" s="57">
        <v>1.5921476507745631E-2</v>
      </c>
      <c r="J30" s="57">
        <v>2.924314457861206E-2</v>
      </c>
      <c r="K30" s="57">
        <v>3.6877424461943316E-2</v>
      </c>
      <c r="L30" s="57">
        <v>4.2173979156715904E-2</v>
      </c>
      <c r="M30" s="57">
        <v>4.5311384295359865E-2</v>
      </c>
      <c r="N30" s="57">
        <v>4.6001767040451773E-2</v>
      </c>
      <c r="O30" s="57">
        <v>5.0403522273094033E-2</v>
      </c>
      <c r="P30" s="57">
        <v>3.6092099961203994E-2</v>
      </c>
      <c r="Q30" s="57">
        <v>4.6417794965499991E-2</v>
      </c>
      <c r="R30" s="57">
        <v>6.4352222000000014E-2</v>
      </c>
      <c r="S30" s="57">
        <v>7.2699160590981346E-2</v>
      </c>
      <c r="T30" s="57">
        <v>9.8602346519025191E-2</v>
      </c>
      <c r="U30" s="57">
        <v>0.11707067744365172</v>
      </c>
      <c r="V30" s="57">
        <v>0.13534913466083207</v>
      </c>
      <c r="W30" s="57">
        <v>0.1450794840956908</v>
      </c>
      <c r="X30" s="57">
        <v>0.14740887774926342</v>
      </c>
      <c r="Y30" s="57">
        <v>0.14929704689804277</v>
      </c>
      <c r="Z30" s="57">
        <v>0.14911124861358638</v>
      </c>
      <c r="AA30" s="57">
        <v>0.15002751723836036</v>
      </c>
      <c r="AB30" s="57">
        <v>0.15111196667646348</v>
      </c>
      <c r="AC30" s="57">
        <v>0.14248758110759999</v>
      </c>
      <c r="AD30" s="57">
        <v>0.13330346218543043</v>
      </c>
      <c r="AE30" s="1033">
        <v>0.13138265154207257</v>
      </c>
      <c r="AF30" s="939" t="s">
        <v>468</v>
      </c>
      <c r="AG30" s="939" t="s">
        <v>468</v>
      </c>
      <c r="AH30" s="567"/>
    </row>
    <row r="31" spans="1:34" s="301" customFormat="1">
      <c r="A31" s="561">
        <v>31</v>
      </c>
      <c r="C31" s="10"/>
      <c r="D31" s="29"/>
      <c r="E31" s="204" t="s">
        <v>161</v>
      </c>
      <c r="F31" s="57">
        <v>2.4513378585604295</v>
      </c>
      <c r="G31" s="57">
        <v>2.7626565925587476</v>
      </c>
      <c r="H31" s="57">
        <v>2.1896048745852328</v>
      </c>
      <c r="I31" s="57">
        <v>3.2099002167682058</v>
      </c>
      <c r="J31" s="57">
        <v>4.4060956777471194</v>
      </c>
      <c r="K31" s="57">
        <v>4.5603913751442349</v>
      </c>
      <c r="L31" s="57">
        <v>5.3247645170876092</v>
      </c>
      <c r="M31" s="57">
        <v>5.7217617543571331</v>
      </c>
      <c r="N31" s="57">
        <v>5.9364406732089083</v>
      </c>
      <c r="O31" s="57">
        <v>5.9214918322358043</v>
      </c>
      <c r="P31" s="57">
        <v>5.0272570467401794</v>
      </c>
      <c r="Q31" s="57">
        <v>5.7764749139148295</v>
      </c>
      <c r="R31" s="57">
        <v>2.5635095979447229</v>
      </c>
      <c r="S31" s="57">
        <v>0.97453592067161288</v>
      </c>
      <c r="T31" s="57">
        <v>1.7102737925440878</v>
      </c>
      <c r="U31" s="57">
        <v>2.0084655598689567</v>
      </c>
      <c r="V31" s="57">
        <v>1.8304287024618449</v>
      </c>
      <c r="W31" s="57">
        <v>1.914325042299019</v>
      </c>
      <c r="X31" s="57">
        <v>1.8800337156181606</v>
      </c>
      <c r="Y31" s="57">
        <v>1.93526509051443</v>
      </c>
      <c r="Z31" s="57">
        <v>1.9454802206198523</v>
      </c>
      <c r="AA31" s="57">
        <v>1.9250256125690648</v>
      </c>
      <c r="AB31" s="57">
        <v>1.878834650505977</v>
      </c>
      <c r="AC31" s="57">
        <v>1.7384725258381706</v>
      </c>
      <c r="AD31" s="57">
        <v>1.9222025543429717</v>
      </c>
      <c r="AE31" s="1033">
        <v>2.3133171168931268</v>
      </c>
      <c r="AF31" s="939" t="s">
        <v>468</v>
      </c>
      <c r="AG31" s="939" t="s">
        <v>468</v>
      </c>
      <c r="AH31" s="567"/>
    </row>
    <row r="32" spans="1:34" s="301" customFormat="1">
      <c r="A32" s="561">
        <v>32</v>
      </c>
      <c r="C32" s="10"/>
      <c r="D32" s="29"/>
      <c r="E32" s="204" t="s">
        <v>162</v>
      </c>
      <c r="F32" s="57">
        <v>8.1823051828375987E-2</v>
      </c>
      <c r="G32" s="57">
        <v>0.14423820209820809</v>
      </c>
      <c r="H32" s="57">
        <v>0.15987641528754054</v>
      </c>
      <c r="I32" s="57">
        <v>0.38641395416414226</v>
      </c>
      <c r="J32" s="57">
        <v>1.2577938501427963</v>
      </c>
      <c r="K32" s="57">
        <v>1.8480040482368028</v>
      </c>
      <c r="L32" s="57">
        <v>2.5862812877890491</v>
      </c>
      <c r="M32" s="57">
        <v>3.4098973619595907</v>
      </c>
      <c r="N32" s="57">
        <v>3.781725567261665</v>
      </c>
      <c r="O32" s="57">
        <v>4.1906092950408826</v>
      </c>
      <c r="P32" s="57">
        <v>4.5560214331613089</v>
      </c>
      <c r="Q32" s="57">
        <v>4.64410925447</v>
      </c>
      <c r="R32" s="57">
        <v>3.6909425960000002</v>
      </c>
      <c r="S32" s="57">
        <v>2.1348495790489181</v>
      </c>
      <c r="T32" s="57">
        <v>2.174387530164688</v>
      </c>
      <c r="U32" s="57">
        <v>1.9713100972081268</v>
      </c>
      <c r="V32" s="57">
        <v>1.4124337450720261</v>
      </c>
      <c r="W32" s="57">
        <v>0.53976676621769804</v>
      </c>
      <c r="X32" s="57">
        <v>0.30969469756350598</v>
      </c>
      <c r="Y32" s="57">
        <v>0</v>
      </c>
      <c r="Z32" s="57">
        <v>4.5007748477178207E-2</v>
      </c>
      <c r="AA32" s="57">
        <v>0.17495277263914361</v>
      </c>
      <c r="AB32" s="57">
        <v>0.35133761983815343</v>
      </c>
      <c r="AC32" s="57">
        <v>0.52943825907002817</v>
      </c>
      <c r="AD32" s="57">
        <v>0.44722137581708377</v>
      </c>
      <c r="AE32" s="1033">
        <v>0.53131779048858663</v>
      </c>
      <c r="AF32" s="939" t="s">
        <v>468</v>
      </c>
      <c r="AG32" s="939" t="s">
        <v>468</v>
      </c>
      <c r="AH32" s="567"/>
    </row>
    <row r="33" spans="1:34" s="301" customFormat="1">
      <c r="A33" s="561">
        <v>33</v>
      </c>
      <c r="C33" s="10"/>
      <c r="D33" s="29"/>
      <c r="E33" s="204" t="s">
        <v>163</v>
      </c>
      <c r="F33" s="57">
        <v>3.9670546349749856</v>
      </c>
      <c r="G33" s="57">
        <v>7.936199767484319</v>
      </c>
      <c r="H33" s="57">
        <v>8.4545715281138065</v>
      </c>
      <c r="I33" s="57">
        <v>9.7379949301273534</v>
      </c>
      <c r="J33" s="57">
        <v>10.344804147311823</v>
      </c>
      <c r="K33" s="57">
        <v>10.908312171380457</v>
      </c>
      <c r="L33" s="57">
        <v>10.64043066789209</v>
      </c>
      <c r="M33" s="57">
        <v>10.178466431984999</v>
      </c>
      <c r="N33" s="57">
        <v>10.229662199843142</v>
      </c>
      <c r="O33" s="57">
        <v>9.3951882382166083</v>
      </c>
      <c r="P33" s="57">
        <v>9.3729576414722562</v>
      </c>
      <c r="Q33" s="57">
        <v>9.7227153512400708</v>
      </c>
      <c r="R33" s="57">
        <v>8.7942608065317263</v>
      </c>
      <c r="S33" s="57">
        <v>8.3026153496130561</v>
      </c>
      <c r="T33" s="57">
        <v>9.1152296763065053</v>
      </c>
      <c r="U33" s="57">
        <v>9.0090079575427637</v>
      </c>
      <c r="V33" s="57">
        <v>8.7835483845549618</v>
      </c>
      <c r="W33" s="57">
        <v>8.5089909114186764</v>
      </c>
      <c r="X33" s="57">
        <v>8.1121083435064847</v>
      </c>
      <c r="Y33" s="57">
        <v>7.4839972949292859</v>
      </c>
      <c r="Z33" s="57">
        <v>6.1599863448087584</v>
      </c>
      <c r="AA33" s="57">
        <v>4.28128532279199</v>
      </c>
      <c r="AB33" s="57">
        <v>2.930204375588878</v>
      </c>
      <c r="AC33" s="57">
        <v>2.2266819765091133</v>
      </c>
      <c r="AD33" s="57">
        <v>2.1546215729582894</v>
      </c>
      <c r="AE33" s="1033">
        <v>2.0652631228018543</v>
      </c>
      <c r="AF33" s="939" t="s">
        <v>468</v>
      </c>
      <c r="AG33" s="939" t="s">
        <v>468</v>
      </c>
      <c r="AH33" s="567"/>
    </row>
    <row r="34" spans="1:34" s="301" customFormat="1">
      <c r="A34" s="561">
        <v>34</v>
      </c>
      <c r="C34" s="10"/>
      <c r="D34" s="29"/>
      <c r="E34" s="204" t="s">
        <v>164</v>
      </c>
      <c r="F34" s="57">
        <v>9.7149369683918749</v>
      </c>
      <c r="G34" s="57">
        <v>15.694016681506996</v>
      </c>
      <c r="H34" s="57">
        <v>15.793773520468061</v>
      </c>
      <c r="I34" s="57">
        <v>22.689854457020356</v>
      </c>
      <c r="J34" s="57">
        <v>25.66393746201684</v>
      </c>
      <c r="K34" s="57">
        <v>23.915964326096386</v>
      </c>
      <c r="L34" s="57">
        <v>24.805626157837704</v>
      </c>
      <c r="M34" s="57">
        <v>25.477205467839184</v>
      </c>
      <c r="N34" s="57">
        <v>24.78350176341317</v>
      </c>
      <c r="O34" s="57">
        <v>23.151006649172945</v>
      </c>
      <c r="P34" s="57">
        <v>24.286085947929855</v>
      </c>
      <c r="Q34" s="57">
        <v>21.891440767043449</v>
      </c>
      <c r="R34" s="57">
        <v>12.434418620167067</v>
      </c>
      <c r="S34" s="57">
        <v>7.3471138550744319</v>
      </c>
      <c r="T34" s="57">
        <v>12.818594117797728</v>
      </c>
      <c r="U34" s="57">
        <v>11.02966480192114</v>
      </c>
      <c r="V34" s="57">
        <v>10.207466411899391</v>
      </c>
      <c r="W34" s="57">
        <v>8.8095805264292526</v>
      </c>
      <c r="X34" s="57">
        <v>7.9360577093497602</v>
      </c>
      <c r="Y34" s="57">
        <v>7.0022168003276857</v>
      </c>
      <c r="Z34" s="57">
        <v>5.5711741325667843</v>
      </c>
      <c r="AA34" s="57">
        <v>3.5146601361906167</v>
      </c>
      <c r="AB34" s="57">
        <v>1.7699580535591732</v>
      </c>
      <c r="AC34" s="57">
        <v>1.0839862914237699</v>
      </c>
      <c r="AD34" s="57">
        <v>1.0968586236021427</v>
      </c>
      <c r="AE34" s="1033">
        <v>1.4736896654823346</v>
      </c>
      <c r="AF34" s="939" t="s">
        <v>468</v>
      </c>
      <c r="AG34" s="939" t="s">
        <v>468</v>
      </c>
      <c r="AH34" s="567"/>
    </row>
    <row r="35" spans="1:34" s="301" customFormat="1">
      <c r="A35" s="561">
        <v>35</v>
      </c>
      <c r="C35" s="10"/>
      <c r="D35" s="29"/>
      <c r="E35" s="204" t="s">
        <v>165</v>
      </c>
      <c r="F35" s="57">
        <v>4.0204831454453957E-2</v>
      </c>
      <c r="G35" s="57">
        <v>4.3348048063566347E-2</v>
      </c>
      <c r="H35" s="57">
        <v>4.8194628981231835E-2</v>
      </c>
      <c r="I35" s="57">
        <v>3.6699314249972741E-2</v>
      </c>
      <c r="J35" s="57">
        <v>0.15383670752011841</v>
      </c>
      <c r="K35" s="57">
        <v>0.52548971032364156</v>
      </c>
      <c r="L35" s="57">
        <v>0.54101093804569467</v>
      </c>
      <c r="M35" s="57">
        <v>0.4841738538783476</v>
      </c>
      <c r="N35" s="57">
        <v>0.49671337520805003</v>
      </c>
      <c r="O35" s="57">
        <v>0.43902601215450487</v>
      </c>
      <c r="P35" s="57">
        <v>0.46449941785910626</v>
      </c>
      <c r="Q35" s="57">
        <v>0.42620215836249692</v>
      </c>
      <c r="R35" s="57">
        <v>0.26105747067618412</v>
      </c>
      <c r="S35" s="57">
        <v>0.15122956657769213</v>
      </c>
      <c r="T35" s="57">
        <v>0.27422376890104755</v>
      </c>
      <c r="U35" s="57">
        <v>0.23926776298315705</v>
      </c>
      <c r="V35" s="57">
        <v>0.22559517210580932</v>
      </c>
      <c r="W35" s="57">
        <v>0.18253904554897366</v>
      </c>
      <c r="X35" s="57">
        <v>0.15467292228761301</v>
      </c>
      <c r="Y35" s="57">
        <v>0.12877656051626357</v>
      </c>
      <c r="Z35" s="57">
        <v>9.6951407112990232E-2</v>
      </c>
      <c r="AA35" s="57">
        <v>5.8042869234634482E-2</v>
      </c>
      <c r="AB35" s="57">
        <v>2.7810810531408822E-2</v>
      </c>
      <c r="AC35" s="57">
        <v>1.6251788212250609E-2</v>
      </c>
      <c r="AD35" s="57">
        <v>1.5726632411877276E-2</v>
      </c>
      <c r="AE35" s="1033">
        <v>2.024955435180557E-2</v>
      </c>
      <c r="AF35" s="939" t="s">
        <v>468</v>
      </c>
      <c r="AG35" s="939" t="s">
        <v>468</v>
      </c>
      <c r="AH35" s="567"/>
    </row>
    <row r="36" spans="1:34" s="301" customFormat="1">
      <c r="A36" s="561">
        <v>36</v>
      </c>
      <c r="C36" s="10"/>
      <c r="D36" s="29"/>
      <c r="E36" s="204" t="s">
        <v>280</v>
      </c>
      <c r="F36" s="57">
        <v>0</v>
      </c>
      <c r="G36" s="57">
        <v>0</v>
      </c>
      <c r="H36" s="57">
        <v>0</v>
      </c>
      <c r="I36" s="57">
        <v>0</v>
      </c>
      <c r="J36" s="57">
        <v>0</v>
      </c>
      <c r="K36" s="57">
        <v>1.0851338681326364E-3</v>
      </c>
      <c r="L36" s="57">
        <v>3.9995951519082281E-3</v>
      </c>
      <c r="M36" s="57">
        <v>1.8009193275893957E-2</v>
      </c>
      <c r="N36" s="57">
        <v>2.3357664145250655E-2</v>
      </c>
      <c r="O36" s="57">
        <v>4.0634519397035183E-2</v>
      </c>
      <c r="P36" s="57">
        <v>5.415762329386177E-2</v>
      </c>
      <c r="Q36" s="57">
        <v>6.3926736882310931E-2</v>
      </c>
      <c r="R36" s="57">
        <v>9.4375536482462941E-2</v>
      </c>
      <c r="S36" s="57">
        <v>9.7937067497830169E-2</v>
      </c>
      <c r="T36" s="57">
        <v>0.10178031170655658</v>
      </c>
      <c r="U36" s="57">
        <v>0.10547625217973897</v>
      </c>
      <c r="V36" s="57">
        <v>0.10895544441725867</v>
      </c>
      <c r="W36" s="57">
        <v>0.10947063048027547</v>
      </c>
      <c r="X36" s="57">
        <v>0.10902098041181206</v>
      </c>
      <c r="Y36" s="57">
        <v>0.10856737447104156</v>
      </c>
      <c r="Z36" s="57">
        <v>0.10810992932659062</v>
      </c>
      <c r="AA36" s="57">
        <v>0.10764876051773664</v>
      </c>
      <c r="AB36" s="57">
        <v>0.10718398244080433</v>
      </c>
      <c r="AC36" s="57">
        <v>0.10671570833652887</v>
      </c>
      <c r="AD36" s="57">
        <v>0.10624405027835525</v>
      </c>
      <c r="AE36" s="1033">
        <v>0.10576255187851333</v>
      </c>
      <c r="AF36" s="939" t="s">
        <v>468</v>
      </c>
      <c r="AG36" s="939" t="s">
        <v>468</v>
      </c>
      <c r="AH36" s="567"/>
    </row>
    <row r="37" spans="1:34" s="301" customFormat="1">
      <c r="A37" s="561">
        <v>37</v>
      </c>
      <c r="C37" s="10"/>
      <c r="D37" s="29"/>
      <c r="E37" s="204" t="s">
        <v>179</v>
      </c>
      <c r="F37" s="57">
        <v>6.3560928390632148</v>
      </c>
      <c r="G37" s="57">
        <v>5.8875356789087769</v>
      </c>
      <c r="H37" s="57">
        <v>6.2818434424715388</v>
      </c>
      <c r="I37" s="57">
        <v>5.7385000446915795</v>
      </c>
      <c r="J37" s="57">
        <v>4.6042183609160787</v>
      </c>
      <c r="K37" s="57">
        <v>3.9424702526901454</v>
      </c>
      <c r="L37" s="57">
        <v>3.4378603226952973</v>
      </c>
      <c r="M37" s="57">
        <v>2.8983911712066663</v>
      </c>
      <c r="N37" s="57">
        <v>3.429343353699899</v>
      </c>
      <c r="O37" s="57">
        <v>4.8578134058999991</v>
      </c>
      <c r="P37" s="57">
        <v>5.1532422899999988</v>
      </c>
      <c r="Q37" s="57">
        <v>4.1351099999999992</v>
      </c>
      <c r="R37" s="57">
        <v>7.8400000000000007</v>
      </c>
      <c r="S37" s="57">
        <v>8.622660098522168</v>
      </c>
      <c r="T37" s="57">
        <v>7.04020966293771</v>
      </c>
      <c r="U37" s="57">
        <v>6.8472296751857398</v>
      </c>
      <c r="V37" s="57">
        <v>6.6537050342848483</v>
      </c>
      <c r="W37" s="57">
        <v>6.5303113892286779</v>
      </c>
      <c r="X37" s="57">
        <v>6.3661282021169079</v>
      </c>
      <c r="Y37" s="57">
        <v>6.2107776680056093</v>
      </c>
      <c r="Z37" s="57">
        <v>6.0879228870271715</v>
      </c>
      <c r="AA37" s="57">
        <v>5.9620953014298843</v>
      </c>
      <c r="AB37" s="57">
        <v>5.8056983905361497</v>
      </c>
      <c r="AC37" s="57">
        <v>5.6526219334208552</v>
      </c>
      <c r="AD37" s="57">
        <v>5.5028019455052872</v>
      </c>
      <c r="AE37" s="1033">
        <v>5.3561756081971206</v>
      </c>
      <c r="AF37" s="939" t="s">
        <v>468</v>
      </c>
      <c r="AG37" s="939" t="s">
        <v>468</v>
      </c>
      <c r="AH37" s="567"/>
    </row>
    <row r="38" spans="1:34" s="301" customFormat="1">
      <c r="A38" s="561">
        <v>38</v>
      </c>
      <c r="C38" s="10"/>
      <c r="D38" s="29"/>
      <c r="E38" s="205" t="s">
        <v>181</v>
      </c>
      <c r="F38" s="58">
        <v>8.7812197049481799</v>
      </c>
      <c r="G38" s="58">
        <v>9.9835888297532218</v>
      </c>
      <c r="H38" s="58">
        <v>10.368113208019849</v>
      </c>
      <c r="I38" s="58">
        <v>11.658747304874858</v>
      </c>
      <c r="J38" s="58">
        <v>11.535538643694444</v>
      </c>
      <c r="K38" s="58">
        <v>10.761463498661596</v>
      </c>
      <c r="L38" s="58">
        <v>10.408456058808754</v>
      </c>
      <c r="M38" s="58">
        <v>10.331520044890258</v>
      </c>
      <c r="N38" s="58">
        <v>10.644380383952997</v>
      </c>
      <c r="O38" s="58">
        <v>11.58252798702682</v>
      </c>
      <c r="P38" s="58">
        <v>12.211655502224778</v>
      </c>
      <c r="Q38" s="58">
        <v>10.736279594172672</v>
      </c>
      <c r="R38" s="58">
        <v>11.563082772147341</v>
      </c>
      <c r="S38" s="58">
        <v>10.816979740292336</v>
      </c>
      <c r="T38" s="58">
        <v>10.920640975405565</v>
      </c>
      <c r="U38" s="58">
        <v>10.225664976906742</v>
      </c>
      <c r="V38" s="58">
        <v>9.8059339184428822</v>
      </c>
      <c r="W38" s="58">
        <v>9.0809193942450079</v>
      </c>
      <c r="X38" s="58">
        <v>8.5273644053609452</v>
      </c>
      <c r="Y38" s="58">
        <v>8.0101654380218008</v>
      </c>
      <c r="Z38" s="58">
        <v>7.4426195456861297</v>
      </c>
      <c r="AA38" s="58">
        <v>6.7731251085527422</v>
      </c>
      <c r="AB38" s="58">
        <v>6.1942973105867782</v>
      </c>
      <c r="AC38" s="58">
        <v>5.8797072728085604</v>
      </c>
      <c r="AD38" s="58">
        <v>5.722549311889547</v>
      </c>
      <c r="AE38" s="1034">
        <v>5.6391215131261108</v>
      </c>
      <c r="AF38" s="939" t="s">
        <v>468</v>
      </c>
      <c r="AG38" s="939" t="s">
        <v>468</v>
      </c>
      <c r="AH38" s="567"/>
    </row>
    <row r="39" spans="1:34" s="301" customFormat="1">
      <c r="A39" s="561">
        <v>39</v>
      </c>
      <c r="C39" s="10"/>
      <c r="D39" s="29"/>
      <c r="E39" s="204" t="s">
        <v>229</v>
      </c>
      <c r="F39" s="57">
        <v>5.9224039499239836E-2</v>
      </c>
      <c r="G39" s="57">
        <v>5.8006246138478573E-2</v>
      </c>
      <c r="H39" s="57">
        <v>5.6881956504662996E-2</v>
      </c>
      <c r="I39" s="57">
        <v>3.8138868908015294E-2</v>
      </c>
      <c r="J39" s="57">
        <v>0.14441643637298773</v>
      </c>
      <c r="K39" s="57">
        <v>0.47664762789340442</v>
      </c>
      <c r="L39" s="57">
        <v>0.5207035014876753</v>
      </c>
      <c r="M39" s="57">
        <v>0.4241721683564787</v>
      </c>
      <c r="N39" s="57">
        <v>0.43309207566692581</v>
      </c>
      <c r="O39" s="57">
        <v>0.38535835620403963</v>
      </c>
      <c r="P39" s="57">
        <v>0.39983882288259048</v>
      </c>
      <c r="Q39" s="57">
        <v>0.37807341290029001</v>
      </c>
      <c r="R39" s="57">
        <v>0.22007879841189015</v>
      </c>
      <c r="S39" s="57">
        <v>0.12971058116278592</v>
      </c>
      <c r="T39" s="57">
        <v>0.22937998235135723</v>
      </c>
      <c r="U39" s="57">
        <v>0.19970600365842336</v>
      </c>
      <c r="V39" s="57">
        <v>0.18633449418172074</v>
      </c>
      <c r="W39" s="57">
        <v>0.15077149215245203</v>
      </c>
      <c r="X39" s="57">
        <v>0.12775495357034197</v>
      </c>
      <c r="Y39" s="57">
        <v>0.10636537582907706</v>
      </c>
      <c r="Z39" s="57">
        <v>8.0078803265045212E-2</v>
      </c>
      <c r="AA39" s="57">
        <v>4.7941578619504814E-2</v>
      </c>
      <c r="AB39" s="57">
        <v>2.2970852012396816E-2</v>
      </c>
      <c r="AC39" s="57">
        <v>1.3423464286983244E-2</v>
      </c>
      <c r="AD39" s="57">
        <v>1.2989702165587907E-2</v>
      </c>
      <c r="AE39" s="1033">
        <v>1.6725492980759538E-2</v>
      </c>
      <c r="AF39" s="939" t="s">
        <v>468</v>
      </c>
      <c r="AG39" s="939" t="s">
        <v>468</v>
      </c>
      <c r="AH39" s="567"/>
    </row>
    <row r="40" spans="1:34" s="301" customFormat="1">
      <c r="A40" s="561">
        <v>40</v>
      </c>
      <c r="C40" s="10"/>
      <c r="D40" s="29"/>
      <c r="E40" s="205" t="s">
        <v>283</v>
      </c>
      <c r="F40" s="58">
        <v>0</v>
      </c>
      <c r="G40" s="58">
        <v>0</v>
      </c>
      <c r="H40" s="58">
        <v>0</v>
      </c>
      <c r="I40" s="58">
        <v>0</v>
      </c>
      <c r="J40" s="58">
        <v>0</v>
      </c>
      <c r="K40" s="58">
        <v>6.4703562415135963E-4</v>
      </c>
      <c r="L40" s="58">
        <v>2.0733533064762571E-3</v>
      </c>
      <c r="M40" s="58">
        <v>1.1707226346193049E-2</v>
      </c>
      <c r="N40" s="58">
        <v>1.5521650867436943E-2</v>
      </c>
      <c r="O40" s="58">
        <v>3.1712104919067528E-2</v>
      </c>
      <c r="P40" s="58">
        <v>4.2390915831618678E-2</v>
      </c>
      <c r="Q40" s="58">
        <v>4.7412608177150671E-2</v>
      </c>
      <c r="R40" s="58">
        <v>6.1719908126301799E-2</v>
      </c>
      <c r="S40" s="58">
        <v>6.295959747532355E-2</v>
      </c>
      <c r="T40" s="58">
        <v>6.6473316447049929E-2</v>
      </c>
      <c r="U40" s="58">
        <v>6.9949132006793882E-2</v>
      </c>
      <c r="V40" s="58">
        <v>7.3340714924977096E-2</v>
      </c>
      <c r="W40" s="58">
        <v>7.4099144505700043E-2</v>
      </c>
      <c r="X40" s="58">
        <v>7.3949013184393328E-2</v>
      </c>
      <c r="Y40" s="58">
        <v>7.3647326315373546E-2</v>
      </c>
      <c r="Z40" s="58">
        <v>7.3170067146647602E-2</v>
      </c>
      <c r="AA40" s="58">
        <v>7.2686916669938775E-2</v>
      </c>
      <c r="AB40" s="58">
        <v>7.2197323277302508E-2</v>
      </c>
      <c r="AC40" s="58">
        <v>7.1961022565113525E-2</v>
      </c>
      <c r="AD40" s="58">
        <v>7.1804735982286511E-2</v>
      </c>
      <c r="AE40" s="1034">
        <v>7.1751477853940537E-2</v>
      </c>
      <c r="AF40" s="939" t="s">
        <v>468</v>
      </c>
      <c r="AG40" s="939" t="s">
        <v>468</v>
      </c>
      <c r="AH40" s="567"/>
    </row>
    <row r="41" spans="1:34" s="301" customFormat="1">
      <c r="A41" s="561">
        <v>41</v>
      </c>
      <c r="C41" s="10"/>
      <c r="D41" s="29"/>
      <c r="E41" s="205" t="s">
        <v>66</v>
      </c>
      <c r="F41" s="58">
        <v>0</v>
      </c>
      <c r="G41" s="58">
        <v>-1.2953030595291781</v>
      </c>
      <c r="H41" s="58">
        <v>-0.8091099918026019</v>
      </c>
      <c r="I41" s="58">
        <v>-2.9044931783220567</v>
      </c>
      <c r="J41" s="58">
        <v>-2.4403190465106572</v>
      </c>
      <c r="K41" s="58">
        <v>1.5260851812455698</v>
      </c>
      <c r="L41" s="58">
        <v>2.7727124334536644</v>
      </c>
      <c r="M41" s="58">
        <v>2.1104731733351589</v>
      </c>
      <c r="N41" s="58">
        <v>3.543474011196297</v>
      </c>
      <c r="O41" s="58">
        <v>3.8331751820005171</v>
      </c>
      <c r="P41" s="58">
        <v>2.287736082049058</v>
      </c>
      <c r="Q41" s="58">
        <v>-4.1416001912057503</v>
      </c>
      <c r="R41" s="58">
        <v>4.5469536436400002</v>
      </c>
      <c r="S41" s="58">
        <v>5.8395645590842395</v>
      </c>
      <c r="T41" s="58">
        <v>0.92630675614009628</v>
      </c>
      <c r="U41" s="58">
        <v>1.0643288384178597</v>
      </c>
      <c r="V41" s="58">
        <v>1.0552250471076119</v>
      </c>
      <c r="W41" s="58">
        <v>0.97625727167691256</v>
      </c>
      <c r="X41" s="58">
        <v>0.88328289494031709</v>
      </c>
      <c r="Y41" s="58">
        <v>0.8208330076235818</v>
      </c>
      <c r="Z41" s="58">
        <v>0.75702949994764968</v>
      </c>
      <c r="AA41" s="58">
        <v>0.66454523065142801</v>
      </c>
      <c r="AB41" s="58">
        <v>0.53450842382870434</v>
      </c>
      <c r="AC41" s="58">
        <v>0.42107736985206995</v>
      </c>
      <c r="AD41" s="58">
        <v>0.37048763417867558</v>
      </c>
      <c r="AE41" s="1034">
        <v>0.36412183325373693</v>
      </c>
      <c r="AF41" s="939" t="s">
        <v>468</v>
      </c>
      <c r="AG41" s="939" t="s">
        <v>468</v>
      </c>
      <c r="AH41" s="567"/>
    </row>
    <row r="42" spans="1:34" s="301" customFormat="1">
      <c r="A42" s="561">
        <v>42</v>
      </c>
      <c r="C42" s="10"/>
      <c r="D42" s="29"/>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939" t="s">
        <v>468</v>
      </c>
      <c r="AG42" s="939" t="s">
        <v>468</v>
      </c>
      <c r="AH42" s="567"/>
    </row>
    <row r="43" spans="1:34" s="301" customFormat="1">
      <c r="A43" s="561">
        <v>43</v>
      </c>
      <c r="C43" s="10"/>
      <c r="D43" s="29"/>
      <c r="E43" s="590" t="s">
        <v>388</v>
      </c>
      <c r="F43" s="662"/>
      <c r="G43" s="662"/>
      <c r="H43" s="662"/>
      <c r="I43" s="662"/>
      <c r="J43" s="662"/>
      <c r="K43" s="662"/>
      <c r="L43" s="662"/>
      <c r="M43" s="662"/>
      <c r="N43" s="662"/>
      <c r="O43" s="662"/>
      <c r="P43" s="662"/>
      <c r="Q43" s="662"/>
      <c r="R43" s="662"/>
      <c r="S43" s="662"/>
      <c r="T43" s="662"/>
      <c r="U43" s="662"/>
      <c r="V43" s="662"/>
      <c r="W43" s="662"/>
      <c r="X43" s="662"/>
      <c r="Y43" s="662"/>
      <c r="Z43" s="662"/>
      <c r="AA43" s="662"/>
      <c r="AB43" s="662"/>
      <c r="AC43" s="662"/>
      <c r="AD43" s="662"/>
      <c r="AE43" s="662"/>
      <c r="AF43" s="939" t="s">
        <v>468</v>
      </c>
      <c r="AG43" s="939" t="s">
        <v>468</v>
      </c>
      <c r="AH43" s="567"/>
    </row>
    <row r="44" spans="1:34" s="301" customFormat="1">
      <c r="A44" s="561">
        <v>44</v>
      </c>
      <c r="C44" s="10"/>
      <c r="D44" s="29"/>
      <c r="E44" s="206" t="s">
        <v>227</v>
      </c>
      <c r="F44" s="197">
        <v>400.59500000000003</v>
      </c>
      <c r="G44" s="197">
        <v>383.14973227999997</v>
      </c>
      <c r="H44" s="197">
        <v>386.50834199999997</v>
      </c>
      <c r="I44" s="197">
        <v>383.25856100000004</v>
      </c>
      <c r="J44" s="197">
        <v>370.260447</v>
      </c>
      <c r="K44" s="197">
        <v>350.72573712000002</v>
      </c>
      <c r="L44" s="197">
        <v>355.8609206000001</v>
      </c>
      <c r="M44" s="197">
        <v>342.7521021199999</v>
      </c>
      <c r="N44" s="197">
        <v>343.49791497249993</v>
      </c>
      <c r="O44" s="197">
        <v>344.26749819460247</v>
      </c>
      <c r="P44" s="197">
        <v>344.07288462324232</v>
      </c>
      <c r="Q44" s="197">
        <v>331.62972795561251</v>
      </c>
      <c r="R44" s="197">
        <v>333.98179361441754</v>
      </c>
      <c r="S44" s="197">
        <v>334.82423049120968</v>
      </c>
      <c r="T44" s="197">
        <v>330.33941553382203</v>
      </c>
      <c r="U44" s="197">
        <v>326.47257729939474</v>
      </c>
      <c r="V44" s="197">
        <v>323.81742528908472</v>
      </c>
      <c r="W44" s="197">
        <v>345.3913933110569</v>
      </c>
      <c r="X44" s="197">
        <v>367.19992462821301</v>
      </c>
      <c r="Y44" s="197">
        <v>389.14440328027115</v>
      </c>
      <c r="Z44" s="197">
        <v>411.24882806471254</v>
      </c>
      <c r="AA44" s="197">
        <v>433.35770218593228</v>
      </c>
      <c r="AB44" s="197">
        <v>455.47168616129227</v>
      </c>
      <c r="AC44" s="197">
        <v>477.34754447228744</v>
      </c>
      <c r="AD44" s="197">
        <v>499.14528744982846</v>
      </c>
      <c r="AE44" s="1032">
        <v>520.83795517456952</v>
      </c>
      <c r="AF44" s="939"/>
      <c r="AG44" s="939"/>
      <c r="AH44" s="567"/>
    </row>
    <row r="45" spans="1:34" s="301" customFormat="1">
      <c r="A45" s="561">
        <v>45</v>
      </c>
      <c r="C45" s="10"/>
      <c r="D45" s="29"/>
      <c r="E45" s="204" t="s">
        <v>228</v>
      </c>
      <c r="F45" s="57">
        <v>67.885999999999996</v>
      </c>
      <c r="G45" s="57">
        <v>74.729966079999997</v>
      </c>
      <c r="H45" s="57">
        <v>84.727446</v>
      </c>
      <c r="I45" s="57">
        <v>96.225492000000003</v>
      </c>
      <c r="J45" s="57">
        <v>106.52299099999999</v>
      </c>
      <c r="K45" s="57">
        <v>110.247</v>
      </c>
      <c r="L45" s="57">
        <v>103.9</v>
      </c>
      <c r="M45" s="57">
        <v>114.145597</v>
      </c>
      <c r="N45" s="57">
        <v>114.690017</v>
      </c>
      <c r="O45" s="57">
        <v>113.926688</v>
      </c>
      <c r="P45" s="57">
        <v>116.17166499999999</v>
      </c>
      <c r="Q45" s="57">
        <v>112.73</v>
      </c>
      <c r="R45" s="57">
        <v>118.62</v>
      </c>
      <c r="S45" s="57">
        <v>116.59</v>
      </c>
      <c r="T45" s="57">
        <v>119.55</v>
      </c>
      <c r="U45" s="57">
        <v>119.81</v>
      </c>
      <c r="V45" s="57">
        <v>121.07</v>
      </c>
      <c r="W45" s="57">
        <v>121.07</v>
      </c>
      <c r="X45" s="57">
        <v>121.07</v>
      </c>
      <c r="Y45" s="57">
        <v>121.07</v>
      </c>
      <c r="Z45" s="57">
        <v>121.07</v>
      </c>
      <c r="AA45" s="57">
        <v>121.07</v>
      </c>
      <c r="AB45" s="57">
        <v>121.07</v>
      </c>
      <c r="AC45" s="57">
        <v>121.07</v>
      </c>
      <c r="AD45" s="57">
        <v>121.07</v>
      </c>
      <c r="AE45" s="1033">
        <v>121.07</v>
      </c>
      <c r="AF45" s="939"/>
      <c r="AG45" s="939"/>
      <c r="AH45" s="567"/>
    </row>
    <row r="46" spans="1:34" s="301" customFormat="1">
      <c r="A46" s="561">
        <v>46</v>
      </c>
      <c r="C46" s="10"/>
      <c r="D46" s="29"/>
      <c r="E46" s="205" t="s">
        <v>282</v>
      </c>
      <c r="F46" s="58">
        <v>66.919000000000011</v>
      </c>
      <c r="G46" s="58">
        <v>54.256241999999979</v>
      </c>
      <c r="H46" s="58">
        <v>62.745360999999974</v>
      </c>
      <c r="I46" s="58">
        <v>55.017604000000063</v>
      </c>
      <c r="J46" s="58">
        <v>47.117968535482987</v>
      </c>
      <c r="K46" s="58">
        <v>59.627262880000004</v>
      </c>
      <c r="L46" s="58">
        <v>51.839079399999996</v>
      </c>
      <c r="M46" s="58">
        <v>65.006944879999992</v>
      </c>
      <c r="N46" s="58">
        <v>66.452068027500005</v>
      </c>
      <c r="O46" s="58">
        <v>78.042278805397501</v>
      </c>
      <c r="P46" s="58">
        <v>78.273220376757692</v>
      </c>
      <c r="Q46" s="58">
        <v>74.167102044387548</v>
      </c>
      <c r="R46" s="58">
        <v>65.398206385582483</v>
      </c>
      <c r="S46" s="58">
        <v>64.285769508790366</v>
      </c>
      <c r="T46" s="58">
        <v>65.310584466178042</v>
      </c>
      <c r="U46" s="58">
        <v>66.317422700605277</v>
      </c>
      <c r="V46" s="58">
        <v>67.312574710915356</v>
      </c>
      <c r="W46" s="58">
        <v>67.68860668894321</v>
      </c>
      <c r="X46" s="58">
        <v>67.830075371787061</v>
      </c>
      <c r="Y46" s="58">
        <v>67.835596719728798</v>
      </c>
      <c r="Z46" s="58">
        <v>67.68117193528748</v>
      </c>
      <c r="AA46" s="58">
        <v>67.522297814067798</v>
      </c>
      <c r="AB46" s="58">
        <v>67.358313838707858</v>
      </c>
      <c r="AC46" s="58">
        <v>67.43245552771279</v>
      </c>
      <c r="AD46" s="58">
        <v>67.584712550171901</v>
      </c>
      <c r="AE46" s="1034">
        <v>67.842044825430818</v>
      </c>
      <c r="AF46" s="939"/>
      <c r="AG46" s="939"/>
      <c r="AH46" s="567"/>
    </row>
    <row r="47" spans="1:34" s="301" customFormat="1">
      <c r="A47" s="561">
        <v>47</v>
      </c>
      <c r="F47" s="662"/>
      <c r="G47" s="662"/>
      <c r="H47" s="662"/>
      <c r="I47" s="662"/>
      <c r="J47" s="662"/>
      <c r="K47" s="662"/>
      <c r="L47" s="662"/>
      <c r="M47" s="662"/>
      <c r="N47" s="662"/>
      <c r="O47" s="662"/>
      <c r="P47" s="662"/>
      <c r="Q47" s="662"/>
      <c r="R47" s="662"/>
      <c r="S47" s="662"/>
      <c r="T47" s="662"/>
      <c r="U47" s="662"/>
      <c r="V47" s="662"/>
      <c r="W47" s="662"/>
      <c r="X47" s="662"/>
      <c r="Y47" s="662"/>
      <c r="Z47" s="662"/>
      <c r="AA47" s="662"/>
      <c r="AB47" s="662"/>
      <c r="AC47" s="662"/>
      <c r="AD47" s="662"/>
      <c r="AE47" s="662"/>
      <c r="AF47" s="939"/>
      <c r="AG47" s="939"/>
      <c r="AH47" s="567"/>
    </row>
    <row r="48" spans="1:34" s="301" customFormat="1">
      <c r="A48" s="561">
        <v>48</v>
      </c>
      <c r="E48" s="620" t="s">
        <v>509</v>
      </c>
      <c r="F48" s="663">
        <v>0.17956606533398342</v>
      </c>
      <c r="G48" s="663">
        <v>0.20889978081740276</v>
      </c>
      <c r="H48" s="621">
        <v>0.22202076099489373</v>
      </c>
      <c r="I48" s="621">
        <v>0.25922769498261294</v>
      </c>
      <c r="J48" s="621">
        <v>0.28309799017205339</v>
      </c>
      <c r="K48" s="621">
        <v>0.30059636757838554</v>
      </c>
      <c r="L48" s="621">
        <v>0.32800036950342748</v>
      </c>
      <c r="M48" s="621">
        <v>0.34547588818223213</v>
      </c>
      <c r="N48" s="621">
        <v>0.37587892392510169</v>
      </c>
      <c r="O48" s="621">
        <v>0.39575235855942015</v>
      </c>
      <c r="P48" s="621">
        <v>0.41050394895058645</v>
      </c>
      <c r="Q48" s="621">
        <v>0.4325342394860715</v>
      </c>
      <c r="R48" s="621">
        <v>0.46571829833782635</v>
      </c>
      <c r="S48" s="621">
        <v>0.50142246529592194</v>
      </c>
      <c r="T48" s="621">
        <v>0.532142255999694</v>
      </c>
      <c r="U48" s="621">
        <v>0.56203262172263801</v>
      </c>
      <c r="V48" s="621">
        <v>0.58528520305834397</v>
      </c>
      <c r="W48" s="621">
        <v>0.5779596122645192</v>
      </c>
      <c r="X48" s="621">
        <v>0.56791967004725596</v>
      </c>
      <c r="Y48" s="621">
        <v>0.56209177842234381</v>
      </c>
      <c r="Z48" s="621">
        <v>0.55575636455364708</v>
      </c>
      <c r="AA48" s="621">
        <v>0.54867747835100678</v>
      </c>
      <c r="AB48" s="621">
        <v>0.53761406817443358</v>
      </c>
      <c r="AC48" s="621">
        <v>0.53402881396106749</v>
      </c>
      <c r="AD48" s="621">
        <v>0.53106744125023231</v>
      </c>
      <c r="AE48" s="622">
        <v>0.5210230381623282</v>
      </c>
      <c r="AF48" s="939" t="s">
        <v>510</v>
      </c>
      <c r="AG48" s="939"/>
      <c r="AH48" s="567"/>
    </row>
    <row r="49" spans="1:34" s="301" customFormat="1">
      <c r="A49" s="561">
        <v>49</v>
      </c>
      <c r="AF49" s="939"/>
      <c r="AG49" s="939"/>
      <c r="AH49" s="567"/>
    </row>
    <row r="50" spans="1:34" s="301" customFormat="1">
      <c r="A50" s="561">
        <v>50</v>
      </c>
      <c r="C50" s="10"/>
      <c r="D50" s="29"/>
      <c r="E50" s="199" t="s">
        <v>471</v>
      </c>
      <c r="AF50" s="939"/>
      <c r="AG50" s="939"/>
      <c r="AH50" s="567"/>
    </row>
    <row r="51" spans="1:34" s="301" customFormat="1">
      <c r="A51" s="561">
        <v>51</v>
      </c>
      <c r="C51" s="10"/>
      <c r="D51" s="29"/>
      <c r="E51" s="590" t="s">
        <v>469</v>
      </c>
      <c r="AF51" s="939"/>
      <c r="AG51" s="939"/>
      <c r="AH51" s="567"/>
    </row>
    <row r="52" spans="1:34" s="301" customFormat="1">
      <c r="A52" s="561">
        <v>52</v>
      </c>
      <c r="C52" s="10"/>
      <c r="D52" s="29"/>
      <c r="E52" s="200" t="s">
        <v>166</v>
      </c>
      <c r="F52" s="864">
        <f>'MOD-Berechnungen'!F390</f>
        <v>2.0469999999999997</v>
      </c>
      <c r="G52" s="864">
        <f>'MOD-Berechnungen'!G390</f>
        <v>3.5300000000000007</v>
      </c>
      <c r="H52" s="864">
        <f>'MOD-Berechnungen'!H390</f>
        <v>3.5920000000000005</v>
      </c>
      <c r="I52" s="864">
        <f>'MOD-Berechnungen'!I390</f>
        <v>5.2769999999999992</v>
      </c>
      <c r="J52" s="864">
        <f>'MOD-Berechnungen'!J390</f>
        <v>6.2399999999999993</v>
      </c>
      <c r="K52" s="864">
        <f>'MOD-Berechnungen'!K390</f>
        <v>6.1695706877643843</v>
      </c>
      <c r="L52" s="864">
        <f>'MOD-Berechnungen'!L390</f>
        <v>6.3382686397238945</v>
      </c>
      <c r="M52" s="864">
        <f>'MOD-Berechnungen'!M390</f>
        <v>6.8602264368703567</v>
      </c>
      <c r="N52" s="864">
        <f>'MOD-Berechnungen'!N390</f>
        <v>6.7788048363237206</v>
      </c>
      <c r="O52" s="864">
        <f>'MOD-Berechnungen'!O390</f>
        <v>6.406581826229905</v>
      </c>
      <c r="P52" s="864">
        <f>'MOD-Berechnungen'!P390</f>
        <v>6.7581163138201807</v>
      </c>
      <c r="Q52" s="864">
        <f>'MOD-Berechnungen'!Q390</f>
        <v>6.5036153637169205</v>
      </c>
      <c r="R52" s="864">
        <f>'MOD-Berechnungen'!R390</f>
        <v>3.7230827721473405</v>
      </c>
      <c r="S52" s="864">
        <f ca="1">'MOD-Berechnungen'!S390</f>
        <v>2.2272344363967198</v>
      </c>
      <c r="T52" s="864">
        <f ca="1">'MOD-Berechnungen'!T390</f>
        <v>3.997717348887194</v>
      </c>
      <c r="U52" s="864">
        <f ca="1">'MOD-Berechnungen'!U390</f>
        <v>3.5327567363462515</v>
      </c>
      <c r="V52" s="864">
        <f ca="1">'MOD-Berechnungen'!V390</f>
        <v>3.3456608408726511</v>
      </c>
      <c r="W52" s="864">
        <f ca="1">'MOD-Berechnungen'!W390</f>
        <v>2.7477292039835279</v>
      </c>
      <c r="X52" s="864">
        <f ca="1">'MOD-Berechnungen'!X390</f>
        <v>2.3631891682261594</v>
      </c>
      <c r="Y52" s="864">
        <f ca="1">'MOD-Berechnungen'!Y390</f>
        <v>1.9970413628901464</v>
      </c>
      <c r="Z52" s="864">
        <f ca="1">'MOD-Berechnungen'!Z390</f>
        <v>1.5260557430647477</v>
      </c>
      <c r="AA52" s="864">
        <f ca="1">'MOD-Berechnungen'!AA390</f>
        <v>0.92732335121019616</v>
      </c>
      <c r="AB52" s="864">
        <f ca="1">'MOD-Berechnungen'!AB390</f>
        <v>0.45098491127943902</v>
      </c>
      <c r="AC52" s="864">
        <f ca="1">'MOD-Berechnungen'!AC390</f>
        <v>0.26749493423098486</v>
      </c>
      <c r="AD52" s="864">
        <f ca="1">'MOD-Berechnungen'!AD390</f>
        <v>0.26273394437983666</v>
      </c>
      <c r="AE52" s="868">
        <f ca="1">'MOD-Berechnungen'!AE390</f>
        <v>0.34336969445583421</v>
      </c>
      <c r="AF52" s="939"/>
      <c r="AG52" s="939"/>
      <c r="AH52" s="567"/>
    </row>
    <row r="53" spans="1:34" s="301" customFormat="1">
      <c r="A53" s="561">
        <v>53</v>
      </c>
      <c r="C53" s="10"/>
      <c r="D53" s="29"/>
      <c r="E53" s="201" t="s">
        <v>157</v>
      </c>
      <c r="F53" s="865">
        <f>IF(ControlPanel!$D$59&gt;'GrD-Grafikdaten'!F$5,'MOD-Berechnungen'!F305-'MOD-Berechnungen'!F345,'MOD-Berechnungen'!F295+'MOD-Berechnungen'!F315+'MOD-Berechnungen'!F355-'MOD-Berechnungen'!F345)</f>
        <v>0.12188854688</v>
      </c>
      <c r="G53" s="865">
        <f>IF(ControlPanel!$D$59&gt;'GrD-Grafikdaten'!G$5,'MOD-Berechnungen'!G305-'MOD-Berechnungen'!G345,'MOD-Berechnungen'!G295+'MOD-Berechnungen'!G315+'MOD-Berechnungen'!G355-'MOD-Berechnungen'!G345)</f>
        <v>5.7623056991530017E-2</v>
      </c>
      <c r="H53" s="865">
        <f>IF(ControlPanel!$D$59&gt;'GrD-Grafikdaten'!H$5,'MOD-Berechnungen'!H305-'MOD-Berechnungen'!H345,'MOD-Berechnungen'!H295+'MOD-Berechnungen'!H315+'MOD-Berechnungen'!H355-'MOD-Berechnungen'!H345)</f>
        <v>0.14606846574000004</v>
      </c>
      <c r="I53" s="865">
        <f>IF(ControlPanel!$D$59&gt;'GrD-Grafikdaten'!I$5,'MOD-Berechnungen'!I305-'MOD-Berechnungen'!I345,'MOD-Berechnungen'!I295+'MOD-Berechnungen'!I315+'MOD-Berechnungen'!I355-'MOD-Berechnungen'!I345)</f>
        <v>0.19491568635000001</v>
      </c>
      <c r="J53" s="865">
        <f>IF(ControlPanel!$D$59&gt;'GrD-Grafikdaten'!J$5,'MOD-Berechnungen'!J305-'MOD-Berechnungen'!J345,'MOD-Berechnungen'!J295+'MOD-Berechnungen'!J315+'MOD-Berechnungen'!J355-'MOD-Berechnungen'!J345)</f>
        <v>0.28466948240000001</v>
      </c>
      <c r="K53" s="865">
        <f>IF(ControlPanel!$D$59&gt;'GrD-Grafikdaten'!K$5,'MOD-Berechnungen'!K305-'MOD-Berechnungen'!K345,'MOD-Berechnungen'!K295+'MOD-Berechnungen'!K315+'MOD-Berechnungen'!K355-'MOD-Berechnungen'!K345)</f>
        <v>0.33879737999000004</v>
      </c>
      <c r="L53" s="865">
        <f>IF(ControlPanel!$D$59&gt;'GrD-Grafikdaten'!L$5,'MOD-Berechnungen'!L305-'MOD-Berechnungen'!L345,'MOD-Berechnungen'!L295+'MOD-Berechnungen'!L315+'MOD-Berechnungen'!L355-'MOD-Berechnungen'!L345)</f>
        <v>0.38709749236000002</v>
      </c>
      <c r="M53" s="865">
        <f>IF(ControlPanel!$D$59&gt;'GrD-Grafikdaten'!M$5,'MOD-Berechnungen'!M305-'MOD-Berechnungen'!M345,'MOD-Berechnungen'!M295+'MOD-Berechnungen'!M315+'MOD-Berechnungen'!M355-'MOD-Berechnungen'!M345)</f>
        <v>0.42404636424999992</v>
      </c>
      <c r="N53" s="865">
        <f>IF(ControlPanel!$D$59&gt;'GrD-Grafikdaten'!N$5,'MOD-Berechnungen'!N305-'MOD-Berechnungen'!N345,'MOD-Berechnungen'!N295+'MOD-Berechnungen'!N315+'MOD-Berechnungen'!N355-'MOD-Berechnungen'!N345)</f>
        <v>0.33617967500000001</v>
      </c>
      <c r="O53" s="865">
        <f>IF(ControlPanel!$D$59&gt;'GrD-Grafikdaten'!O$5,'MOD-Berechnungen'!O305-'MOD-Berechnungen'!O345,'MOD-Berechnungen'!O295+'MOD-Berechnungen'!O315+'MOD-Berechnungen'!O355-'MOD-Berechnungen'!O345)</f>
        <v>0.30603378476000004</v>
      </c>
      <c r="P53" s="865">
        <f>IF(ControlPanel!$D$59&gt;'GrD-Grafikdaten'!P$5,'MOD-Berechnungen'!P305-'MOD-Berechnungen'!P345,'MOD-Berechnungen'!P295+'MOD-Berechnungen'!P315+'MOD-Berechnungen'!P355-'MOD-Berechnungen'!P345)</f>
        <v>0.26585502989999993</v>
      </c>
      <c r="Q53" s="865">
        <f>IF(ControlPanel!$D$59&gt;'GrD-Grafikdaten'!Q$5,'MOD-Berechnungen'!Q305-'MOD-Berechnungen'!Q345,'MOD-Berechnungen'!Q295+'MOD-Berechnungen'!Q315+'MOD-Berechnungen'!Q355-'MOD-Berechnungen'!Q345)</f>
        <v>0.33209319147999994</v>
      </c>
      <c r="R53" s="865">
        <f>IF(ControlPanel!$D$59&gt;'GrD-Grafikdaten'!R$5,'MOD-Berechnungen'!R305-'MOD-Berechnungen'!R345,'MOD-Berechnungen'!R295+'MOD-Berechnungen'!R315+'MOD-Berechnungen'!R355-'MOD-Berechnungen'!R345)</f>
        <v>0.15405119179999999</v>
      </c>
      <c r="S53" s="865">
        <f>IF(ControlPanel!$D$59&gt;'GrD-Grafikdaten'!S$5,'MOD-Berechnungen'!S305-'MOD-Berechnungen'!S345,'MOD-Berechnungen'!S295+'MOD-Berechnungen'!S315+'MOD-Berechnungen'!S355-'MOD-Berechnungen'!S345)</f>
        <v>7.2850887905401618E-2</v>
      </c>
      <c r="T53" s="865">
        <f>IF(ControlPanel!$D$59&gt;'GrD-Grafikdaten'!T$5,'MOD-Berechnungen'!T305-'MOD-Berechnungen'!T345,'MOD-Berechnungen'!T295+'MOD-Berechnungen'!T315+'MOD-Berechnungen'!T355-'MOD-Berechnungen'!T345)</f>
        <v>0.19288878527829945</v>
      </c>
      <c r="U53" s="865">
        <f>IF(ControlPanel!$D$59&gt;'GrD-Grafikdaten'!U$5,'MOD-Berechnungen'!U305-'MOD-Berechnungen'!U345,'MOD-Berechnungen'!U295+'MOD-Berechnungen'!U315+'MOD-Berechnungen'!U355-'MOD-Berechnungen'!U345)</f>
        <v>0.20165175324113038</v>
      </c>
      <c r="V53" s="865">
        <f>IF(ControlPanel!$D$59&gt;'GrD-Grafikdaten'!V$5,'MOD-Berechnungen'!V305-'MOD-Berechnungen'!V345,'MOD-Berechnungen'!V295+'MOD-Berechnungen'!V315+'MOD-Berechnungen'!V355-'MOD-Berechnungen'!V345)</f>
        <v>0.2108731335112316</v>
      </c>
      <c r="W53" s="865">
        <f>IF(ControlPanel!$D$59&gt;'GrD-Grafikdaten'!W$5,'MOD-Berechnungen'!W305-'MOD-Berechnungen'!W345,'MOD-Berechnungen'!W295+'MOD-Berechnungen'!W315+'MOD-Berechnungen'!W355-'MOD-Berechnungen'!W345)</f>
        <v>0.21441480661902546</v>
      </c>
      <c r="X53" s="865">
        <f>IF(ControlPanel!$D$59&gt;'GrD-Grafikdaten'!X$5,'MOD-Berechnungen'!X305-'MOD-Berechnungen'!X345,'MOD-Berechnungen'!X295+'MOD-Berechnungen'!X315+'MOD-Berechnungen'!X355-'MOD-Berechnungen'!X345)</f>
        <v>0.22177649766684715</v>
      </c>
      <c r="Y53" s="865">
        <f>IF(ControlPanel!$D$59&gt;'GrD-Grafikdaten'!Y$5,'MOD-Berechnungen'!Y305-'MOD-Berechnungen'!Y345,'MOD-Berechnungen'!Y295+'MOD-Berechnungen'!Y315+'MOD-Berechnungen'!Y355-'MOD-Berechnungen'!Y345)</f>
        <v>0.22868825932424952</v>
      </c>
      <c r="Z53" s="865">
        <f>IF(ControlPanel!$D$59&gt;'GrD-Grafikdaten'!Z$5,'MOD-Berechnungen'!Z305-'MOD-Berechnungen'!Z345,'MOD-Berechnungen'!Z295+'MOD-Berechnungen'!Z315+'MOD-Berechnungen'!Z355-'MOD-Berechnungen'!Z345)</f>
        <v>0.21594840351927369</v>
      </c>
      <c r="AA53" s="865">
        <f>IF(ControlPanel!$D$59&gt;'GrD-Grafikdaten'!AA$5,'MOD-Berechnungen'!AA305-'MOD-Berechnungen'!AA345,'MOD-Berechnungen'!AA295+'MOD-Berechnungen'!AA315+'MOD-Berechnungen'!AA355-'MOD-Berechnungen'!AA345)</f>
        <v>0.21560026880961791</v>
      </c>
      <c r="AB53" s="865">
        <f>IF(ControlPanel!$D$59&gt;'GrD-Grafikdaten'!AB$5,'MOD-Berechnungen'!AB305-'MOD-Berechnungen'!AB345,'MOD-Berechnungen'!AB295+'MOD-Berechnungen'!AB315+'MOD-Berechnungen'!AB355-'MOD-Berechnungen'!AB345)</f>
        <v>0.21164031051301152</v>
      </c>
      <c r="AC53" s="865">
        <f>IF(ControlPanel!$D$59&gt;'GrD-Grafikdaten'!AC$5,'MOD-Berechnungen'!AC305-'MOD-Berechnungen'!AC345,'MOD-Berechnungen'!AC295+'MOD-Berechnungen'!AC315+'MOD-Berechnungen'!AC355-'MOD-Berechnungen'!AC345)</f>
        <v>0.20926461201464785</v>
      </c>
      <c r="AD53" s="865">
        <f>IF(ControlPanel!$D$59&gt;'GrD-Grafikdaten'!AD$5,'MOD-Berechnungen'!AD305-'MOD-Berechnungen'!AD345,'MOD-Berechnungen'!AD295+'MOD-Berechnungen'!AD315+'MOD-Berechnungen'!AD355-'MOD-Berechnungen'!AD345)</f>
        <v>0.20854738760688019</v>
      </c>
      <c r="AE53" s="870">
        <f>IF(ControlPanel!$D$59&gt;'GrD-Grafikdaten'!AE$5,'MOD-Berechnungen'!AE305-'MOD-Berechnungen'!AE345,'MOD-Berechnungen'!AE295+'MOD-Berechnungen'!AE315+'MOD-Berechnungen'!AE355-'MOD-Berechnungen'!AE345)</f>
        <v>0.2121679200180443</v>
      </c>
      <c r="AF53" s="939"/>
      <c r="AG53" s="557" t="s">
        <v>694</v>
      </c>
      <c r="AH53" s="956" t="s">
        <v>695</v>
      </c>
    </row>
    <row r="54" spans="1:34" s="301" customFormat="1">
      <c r="A54" s="561">
        <v>54</v>
      </c>
      <c r="C54" s="10"/>
      <c r="D54" s="29"/>
      <c r="E54" s="201" t="s">
        <v>158</v>
      </c>
      <c r="F54" s="865">
        <f>IF(ControlPanel!$D$59&gt;'GrD-Grafikdaten'!F$5,'MOD-Berechnungen'!F306-'MOD-Berechnungen'!F346,'MOD-Berechnungen'!F296+'MOD-Berechnungen'!F316+'MOD-Berechnungen'!F356-'MOD-Berechnungen'!F346)</f>
        <v>3.1084019199999993E-2</v>
      </c>
      <c r="G54" s="865">
        <f>IF(ControlPanel!$D$59&gt;'GrD-Grafikdaten'!G$5,'MOD-Berechnungen'!G306-'MOD-Berechnungen'!G346,'MOD-Berechnungen'!G296+'MOD-Berechnungen'!G316+'MOD-Berechnungen'!G356-'MOD-Berechnungen'!G346)</f>
        <v>3.9630446239100024E-3</v>
      </c>
      <c r="H54" s="865">
        <f>IF(ControlPanel!$D$59&gt;'GrD-Grafikdaten'!H$5,'MOD-Berechnungen'!H306-'MOD-Berechnungen'!H346,'MOD-Berechnungen'!H296+'MOD-Berechnungen'!H316+'MOD-Berechnungen'!H356-'MOD-Berechnungen'!H346)</f>
        <v>1.2397567299999995E-2</v>
      </c>
      <c r="I54" s="865">
        <f>IF(ControlPanel!$D$59&gt;'GrD-Grafikdaten'!I$5,'MOD-Berechnungen'!I306-'MOD-Berechnungen'!I346,'MOD-Berechnungen'!I296+'MOD-Berechnungen'!I316+'MOD-Berechnungen'!I356-'MOD-Berechnungen'!I346)</f>
        <v>3.4412212400000003E-2</v>
      </c>
      <c r="J54" s="865">
        <f>IF(ControlPanel!$D$59&gt;'GrD-Grafikdaten'!J$5,'MOD-Berechnungen'!J306-'MOD-Berechnungen'!J346,'MOD-Berechnungen'!J296+'MOD-Berechnungen'!J316+'MOD-Berechnungen'!J356-'MOD-Berechnungen'!J346)</f>
        <v>3.0887643399999998E-2</v>
      </c>
      <c r="K54" s="865">
        <f>IF(ControlPanel!$D$59&gt;'GrD-Grafikdaten'!K$5,'MOD-Berechnungen'!K306-'MOD-Berechnungen'!K346,'MOD-Berechnungen'!K296+'MOD-Berechnungen'!K316+'MOD-Berechnungen'!K356-'MOD-Berechnungen'!K346)</f>
        <v>5.7881579700000012E-2</v>
      </c>
      <c r="L54" s="865">
        <f>IF(ControlPanel!$D$59&gt;'GrD-Grafikdaten'!L$5,'MOD-Berechnungen'!L306-'MOD-Berechnungen'!L346,'MOD-Berechnungen'!L296+'MOD-Berechnungen'!L316+'MOD-Berechnungen'!L356-'MOD-Berechnungen'!L346)</f>
        <v>6.2763596220000023E-2</v>
      </c>
      <c r="M54" s="865">
        <f>IF(ControlPanel!$D$59&gt;'GrD-Grafikdaten'!M$5,'MOD-Berechnungen'!M306-'MOD-Berechnungen'!M346,'MOD-Berechnungen'!M296+'MOD-Berechnungen'!M316+'MOD-Berechnungen'!M356-'MOD-Berechnungen'!M346)</f>
        <v>5.9041663249999987E-2</v>
      </c>
      <c r="N54" s="865">
        <f>IF(ControlPanel!$D$59&gt;'GrD-Grafikdaten'!N$5,'MOD-Berechnungen'!N306-'MOD-Berechnungen'!N346,'MOD-Berechnungen'!N296+'MOD-Berechnungen'!N316+'MOD-Berechnungen'!N356-'MOD-Berechnungen'!N346)</f>
        <v>4.9687954939999994E-2</v>
      </c>
      <c r="O54" s="865">
        <f>IF(ControlPanel!$D$59&gt;'GrD-Grafikdaten'!O$5,'MOD-Berechnungen'!O306-'MOD-Berechnungen'!O346,'MOD-Berechnungen'!O296+'MOD-Berechnungen'!O316+'MOD-Berechnungen'!O356-'MOD-Berechnungen'!O346)</f>
        <v>3.6943855719999988E-2</v>
      </c>
      <c r="P54" s="865">
        <f>IF(ControlPanel!$D$59&gt;'GrD-Grafikdaten'!P$5,'MOD-Berechnungen'!P306-'MOD-Berechnungen'!P346,'MOD-Berechnungen'!P296+'MOD-Berechnungen'!P316+'MOD-Berechnungen'!P356-'MOD-Berechnungen'!P346)</f>
        <v>2.3317509879999997E-2</v>
      </c>
      <c r="Q54" s="865">
        <f>IF(ControlPanel!$D$59&gt;'GrD-Grafikdaten'!Q$5,'MOD-Berechnungen'!Q306-'MOD-Berechnungen'!Q346,'MOD-Berechnungen'!Q296+'MOD-Berechnungen'!Q316+'MOD-Berechnungen'!Q356-'MOD-Berechnungen'!Q346)</f>
        <v>3.0264385259999999E-2</v>
      </c>
      <c r="R54" s="865">
        <f>IF(ControlPanel!$D$59&gt;'GrD-Grafikdaten'!R$5,'MOD-Berechnungen'!R306-'MOD-Berechnungen'!R346,'MOD-Berechnungen'!R296+'MOD-Berechnungen'!R316+'MOD-Berechnungen'!R356-'MOD-Berechnungen'!R346)</f>
        <v>5.5437765999999944E-3</v>
      </c>
      <c r="S54" s="865">
        <f>IF(ControlPanel!$D$59&gt;'GrD-Grafikdaten'!S$5,'MOD-Berechnungen'!S306-'MOD-Berechnungen'!S346,'MOD-Berechnungen'!S296+'MOD-Berechnungen'!S316+'MOD-Berechnungen'!S356-'MOD-Berechnungen'!S346)</f>
        <v>0</v>
      </c>
      <c r="T54" s="865">
        <f>IF(ControlPanel!$D$59&gt;'GrD-Grafikdaten'!T$5,'MOD-Berechnungen'!T306-'MOD-Berechnungen'!T346,'MOD-Berechnungen'!T296+'MOD-Berechnungen'!T316+'MOD-Berechnungen'!T356-'MOD-Berechnungen'!T346)</f>
        <v>1.2568987892947192E-3</v>
      </c>
      <c r="U54" s="865">
        <f>IF(ControlPanel!$D$59&gt;'GrD-Grafikdaten'!U$5,'MOD-Berechnungen'!U306-'MOD-Berechnungen'!U346,'MOD-Berechnungen'!U296+'MOD-Berechnungen'!U316+'MOD-Berechnungen'!U356-'MOD-Berechnungen'!U346)</f>
        <v>1.8986535589654921E-3</v>
      </c>
      <c r="V54" s="865">
        <f>IF(ControlPanel!$D$59&gt;'GrD-Grafikdaten'!V$5,'MOD-Berechnungen'!V306-'MOD-Berechnungen'!V346,'MOD-Berechnungen'!V296+'MOD-Berechnungen'!V316+'MOD-Berechnungen'!V356-'MOD-Berechnungen'!V346)</f>
        <v>1.9193770476566632E-3</v>
      </c>
      <c r="W54" s="865">
        <f>IF(ControlPanel!$D$59&gt;'GrD-Grafikdaten'!W$5,'MOD-Berechnungen'!W306-'MOD-Berechnungen'!W346,'MOD-Berechnungen'!W296+'MOD-Berechnungen'!W316+'MOD-Berechnungen'!W356-'MOD-Berechnungen'!W346)</f>
        <v>1.8589919257422094E-3</v>
      </c>
      <c r="X54" s="865">
        <f>IF(ControlPanel!$D$59&gt;'GrD-Grafikdaten'!X$5,'MOD-Berechnungen'!X306-'MOD-Berechnungen'!X346,'MOD-Berechnungen'!X296+'MOD-Berechnungen'!X316+'MOD-Berechnungen'!X356-'MOD-Berechnungen'!X346)</f>
        <v>1.8930244201065434E-3</v>
      </c>
      <c r="Y54" s="865">
        <f>IF(ControlPanel!$D$59&gt;'GrD-Grafikdaten'!Y$5,'MOD-Berechnungen'!Y306-'MOD-Berechnungen'!Y346,'MOD-Berechnungen'!Y296+'MOD-Berechnungen'!Y316+'MOD-Berechnungen'!Y356-'MOD-Berechnungen'!Y346)</f>
        <v>1.9217026813010372E-3</v>
      </c>
      <c r="Z54" s="865">
        <f>IF(ControlPanel!$D$59&gt;'GrD-Grafikdaten'!Z$5,'MOD-Berechnungen'!Z306-'MOD-Berechnungen'!Z346,'MOD-Berechnungen'!Z296+'MOD-Berechnungen'!Z316+'MOD-Berechnungen'!Z356-'MOD-Berechnungen'!Z346)</f>
        <v>1.6723539974382792E-3</v>
      </c>
      <c r="AA54" s="865">
        <f>IF(ControlPanel!$D$59&gt;'GrD-Grafikdaten'!AA$5,'MOD-Berechnungen'!AA306-'MOD-Berechnungen'!AA346,'MOD-Berechnungen'!AA296+'MOD-Berechnungen'!AA316+'MOD-Berechnungen'!AA356-'MOD-Berechnungen'!AA346)</f>
        <v>1.4825272357865127E-3</v>
      </c>
      <c r="AB54" s="865">
        <f>IF(ControlPanel!$D$59&gt;'GrD-Grafikdaten'!AB$5,'MOD-Berechnungen'!AB306-'MOD-Berechnungen'!AB346,'MOD-Berechnungen'!AB296+'MOD-Berechnungen'!AB316+'MOD-Berechnungen'!AB356-'MOD-Berechnungen'!AB346)</f>
        <v>1.6290282715145585E-3</v>
      </c>
      <c r="AC54" s="865">
        <f>IF(ControlPanel!$D$59&gt;'GrD-Grafikdaten'!AC$5,'MOD-Berechnungen'!AC306-'MOD-Berechnungen'!AC346,'MOD-Berechnungen'!AC296+'MOD-Berechnungen'!AC316+'MOD-Berechnungen'!AC356-'MOD-Berechnungen'!AC346)</f>
        <v>1.5729295498031065E-3</v>
      </c>
      <c r="AD54" s="865">
        <f>IF(ControlPanel!$D$59&gt;'GrD-Grafikdaten'!AD$5,'MOD-Berechnungen'!AD306-'MOD-Berechnungen'!AD346,'MOD-Berechnungen'!AD296+'MOD-Berechnungen'!AD316+'MOD-Berechnungen'!AD356-'MOD-Berechnungen'!AD346)</f>
        <v>1.5430692457934977E-3</v>
      </c>
      <c r="AE54" s="870">
        <f>IF(ControlPanel!$D$59&gt;'GrD-Grafikdaten'!AE$5,'MOD-Berechnungen'!AE306-'MOD-Berechnungen'!AE346,'MOD-Berechnungen'!AE296+'MOD-Berechnungen'!AE316+'MOD-Berechnungen'!AE356-'MOD-Berechnungen'!AE346)</f>
        <v>1.4938851706931405E-3</v>
      </c>
      <c r="AF54" s="939"/>
      <c r="AG54" s="557" t="s">
        <v>694</v>
      </c>
      <c r="AH54" s="956" t="s">
        <v>695</v>
      </c>
    </row>
    <row r="55" spans="1:34" s="301" customFormat="1">
      <c r="A55" s="561">
        <v>55</v>
      </c>
      <c r="C55" s="10"/>
      <c r="D55" s="29"/>
      <c r="E55" s="201" t="s">
        <v>159</v>
      </c>
      <c r="F55" s="865">
        <f>IF(ControlPanel!$D$59&gt;'GrD-Grafikdaten'!F$5,'MOD-Berechnungen'!F307-'MOD-Berechnungen'!F347,'MOD-Berechnungen'!F297+'MOD-Berechnungen'!F317+'MOD-Berechnungen'!F357-'MOD-Berechnungen'!F347)</f>
        <v>2.5418863742400002</v>
      </c>
      <c r="G55" s="865">
        <f>IF(ControlPanel!$D$59&gt;'GrD-Grafikdaten'!G$5,'MOD-Berechnungen'!G307-'MOD-Berechnungen'!G347,'MOD-Berechnungen'!G297+'MOD-Berechnungen'!G317+'MOD-Berechnungen'!G357-'MOD-Berechnungen'!G347)</f>
        <v>3.0160733982850703</v>
      </c>
      <c r="H55" s="865">
        <f>IF(ControlPanel!$D$59&gt;'GrD-Grafikdaten'!H$5,'MOD-Berechnungen'!H307-'MOD-Berechnungen'!H347,'MOD-Berechnungen'!H297+'MOD-Berechnungen'!H317+'MOD-Berechnungen'!H357-'MOD-Berechnungen'!H347)</f>
        <v>3.4528402965599998</v>
      </c>
      <c r="I55" s="865">
        <f>IF(ControlPanel!$D$59&gt;'GrD-Grafikdaten'!I$5,'MOD-Berechnungen'!I307-'MOD-Berechnungen'!I347,'MOD-Berechnungen'!I297+'MOD-Berechnungen'!I317+'MOD-Berechnungen'!I357-'MOD-Berechnungen'!I347)</f>
        <v>4.3539807116499984</v>
      </c>
      <c r="J55" s="865">
        <f>IF(ControlPanel!$D$59&gt;'GrD-Grafikdaten'!J$5,'MOD-Berechnungen'!J307-'MOD-Berechnungen'!J347,'MOD-Berechnungen'!J297+'MOD-Berechnungen'!J317+'MOD-Berechnungen'!J357-'MOD-Berechnungen'!J347)</f>
        <v>4.9918920658999983</v>
      </c>
      <c r="K55" s="865">
        <f>IF(ControlPanel!$D$59&gt;'GrD-Grafikdaten'!K$5,'MOD-Berechnungen'!K307-'MOD-Berechnungen'!K347,'MOD-Berechnungen'!K297+'MOD-Berechnungen'!K317+'MOD-Berechnungen'!K357-'MOD-Berechnungen'!K347)</f>
        <v>5.7822353740800008</v>
      </c>
      <c r="L55" s="865">
        <f>IF(ControlPanel!$D$59&gt;'GrD-Grafikdaten'!L$5,'MOD-Berechnungen'!L307-'MOD-Berechnungen'!L347,'MOD-Berechnungen'!L297+'MOD-Berechnungen'!L317+'MOD-Berechnungen'!L357-'MOD-Berechnungen'!L347)</f>
        <v>6.2681851475200006</v>
      </c>
      <c r="M55" s="865">
        <f>IF(ControlPanel!$D$59&gt;'GrD-Grafikdaten'!M$5,'MOD-Berechnungen'!M307-'MOD-Berechnungen'!M347,'MOD-Berechnungen'!M297+'MOD-Berechnungen'!M317+'MOD-Berechnungen'!M357-'MOD-Berechnungen'!M347)</f>
        <v>6.5923082929999994</v>
      </c>
      <c r="N55" s="865">
        <f>IF(ControlPanel!$D$59&gt;'GrD-Grafikdaten'!N$5,'MOD-Berechnungen'!N307-'MOD-Berechnungen'!N347,'MOD-Berechnungen'!N297+'MOD-Berechnungen'!N317+'MOD-Berechnungen'!N357-'MOD-Berechnungen'!N347)</f>
        <v>6.629159948239999</v>
      </c>
      <c r="O55" s="865">
        <f>IF(ControlPanel!$D$59&gt;'GrD-Grafikdaten'!O$5,'MOD-Berechnungen'!O307-'MOD-Berechnungen'!O347,'MOD-Berechnungen'!O297+'MOD-Berechnungen'!O317+'MOD-Berechnungen'!O357-'MOD-Berechnungen'!O347)</f>
        <v>6.38129394072</v>
      </c>
      <c r="P55" s="865">
        <f>IF(ControlPanel!$D$59&gt;'GrD-Grafikdaten'!P$5,'MOD-Berechnungen'!P307-'MOD-Berechnungen'!P347,'MOD-Berechnungen'!P297+'MOD-Berechnungen'!P317+'MOD-Berechnungen'!P357-'MOD-Berechnungen'!P347)</f>
        <v>6.1288223976400005</v>
      </c>
      <c r="Q55" s="865">
        <f>IF(ControlPanel!$D$59&gt;'GrD-Grafikdaten'!Q$5,'MOD-Berechnungen'!Q307-'MOD-Berechnungen'!Q347,'MOD-Berechnungen'!Q297+'MOD-Berechnungen'!Q317+'MOD-Berechnungen'!Q357-'MOD-Berechnungen'!Q347)</f>
        <v>6.4954462491599987</v>
      </c>
      <c r="R55" s="865">
        <f>IF(ControlPanel!$D$59&gt;'GrD-Grafikdaten'!R$5,'MOD-Berechnungen'!R307-'MOD-Berechnungen'!R347,'MOD-Berechnungen'!R297+'MOD-Berechnungen'!R317+'MOD-Berechnungen'!R357-'MOD-Berechnungen'!R347)</f>
        <v>4.9186771040000004</v>
      </c>
      <c r="S55" s="865">
        <f>IF(ControlPanel!$D$59&gt;'GrD-Grafikdaten'!S$5,'MOD-Berechnungen'!S307-'MOD-Berechnungen'!S347,'MOD-Berechnungen'!S297+'MOD-Berechnungen'!S317+'MOD-Berechnungen'!S357-'MOD-Berechnungen'!S347)</f>
        <v>4.42186470501656</v>
      </c>
      <c r="T55" s="865">
        <f>IF(ControlPanel!$D$59&gt;'GrD-Grafikdaten'!T$5,'MOD-Berechnungen'!T307-'MOD-Berechnungen'!T347,'MOD-Berechnungen'!T297+'MOD-Berechnungen'!T317+'MOD-Berechnungen'!T357-'MOD-Berechnungen'!T347)</f>
        <v>5.1116376904387089</v>
      </c>
      <c r="U55" s="865">
        <f>IF(ControlPanel!$D$59&gt;'GrD-Grafikdaten'!U$5,'MOD-Berechnungen'!U307-'MOD-Berechnungen'!U347,'MOD-Berechnungen'!U297+'MOD-Berechnungen'!U317+'MOD-Berechnungen'!U357-'MOD-Berechnungen'!U347)</f>
        <v>5.0010796783223412</v>
      </c>
      <c r="V55" s="865">
        <f>IF(ControlPanel!$D$59&gt;'GrD-Grafikdaten'!V$5,'MOD-Berechnungen'!V307-'MOD-Berechnungen'!V347,'MOD-Berechnungen'!V297+'MOD-Berechnungen'!V317+'MOD-Berechnungen'!V357-'MOD-Berechnungen'!V347)</f>
        <v>4.6386122420915488</v>
      </c>
      <c r="W55" s="865">
        <f>IF(ControlPanel!$D$59&gt;'GrD-Grafikdaten'!W$5,'MOD-Berechnungen'!W307-'MOD-Berechnungen'!W347,'MOD-Berechnungen'!W297+'MOD-Berechnungen'!W317+'MOD-Berechnungen'!W357-'MOD-Berechnungen'!W347)</f>
        <v>4.1247554511591655</v>
      </c>
      <c r="X55" s="865">
        <f>IF(ControlPanel!$D$59&gt;'GrD-Grafikdaten'!X$5,'MOD-Berechnungen'!X307-'MOD-Berechnungen'!X347,'MOD-Berechnungen'!X297+'MOD-Berechnungen'!X317+'MOD-Berechnungen'!X357-'MOD-Berechnungen'!X347)</f>
        <v>3.7295508356101021</v>
      </c>
      <c r="Y55" s="865">
        <f>IF(ControlPanel!$D$59&gt;'GrD-Grafikdaten'!Y$5,'MOD-Berechnungen'!Y307-'MOD-Berechnungen'!Y347,'MOD-Berechnungen'!Y297+'MOD-Berechnungen'!Y317+'MOD-Berechnungen'!Y357-'MOD-Berechnungen'!Y347)</f>
        <v>3.5539578509020022</v>
      </c>
      <c r="Z55" s="865">
        <f>IF(ControlPanel!$D$59&gt;'GrD-Grafikdaten'!Z$5,'MOD-Berechnungen'!Z307-'MOD-Berechnungen'!Z347,'MOD-Berechnungen'!Z297+'MOD-Berechnungen'!Z317+'MOD-Berechnungen'!Z357-'MOD-Berechnungen'!Z347)</f>
        <v>3.2751925750661717</v>
      </c>
      <c r="AA55" s="865">
        <f>IF(ControlPanel!$D$59&gt;'GrD-Grafikdaten'!AA$5,'MOD-Berechnungen'!AA307-'MOD-Berechnungen'!AA347,'MOD-Berechnungen'!AA297+'MOD-Berechnungen'!AA317+'MOD-Berechnungen'!AA357-'MOD-Berechnungen'!AA347)</f>
        <v>2.8124472806373086</v>
      </c>
      <c r="AB55" s="865">
        <f>IF(ControlPanel!$D$59&gt;'GrD-Grafikdaten'!AB$5,'MOD-Berechnungen'!AB307-'MOD-Berechnungen'!AB347,'MOD-Berechnungen'!AB297+'MOD-Berechnungen'!AB317+'MOD-Berechnungen'!AB357-'MOD-Berechnungen'!AB347)</f>
        <v>2.0115250332439722</v>
      </c>
      <c r="AC55" s="865">
        <f>IF(ControlPanel!$D$59&gt;'GrD-Grafikdaten'!AC$5,'MOD-Berechnungen'!AC307-'MOD-Berechnungen'!AC347,'MOD-Berechnungen'!AC297+'MOD-Berechnungen'!AC317+'MOD-Berechnungen'!AC357-'MOD-Berechnungen'!AC347)</f>
        <v>1.8248699920449114</v>
      </c>
      <c r="AD55" s="865">
        <f>IF(ControlPanel!$D$59&gt;'GrD-Grafikdaten'!AD$5,'MOD-Berechnungen'!AD307-'MOD-Berechnungen'!AD347,'MOD-Berechnungen'!AD297+'MOD-Berechnungen'!AD317+'MOD-Berechnungen'!AD357-'MOD-Berechnungen'!AD347)</f>
        <v>1.6943681097858987</v>
      </c>
      <c r="AE55" s="870">
        <f>IF(ControlPanel!$D$59&gt;'GrD-Grafikdaten'!AE$5,'MOD-Berechnungen'!AE307-'MOD-Berechnungen'!AE347,'MOD-Berechnungen'!AE297+'MOD-Berechnungen'!AE317+'MOD-Berechnungen'!AE357-'MOD-Berechnungen'!AE347)</f>
        <v>1.6050230074876106</v>
      </c>
      <c r="AF55" s="939"/>
      <c r="AG55" s="557" t="s">
        <v>694</v>
      </c>
      <c r="AH55" s="956" t="s">
        <v>695</v>
      </c>
    </row>
    <row r="56" spans="1:34" s="301" customFormat="1">
      <c r="A56" s="561">
        <v>56</v>
      </c>
      <c r="C56" s="10"/>
      <c r="D56" s="29"/>
      <c r="E56" s="201" t="s">
        <v>160</v>
      </c>
      <c r="F56" s="865">
        <f>IF(ControlPanel!$D$59&gt;'GrD-Grafikdaten'!F$5,'MOD-Berechnungen'!F308-'MOD-Berechnungen'!F348,'MOD-Berechnungen'!F298+'MOD-Berechnungen'!F318+'MOD-Berechnungen'!F358-'MOD-Berechnungen'!F348)</f>
        <v>3.4685827199999993E-3</v>
      </c>
      <c r="G56" s="865">
        <f>IF(ControlPanel!$D$59&gt;'GrD-Grafikdaten'!G$5,'MOD-Berechnungen'!G308-'MOD-Berechnungen'!G348,'MOD-Berechnungen'!G298+'MOD-Berechnungen'!G318+'MOD-Berechnungen'!G358-'MOD-Berechnungen'!G348)</f>
        <v>9.9642191869200002E-3</v>
      </c>
      <c r="H56" s="865">
        <f>IF(ControlPanel!$D$59&gt;'GrD-Grafikdaten'!H$5,'MOD-Berechnungen'!H308-'MOD-Berechnungen'!H348,'MOD-Berechnungen'!H298+'MOD-Berechnungen'!H318+'MOD-Berechnungen'!H358-'MOD-Berechnungen'!H348)</f>
        <v>1.78074919E-2</v>
      </c>
      <c r="I56" s="865">
        <f>IF(ControlPanel!$D$59&gt;'GrD-Grafikdaten'!I$5,'MOD-Berechnungen'!I308-'MOD-Berechnungen'!I348,'MOD-Berechnungen'!I298+'MOD-Berechnungen'!I318+'MOD-Berechnungen'!I358-'MOD-Berechnungen'!I348)</f>
        <v>1.4191574750000002E-2</v>
      </c>
      <c r="J56" s="865">
        <f>IF(ControlPanel!$D$59&gt;'GrD-Grafikdaten'!J$5,'MOD-Berechnungen'!J308-'MOD-Berechnungen'!J348,'MOD-Berechnungen'!J298+'MOD-Berechnungen'!J318+'MOD-Berechnungen'!J358-'MOD-Berechnungen'!J348)</f>
        <v>2.6326473849999997E-2</v>
      </c>
      <c r="K56" s="865">
        <f>IF(ControlPanel!$D$59&gt;'GrD-Grafikdaten'!K$5,'MOD-Berechnungen'!K308-'MOD-Berechnungen'!K348,'MOD-Berechnungen'!K298+'MOD-Berechnungen'!K318+'MOD-Berechnungen'!K358-'MOD-Berechnungen'!K348)</f>
        <v>3.3365317839999999E-2</v>
      </c>
      <c r="L56" s="865">
        <f>IF(ControlPanel!$D$59&gt;'GrD-Grafikdaten'!L$5,'MOD-Berechnungen'!L308-'MOD-Berechnungen'!L348,'MOD-Berechnungen'!L298+'MOD-Berechnungen'!L318+'MOD-Berechnungen'!L358-'MOD-Berechnungen'!L348)</f>
        <v>3.8348230140000002E-2</v>
      </c>
      <c r="M56" s="865">
        <f>IF(ControlPanel!$D$59&gt;'GrD-Grafikdaten'!M$5,'MOD-Berechnungen'!M308-'MOD-Berechnungen'!M348,'MOD-Berechnungen'!M298+'MOD-Berechnungen'!M318+'MOD-Berechnungen'!M358-'MOD-Berechnungen'!M348)</f>
        <v>4.1819045749999992E-2</v>
      </c>
      <c r="N56" s="865">
        <f>IF(ControlPanel!$D$59&gt;'GrD-Grafikdaten'!N$5,'MOD-Berechnungen'!N308-'MOD-Berechnungen'!N348,'MOD-Berechnungen'!N298+'MOD-Berechnungen'!N318+'MOD-Berechnungen'!N358-'MOD-Berechnungen'!N348)</f>
        <v>4.3220429720000009E-2</v>
      </c>
      <c r="O56" s="865">
        <f>IF(ControlPanel!$D$59&gt;'GrD-Grafikdaten'!O$5,'MOD-Berechnungen'!O308-'MOD-Berechnungen'!O348,'MOD-Berechnungen'!O298+'MOD-Berechnungen'!O318+'MOD-Berechnungen'!O358-'MOD-Berechnungen'!O348)</f>
        <v>4.8019032759999997E-2</v>
      </c>
      <c r="P56" s="865">
        <f>IF(ControlPanel!$D$59&gt;'GrD-Grafikdaten'!P$5,'MOD-Berechnungen'!P308-'MOD-Berechnungen'!P348,'MOD-Berechnungen'!P298+'MOD-Berechnungen'!P318+'MOD-Berechnungen'!P358-'MOD-Berechnungen'!P348)</f>
        <v>3.4556578400000003E-2</v>
      </c>
      <c r="Q56" s="865">
        <f>IF(ControlPanel!$D$59&gt;'GrD-Grafikdaten'!Q$5,'MOD-Berechnungen'!Q308-'MOD-Berechnungen'!Q348,'MOD-Berechnungen'!Q298+'MOD-Berechnungen'!Q318+'MOD-Berechnungen'!Q358-'MOD-Berechnungen'!Q348)</f>
        <v>4.5731817699999996E-2</v>
      </c>
      <c r="R56" s="865">
        <f>IF(ControlPanel!$D$59&gt;'GrD-Grafikdaten'!R$5,'MOD-Berechnungen'!R308-'MOD-Berechnungen'!R348,'MOD-Berechnungen'!R298+'MOD-Berechnungen'!R318+'MOD-Berechnungen'!R358-'MOD-Berechnungen'!R348)</f>
        <v>6.4352222000000014E-2</v>
      </c>
      <c r="S56" s="865">
        <f>IF(ControlPanel!$D$59&gt;'GrD-Grafikdaten'!S$5,'MOD-Berechnungen'!S308-'MOD-Berechnungen'!S348,'MOD-Berechnungen'!S298+'MOD-Berechnungen'!S318+'MOD-Berechnungen'!S358-'MOD-Berechnungen'!S348)</f>
        <v>7.3789647999846053E-2</v>
      </c>
      <c r="T56" s="865">
        <f>IF(ControlPanel!$D$59&gt;'GrD-Grafikdaten'!T$5,'MOD-Berechnungen'!T308-'MOD-Berechnungen'!T348,'MOD-Berechnungen'!T298+'MOD-Berechnungen'!T318+'MOD-Berechnungen'!T358-'MOD-Berechnungen'!T348)</f>
        <v>0.1015826024425627</v>
      </c>
      <c r="U56" s="865">
        <f>IF(ControlPanel!$D$59&gt;'GrD-Grafikdaten'!U$5,'MOD-Berechnungen'!U308-'MOD-Berechnungen'!U348,'MOD-Berechnungen'!U298+'MOD-Berechnungen'!U318+'MOD-Berechnungen'!U358-'MOD-Berechnungen'!U348)</f>
        <v>0.12241827574942685</v>
      </c>
      <c r="V56" s="865">
        <f>IF(ControlPanel!$D$59&gt;'GrD-Grafikdaten'!V$5,'MOD-Berechnungen'!V308-'MOD-Berechnungen'!V348,'MOD-Berechnungen'!V298+'MOD-Berechnungen'!V318+'MOD-Berechnungen'!V358-'MOD-Berechnungen'!V348)</f>
        <v>0.1436546381376419</v>
      </c>
      <c r="W56" s="865">
        <f>IF(ControlPanel!$D$59&gt;'GrD-Grafikdaten'!W$5,'MOD-Berechnungen'!W308-'MOD-Berechnungen'!W348,'MOD-Berechnungen'!W298+'MOD-Berechnungen'!W318+'MOD-Berechnungen'!W358-'MOD-Berechnungen'!W348)</f>
        <v>0.15629180750808519</v>
      </c>
      <c r="X56" s="865">
        <f>IF(ControlPanel!$D$59&gt;'GrD-Grafikdaten'!X$5,'MOD-Berechnungen'!X308-'MOD-Berechnungen'!X348,'MOD-Berechnungen'!X298+'MOD-Berechnungen'!X318+'MOD-Berechnungen'!X358-'MOD-Berechnungen'!X348)</f>
        <v>0.16118324442027615</v>
      </c>
      <c r="Y56" s="865">
        <f>IF(ControlPanel!$D$59&gt;'GrD-Grafikdaten'!Y$5,'MOD-Berechnungen'!Y308-'MOD-Berechnungen'!Y348,'MOD-Berechnungen'!Y298+'MOD-Berechnungen'!Y318+'MOD-Berechnungen'!Y358-'MOD-Berechnungen'!Y348)</f>
        <v>0.16569656801105112</v>
      </c>
      <c r="Z56" s="865">
        <f>IF(ControlPanel!$D$59&gt;'GrD-Grafikdaten'!Z$5,'MOD-Berechnungen'!Z308-'MOD-Berechnungen'!Z348,'MOD-Berechnungen'!Z298+'MOD-Berechnungen'!Z318+'MOD-Berechnungen'!Z358-'MOD-Berechnungen'!Z348)</f>
        <v>0.16797271614117462</v>
      </c>
      <c r="AA56" s="865">
        <f>IF(ControlPanel!$D$59&gt;'GrD-Grafikdaten'!AA$5,'MOD-Berechnungen'!AA308-'MOD-Berechnungen'!AA348,'MOD-Berechnungen'!AA298+'MOD-Berechnungen'!AA318+'MOD-Berechnungen'!AA358-'MOD-Berechnungen'!AA348)</f>
        <v>0.17153995924362705</v>
      </c>
      <c r="AB56" s="865">
        <f>IF(ControlPanel!$D$59&gt;'GrD-Grafikdaten'!AB$5,'MOD-Berechnungen'!AB308-'MOD-Berechnungen'!AB348,'MOD-Berechnungen'!AB298+'MOD-Berechnungen'!AB318+'MOD-Berechnungen'!AB358-'MOD-Berechnungen'!AB348)</f>
        <v>0.1753716064778757</v>
      </c>
      <c r="AC56" s="865">
        <f>IF(ControlPanel!$D$59&gt;'GrD-Grafikdaten'!AC$5,'MOD-Berechnungen'!AC308-'MOD-Berechnungen'!AC348,'MOD-Berechnungen'!AC298+'MOD-Berechnungen'!AC318+'MOD-Berechnungen'!AC358-'MOD-Berechnungen'!AC348)</f>
        <v>0.16784309475846862</v>
      </c>
      <c r="AD56" s="865">
        <f>IF(ControlPanel!$D$59&gt;'GrD-Grafikdaten'!AD$5,'MOD-Berechnungen'!AD308-'MOD-Berechnungen'!AD348,'MOD-Berechnungen'!AD298+'MOD-Berechnungen'!AD318+'MOD-Berechnungen'!AD358-'MOD-Berechnungen'!AD348)</f>
        <v>0.15938004170763601</v>
      </c>
      <c r="AE56" s="870">
        <f>IF(ControlPanel!$D$59&gt;'GrD-Grafikdaten'!AE$5,'MOD-Berechnungen'!AE308-'MOD-Berechnungen'!AE348,'MOD-Berechnungen'!AE298+'MOD-Berechnungen'!AE318+'MOD-Berechnungen'!AE358-'MOD-Berechnungen'!AE348)</f>
        <v>0.15943973788247814</v>
      </c>
      <c r="AF56" s="939"/>
      <c r="AG56" s="557" t="s">
        <v>694</v>
      </c>
      <c r="AH56" s="956" t="s">
        <v>695</v>
      </c>
    </row>
    <row r="57" spans="1:34" s="301" customFormat="1">
      <c r="A57" s="561">
        <v>57</v>
      </c>
      <c r="C57" s="10"/>
      <c r="D57" s="29"/>
      <c r="E57" s="201" t="s">
        <v>161</v>
      </c>
      <c r="F57" s="865">
        <f>IF(ControlPanel!$D$59&gt;'GrD-Grafikdaten'!F$5,'MOD-Berechnungen'!F309-'MOD-Berechnungen'!F349,'MOD-Berechnungen'!F299+'MOD-Berechnungen'!F319+'MOD-Berechnungen'!F359-'MOD-Berechnungen'!F349)</f>
        <v>2.0691241629712005</v>
      </c>
      <c r="G57" s="865">
        <f>IF(ControlPanel!$D$59&gt;'GrD-Grafikdaten'!G$5,'MOD-Berechnungen'!G309-'MOD-Berechnungen'!G349,'MOD-Berechnungen'!G299+'MOD-Berechnungen'!G319+'MOD-Berechnungen'!G359-'MOD-Berechnungen'!G349)</f>
        <v>2.3808718814407634</v>
      </c>
      <c r="H57" s="865">
        <f>IF(ControlPanel!$D$59&gt;'GrD-Grafikdaten'!H$5,'MOD-Berechnungen'!H309-'MOD-Berechnungen'!H349,'MOD-Berechnungen'!H299+'MOD-Berechnungen'!H319+'MOD-Berechnungen'!H359-'MOD-Berechnungen'!H349)</f>
        <v>1.9247531760680991</v>
      </c>
      <c r="I57" s="865">
        <f>IF(ControlPanel!$D$59&gt;'GrD-Grafikdaten'!I$5,'MOD-Berechnungen'!I309-'MOD-Berechnungen'!I349,'MOD-Berechnungen'!I299+'MOD-Berechnungen'!I319+'MOD-Berechnungen'!I359-'MOD-Berechnungen'!I349)</f>
        <v>2.8611378375708987</v>
      </c>
      <c r="J57" s="865">
        <f>IF(ControlPanel!$D$59&gt;'GrD-Grafikdaten'!J$5,'MOD-Berechnungen'!J309-'MOD-Berechnungen'!J349,'MOD-Berechnungen'!J299+'MOD-Berechnungen'!J319+'MOD-Berechnungen'!J359-'MOD-Berechnungen'!J349)</f>
        <v>3.9666377987833004</v>
      </c>
      <c r="K57" s="865">
        <f>IF(ControlPanel!$D$59&gt;'GrD-Grafikdaten'!K$5,'MOD-Berechnungen'!K309-'MOD-Berechnungen'!K349,'MOD-Berechnungen'!K299+'MOD-Berechnungen'!K319+'MOD-Berechnungen'!K359-'MOD-Berechnungen'!K349)</f>
        <v>4.1260719783591906</v>
      </c>
      <c r="L57" s="865">
        <f>IF(ControlPanel!$D$59&gt;'GrD-Grafikdaten'!L$5,'MOD-Berechnungen'!L309-'MOD-Berechnungen'!L349,'MOD-Berechnungen'!L299+'MOD-Berechnungen'!L319+'MOD-Berechnungen'!L359-'MOD-Berechnungen'!L349)</f>
        <v>4.8417365215600006</v>
      </c>
      <c r="M57" s="865">
        <f>IF(ControlPanel!$D$59&gt;'GrD-Grafikdaten'!M$5,'MOD-Berechnungen'!M309-'MOD-Berechnungen'!M349,'MOD-Berechnungen'!M299+'MOD-Berechnungen'!M319+'MOD-Berechnungen'!M359-'MOD-Berechnungen'!M349)</f>
        <v>5.2807615635032494</v>
      </c>
      <c r="N57" s="865">
        <f>IF(ControlPanel!$D$59&gt;'GrD-Grafikdaten'!N$5,'MOD-Berechnungen'!N309-'MOD-Berechnungen'!N349,'MOD-Berechnungen'!N299+'MOD-Berechnungen'!N319+'MOD-Berechnungen'!N359-'MOD-Berechnungen'!N349)</f>
        <v>5.5775143741272988</v>
      </c>
      <c r="O57" s="865">
        <f>IF(ControlPanel!$D$59&gt;'GrD-Grafikdaten'!O$5,'MOD-Berechnungen'!O309-'MOD-Berechnungen'!O349,'MOD-Berechnungen'!O299+'MOD-Berechnungen'!O319+'MOD-Berechnungen'!O359-'MOD-Berechnungen'!O349)</f>
        <v>5.6413579340662405</v>
      </c>
      <c r="P57" s="865">
        <f>IF(ControlPanel!$D$59&gt;'GrD-Grafikdaten'!P$5,'MOD-Berechnungen'!P309-'MOD-Berechnungen'!P349,'MOD-Berechnungen'!P299+'MOD-Berechnungen'!P319+'MOD-Berechnungen'!P359-'MOD-Berechnungen'!P349)</f>
        <v>4.8133747401611213</v>
      </c>
      <c r="Q57" s="865">
        <f>IF(ControlPanel!$D$59&gt;'GrD-Grafikdaten'!Q$5,'MOD-Berechnungen'!Q309-'MOD-Berechnungen'!Q349,'MOD-Berechnungen'!Q299+'MOD-Berechnungen'!Q319+'MOD-Berechnungen'!Q359-'MOD-Berechnungen'!Q349)</f>
        <v>5.691108289571261</v>
      </c>
      <c r="R57" s="865">
        <f>IF(ControlPanel!$D$59&gt;'GrD-Grafikdaten'!R$5,'MOD-Berechnungen'!R309-'MOD-Berechnungen'!R349,'MOD-Berechnungen'!R299+'MOD-Berechnungen'!R319+'MOD-Berechnungen'!R359-'MOD-Berechnungen'!R349)</f>
        <v>2.5635095979447229</v>
      </c>
      <c r="S57" s="865">
        <f>IF(ControlPanel!$D$59&gt;'GrD-Grafikdaten'!S$5,'MOD-Berechnungen'!S309-'MOD-Berechnungen'!S349,'MOD-Berechnungen'!S299+'MOD-Berechnungen'!S319+'MOD-Berechnungen'!S359-'MOD-Berechnungen'!S349)</f>
        <v>0.98915395948168694</v>
      </c>
      <c r="T57" s="865">
        <f>IF(ControlPanel!$D$59&gt;'GrD-Grafikdaten'!T$5,'MOD-Berechnungen'!T309-'MOD-Berechnungen'!T349,'MOD-Berechnungen'!T299+'MOD-Berechnungen'!T319+'MOD-Berechnungen'!T359-'MOD-Berechnungen'!T349)</f>
        <v>1.7619668179237324</v>
      </c>
      <c r="U57" s="865">
        <f>IF(ControlPanel!$D$59&gt;'GrD-Grafikdaten'!U$5,'MOD-Berechnungen'!U309-'MOD-Berechnungen'!U349,'MOD-Berechnungen'!U299+'MOD-Berechnungen'!U319+'MOD-Berechnungen'!U359-'MOD-Berechnungen'!U349)</f>
        <v>2.1002090028872349</v>
      </c>
      <c r="V57" s="865">
        <f>IF(ControlPanel!$D$59&gt;'GrD-Grafikdaten'!V$5,'MOD-Berechnungen'!V309-'MOD-Berechnungen'!V349,'MOD-Berechnungen'!V299+'MOD-Berechnungen'!V319+'MOD-Berechnungen'!V359-'MOD-Berechnungen'!V349)</f>
        <v>1.9427503068108143</v>
      </c>
      <c r="W57" s="865">
        <f>IF(ControlPanel!$D$59&gt;'GrD-Grafikdaten'!W$5,'MOD-Berechnungen'!W309-'MOD-Berechnungen'!W349,'MOD-Berechnungen'!W299+'MOD-Berechnungen'!W319+'MOD-Berechnungen'!W359-'MOD-Berechnungen'!W349)</f>
        <v>2.0622717463040114</v>
      </c>
      <c r="X57" s="865">
        <f>IF(ControlPanel!$D$59&gt;'GrD-Grafikdaten'!X$5,'MOD-Berechnungen'!X309-'MOD-Berechnungen'!X349,'MOD-Berechnungen'!X299+'MOD-Berechnungen'!X319+'MOD-Berechnungen'!X359-'MOD-Berechnungen'!X349)</f>
        <v>2.0557102023277301</v>
      </c>
      <c r="Y57" s="865">
        <f>IF(ControlPanel!$D$59&gt;'GrD-Grafikdaten'!Y$5,'MOD-Berechnungen'!Y309-'MOD-Berechnungen'!Y349,'MOD-Berechnungen'!Y299+'MOD-Berechnungen'!Y319+'MOD-Berechnungen'!Y359-'MOD-Berechnungen'!Y349)</f>
        <v>2.1478441158238413</v>
      </c>
      <c r="Z57" s="865">
        <f>IF(ControlPanel!$D$59&gt;'GrD-Grafikdaten'!Z$5,'MOD-Berechnungen'!Z309-'MOD-Berechnungen'!Z349,'MOD-Berechnungen'!Z299+'MOD-Berechnungen'!Z319+'MOD-Berechnungen'!Z359-'MOD-Berechnungen'!Z349)</f>
        <v>2.1915690458960633</v>
      </c>
      <c r="AA57" s="865">
        <f>IF(ControlPanel!$D$59&gt;'GrD-Grafikdaten'!AA$5,'MOD-Berechnungen'!AA309-'MOD-Berechnungen'!AA349,'MOD-Berechnungen'!AA299+'MOD-Berechnungen'!AA319+'MOD-Berechnungen'!AA359-'MOD-Berechnungen'!AA349)</f>
        <v>2.2010549877886154</v>
      </c>
      <c r="AB57" s="865">
        <f>IF(ControlPanel!$D$59&gt;'GrD-Grafikdaten'!AB$5,'MOD-Berechnungen'!AB309-'MOD-Berechnungen'!AB349,'MOD-Berechnungen'!AB299+'MOD-Berechnungen'!AB319+'MOD-Berechnungen'!AB359-'MOD-Berechnungen'!AB349)</f>
        <v>2.1804643153840431</v>
      </c>
      <c r="AC57" s="865">
        <f>IF(ControlPanel!$D$59&gt;'GrD-Grafikdaten'!AC$5,'MOD-Berechnungen'!AC309-'MOD-Berechnungen'!AC349,'MOD-Berechnungen'!AC299+'MOD-Berechnungen'!AC319+'MOD-Berechnungen'!AC359-'MOD-Berechnungen'!AC349)</f>
        <v>2.0478318645110809</v>
      </c>
      <c r="AD57" s="865">
        <f>IF(ControlPanel!$D$59&gt;'GrD-Grafikdaten'!AD$5,'MOD-Berechnungen'!AD309-'MOD-Berechnungen'!AD349,'MOD-Berechnungen'!AD299+'MOD-Berechnungen'!AD319+'MOD-Berechnungen'!AD359-'MOD-Berechnungen'!AD349)</f>
        <v>2.2982203032022328</v>
      </c>
      <c r="AE57" s="870">
        <f>IF(ControlPanel!$D$59&gt;'GrD-Grafikdaten'!AE$5,'MOD-Berechnungen'!AE309-'MOD-Berechnungen'!AE349,'MOD-Berechnungen'!AE299+'MOD-Berechnungen'!AE319+'MOD-Berechnungen'!AE359-'MOD-Berechnungen'!AE349)</f>
        <v>2.8073316410300828</v>
      </c>
      <c r="AF57" s="939"/>
      <c r="AG57" s="557" t="s">
        <v>694</v>
      </c>
      <c r="AH57" s="956" t="s">
        <v>695</v>
      </c>
    </row>
    <row r="58" spans="1:34" s="301" customFormat="1">
      <c r="A58" s="561">
        <v>58</v>
      </c>
      <c r="C58" s="10"/>
      <c r="D58" s="29"/>
      <c r="E58" s="201" t="s">
        <v>162</v>
      </c>
      <c r="F58" s="865">
        <f>IF(ControlPanel!$D$59&gt;'GrD-Grafikdaten'!F$5,'MOD-Berechnungen'!F310-'MOD-Berechnungen'!F350,'MOD-Berechnungen'!F300+'MOD-Berechnungen'!F320+'MOD-Berechnungen'!F360-'MOD-Berechnungen'!F350)</f>
        <v>6.9065164981200008E-2</v>
      </c>
      <c r="G58" s="865">
        <f>IF(ControlPanel!$D$59&gt;'GrD-Grafikdaten'!G$5,'MOD-Berechnungen'!G310-'MOD-Berechnungen'!G350,'MOD-Berechnungen'!G300+'MOD-Berechnungen'!G320+'MOD-Berechnungen'!G360-'MOD-Berechnungen'!G350)</f>
        <v>0.12430523595664419</v>
      </c>
      <c r="H58" s="865">
        <f>IF(ControlPanel!$D$59&gt;'GrD-Grafikdaten'!H$5,'MOD-Berechnungen'!H310-'MOD-Berechnungen'!H350,'MOD-Berechnungen'!H300+'MOD-Berechnungen'!H320+'MOD-Berechnungen'!H360-'MOD-Berechnungen'!H350)</f>
        <v>0.1405379763604</v>
      </c>
      <c r="I58" s="865">
        <f>IF(ControlPanel!$D$59&gt;'GrD-Grafikdaten'!I$5,'MOD-Berechnungen'!I310-'MOD-Berechnungen'!I350,'MOD-Berechnungen'!I300+'MOD-Berechnungen'!I320+'MOD-Berechnungen'!I360-'MOD-Berechnungen'!I350)</f>
        <v>0.34442926899999993</v>
      </c>
      <c r="J58" s="865">
        <f>IF(ControlPanel!$D$59&gt;'GrD-Grafikdaten'!J$5,'MOD-Berechnungen'!J310-'MOD-Berechnungen'!J350,'MOD-Berechnungen'!J300+'MOD-Berechnungen'!J320+'MOD-Berechnungen'!J360-'MOD-Berechnungen'!J350)</f>
        <v>1.1323432339999999</v>
      </c>
      <c r="K58" s="865">
        <f>IF(ControlPanel!$D$59&gt;'GrD-Grafikdaten'!K$5,'MOD-Berechnungen'!K310-'MOD-Berechnungen'!K350,'MOD-Berechnungen'!K300+'MOD-Berechnungen'!K320+'MOD-Berechnungen'!K360-'MOD-Berechnungen'!K350)</f>
        <v>1.672005118</v>
      </c>
      <c r="L58" s="865">
        <f>IF(ControlPanel!$D$59&gt;'GrD-Grafikdaten'!L$5,'MOD-Berechnungen'!L310-'MOD-Berechnungen'!L350,'MOD-Berechnungen'!L300+'MOD-Berechnungen'!L320+'MOD-Berechnungen'!L360-'MOD-Berechnungen'!L350)</f>
        <v>2.3516706750000003</v>
      </c>
      <c r="M58" s="865">
        <f>IF(ControlPanel!$D$59&gt;'GrD-Grafikdaten'!M$5,'MOD-Berechnungen'!M310-'MOD-Berechnungen'!M350,'MOD-Berechnungen'!M300+'MOD-Berechnungen'!M320+'MOD-Berechnungen'!M360-'MOD-Berechnungen'!M350)</f>
        <v>3.1470822620000001</v>
      </c>
      <c r="N58" s="865">
        <f>IF(ControlPanel!$D$59&gt;'GrD-Grafikdaten'!N$5,'MOD-Berechnungen'!N310-'MOD-Berechnungen'!N350,'MOD-Berechnungen'!N300+'MOD-Berechnungen'!N320+'MOD-Berechnungen'!N360-'MOD-Berechnungen'!N350)</f>
        <v>3.553076645</v>
      </c>
      <c r="O58" s="865">
        <f>IF(ControlPanel!$D$59&gt;'GrD-Grafikdaten'!O$5,'MOD-Berechnungen'!O310-'MOD-Berechnungen'!O350,'MOD-Berechnungen'!O300+'MOD-Berechnungen'!O320+'MOD-Berechnungen'!O360-'MOD-Berechnungen'!O350)</f>
        <v>3.9923599769999991</v>
      </c>
      <c r="P58" s="865">
        <f>IF(ControlPanel!$D$59&gt;'GrD-Grafikdaten'!P$5,'MOD-Berechnungen'!P310-'MOD-Berechnungen'!P350,'MOD-Berechnungen'!P300+'MOD-Berechnungen'!P320+'MOD-Berechnungen'!P360-'MOD-Berechnungen'!P350)</f>
        <v>4.3621876259999999</v>
      </c>
      <c r="Q58" s="865">
        <f>IF(ControlPanel!$D$59&gt;'GrD-Grafikdaten'!Q$5,'MOD-Berechnungen'!Q310-'MOD-Berechnungen'!Q350,'MOD-Berechnungen'!Q300+'MOD-Berechnungen'!Q320+'MOD-Berechnungen'!Q360-'MOD-Berechnungen'!Q350)</f>
        <v>4.5754770980000004</v>
      </c>
      <c r="R58" s="865">
        <f>IF(ControlPanel!$D$59&gt;'GrD-Grafikdaten'!R$5,'MOD-Berechnungen'!R310-'MOD-Berechnungen'!R350,'MOD-Berechnungen'!R300+'MOD-Berechnungen'!R320+'MOD-Berechnungen'!R360-'MOD-Berechnungen'!R350)</f>
        <v>3.6909425960000002</v>
      </c>
      <c r="S58" s="865">
        <f>IF(ControlPanel!$D$59&gt;'GrD-Grafikdaten'!S$5,'MOD-Berechnungen'!S310-'MOD-Berechnungen'!S350,'MOD-Berechnungen'!S300+'MOD-Berechnungen'!S320+'MOD-Berechnungen'!S360-'MOD-Berechnungen'!S350)</f>
        <v>2.1668723227346516</v>
      </c>
      <c r="T58" s="865">
        <f>IF(ControlPanel!$D$59&gt;'GrD-Grafikdaten'!T$5,'MOD-Berechnungen'!T310-'MOD-Berechnungen'!T350,'MOD-Berechnungen'!T300+'MOD-Berechnungen'!T320+'MOD-Berechnungen'!T360-'MOD-Berechnungen'!T350)</f>
        <v>2.240108393263915</v>
      </c>
      <c r="U58" s="865">
        <f>IF(ControlPanel!$D$59&gt;'GrD-Grafikdaten'!U$5,'MOD-Berechnungen'!U310-'MOD-Berechnungen'!U350,'MOD-Berechnungen'!U300+'MOD-Berechnungen'!U320+'MOD-Berechnungen'!U360-'MOD-Berechnungen'!U350)</f>
        <v>2.0613563390696852</v>
      </c>
      <c r="V58" s="865">
        <f>IF(ControlPanel!$D$59&gt;'GrD-Grafikdaten'!V$5,'MOD-Berechnungen'!V310-'MOD-Berechnungen'!V350,'MOD-Berechnungen'!V300+'MOD-Berechnungen'!V320+'MOD-Berechnungen'!V360-'MOD-Berechnungen'!V350)</f>
        <v>1.499105694692211</v>
      </c>
      <c r="W58" s="865">
        <f>IF(ControlPanel!$D$59&gt;'GrD-Grafikdaten'!W$5,'MOD-Berechnungen'!W310-'MOD-Berechnungen'!W350,'MOD-Berechnungen'!W300+'MOD-Berechnungen'!W320+'MOD-Berechnungen'!W360-'MOD-Berechnungen'!W350)</f>
        <v>0.58148210307472281</v>
      </c>
      <c r="X58" s="865">
        <f>IF(ControlPanel!$D$59&gt;'GrD-Grafikdaten'!X$5,'MOD-Berechnungen'!X310-'MOD-Berechnungen'!X350,'MOD-Berechnungen'!X300+'MOD-Berechnungen'!X320+'MOD-Berechnungen'!X360-'MOD-Berechnungen'!X350)</f>
        <v>0.33863358092956863</v>
      </c>
      <c r="Y58" s="865">
        <f>IF(ControlPanel!$D$59&gt;'GrD-Grafikdaten'!Y$5,'MOD-Berechnungen'!Y310-'MOD-Berechnungen'!Y350,'MOD-Berechnungen'!Y300+'MOD-Berechnungen'!Y320+'MOD-Berechnungen'!Y360-'MOD-Berechnungen'!Y350)</f>
        <v>0</v>
      </c>
      <c r="Z58" s="865">
        <f>IF(ControlPanel!$D$59&gt;'GrD-Grafikdaten'!Z$5,'MOD-Berechnungen'!Z310-'MOD-Berechnungen'!Z350,'MOD-Berechnungen'!Z300+'MOD-Berechnungen'!Z320+'MOD-Berechnungen'!Z360-'MOD-Berechnungen'!Z350)</f>
        <v>5.0700894998887414E-2</v>
      </c>
      <c r="AA58" s="865">
        <f>IF(ControlPanel!$D$59&gt;'GrD-Grafikdaten'!AA$5,'MOD-Berechnungen'!AA310-'MOD-Berechnungen'!AA350,'MOD-Berechnungen'!AA300+'MOD-Berechnungen'!AA320+'MOD-Berechnungen'!AA360-'MOD-Berechnungen'!AA350)</f>
        <v>0.20003924640302362</v>
      </c>
      <c r="AB58" s="865">
        <f>IF(ControlPanel!$D$59&gt;'GrD-Grafikdaten'!AB$5,'MOD-Berechnungen'!AB310-'MOD-Berechnungen'!AB350,'MOD-Berechnungen'!AB300+'MOD-Berechnungen'!AB320+'MOD-Berechnungen'!AB360-'MOD-Berechnungen'!AB350)</f>
        <v>0.40774165118934258</v>
      </c>
      <c r="AC58" s="865">
        <f>IF(ControlPanel!$D$59&gt;'GrD-Grafikdaten'!AC$5,'MOD-Berechnungen'!AC310-'MOD-Berechnungen'!AC350,'MOD-Berechnungen'!AC300+'MOD-Berechnungen'!AC320+'MOD-Berechnungen'!AC360-'MOD-Berechnungen'!AC350)</f>
        <v>0.62365123469072392</v>
      </c>
      <c r="AD58" s="865">
        <f>IF(ControlPanel!$D$59&gt;'GrD-Grafikdaten'!AD$5,'MOD-Berechnungen'!AD310-'MOD-Berechnungen'!AD350,'MOD-Berechnungen'!AD300+'MOD-Berechnungen'!AD320+'MOD-Berechnungen'!AD360-'MOD-Berechnungen'!AD350)</f>
        <v>0.53470600359293297</v>
      </c>
      <c r="AE58" s="870">
        <f>IF(ControlPanel!$D$59&gt;'GrD-Grafikdaten'!AE$5,'MOD-Berechnungen'!AE310-'MOD-Berechnungen'!AE350,'MOD-Berechnungen'!AE300+'MOD-Berechnungen'!AE320+'MOD-Berechnungen'!AE360-'MOD-Berechnungen'!AE350)</f>
        <v>0.64478200320588019</v>
      </c>
      <c r="AF58" s="939"/>
      <c r="AG58" s="557" t="s">
        <v>694</v>
      </c>
      <c r="AH58" s="956" t="s">
        <v>695</v>
      </c>
    </row>
    <row r="59" spans="1:34" s="301" customFormat="1">
      <c r="A59" s="561">
        <v>59</v>
      </c>
      <c r="C59" s="10"/>
      <c r="D59" s="29"/>
      <c r="E59" s="201" t="s">
        <v>163</v>
      </c>
      <c r="F59" s="865">
        <f>IF(ControlPanel!$D$59&gt;'GrD-Grafikdaten'!F$5,'MOD-Berechnungen'!F311-'MOD-Berechnungen'!F351,'MOD-Berechnungen'!F301+'MOD-Berechnungen'!F321+'MOD-Berechnungen'!F361-'MOD-Berechnungen'!F351)</f>
        <v>3.3485097015039997</v>
      </c>
      <c r="G59" s="865">
        <f>IF(ControlPanel!$D$59&gt;'GrD-Grafikdaten'!G$5,'MOD-Berechnungen'!G311-'MOD-Berechnungen'!G351,'MOD-Berechnungen'!G301+'MOD-Berechnungen'!G321+'MOD-Berechnungen'!G361-'MOD-Berechnungen'!G351)</f>
        <v>6.8394584121654045</v>
      </c>
      <c r="H59" s="865">
        <f>IF(ControlPanel!$D$59&gt;'GrD-Grafikdaten'!H$5,'MOD-Berechnungen'!H311-'MOD-Berechnungen'!H351,'MOD-Berechnungen'!H301+'MOD-Berechnungen'!H321+'MOD-Berechnungen'!H361-'MOD-Berechnungen'!H351)</f>
        <v>7.4319177811085613</v>
      </c>
      <c r="I59" s="865">
        <f>IF(ControlPanel!$D$59&gt;'GrD-Grafikdaten'!I$5,'MOD-Berechnungen'!I311-'MOD-Berechnungen'!I351,'MOD-Berechnungen'!I301+'MOD-Berechnungen'!I321+'MOD-Berechnungen'!I361-'MOD-Berechnungen'!I351)</f>
        <v>8.6799413922943494</v>
      </c>
      <c r="J59" s="865">
        <f>IF(ControlPanel!$D$59&gt;'GrD-Grafikdaten'!J$5,'MOD-Berechnungen'!J311-'MOD-Berechnungen'!J351,'MOD-Berechnungen'!J301+'MOD-Berechnungen'!J321+'MOD-Berechnungen'!J361-'MOD-Berechnungen'!J351)</f>
        <v>9.3130277127160497</v>
      </c>
      <c r="K59" s="865">
        <f>IF(ControlPanel!$D$59&gt;'GrD-Grafikdaten'!K$5,'MOD-Berechnungen'!K311-'MOD-Berechnungen'!K351,'MOD-Berechnungen'!K301+'MOD-Berechnungen'!K321+'MOD-Berechnungen'!K361-'MOD-Berechnungen'!K351)</f>
        <v>9.8694338882490946</v>
      </c>
      <c r="L59" s="865">
        <f>IF(ControlPanel!$D$59&gt;'GrD-Grafikdaten'!L$5,'MOD-Berechnungen'!L311-'MOD-Berechnungen'!L351,'MOD-Berechnungen'!L301+'MOD-Berechnungen'!L321+'MOD-Berechnungen'!L361-'MOD-Berechnungen'!L351)</f>
        <v>9.675200021434593</v>
      </c>
      <c r="M59" s="865">
        <f>IF(ControlPanel!$D$59&gt;'GrD-Grafikdaten'!M$5,'MOD-Berechnungen'!M311-'MOD-Berechnungen'!M351,'MOD-Berechnungen'!M301+'MOD-Berechnungen'!M321+'MOD-Berechnungen'!M361-'MOD-Berechnungen'!M351)</f>
        <v>9.3939693082298774</v>
      </c>
      <c r="N59" s="865">
        <f>IF(ControlPanel!$D$59&gt;'GrD-Grafikdaten'!N$5,'MOD-Berechnungen'!N311-'MOD-Berechnungen'!N351,'MOD-Berechnungen'!N301+'MOD-Berechnungen'!N321+'MOD-Berechnungen'!N361-'MOD-Berechnungen'!N351)</f>
        <v>9.6111611490678754</v>
      </c>
      <c r="O59" s="865">
        <f>IF(ControlPanel!$D$59&gt;'GrD-Grafikdaten'!O$5,'MOD-Berechnungen'!O311-'MOD-Berechnungen'!O351,'MOD-Berechnungen'!O301+'MOD-Berechnungen'!O321+'MOD-Berechnungen'!O361-'MOD-Berechnungen'!O351)</f>
        <v>8.9507207324301969</v>
      </c>
      <c r="P59" s="865">
        <f>IF(ControlPanel!$D$59&gt;'GrD-Grafikdaten'!P$5,'MOD-Berechnungen'!P311-'MOD-Berechnungen'!P351,'MOD-Berechnungen'!P301+'MOD-Berechnungen'!P321+'MOD-Berechnungen'!P361-'MOD-Berechnungen'!P351)</f>
        <v>8.9741895297191867</v>
      </c>
      <c r="Q59" s="865">
        <f>IF(ControlPanel!$D$59&gt;'GrD-Grafikdaten'!Q$5,'MOD-Berechnungen'!Q311-'MOD-Berechnungen'!Q351,'MOD-Berechnungen'!Q301+'MOD-Berechnungen'!Q321+'MOD-Berechnungen'!Q361-'MOD-Berechnungen'!Q351)</f>
        <v>9.5790299026995775</v>
      </c>
      <c r="R59" s="865">
        <f>IF(ControlPanel!$D$59&gt;'GrD-Grafikdaten'!R$5,'MOD-Berechnungen'!R311-'MOD-Berechnungen'!R351,'MOD-Berechnungen'!R301+'MOD-Berechnungen'!R321+'MOD-Berechnungen'!R361-'MOD-Berechnungen'!R351)</f>
        <v>8.7942608065317263</v>
      </c>
      <c r="S59" s="865">
        <f>IF(ControlPanel!$D$59&gt;'GrD-Grafikdaten'!S$5,'MOD-Berechnungen'!S311-'MOD-Berechnungen'!S351,'MOD-Berechnungen'!S301+'MOD-Berechnungen'!S321+'MOD-Berechnungen'!S361-'MOD-Berechnungen'!S351)</f>
        <v>8.4271545798572518</v>
      </c>
      <c r="T59" s="865">
        <f>IF(ControlPanel!$D$59&gt;'GrD-Grafikdaten'!T$5,'MOD-Berechnungen'!T311-'MOD-Berechnungen'!T351,'MOD-Berechnungen'!T301+'MOD-Berechnungen'!T321+'MOD-Berechnungen'!T361-'MOD-Berechnungen'!T351)</f>
        <v>9.3907374932728676</v>
      </c>
      <c r="U59" s="865">
        <f>IF(ControlPanel!$D$59&gt;'GrD-Grafikdaten'!U$5,'MOD-Berechnungen'!U311-'MOD-Berechnungen'!U351,'MOD-Berechnungen'!U301+'MOD-Berechnungen'!U321+'MOD-Berechnungen'!U361-'MOD-Berechnungen'!U351)</f>
        <v>9.4205248014053833</v>
      </c>
      <c r="V59" s="865">
        <f>IF(ControlPanel!$D$59&gt;'GrD-Grafikdaten'!V$5,'MOD-Berechnungen'!V311-'MOD-Berechnungen'!V351,'MOD-Berechnungen'!V301+'MOD-Berechnungen'!V321+'MOD-Berechnungen'!V361-'MOD-Berechnungen'!V351)</f>
        <v>9.3225381005177326</v>
      </c>
      <c r="W59" s="865">
        <f>IF(ControlPanel!$D$59&gt;'GrD-Grafikdaten'!W$5,'MOD-Berechnungen'!W311-'MOD-Berechnungen'!W351,'MOD-Berechnungen'!W301+'MOD-Berechnungen'!W321+'MOD-Berechnungen'!W361-'MOD-Berechnungen'!W351)</f>
        <v>9.1665997980688623</v>
      </c>
      <c r="X59" s="865">
        <f>IF(ControlPanel!$D$59&gt;'GrD-Grafikdaten'!X$5,'MOD-Berechnungen'!X311-'MOD-Berechnungen'!X351,'MOD-Berechnungen'!X301+'MOD-Berechnungen'!X321+'MOD-Berechnungen'!X361-'MOD-Berechnungen'!X351)</f>
        <v>8.8701302245800502</v>
      </c>
      <c r="Y59" s="865">
        <f>IF(ControlPanel!$D$59&gt;'GrD-Grafikdaten'!Y$5,'MOD-Berechnungen'!Y311-'MOD-Berechnungen'!Y351,'MOD-Berechnungen'!Y301+'MOD-Berechnungen'!Y321+'MOD-Berechnungen'!Y361-'MOD-Berechnungen'!Y351)</f>
        <v>8.3060763259479433</v>
      </c>
      <c r="Z59" s="865">
        <f>IF(ControlPanel!$D$59&gt;'GrD-Grafikdaten'!Z$5,'MOD-Berechnungen'!Z311-'MOD-Berechnungen'!Z351,'MOD-Berechnungen'!Z301+'MOD-Berechnungen'!Z321+'MOD-Berechnungen'!Z361-'MOD-Berechnungen'!Z351)</f>
        <v>6.9391789509553812</v>
      </c>
      <c r="AA59" s="865">
        <f>IF(ControlPanel!$D$59&gt;'GrD-Grafikdaten'!AA$5,'MOD-Berechnungen'!AA311-'MOD-Berechnungen'!AA351,'MOD-Berechnungen'!AA301+'MOD-Berechnungen'!AA321+'MOD-Berechnungen'!AA361-'MOD-Berechnungen'!AA351)</f>
        <v>4.8951787198828338</v>
      </c>
      <c r="AB59" s="865">
        <f>IF(ControlPanel!$D$59&gt;'GrD-Grafikdaten'!AB$5,'MOD-Berechnungen'!AB311-'MOD-Berechnungen'!AB351,'MOD-Berechnungen'!AB301+'MOD-Berechnungen'!AB321+'MOD-Berechnungen'!AB361-'MOD-Berechnungen'!AB351)</f>
        <v>3.400621803538217</v>
      </c>
      <c r="AC59" s="865">
        <f>IF(ControlPanel!$D$59&gt;'GrD-Grafikdaten'!AC$5,'MOD-Berechnungen'!AC311-'MOD-Berechnungen'!AC351,'MOD-Berechnungen'!AC301+'MOD-Berechnungen'!AC321+'MOD-Berechnungen'!AC361-'MOD-Berechnungen'!AC351)</f>
        <v>2.6229176681578119</v>
      </c>
      <c r="AD59" s="865">
        <f>IF(ControlPanel!$D$59&gt;'GrD-Grafikdaten'!AD$5,'MOD-Berechnungen'!AD311-'MOD-Berechnungen'!AD351,'MOD-Berechnungen'!AD301+'MOD-Berechnungen'!AD321+'MOD-Berechnungen'!AD361-'MOD-Berechnungen'!AD351)</f>
        <v>2.576104705251963</v>
      </c>
      <c r="AE59" s="870">
        <f>IF(ControlPanel!$D$59&gt;'GrD-Grafikdaten'!AE$5,'MOD-Berechnungen'!AE311-'MOD-Berechnungen'!AE351,'MOD-Berechnungen'!AE301+'MOD-Berechnungen'!AE321+'MOD-Berechnungen'!AE361-'MOD-Berechnungen'!AE351)</f>
        <v>2.5063051102483587</v>
      </c>
      <c r="AF59" s="939"/>
      <c r="AG59" s="557" t="s">
        <v>694</v>
      </c>
      <c r="AH59" s="956" t="s">
        <v>695</v>
      </c>
    </row>
    <row r="60" spans="1:34" s="301" customFormat="1">
      <c r="A60" s="561">
        <v>60</v>
      </c>
      <c r="C60" s="10"/>
      <c r="D60" s="29"/>
      <c r="E60" s="201" t="s">
        <v>164</v>
      </c>
      <c r="F60" s="865">
        <f>'MOD-Berechnungen'!F185*'MOD-Berechnungen'!F390/100</f>
        <v>8.200179649999999</v>
      </c>
      <c r="G60" s="865">
        <f>'MOD-Berechnungen'!G185*'MOD-Berechnungen'!G390/100</f>
        <v>13.525185549484002</v>
      </c>
      <c r="H60" s="865">
        <f>'MOD-Berechnungen'!H185*'MOD-Berechnungen'!H390/100</f>
        <v>13.883379644640002</v>
      </c>
      <c r="I60" s="865">
        <f>'MOD-Berechnungen'!I185*'MOD-Berechnungen'!I390/100</f>
        <v>20.224554263969999</v>
      </c>
      <c r="J60" s="865">
        <f>'MOD-Berechnungen'!J185*'MOD-Berechnungen'!J390/100</f>
        <v>23.104251892799997</v>
      </c>
      <c r="K60" s="865">
        <f>'MOD-Berechnungen'!K185*'MOD-Berechnungen'!K390/100</f>
        <v>21.638272271801092</v>
      </c>
      <c r="L60" s="865">
        <f>'MOD-Berechnungen'!L185*'MOD-Berechnungen'!L390/100</f>
        <v>22.555421131422555</v>
      </c>
      <c r="M60" s="865">
        <f>'MOD-Berechnungen'!M185*'MOD-Berechnungen'!M390/100</f>
        <v>23.513570322565116</v>
      </c>
      <c r="N60" s="865">
        <f>'MOD-Berechnungen'!N185*'MOD-Berechnungen'!N390/100</f>
        <v>23.285053272826968</v>
      </c>
      <c r="O60" s="865">
        <f>'MOD-Berechnungen'!O185*'MOD-Berechnungen'!O390/100</f>
        <v>22.055778972951767</v>
      </c>
      <c r="P60" s="865">
        <f>'MOD-Berechnungen'!P185*'MOD-Berechnungen'!P390/100</f>
        <v>23.252845747155028</v>
      </c>
      <c r="Q60" s="865">
        <f>'MOD-Berechnungen'!Q185*'MOD-Berechnungen'!Q390/100</f>
        <v>21.567921937973843</v>
      </c>
      <c r="R60" s="865">
        <f>'MOD-Berechnungen'!R185*'MOD-Berechnungen'!R390/100</f>
        <v>12.434418620167067</v>
      </c>
      <c r="S60" s="865">
        <f ca="1">'MOD-Berechnungen'!S185*'MOD-Berechnungen'!S390/100</f>
        <v>7.4573205629005477</v>
      </c>
      <c r="T60" s="865">
        <f ca="1">'MOD-Berechnungen'!T185*'MOD-Berechnungen'!T390/100</f>
        <v>13.206036125008161</v>
      </c>
      <c r="U60" s="865">
        <f ca="1">'MOD-Berechnungen'!U185*'MOD-Berechnungen'!U390/100</f>
        <v>11.533481966867591</v>
      </c>
      <c r="V60" s="865">
        <f ca="1">'MOD-Berechnungen'!V185*'MOD-Berechnungen'!V390/100</f>
        <v>10.83383279381896</v>
      </c>
      <c r="W60" s="865">
        <f ca="1">'MOD-Berechnungen'!W185*'MOD-Berechnungen'!W390/100</f>
        <v>9.4904201820535192</v>
      </c>
      <c r="X60" s="865">
        <f ca="1">'MOD-Berechnungen'!X185*'MOD-Berechnungen'!X390/100</f>
        <v>8.6776288445485505</v>
      </c>
      <c r="Y60" s="865">
        <f ca="1">'MOD-Berechnungen'!Y185*'MOD-Berechnungen'!Y390/100</f>
        <v>7.7713746948790545</v>
      </c>
      <c r="Z60" s="865">
        <f ca="1">'MOD-Berechnungen'!Z185*'MOD-Berechnungen'!Z390/100</f>
        <v>6.2758863589680152</v>
      </c>
      <c r="AA60" s="865">
        <f ca="1">'MOD-Berechnungen'!AA185*'MOD-Berechnungen'!AA390/100</f>
        <v>4.0186271666380886</v>
      </c>
      <c r="AB60" s="865">
        <f ca="1">'MOD-Berechnungen'!AB185*'MOD-Berechnungen'!AB390/100</f>
        <v>2.054108579737469</v>
      </c>
      <c r="AC60" s="865">
        <f ca="1">'MOD-Berechnungen'!AC185*'MOD-Berechnungen'!AC390/100</f>
        <v>1.2768805001393664</v>
      </c>
      <c r="AD60" s="865">
        <f ca="1">'MOD-Berechnungen'!AD185*'MOD-Berechnungen'!AD390/100</f>
        <v>1.3114241019030082</v>
      </c>
      <c r="AE60" s="870">
        <f ca="1">'MOD-Berechnungen'!AE185*'MOD-Berechnungen'!AE390/100</f>
        <v>1.788399695292934</v>
      </c>
      <c r="AF60" s="939"/>
      <c r="AG60" s="939"/>
      <c r="AH60" s="956" t="s">
        <v>581</v>
      </c>
    </row>
    <row r="61" spans="1:34" s="301" customFormat="1">
      <c r="A61" s="561">
        <v>61</v>
      </c>
      <c r="C61" s="10"/>
      <c r="D61" s="29"/>
      <c r="E61" s="201" t="s">
        <v>165</v>
      </c>
      <c r="F61" s="865">
        <f>'MOD-Berechnungen'!F12*'MOD-Berechnungen'!F17*(1-'MOD-Berechnungen'!F18)*'MOD-Berechnungen'!F390/100</f>
        <v>3.393607614718952E-2</v>
      </c>
      <c r="G61" s="865">
        <f>'MOD-Berechnungen'!G12*'MOD-Berechnungen'!G17*(1-'MOD-Berechnungen'!G18)*'MOD-Berechnungen'!G390/100</f>
        <v>3.735757423773732E-2</v>
      </c>
      <c r="H61" s="865">
        <f>'MOD-Berechnungen'!H12*'MOD-Berechnungen'!H17*(1-'MOD-Berechnungen'!H18)*'MOD-Berechnungen'!H390/100</f>
        <v>4.2365070647105346E-2</v>
      </c>
      <c r="I61" s="865">
        <f>'MOD-Berechnungen'!I12*'MOD-Berechnungen'!I17*(1-'MOD-Berechnungen'!I18)*'MOD-Berechnungen'!I390/100</f>
        <v>3.2711856918474516E-2</v>
      </c>
      <c r="J61" s="865">
        <f>'MOD-Berechnungen'!J12*'MOD-Berechnungen'!J17*(1-'MOD-Berechnungen'!J18)*'MOD-Berechnungen'!J390/100</f>
        <v>0.13849324742799995</v>
      </c>
      <c r="K61" s="865">
        <f>'MOD-Berechnungen'!K12*'MOD-Berechnungen'!K17*(1-'MOD-Berechnungen'!K18)*'MOD-Berechnungen'!K390/100</f>
        <v>0.4754434850701581</v>
      </c>
      <c r="L61" s="865">
        <f>'MOD-Berechnungen'!L12*'MOD-Berechnungen'!L17*(1-'MOD-Berechnungen'!L18)*'MOD-Berechnungen'!L390/100</f>
        <v>0.49193394541548258</v>
      </c>
      <c r="M61" s="865">
        <f>'MOD-Berechnungen'!M12*'MOD-Berechnungen'!M17*(1-'MOD-Berechnungen'!M18)*'MOD-Berechnungen'!M390/100</f>
        <v>0.44685654303362132</v>
      </c>
      <c r="N61" s="865">
        <f>'MOD-Berechnungen'!N12*'MOD-Berechnungen'!N17*(1-'MOD-Berechnungen'!N18)*'MOD-Berechnungen'!N390/100</f>
        <v>0.46668132346493202</v>
      </c>
      <c r="O61" s="865">
        <f>'MOD-Berechnungen'!O12*'MOD-Berechnungen'!O17*(1-'MOD-Berechnungen'!O18)*'MOD-Berechnungen'!O390/100</f>
        <v>0.41825657234659019</v>
      </c>
      <c r="P61" s="865">
        <f>'MOD-Berechnungen'!P12*'MOD-Berechnungen'!P17*(1-'MOD-Berechnungen'!P18)*'MOD-Berechnungen'!P390/100</f>
        <v>0.44473750674681178</v>
      </c>
      <c r="Q61" s="865">
        <f>'MOD-Berechnungen'!Q12*'MOD-Berechnungen'!Q17*(1-'MOD-Berechnungen'!Q18)*'MOD-Berechnungen'!Q390/100</f>
        <v>0.41990360429802659</v>
      </c>
      <c r="R61" s="865">
        <f>'MOD-Berechnungen'!R12*'MOD-Berechnungen'!R17*(1-'MOD-Berechnungen'!R18)*'MOD-Berechnungen'!R390/100</f>
        <v>0.26105747067618412</v>
      </c>
      <c r="S61" s="865">
        <f ca="1">'MOD-Berechnungen'!S12*'MOD-Berechnungen'!S17*(1-'MOD-Berechnungen'!S18)*'MOD-Berechnungen'!S390/100</f>
        <v>0.15349801007635749</v>
      </c>
      <c r="T61" s="865">
        <f ca="1">'MOD-Berechnungen'!T12*'MOD-Berechnungen'!T17*(1-'MOD-Berechnungen'!T18)*'MOD-Berechnungen'!T390/100</f>
        <v>0.28251218231608166</v>
      </c>
      <c r="U61" s="865">
        <f ca="1">'MOD-Berechnungen'!U12*'MOD-Berechnungen'!U17*(1-'MOD-Berechnungen'!U18)*'MOD-Berechnungen'!U390/100</f>
        <v>0.25019712558611273</v>
      </c>
      <c r="V61" s="865">
        <f ca="1">'MOD-Berechnungen'!V12*'MOD-Berechnungen'!V17*(1-'MOD-Berechnungen'!V18)*'MOD-Berechnungen'!V390/100</f>
        <v>0.23943849287007959</v>
      </c>
      <c r="W61" s="865">
        <f ca="1">'MOD-Berechnungen'!W12*'MOD-Berechnungen'!W17*(1-'MOD-Berechnungen'!W18)*'MOD-Berechnungen'!W390/100</f>
        <v>0.19664639385423052</v>
      </c>
      <c r="X61" s="865">
        <f ca="1">'MOD-Berechnungen'!X12*'MOD-Berechnungen'!X17*(1-'MOD-Berechnungen'!X18)*'MOD-Berechnungen'!X390/100</f>
        <v>0.16912606498971383</v>
      </c>
      <c r="Y61" s="865">
        <f ca="1">'MOD-Berechnungen'!Y12*'MOD-Berechnungen'!Y17*(1-'MOD-Berechnungen'!Y18)*'MOD-Berechnungen'!Y390/100</f>
        <v>0.14292201058996323</v>
      </c>
      <c r="Z61" s="865">
        <f ca="1">'MOD-Berechnungen'!Z12*'MOD-Berechnungen'!Z17*(1-'MOD-Berechnungen'!Z18)*'MOD-Berechnungen'!Z390/100</f>
        <v>0.10921504137276689</v>
      </c>
      <c r="AA61" s="865">
        <f ca="1">'MOD-Berechnungen'!AA12*'MOD-Berechnungen'!AA17*(1-'MOD-Berechnungen'!AA18)*'MOD-Berechnungen'!AA390/100</f>
        <v>6.6365634825999525E-2</v>
      </c>
      <c r="AB61" s="865">
        <f ca="1">'MOD-Berechnungen'!AB12*'MOD-Berechnungen'!AB17*(1-'MOD-Berechnungen'!AB18)*'MOD-Berechnungen'!AB390/100</f>
        <v>3.2275580998739284E-2</v>
      </c>
      <c r="AC61" s="865">
        <f ca="1">'MOD-Berechnungen'!AC12*'MOD-Berechnungen'!AC17*(1-'MOD-Berechnungen'!AC18)*'MOD-Berechnungen'!AC390/100</f>
        <v>1.9143776655478995E-2</v>
      </c>
      <c r="AD61" s="865">
        <f ca="1">'MOD-Berechnungen'!AD12*'MOD-Berechnungen'!AD17*(1-'MOD-Berechnungen'!AD18)*'MOD-Berechnungen'!AD390/100</f>
        <v>1.8803047487536396E-2</v>
      </c>
      <c r="AE61" s="870">
        <f ca="1">'MOD-Berechnungen'!AE12*'MOD-Berechnungen'!AE17*(1-'MOD-Berechnungen'!AE18)*'MOD-Berechnungen'!AE390/100</f>
        <v>2.4573896174221961E-2</v>
      </c>
      <c r="AF61" s="939"/>
      <c r="AG61" s="939" t="s">
        <v>580</v>
      </c>
      <c r="AH61" s="956" t="s">
        <v>652</v>
      </c>
    </row>
    <row r="62" spans="1:34" s="301" customFormat="1">
      <c r="A62" s="561">
        <v>62</v>
      </c>
      <c r="C62" s="10"/>
      <c r="D62" s="29"/>
      <c r="E62" s="201" t="s">
        <v>280</v>
      </c>
      <c r="F62" s="865">
        <f>('MOD-Berechnungen'!F13+'MOD-Berechnungen'!F254)*'MOD-Berechnungen'!F19/100+('MOD-Berechnungen'!F14+'MOD-Berechnungen'!F264)*'MOD-Berechnungen'!F20/100+'MOD-Berechnungen'!F15*'MOD-Berechnungen'!F21/100</f>
        <v>0</v>
      </c>
      <c r="G62" s="865">
        <f>('MOD-Berechnungen'!G13+'MOD-Berechnungen'!G254)*'MOD-Berechnungen'!G19/100+('MOD-Berechnungen'!G14+'MOD-Berechnungen'!G264)*'MOD-Berechnungen'!G20/100+'MOD-Berechnungen'!G15*'MOD-Berechnungen'!G21/100</f>
        <v>0</v>
      </c>
      <c r="H62" s="865">
        <f>('MOD-Berechnungen'!H13+'MOD-Berechnungen'!H254)*'MOD-Berechnungen'!H19/100+('MOD-Berechnungen'!H14+'MOD-Berechnungen'!H264)*'MOD-Berechnungen'!H20/100+'MOD-Berechnungen'!H15*'MOD-Berechnungen'!H21/100</f>
        <v>0</v>
      </c>
      <c r="I62" s="865">
        <f>('MOD-Berechnungen'!I13+'MOD-Berechnungen'!I254)*'MOD-Berechnungen'!I19/100+('MOD-Berechnungen'!I14+'MOD-Berechnungen'!I264)*'MOD-Berechnungen'!I20/100+'MOD-Berechnungen'!I15*'MOD-Berechnungen'!I21/100</f>
        <v>0</v>
      </c>
      <c r="J62" s="865">
        <f>('MOD-Berechnungen'!J13+'MOD-Berechnungen'!J254)*'MOD-Berechnungen'!J19/100+('MOD-Berechnungen'!J14+'MOD-Berechnungen'!J264)*'MOD-Berechnungen'!J20/100+'MOD-Berechnungen'!J15*'MOD-Berechnungen'!J21/100</f>
        <v>0</v>
      </c>
      <c r="K62" s="865">
        <f>('MOD-Berechnungen'!K13+'MOD-Berechnungen'!K254)*'MOD-Berechnungen'!K19/100+('MOD-Berechnungen'!K14+'MOD-Berechnungen'!K264)*'MOD-Berechnungen'!K20/100+'MOD-Berechnungen'!K15*'MOD-Berechnungen'!K21/100</f>
        <v>9.8178863999999998E-4</v>
      </c>
      <c r="L62" s="865">
        <f>('MOD-Berechnungen'!L13+'MOD-Berechnungen'!L254)*'MOD-Berechnungen'!L19/100+('MOD-Berechnungen'!L14+'MOD-Berechnungen'!L264)*'MOD-Berechnungen'!L20/100+'MOD-Berechnungen'!L15*'MOD-Berechnungen'!L21/100</f>
        <v>3.6367778999999993E-3</v>
      </c>
      <c r="M62" s="865">
        <f>('MOD-Berechnungen'!M13+'MOD-Berechnungen'!M254)*'MOD-Berechnungen'!M19/100+('MOD-Berechnungen'!M14+'MOD-Berechnungen'!M264)*'MOD-Berechnungen'!M20/100+'MOD-Berechnungen'!M15*'MOD-Berechnungen'!M21/100</f>
        <v>1.662114917116593E-2</v>
      </c>
      <c r="N62" s="865">
        <f>('MOD-Berechnungen'!N13+'MOD-Berechnungen'!N254)*'MOD-Berechnungen'!N19/100+('MOD-Berechnungen'!N14+'MOD-Berechnungen'!N264)*'MOD-Berechnungen'!N20/100+'MOD-Berechnungen'!N15*'MOD-Berechnungen'!N21/100</f>
        <v>2.1945423981766587E-2</v>
      </c>
      <c r="O62" s="865">
        <f>('MOD-Berechnungen'!O13+'MOD-Berechnungen'!O254)*'MOD-Berechnungen'!O19/100+('MOD-Berechnungen'!O14+'MOD-Berechnungen'!O264)*'MOD-Berechnungen'!O20/100+'MOD-Berechnungen'!O15*'MOD-Berechnungen'!O21/100</f>
        <v>3.8712181810251711E-2</v>
      </c>
      <c r="P62" s="865">
        <f>('MOD-Berechnungen'!P13+'MOD-Berechnungen'!P254)*'MOD-Berechnungen'!P19/100+('MOD-Berechnungen'!P14+'MOD-Berechnungen'!P264)*'MOD-Berechnungen'!P20/100+'MOD-Berechnungen'!P15*'MOD-Berechnungen'!P21/100</f>
        <v>5.1853512467374019E-2</v>
      </c>
      <c r="Q62" s="865">
        <f>('MOD-Berechnungen'!Q13+'MOD-Berechnungen'!Q254)*'MOD-Berechnungen'!Q19/100+('MOD-Berechnungen'!Q14+'MOD-Berechnungen'!Q264)*'MOD-Berechnungen'!Q20/100+'MOD-Berechnungen'!Q15*'MOD-Berechnungen'!Q21/100</f>
        <v>6.298200678060191E-2</v>
      </c>
      <c r="R62" s="865">
        <f>('MOD-Berechnungen'!R13+'MOD-Berechnungen'!R254)*'MOD-Berechnungen'!R19/100+('MOD-Berechnungen'!R14+'MOD-Berechnungen'!R264)*'MOD-Berechnungen'!R20/100+'MOD-Berechnungen'!R15*'MOD-Berechnungen'!R21/100</f>
        <v>9.4375536482462941E-2</v>
      </c>
      <c r="S62" s="865">
        <f>('MOD-Berechnungen'!S13+'MOD-Berechnungen'!S254)*'MOD-Berechnungen'!S19/100+('MOD-Berechnungen'!S14+'MOD-Berechnungen'!S264)*'MOD-Berechnungen'!S20/100+'MOD-Berechnungen'!S15*'MOD-Berechnungen'!S21/100</f>
        <v>9.9406123510297609E-2</v>
      </c>
      <c r="T62" s="865">
        <f>('MOD-Berechnungen'!T13+'MOD-Berechnungen'!T254)*'MOD-Berechnungen'!T19/100+('MOD-Berechnungen'!T14+'MOD-Berechnungen'!T264)*'MOD-Berechnungen'!T20/100+'MOD-Berechnungen'!T15*'MOD-Berechnungen'!T21/100</f>
        <v>0.10485662162788723</v>
      </c>
      <c r="U62" s="865">
        <f>('MOD-Berechnungen'!U13+'MOD-Berechnungen'!U254)*'MOD-Berechnungen'!U19/100+('MOD-Berechnungen'!U14+'MOD-Berechnungen'!U264)*'MOD-Berechnungen'!U20/100+'MOD-Berechnungen'!U15*'MOD-Berechnungen'!U21/100</f>
        <v>0.11029423598039961</v>
      </c>
      <c r="V62" s="865">
        <f>('MOD-Berechnungen'!V13+'MOD-Berechnungen'!V254)*'MOD-Berechnungen'!V19/100+('MOD-Berechnungen'!V14+'MOD-Berechnungen'!V264)*'MOD-Berechnungen'!V20/100+'MOD-Berechnungen'!V15*'MOD-Berechnungen'!V21/100</f>
        <v>0.11564133734662643</v>
      </c>
      <c r="W62" s="865">
        <f>('MOD-Berechnungen'!W13+'MOD-Berechnungen'!W254)*'MOD-Berechnungen'!W19/100+('MOD-Berechnungen'!W14+'MOD-Berechnungen'!W264)*'MOD-Berechnungen'!W20/100+'MOD-Berechnungen'!W15*'MOD-Berechnungen'!W21/100</f>
        <v>0.11793095911153799</v>
      </c>
      <c r="X62" s="865">
        <f>('MOD-Berechnungen'!X13+'MOD-Berechnungen'!X254)*'MOD-Berechnungen'!X19/100+('MOD-Berechnungen'!X14+'MOD-Berechnungen'!X264)*'MOD-Berechnungen'!X20/100+'MOD-Berechnungen'!X15*'MOD-Berechnungen'!X21/100</f>
        <v>0.11920825665971836</v>
      </c>
      <c r="Y62" s="865">
        <f>('MOD-Berechnungen'!Y13+'MOD-Berechnungen'!Y254)*'MOD-Berechnungen'!Y19/100+('MOD-Berechnungen'!Y14+'MOD-Berechnungen'!Y264)*'MOD-Berechnungen'!Y20/100+'MOD-Berechnungen'!Y15*'MOD-Berechnungen'!Y21/100</f>
        <v>0.12049294826378795</v>
      </c>
      <c r="Z62" s="865">
        <f>('MOD-Berechnungen'!Z13+'MOD-Berechnungen'!Z254)*'MOD-Berechnungen'!Z19/100+('MOD-Berechnungen'!Z14+'MOD-Berechnungen'!Z264)*'MOD-Berechnungen'!Z20/100+'MOD-Berechnungen'!Z15*'MOD-Berechnungen'!Z21/100</f>
        <v>0.12178503392374677</v>
      </c>
      <c r="AA62" s="865">
        <f>('MOD-Berechnungen'!AA13+'MOD-Berechnungen'!AA254)*'MOD-Berechnungen'!AA19/100+('MOD-Berechnungen'!AA14+'MOD-Berechnungen'!AA264)*'MOD-Berechnungen'!AA20/100+'MOD-Berechnungen'!AA15*'MOD-Berechnungen'!AA21/100</f>
        <v>0.12308451363959481</v>
      </c>
      <c r="AB62" s="865">
        <f>('MOD-Berechnungen'!AB13+'MOD-Berechnungen'!AB254)*'MOD-Berechnungen'!AB19/100+('MOD-Berechnungen'!AB14+'MOD-Berechnungen'!AB264)*'MOD-Berechnungen'!AB20/100+'MOD-Berechnungen'!AB15*'MOD-Berechnungen'!AB21/100</f>
        <v>0.1243913874113321</v>
      </c>
      <c r="AC62" s="865">
        <f>('MOD-Berechnungen'!AC13+'MOD-Berechnungen'!AC254)*'MOD-Berechnungen'!AC19/100+('MOD-Berechnungen'!AC14+'MOD-Berechnungen'!AC264)*'MOD-Berechnungen'!AC20/100+'MOD-Berechnungen'!AC15*'MOD-Berechnungen'!AC21/100</f>
        <v>0.1257056552389586</v>
      </c>
      <c r="AD62" s="865">
        <f>('MOD-Berechnungen'!AD13+'MOD-Berechnungen'!AD254)*'MOD-Berechnungen'!AD19/100+('MOD-Berechnungen'!AD14+'MOD-Berechnungen'!AD264)*'MOD-Berechnungen'!AD20/100+'MOD-Berechnungen'!AD15*'MOD-Berechnungen'!AD21/100</f>
        <v>0.12702731712247434</v>
      </c>
      <c r="AE62" s="870">
        <f>('MOD-Berechnungen'!AE13+'MOD-Berechnungen'!AE254)*'MOD-Berechnungen'!AE19/100+('MOD-Berechnungen'!AE14+'MOD-Berechnungen'!AE264)*'MOD-Berechnungen'!AE20/100+'MOD-Berechnungen'!AE15*'MOD-Berechnungen'!AE21/100</f>
        <v>0.12834840331938507</v>
      </c>
      <c r="AF62" s="939"/>
      <c r="AG62" s="939" t="s">
        <v>461</v>
      </c>
      <c r="AH62" s="567"/>
    </row>
    <row r="63" spans="1:34" s="301" customFormat="1">
      <c r="A63" s="561">
        <v>63</v>
      </c>
      <c r="C63" s="10"/>
      <c r="D63" s="29"/>
      <c r="E63" s="201" t="s">
        <v>179</v>
      </c>
      <c r="F63" s="865">
        <f>'MOD-Berechnungen'!F181/10</f>
        <v>5.3650479999999998</v>
      </c>
      <c r="G63" s="865">
        <f>'MOD-Berechnungen'!G181/10</f>
        <v>5.0739089999999996</v>
      </c>
      <c r="H63" s="865">
        <f>'MOD-Berechnungen'!H181/10</f>
        <v>5.5220000000000002</v>
      </c>
      <c r="I63" s="865">
        <f>'MOD-Berechnungen'!I181/10</f>
        <v>5.1150000000000002</v>
      </c>
      <c r="J63" s="865">
        <f>'MOD-Berechnungen'!J181/10</f>
        <v>4.1450000000000005</v>
      </c>
      <c r="K63" s="865">
        <f>'MOD-Berechnungen'!K181/10</f>
        <v>3.5670000000000002</v>
      </c>
      <c r="L63" s="865">
        <f>'MOD-Berechnungen'!L181/10</f>
        <v>3.1260000000000003</v>
      </c>
      <c r="M63" s="865">
        <f>'MOD-Berechnungen'!M181/10</f>
        <v>2.6749999999999998</v>
      </c>
      <c r="N63" s="865">
        <f>'MOD-Berechnungen'!N181/10</f>
        <v>3.222</v>
      </c>
      <c r="O63" s="865">
        <f>'MOD-Berechnungen'!O181/10</f>
        <v>4.6280000000000001</v>
      </c>
      <c r="P63" s="865">
        <f>'MOD-Berechnungen'!P181/10</f>
        <v>4.9340000000000002</v>
      </c>
      <c r="Q63" s="865">
        <f>'MOD-Berechnungen'!Q181/10</f>
        <v>4.0739999999999998</v>
      </c>
      <c r="R63" s="865">
        <f>'MOD-Berechnungen'!R181/10</f>
        <v>7.8400000000000007</v>
      </c>
      <c r="S63" s="865">
        <f>'MOD-Berechnungen'!S181/10</f>
        <v>8.7519999999999989</v>
      </c>
      <c r="T63" s="865">
        <f>'MOD-Berechnungen'!T181/10</f>
        <v>7.2530000000000001</v>
      </c>
      <c r="U63" s="865">
        <f>'MOD-Berechnungen'!U181/10</f>
        <v>7.1599999999999993</v>
      </c>
      <c r="V63" s="865">
        <f>'MOD-Berechnungen'!V181/10</f>
        <v>7.0620000000000003</v>
      </c>
      <c r="W63" s="865">
        <f>'MOD-Berechnungen'!W181/10</f>
        <v>7.035000000000001</v>
      </c>
      <c r="X63" s="865">
        <f>'MOD-Berechnungen'!X181/10</f>
        <v>6.9610000000000003</v>
      </c>
      <c r="Y63" s="865">
        <f>'MOD-Berechnungen'!Y181/10</f>
        <v>6.8930000000000007</v>
      </c>
      <c r="Z63" s="865">
        <f>'MOD-Berechnungen'!Z181/10</f>
        <v>6.8579999999999997</v>
      </c>
      <c r="AA63" s="865">
        <f>'MOD-Berechnungen'!AA181/10</f>
        <v>6.8170000000000002</v>
      </c>
      <c r="AB63" s="865">
        <f>'MOD-Berechnungen'!AB181/10</f>
        <v>6.7377500000000001</v>
      </c>
      <c r="AC63" s="865">
        <f>'MOD-Berechnungen'!AC181/10</f>
        <v>6.658500000000001</v>
      </c>
      <c r="AD63" s="865">
        <f>'MOD-Berechnungen'!AD181/10</f>
        <v>6.57925</v>
      </c>
      <c r="AE63" s="870">
        <f>'MOD-Berechnungen'!AE181/10</f>
        <v>6.5</v>
      </c>
      <c r="AF63" s="939"/>
      <c r="AG63" s="939" t="s">
        <v>481</v>
      </c>
      <c r="AH63" s="567"/>
    </row>
    <row r="64" spans="1:34" s="301" customFormat="1">
      <c r="A64" s="561">
        <v>64</v>
      </c>
      <c r="C64" s="10"/>
      <c r="D64" s="29"/>
      <c r="E64" s="202" t="s">
        <v>181</v>
      </c>
      <c r="F64" s="866">
        <f t="shared" ref="F64:M64" si="0">F63+F52</f>
        <v>7.4120479999999995</v>
      </c>
      <c r="G64" s="866">
        <f t="shared" si="0"/>
        <v>8.6039089999999998</v>
      </c>
      <c r="H64" s="866">
        <f t="shared" si="0"/>
        <v>9.1140000000000008</v>
      </c>
      <c r="I64" s="866">
        <f t="shared" si="0"/>
        <v>10.391999999999999</v>
      </c>
      <c r="J64" s="866">
        <f t="shared" si="0"/>
        <v>10.385</v>
      </c>
      <c r="K64" s="866">
        <f t="shared" si="0"/>
        <v>9.7365706877643845</v>
      </c>
      <c r="L64" s="866">
        <f t="shared" si="0"/>
        <v>9.464268639723894</v>
      </c>
      <c r="M64" s="866">
        <f t="shared" si="0"/>
        <v>9.5352264368703565</v>
      </c>
      <c r="N64" s="866">
        <f t="shared" ref="N64" si="1">N63+N52</f>
        <v>10.00080483632372</v>
      </c>
      <c r="O64" s="866">
        <f t="shared" ref="O64:AE64" si="2">O63+O52</f>
        <v>11.034581826229905</v>
      </c>
      <c r="P64" s="866">
        <f t="shared" si="2"/>
        <v>11.692116313820181</v>
      </c>
      <c r="Q64" s="866">
        <f t="shared" si="2"/>
        <v>10.577615363716919</v>
      </c>
      <c r="R64" s="866">
        <f t="shared" si="2"/>
        <v>11.563082772147341</v>
      </c>
      <c r="S64" s="866">
        <f t="shared" ca="1" si="2"/>
        <v>10.97923443639672</v>
      </c>
      <c r="T64" s="866">
        <f t="shared" ca="1" si="2"/>
        <v>11.250717348887195</v>
      </c>
      <c r="U64" s="866">
        <f t="shared" ca="1" si="2"/>
        <v>10.692756736346251</v>
      </c>
      <c r="V64" s="866">
        <f t="shared" ca="1" si="2"/>
        <v>10.407660840872651</v>
      </c>
      <c r="W64" s="866">
        <f t="shared" ca="1" si="2"/>
        <v>9.7827292039835285</v>
      </c>
      <c r="X64" s="866">
        <f t="shared" ca="1" si="2"/>
        <v>9.3241891682261588</v>
      </c>
      <c r="Y64" s="866">
        <f t="shared" ca="1" si="2"/>
        <v>8.8900413628901465</v>
      </c>
      <c r="Z64" s="866">
        <f t="shared" ca="1" si="2"/>
        <v>8.3840557430647475</v>
      </c>
      <c r="AA64" s="866">
        <f t="shared" ca="1" si="2"/>
        <v>7.7443233512101965</v>
      </c>
      <c r="AB64" s="866">
        <f t="shared" ca="1" si="2"/>
        <v>7.1887349112794388</v>
      </c>
      <c r="AC64" s="866">
        <f t="shared" ca="1" si="2"/>
        <v>6.9259949342309861</v>
      </c>
      <c r="AD64" s="866">
        <f t="shared" ca="1" si="2"/>
        <v>6.8419839443798365</v>
      </c>
      <c r="AE64" s="872">
        <f t="shared" ca="1" si="2"/>
        <v>6.8433696944558342</v>
      </c>
      <c r="AF64" s="939"/>
      <c r="AG64" s="939"/>
      <c r="AH64" s="567"/>
    </row>
    <row r="65" spans="1:34" s="301" customFormat="1">
      <c r="A65" s="561">
        <v>65</v>
      </c>
      <c r="C65" s="10"/>
      <c r="D65" s="29"/>
      <c r="E65" s="201" t="s">
        <v>229</v>
      </c>
      <c r="F65" s="865">
        <f t="shared" ref="F65:AE65" si="3">IF(F89&gt;0,F61/F89*100,0)</f>
        <v>4.9989800764796158E-2</v>
      </c>
      <c r="G65" s="865">
        <f t="shared" si="3"/>
        <v>4.9990085901745564E-2</v>
      </c>
      <c r="H65" s="865">
        <f t="shared" si="3"/>
        <v>5.0001590567365077E-2</v>
      </c>
      <c r="I65" s="865">
        <f t="shared" si="3"/>
        <v>3.3995000948890464E-2</v>
      </c>
      <c r="J65" s="865">
        <f t="shared" si="3"/>
        <v>0.13001254107481827</v>
      </c>
      <c r="K65" s="865">
        <f t="shared" si="3"/>
        <v>0.43125299107473047</v>
      </c>
      <c r="L65" s="865">
        <f t="shared" si="3"/>
        <v>0.47346866738737492</v>
      </c>
      <c r="M65" s="865">
        <f t="shared" si="3"/>
        <v>0.39147943922324169</v>
      </c>
      <c r="N65" s="865">
        <f t="shared" si="3"/>
        <v>0.40690666517638763</v>
      </c>
      <c r="O65" s="865">
        <f t="shared" si="3"/>
        <v>0.36712782552459544</v>
      </c>
      <c r="P65" s="865">
        <f t="shared" si="3"/>
        <v>0.38282786662893387</v>
      </c>
      <c r="Q65" s="865">
        <f t="shared" si="3"/>
        <v>0.37248612108402962</v>
      </c>
      <c r="R65" s="865">
        <f t="shared" si="3"/>
        <v>0.22007879841189015</v>
      </c>
      <c r="S65" s="865">
        <f t="shared" ca="1" si="3"/>
        <v>0.1316562398802277</v>
      </c>
      <c r="T65" s="865">
        <f t="shared" ca="1" si="3"/>
        <v>0.23631299231792693</v>
      </c>
      <c r="U65" s="865">
        <f t="shared" ca="1" si="3"/>
        <v>0.20882824938328412</v>
      </c>
      <c r="V65" s="865">
        <f t="shared" ca="1" si="3"/>
        <v>0.19776864034862443</v>
      </c>
      <c r="W65" s="865">
        <f t="shared" ca="1" si="3"/>
        <v>0.16242371673761505</v>
      </c>
      <c r="X65" s="865">
        <f t="shared" ca="1" si="3"/>
        <v>0.13969279341679511</v>
      </c>
      <c r="Y65" s="865">
        <f t="shared" ca="1" si="3"/>
        <v>0.11804907127278702</v>
      </c>
      <c r="Z65" s="865">
        <f t="shared" ca="1" si="3"/>
        <v>9.020817822149739E-2</v>
      </c>
      <c r="AA65" s="865">
        <f t="shared" ca="1" si="3"/>
        <v>5.4815920398116398E-2</v>
      </c>
      <c r="AB65" s="865">
        <f t="shared" ca="1" si="3"/>
        <v>2.6658611545997593E-2</v>
      </c>
      <c r="AC65" s="865">
        <f t="shared" ca="1" si="3"/>
        <v>1.5812155493085817E-2</v>
      </c>
      <c r="AD65" s="865">
        <f t="shared" ca="1" si="3"/>
        <v>1.5530723951050134E-2</v>
      </c>
      <c r="AE65" s="870">
        <f t="shared" ca="1" si="3"/>
        <v>2.0297262884465157E-2</v>
      </c>
      <c r="AF65" s="939"/>
      <c r="AG65" s="939"/>
      <c r="AH65" s="567"/>
    </row>
    <row r="66" spans="1:34" s="301" customFormat="1">
      <c r="A66" s="561">
        <v>66</v>
      </c>
      <c r="C66" s="10"/>
      <c r="D66" s="29"/>
      <c r="E66" s="202" t="s">
        <v>283</v>
      </c>
      <c r="F66" s="866">
        <f t="shared" ref="F66:AE66" si="4">F62*F90/100</f>
        <v>0</v>
      </c>
      <c r="G66" s="866">
        <f t="shared" si="4"/>
        <v>0</v>
      </c>
      <c r="H66" s="866">
        <f t="shared" si="4"/>
        <v>0</v>
      </c>
      <c r="I66" s="866">
        <f t="shared" si="4"/>
        <v>0</v>
      </c>
      <c r="J66" s="866">
        <f t="shared" si="4"/>
        <v>0</v>
      </c>
      <c r="K66" s="866">
        <f t="shared" si="4"/>
        <v>5.854136932987768E-4</v>
      </c>
      <c r="L66" s="866">
        <f t="shared" si="4"/>
        <v>1.8852721831826521E-3</v>
      </c>
      <c r="M66" s="866">
        <f t="shared" si="4"/>
        <v>1.0804901280122412E-2</v>
      </c>
      <c r="N66" s="866">
        <f t="shared" si="4"/>
        <v>1.4583188073286832E-2</v>
      </c>
      <c r="O66" s="866">
        <f t="shared" si="4"/>
        <v>3.0211868860009018E-2</v>
      </c>
      <c r="P66" s="866">
        <f t="shared" si="4"/>
        <v>4.0587414086677188E-2</v>
      </c>
      <c r="Q66" s="866">
        <f t="shared" si="4"/>
        <v>4.6711929238572099E-2</v>
      </c>
      <c r="R66" s="866">
        <f t="shared" si="4"/>
        <v>6.1719908126301799E-2</v>
      </c>
      <c r="S66" s="866">
        <f t="shared" si="4"/>
        <v>6.39039914374534E-2</v>
      </c>
      <c r="T66" s="866">
        <f t="shared" si="4"/>
        <v>6.8482472436662001E-2</v>
      </c>
      <c r="U66" s="866">
        <f t="shared" si="4"/>
        <v>7.3144294689524686E-2</v>
      </c>
      <c r="V66" s="866">
        <f t="shared" si="4"/>
        <v>7.7841161598149577E-2</v>
      </c>
      <c r="W66" s="866">
        <f t="shared" si="4"/>
        <v>7.982582307750738E-2</v>
      </c>
      <c r="X66" s="866">
        <f t="shared" si="4"/>
        <v>8.0859050341680339E-2</v>
      </c>
      <c r="Y66" s="866">
        <f t="shared" si="4"/>
        <v>8.1737110459934662E-2</v>
      </c>
      <c r="Z66" s="866">
        <f t="shared" si="4"/>
        <v>8.2425538201379253E-2</v>
      </c>
      <c r="AA66" s="866">
        <f t="shared" si="4"/>
        <v>8.3109491862724122E-2</v>
      </c>
      <c r="AB66" s="866">
        <f t="shared" si="4"/>
        <v>8.3787941120848017E-2</v>
      </c>
      <c r="AC66" s="866">
        <f t="shared" si="4"/>
        <v>8.4766410064830724E-2</v>
      </c>
      <c r="AD66" s="866">
        <f t="shared" si="4"/>
        <v>8.5851047137419575E-2</v>
      </c>
      <c r="AE66" s="872">
        <f t="shared" si="4"/>
        <v>8.7074181312661966E-2</v>
      </c>
      <c r="AF66" s="939"/>
      <c r="AG66" s="939"/>
      <c r="AH66" s="567"/>
    </row>
    <row r="67" spans="1:34" s="301" customFormat="1">
      <c r="A67" s="561">
        <v>67</v>
      </c>
      <c r="C67" s="10"/>
      <c r="D67" s="29"/>
      <c r="E67" s="202" t="s">
        <v>66</v>
      </c>
      <c r="F67" s="866">
        <f>'MOD-Berechnungen'!F382</f>
        <v>0</v>
      </c>
      <c r="G67" s="866">
        <f>'MOD-Berechnungen'!G382</f>
        <v>-1.11629894236</v>
      </c>
      <c r="H67" s="866">
        <f>'MOD-Berechnungen'!H382</f>
        <v>-0.71124112144000007</v>
      </c>
      <c r="I67" s="866">
        <f>'MOD-Berechnungen'!I382</f>
        <v>-2.5889139132900003</v>
      </c>
      <c r="J67" s="866">
        <f>'MOD-Berechnungen'!J382</f>
        <v>-2.1969250054800002</v>
      </c>
      <c r="K67" s="866">
        <f>'MOD-Berechnungen'!K382</f>
        <v>1.38074493721</v>
      </c>
      <c r="L67" s="866">
        <f>'MOD-Berechnungen'!L382</f>
        <v>2.5211899999999998</v>
      </c>
      <c r="M67" s="866">
        <f>'MOD-Berechnungen'!M382</f>
        <v>1.9478101488699999</v>
      </c>
      <c r="N67" s="866">
        <f>'MOD-Berechnungen'!N382</f>
        <v>3.3292301430700002</v>
      </c>
      <c r="O67" s="866">
        <f>'MOD-Berechnungen'!O382</f>
        <v>3.6518353547200002</v>
      </c>
      <c r="P67" s="866">
        <f>'MOD-Berechnungen'!P382</f>
        <v>2.19040541733</v>
      </c>
      <c r="Q67" s="866">
        <f>'MOD-Berechnungen'!Q382</f>
        <v>-4.0803942770500008</v>
      </c>
      <c r="R67" s="866">
        <f>'MOD-Berechnungen'!R382</f>
        <v>4.5469536436400002</v>
      </c>
      <c r="S67" s="866">
        <f ca="1">'MOD-Berechnungen'!S382</f>
        <v>5.9271580274705027</v>
      </c>
      <c r="T67" s="866">
        <f ca="1">'MOD-Berechnungen'!T382</f>
        <v>0.95430437784443045</v>
      </c>
      <c r="U67" s="866">
        <f ca="1">'MOD-Berechnungen'!U382</f>
        <v>1.1129456502224246</v>
      </c>
      <c r="V67" s="866">
        <f ca="1">'MOD-Berechnungen'!V382</f>
        <v>1.1199774027065672</v>
      </c>
      <c r="W67" s="866">
        <f ca="1">'MOD-Berechnungen'!W382</f>
        <v>1.0517063424533397</v>
      </c>
      <c r="X67" s="866">
        <f ca="1">'MOD-Berechnungen'!X382</f>
        <v>0.96581973162824397</v>
      </c>
      <c r="Y67" s="866">
        <f ca="1">'MOD-Berechnungen'!Y382</f>
        <v>0.91099733785289949</v>
      </c>
      <c r="Z67" s="866">
        <f ca="1">'MOD-Berechnungen'!Z382</f>
        <v>0.85278811952497868</v>
      </c>
      <c r="AA67" s="866">
        <f ca="1">'MOD-Berechnungen'!AA382</f>
        <v>0.75983435492289253</v>
      </c>
      <c r="AB67" s="866">
        <f ca="1">'MOD-Berechnungen'!AB382</f>
        <v>0.6203188471730563</v>
      </c>
      <c r="AC67" s="866">
        <f ca="1">'MOD-Berechnungen'!AC382</f>
        <v>0.49600764038065392</v>
      </c>
      <c r="AD67" s="866">
        <f ca="1">'MOD-Berechnungen'!AD382</f>
        <v>0.44296174772581765</v>
      </c>
      <c r="AE67" s="872">
        <f ca="1">'MOD-Berechnungen'!AE382</f>
        <v>0.44188094067101513</v>
      </c>
      <c r="AF67" s="939"/>
      <c r="AG67" s="939"/>
      <c r="AH67" s="567"/>
    </row>
    <row r="68" spans="1:34" s="301" customFormat="1">
      <c r="A68" s="561">
        <v>68</v>
      </c>
      <c r="C68" s="10"/>
      <c r="D68" s="29"/>
      <c r="AF68" s="939" t="s">
        <v>468</v>
      </c>
      <c r="AG68" s="939" t="s">
        <v>468</v>
      </c>
      <c r="AH68" s="567"/>
    </row>
    <row r="69" spans="1:34" s="301" customFormat="1">
      <c r="A69" s="561">
        <v>69</v>
      </c>
      <c r="C69" s="10"/>
      <c r="D69" s="29"/>
      <c r="E69" s="590" t="s">
        <v>470</v>
      </c>
      <c r="AF69" s="939" t="s">
        <v>468</v>
      </c>
      <c r="AG69" s="939" t="s">
        <v>468</v>
      </c>
      <c r="AH69" s="956" t="s">
        <v>472</v>
      </c>
    </row>
    <row r="70" spans="1:34" s="301" customFormat="1">
      <c r="A70" s="561">
        <v>70</v>
      </c>
      <c r="C70" s="10"/>
      <c r="D70" s="29"/>
      <c r="E70" s="200" t="s">
        <v>166</v>
      </c>
      <c r="F70" s="864">
        <f>F52/'MOD-Berechnungen'!F$26</f>
        <v>2.4251268658849647</v>
      </c>
      <c r="G70" s="864">
        <f>G52/'MOD-Berechnungen'!G$26</f>
        <v>4.0960531508444449</v>
      </c>
      <c r="H70" s="864">
        <f>H52/'MOD-Berechnungen'!H$26</f>
        <v>4.0862697655483107</v>
      </c>
      <c r="I70" s="864">
        <f>I52/'MOD-Berechnungen'!I$26</f>
        <v>5.9202472601832774</v>
      </c>
      <c r="J70" s="864">
        <f>J52/'MOD-Berechnungen'!J$26</f>
        <v>6.9313202827783655</v>
      </c>
      <c r="K70" s="864">
        <f>K52/'MOD-Berechnungen'!K$26</f>
        <v>6.8189932459714511</v>
      </c>
      <c r="L70" s="864">
        <f>L52/'MOD-Berechnungen'!L$26</f>
        <v>6.9705957361134576</v>
      </c>
      <c r="M70" s="864">
        <f>M52/'MOD-Berechnungen'!M$26</f>
        <v>7.4331288736835921</v>
      </c>
      <c r="N70" s="864">
        <f>N52/'MOD-Berechnungen'!N$26</f>
        <v>7.2150370302530984</v>
      </c>
      <c r="O70" s="864">
        <f>O52/'MOD-Berechnungen'!O$26</f>
        <v>6.724714581126821</v>
      </c>
      <c r="P70" s="864">
        <f>P52/'MOD-Berechnungen'!P$26</f>
        <v>7.0584132122247789</v>
      </c>
      <c r="Q70" s="864">
        <f>Q52/'MOD-Berechnungen'!Q$26</f>
        <v>6.6011695941726733</v>
      </c>
      <c r="R70" s="864">
        <f>R52/'MOD-Berechnungen'!R$26</f>
        <v>3.7230827721473405</v>
      </c>
      <c r="S70" s="864">
        <f ca="1">S52/'MOD-Berechnungen'!S$26</f>
        <v>2.1943196417701674</v>
      </c>
      <c r="T70" s="864">
        <f ca="1">T52/'MOD-Berechnungen'!T$26</f>
        <v>3.880431312467854</v>
      </c>
      <c r="U70" s="864">
        <f ca="1">U52/'MOD-Berechnungen'!U$26</f>
        <v>3.3784353017210029</v>
      </c>
      <c r="V70" s="864">
        <f ca="1">V52/'MOD-Berechnungen'!V$26</f>
        <v>3.1522288841580344</v>
      </c>
      <c r="W70" s="864">
        <f ca="1">W52/'MOD-Berechnungen'!W$26</f>
        <v>2.5506080050163296</v>
      </c>
      <c r="X70" s="864">
        <f ca="1">X52/'MOD-Berechnungen'!X$26</f>
        <v>2.1612362032440382</v>
      </c>
      <c r="Y70" s="864">
        <f ca="1">Y52/'MOD-Berechnungen'!Y$26</f>
        <v>1.7993877700161913</v>
      </c>
      <c r="Z70" s="864">
        <f ca="1">Z52/'MOD-Berechnungen'!Z$26</f>
        <v>1.3546966586589582</v>
      </c>
      <c r="AA70" s="864">
        <f ca="1">AA52/'MOD-Berechnungen'!AA$26</f>
        <v>0.81102980712285822</v>
      </c>
      <c r="AB70" s="864">
        <f ca="1">AB52/'MOD-Berechnungen'!AB$26</f>
        <v>0.38859892005062924</v>
      </c>
      <c r="AC70" s="864">
        <f ca="1">AC52/'MOD-Berechnungen'!AC$26</f>
        <v>0.22708533938770503</v>
      </c>
      <c r="AD70" s="864">
        <f ca="1">AD52/'MOD-Berechnungen'!AD$26</f>
        <v>0.21974736638426007</v>
      </c>
      <c r="AE70" s="868">
        <f ca="1">AE52/'MOD-Berechnungen'!AE$26</f>
        <v>0.2829459049289903</v>
      </c>
      <c r="AF70" s="939" t="s">
        <v>468</v>
      </c>
      <c r="AG70" s="939" t="s">
        <v>468</v>
      </c>
      <c r="AH70" s="567"/>
    </row>
    <row r="71" spans="1:34" s="301" customFormat="1">
      <c r="A71" s="561">
        <v>71</v>
      </c>
      <c r="C71" s="10"/>
      <c r="D71" s="29"/>
      <c r="E71" s="201" t="s">
        <v>157</v>
      </c>
      <c r="F71" s="865">
        <f>F53/'MOD-Berechnungen'!F$26</f>
        <v>0.14440409852582661</v>
      </c>
      <c r="G71" s="865">
        <f>G53/'MOD-Berechnungen'!G$26</f>
        <v>6.6863202309191364E-2</v>
      </c>
      <c r="H71" s="865">
        <f>H53/'MOD-Berechnungen'!H$26</f>
        <v>0.16616791627321584</v>
      </c>
      <c r="I71" s="865">
        <f>I53/'MOD-Berechnungen'!I$26</f>
        <v>0.21867520524546724</v>
      </c>
      <c r="J71" s="865">
        <f>J53/'MOD-Berechnungen'!J$26</f>
        <v>0.31620758930242615</v>
      </c>
      <c r="K71" s="865">
        <f>K53/'MOD-Berechnungen'!K$26</f>
        <v>0.37445993616482603</v>
      </c>
      <c r="L71" s="865">
        <f>L53/'MOD-Berechnungen'!L$26</f>
        <v>0.42571564619299102</v>
      </c>
      <c r="M71" s="865">
        <f>M53/'MOD-Berechnungen'!M$26</f>
        <v>0.45945878068205082</v>
      </c>
      <c r="N71" s="865">
        <f>N53/'MOD-Berechnungen'!N$26</f>
        <v>0.35781363566425889</v>
      </c>
      <c r="O71" s="865">
        <f>O53/'MOD-Berechnungen'!O$26</f>
        <v>0.32123055796573957</v>
      </c>
      <c r="P71" s="865">
        <f>P53/'MOD-Berechnungen'!P$26</f>
        <v>0.27766829815360639</v>
      </c>
      <c r="Q71" s="865">
        <f>Q53/'MOD-Berechnungen'!Q$26</f>
        <v>0.33707458935219992</v>
      </c>
      <c r="R71" s="865">
        <f>R53/'MOD-Berechnungen'!R$26</f>
        <v>0.15405119179999999</v>
      </c>
      <c r="S71" s="865">
        <f>S53/'MOD-Berechnungen'!S$26</f>
        <v>7.1774273798425242E-2</v>
      </c>
      <c r="T71" s="865">
        <f>T53/'MOD-Berechnungen'!T$26</f>
        <v>0.18722976561265695</v>
      </c>
      <c r="U71" s="865">
        <f>U53/'MOD-Berechnungen'!U$26</f>
        <v>0.19284299844216485</v>
      </c>
      <c r="V71" s="865">
        <f>V53/'MOD-Berechnungen'!V$26</f>
        <v>0.19868134098542942</v>
      </c>
      <c r="W71" s="865">
        <f>W53/'MOD-Berechnungen'!W$26</f>
        <v>0.19903275816396393</v>
      </c>
      <c r="X71" s="865">
        <f>X53/'MOD-Berechnungen'!X$26</f>
        <v>0.20282396442517314</v>
      </c>
      <c r="Y71" s="865">
        <f>Y53/'MOD-Berechnungen'!Y$26</f>
        <v>0.20605424836009348</v>
      </c>
      <c r="Z71" s="865">
        <f>Z53/'MOD-Berechnungen'!Z$26</f>
        <v>0.19169979997112355</v>
      </c>
      <c r="AA71" s="865">
        <f>AA53/'MOD-Berechnungen'!AA$26</f>
        <v>0.18856232208549845</v>
      </c>
      <c r="AB71" s="865">
        <f>AB53/'MOD-Berechnungen'!AB$26</f>
        <v>0.1823635204805702</v>
      </c>
      <c r="AC71" s="865">
        <f>AC53/'MOD-Berechnungen'!AC$26</f>
        <v>0.17765168367692477</v>
      </c>
      <c r="AD71" s="865">
        <f>AD53/'MOD-Berechnungen'!AD$26</f>
        <v>0.17442641186353847</v>
      </c>
      <c r="AE71" s="870">
        <f>AE53/'MOD-Berechnungen'!AE$26</f>
        <v>0.17483209816039483</v>
      </c>
      <c r="AF71" s="939" t="s">
        <v>468</v>
      </c>
      <c r="AG71" s="939" t="s">
        <v>468</v>
      </c>
      <c r="AH71" s="567"/>
    </row>
    <row r="72" spans="1:34" s="301" customFormat="1">
      <c r="A72" s="561">
        <v>72</v>
      </c>
      <c r="C72" s="10"/>
      <c r="D72" s="29"/>
      <c r="E72" s="201" t="s">
        <v>158</v>
      </c>
      <c r="F72" s="865">
        <f>F54/'MOD-Berechnungen'!F$26</f>
        <v>3.6825935545483177E-2</v>
      </c>
      <c r="G72" s="865">
        <f>G54/'MOD-Berechnungen'!G$26</f>
        <v>4.5985386455251282E-3</v>
      </c>
      <c r="H72" s="865">
        <f>H54/'MOD-Berechnungen'!H$26</f>
        <v>1.4103509026820817E-2</v>
      </c>
      <c r="I72" s="865">
        <f>I54/'MOD-Berechnungen'!I$26</f>
        <v>3.8606936929684484E-2</v>
      </c>
      <c r="J72" s="865">
        <f>J54/'MOD-Berechnungen'!J$26</f>
        <v>3.4309639292571366E-2</v>
      </c>
      <c r="K72" s="865">
        <f>K54/'MOD-Berechnungen'!K$26</f>
        <v>6.3974321880001073E-2</v>
      </c>
      <c r="L72" s="865">
        <f>L54/'MOD-Berechnungen'!L$26</f>
        <v>6.9025104655920211E-2</v>
      </c>
      <c r="M72" s="865">
        <f>M54/'MOD-Berechnungen'!M$26</f>
        <v>6.3972274952208252E-2</v>
      </c>
      <c r="N72" s="865">
        <f>N54/'MOD-Berechnungen'!N$26</f>
        <v>5.2885492871641536E-2</v>
      </c>
      <c r="O72" s="865">
        <f>O54/'MOD-Berechnungen'!O$26</f>
        <v>3.8778383228662769E-2</v>
      </c>
      <c r="P72" s="865">
        <f>P54/'MOD-Berechnungen'!P$26</f>
        <v>2.4353623431517792E-2</v>
      </c>
      <c r="Q72" s="865">
        <f>Q54/'MOD-Berechnungen'!Q$26</f>
        <v>3.0718351038899996E-2</v>
      </c>
      <c r="R72" s="865">
        <f>R54/'MOD-Berechnungen'!R$26</f>
        <v>5.5437765999999944E-3</v>
      </c>
      <c r="S72" s="865">
        <f>S54/'MOD-Berechnungen'!S$26</f>
        <v>0</v>
      </c>
      <c r="T72" s="865">
        <f>T54/'MOD-Berechnungen'!T$26</f>
        <v>1.2200235766892859E-3</v>
      </c>
      <c r="U72" s="865">
        <f>U54/'MOD-Berechnungen'!U$26</f>
        <v>1.8157146636655777E-3</v>
      </c>
      <c r="V72" s="865">
        <f>V54/'MOD-Berechnungen'!V$26</f>
        <v>1.8084067862763988E-3</v>
      </c>
      <c r="W72" s="865">
        <f>W54/'MOD-Berechnungen'!W$26</f>
        <v>1.7256284499159206E-3</v>
      </c>
      <c r="X72" s="865">
        <f>X54/'MOD-Berechnungen'!X$26</f>
        <v>1.7312507036541115E-3</v>
      </c>
      <c r="Y72" s="865">
        <f>Y54/'MOD-Berechnungen'!Y$26</f>
        <v>1.7315055995315511E-3</v>
      </c>
      <c r="Z72" s="865">
        <f>Z54/'MOD-Berechnungen'!Z$26</f>
        <v>1.4845672464590086E-3</v>
      </c>
      <c r="AA72" s="865">
        <f>AA54/'MOD-Berechnungen'!AA$26</f>
        <v>1.2966068163011003E-3</v>
      </c>
      <c r="AB72" s="865">
        <f>AB54/'MOD-Berechnungen'!AB$26</f>
        <v>1.403680281113125E-3</v>
      </c>
      <c r="AC72" s="865">
        <f>AC54/'MOD-Berechnungen'!AC$26</f>
        <v>1.3353121683476502E-3</v>
      </c>
      <c r="AD72" s="865">
        <f>AD54/'MOD-Berechnungen'!AD$26</f>
        <v>1.2906037082952974E-3</v>
      </c>
      <c r="AE72" s="870">
        <f>AE54/'MOD-Berechnungen'!AE$26</f>
        <v>1.231001740417537E-3</v>
      </c>
      <c r="AF72" s="939" t="s">
        <v>468</v>
      </c>
      <c r="AG72" s="939" t="s">
        <v>468</v>
      </c>
      <c r="AH72" s="567"/>
    </row>
    <row r="73" spans="1:34" s="301" customFormat="1">
      <c r="A73" s="561">
        <v>73</v>
      </c>
      <c r="C73" s="10"/>
      <c r="D73" s="29"/>
      <c r="E73" s="201" t="s">
        <v>159</v>
      </c>
      <c r="F73" s="865">
        <f>F55/'MOD-Berechnungen'!F$26</f>
        <v>3.0114298662414996</v>
      </c>
      <c r="G73" s="865">
        <f>G55/'MOD-Berechnungen'!G$26</f>
        <v>3.499715848788576</v>
      </c>
      <c r="H73" s="865">
        <f>H55/'MOD-Berechnungen'!H$26</f>
        <v>3.9279612775890831</v>
      </c>
      <c r="I73" s="865">
        <f>I55/'MOD-Berechnungen'!I$26</f>
        <v>4.884715250907095</v>
      </c>
      <c r="J73" s="865">
        <f>J55/'MOD-Berechnungen'!J$26</f>
        <v>5.5449363342649134</v>
      </c>
      <c r="K73" s="865">
        <f>K55/'MOD-Berechnungen'!K$26</f>
        <v>6.3908861666282801</v>
      </c>
      <c r="L73" s="865">
        <f>L55/'MOD-Berechnungen'!L$26</f>
        <v>6.8935204779164989</v>
      </c>
      <c r="M73" s="865">
        <f>M55/'MOD-Berechnungen'!M$26</f>
        <v>7.1428366931976406</v>
      </c>
      <c r="N73" s="865">
        <f>N55/'MOD-Berechnungen'!N$26</f>
        <v>7.05576213814724</v>
      </c>
      <c r="O73" s="865">
        <f>O55/'MOD-Berechnungen'!O$26</f>
        <v>6.6981709706607706</v>
      </c>
      <c r="P73" s="865">
        <f>P55/'MOD-Berechnungen'!P$26</f>
        <v>6.4011566208791324</v>
      </c>
      <c r="Q73" s="865">
        <f>Q55/'MOD-Berechnungen'!Q$26</f>
        <v>6.592877942897398</v>
      </c>
      <c r="R73" s="865">
        <f>R55/'MOD-Berechnungen'!R$26</f>
        <v>4.9186771040000004</v>
      </c>
      <c r="S73" s="865">
        <f>S55/'MOD-Berechnungen'!S$26</f>
        <v>4.3565169507552319</v>
      </c>
      <c r="T73" s="865">
        <f>T55/'MOD-Berechnungen'!T$26</f>
        <v>4.9616711790518675</v>
      </c>
      <c r="U73" s="865">
        <f>U55/'MOD-Berechnungen'!U$26</f>
        <v>4.7826174834325546</v>
      </c>
      <c r="V73" s="865">
        <f>V55/'MOD-Berechnungen'!V$26</f>
        <v>4.3704273049136031</v>
      </c>
      <c r="W73" s="865">
        <f>W55/'MOD-Berechnungen'!W$26</f>
        <v>3.8288468373116942</v>
      </c>
      <c r="X73" s="865">
        <f>X55/'MOD-Berechnungen'!X$26</f>
        <v>3.4108315983057249</v>
      </c>
      <c r="Y73" s="865">
        <f>Y55/'MOD-Berechnungen'!Y$26</f>
        <v>3.2022112365320416</v>
      </c>
      <c r="Z73" s="865">
        <f>Z55/'MOD-Berechnungen'!Z$26</f>
        <v>2.9074248814766412</v>
      </c>
      <c r="AA73" s="865">
        <f>AA55/'MOD-Berechnungen'!AA$26</f>
        <v>2.4597445676114056</v>
      </c>
      <c r="AB73" s="865">
        <f>AB55/'MOD-Berechnungen'!AB$26</f>
        <v>1.733265206935209</v>
      </c>
      <c r="AC73" s="865">
        <f>AC55/'MOD-Berechnungen'!AC$26</f>
        <v>1.5491927825598266</v>
      </c>
      <c r="AD73" s="865">
        <f>AD55/'MOD-Berechnungen'!AD$26</f>
        <v>1.4171481750856039</v>
      </c>
      <c r="AE73" s="870">
        <f>AE55/'MOD-Berechnungen'!AE$26</f>
        <v>1.322582320507742</v>
      </c>
      <c r="AF73" s="939" t="s">
        <v>468</v>
      </c>
      <c r="AG73" s="939" t="s">
        <v>468</v>
      </c>
      <c r="AH73" s="567"/>
    </row>
    <row r="74" spans="1:34" s="301" customFormat="1">
      <c r="A74" s="561">
        <v>74</v>
      </c>
      <c r="C74" s="10"/>
      <c r="D74" s="29"/>
      <c r="E74" s="201" t="s">
        <v>160</v>
      </c>
      <c r="F74" s="865">
        <f>F56/'MOD-Berechnungen'!F$26</f>
        <v>4.1093078362561533E-3</v>
      </c>
      <c r="G74" s="865">
        <f>G56/'MOD-Berechnungen'!G$26</f>
        <v>1.1562031557022191E-2</v>
      </c>
      <c r="H74" s="865">
        <f>H56/'MOD-Berechnungen'!H$26</f>
        <v>2.0257855164592546E-2</v>
      </c>
      <c r="I74" s="865">
        <f>I56/'MOD-Berechnungen'!I$26</f>
        <v>1.5921476507745631E-2</v>
      </c>
      <c r="J74" s="865">
        <f>J56/'MOD-Berechnungen'!J$26</f>
        <v>2.924314457861206E-2</v>
      </c>
      <c r="K74" s="865">
        <f>K56/'MOD-Berechnungen'!K$26</f>
        <v>3.6877424461943316E-2</v>
      </c>
      <c r="L74" s="865">
        <f>L56/'MOD-Berechnungen'!L$26</f>
        <v>4.2173979156715904E-2</v>
      </c>
      <c r="M74" s="865">
        <f>M56/'MOD-Berechnungen'!M$26</f>
        <v>4.5311384295359865E-2</v>
      </c>
      <c r="N74" s="865">
        <f>N56/'MOD-Berechnungen'!N$26</f>
        <v>4.6001767040451773E-2</v>
      </c>
      <c r="O74" s="865">
        <f>O56/'MOD-Berechnungen'!O$26</f>
        <v>5.0403522273094033E-2</v>
      </c>
      <c r="P74" s="865">
        <f>P56/'MOD-Berechnungen'!P$26</f>
        <v>3.6092099961203994E-2</v>
      </c>
      <c r="Q74" s="865">
        <f>Q56/'MOD-Berechnungen'!Q$26</f>
        <v>4.6417794965499991E-2</v>
      </c>
      <c r="R74" s="865">
        <f>R56/'MOD-Berechnungen'!R$26</f>
        <v>6.4352222000000014E-2</v>
      </c>
      <c r="S74" s="865">
        <f>S56/'MOD-Berechnungen'!S$26</f>
        <v>7.2699160590981346E-2</v>
      </c>
      <c r="T74" s="865">
        <f>T56/'MOD-Berechnungen'!T$26</f>
        <v>9.8602346519025191E-2</v>
      </c>
      <c r="U74" s="865">
        <f>U56/'MOD-Berechnungen'!U$26</f>
        <v>0.11707067744365172</v>
      </c>
      <c r="V74" s="865">
        <f>V56/'MOD-Berechnungen'!V$26</f>
        <v>0.13534913466083207</v>
      </c>
      <c r="W74" s="865">
        <f>W56/'MOD-Berechnungen'!W$26</f>
        <v>0.1450794840956908</v>
      </c>
      <c r="X74" s="865">
        <f>X56/'MOD-Berechnungen'!X$26</f>
        <v>0.14740887774926342</v>
      </c>
      <c r="Y74" s="865">
        <f>Y56/'MOD-Berechnungen'!Y$26</f>
        <v>0.14929704689804277</v>
      </c>
      <c r="Z74" s="865">
        <f>Z56/'MOD-Berechnungen'!Z$26</f>
        <v>0.14911124861358638</v>
      </c>
      <c r="AA74" s="865">
        <f>AA56/'MOD-Berechnungen'!AA$26</f>
        <v>0.15002751723836036</v>
      </c>
      <c r="AB74" s="865">
        <f>AB56/'MOD-Berechnungen'!AB$26</f>
        <v>0.15111196667646348</v>
      </c>
      <c r="AC74" s="865">
        <f>AC56/'MOD-Berechnungen'!AC$26</f>
        <v>0.14248758110759999</v>
      </c>
      <c r="AD74" s="865">
        <f>AD56/'MOD-Berechnungen'!AD$26</f>
        <v>0.13330346218543043</v>
      </c>
      <c r="AE74" s="870">
        <f>AE56/'MOD-Berechnungen'!AE$26</f>
        <v>0.13138265154207257</v>
      </c>
      <c r="AF74" s="939" t="s">
        <v>468</v>
      </c>
      <c r="AG74" s="939" t="s">
        <v>468</v>
      </c>
      <c r="AH74" s="567"/>
    </row>
    <row r="75" spans="1:34" s="301" customFormat="1">
      <c r="A75" s="561">
        <v>75</v>
      </c>
      <c r="C75" s="10"/>
      <c r="D75" s="29"/>
      <c r="E75" s="201" t="s">
        <v>161</v>
      </c>
      <c r="F75" s="865">
        <f>F57/'MOD-Berechnungen'!F$26</f>
        <v>2.4513378585604295</v>
      </c>
      <c r="G75" s="865">
        <f>G57/'MOD-Berechnungen'!G$26</f>
        <v>2.7626565925587476</v>
      </c>
      <c r="H75" s="865">
        <f>H57/'MOD-Berechnungen'!H$26</f>
        <v>2.1896048745852328</v>
      </c>
      <c r="I75" s="865">
        <f>I57/'MOD-Berechnungen'!I$26</f>
        <v>3.2099002167682058</v>
      </c>
      <c r="J75" s="865">
        <f>J57/'MOD-Berechnungen'!J$26</f>
        <v>4.4060956777471194</v>
      </c>
      <c r="K75" s="865">
        <f>K57/'MOD-Berechnungen'!K$26</f>
        <v>4.5603913751442349</v>
      </c>
      <c r="L75" s="865">
        <f>L57/'MOD-Berechnungen'!L$26</f>
        <v>5.3247645170876092</v>
      </c>
      <c r="M75" s="865">
        <f>M57/'MOD-Berechnungen'!M$26</f>
        <v>5.7217617543571331</v>
      </c>
      <c r="N75" s="865">
        <f>N57/'MOD-Berechnungen'!N$26</f>
        <v>5.9364406732089083</v>
      </c>
      <c r="O75" s="865">
        <f>O57/'MOD-Berechnungen'!O$26</f>
        <v>5.9214918322358043</v>
      </c>
      <c r="P75" s="865">
        <f>P57/'MOD-Berechnungen'!P$26</f>
        <v>5.0272570467401794</v>
      </c>
      <c r="Q75" s="865">
        <f>Q57/'MOD-Berechnungen'!Q$26</f>
        <v>5.7764749139148295</v>
      </c>
      <c r="R75" s="865">
        <f>R57/'MOD-Berechnungen'!R$26</f>
        <v>2.5635095979447229</v>
      </c>
      <c r="S75" s="865">
        <f>S57/'MOD-Berechnungen'!S$26</f>
        <v>0.97453592067161288</v>
      </c>
      <c r="T75" s="865">
        <f>T57/'MOD-Berechnungen'!T$26</f>
        <v>1.7102737925440878</v>
      </c>
      <c r="U75" s="865">
        <f>U57/'MOD-Berechnungen'!U$26</f>
        <v>2.0084655598689567</v>
      </c>
      <c r="V75" s="865">
        <f>V57/'MOD-Berechnungen'!V$26</f>
        <v>1.8304287024618449</v>
      </c>
      <c r="W75" s="865">
        <f>W57/'MOD-Berechnungen'!W$26</f>
        <v>1.914325042299019</v>
      </c>
      <c r="X75" s="865">
        <f>X57/'MOD-Berechnungen'!X$26</f>
        <v>1.8800337156181606</v>
      </c>
      <c r="Y75" s="865">
        <f>Y57/'MOD-Berechnungen'!Y$26</f>
        <v>1.93526509051443</v>
      </c>
      <c r="Z75" s="865">
        <f>Z57/'MOD-Berechnungen'!Z$26</f>
        <v>1.9454802206198523</v>
      </c>
      <c r="AA75" s="865">
        <f>AA57/'MOD-Berechnungen'!AA$26</f>
        <v>1.9250256125690648</v>
      </c>
      <c r="AB75" s="865">
        <f>AB57/'MOD-Berechnungen'!AB$26</f>
        <v>1.878834650505977</v>
      </c>
      <c r="AC75" s="865">
        <f>AC57/'MOD-Berechnungen'!AC$26</f>
        <v>1.7384725258381706</v>
      </c>
      <c r="AD75" s="865">
        <f>AD57/'MOD-Berechnungen'!AD$26</f>
        <v>1.9222025543429717</v>
      </c>
      <c r="AE75" s="870">
        <f>AE57/'MOD-Berechnungen'!AE$26</f>
        <v>2.3133171168931268</v>
      </c>
      <c r="AF75" s="939" t="s">
        <v>468</v>
      </c>
      <c r="AG75" s="939" t="s">
        <v>468</v>
      </c>
      <c r="AH75" s="567"/>
    </row>
    <row r="76" spans="1:34" s="301" customFormat="1">
      <c r="A76" s="561">
        <v>76</v>
      </c>
      <c r="C76" s="10"/>
      <c r="D76" s="29"/>
      <c r="E76" s="201" t="s">
        <v>162</v>
      </c>
      <c r="F76" s="865">
        <f>F58/'MOD-Berechnungen'!F$26</f>
        <v>8.1823051828375987E-2</v>
      </c>
      <c r="G76" s="865">
        <f>G58/'MOD-Berechnungen'!G$26</f>
        <v>0.14423820209820809</v>
      </c>
      <c r="H76" s="865">
        <f>H58/'MOD-Berechnungen'!H$26</f>
        <v>0.15987641528754054</v>
      </c>
      <c r="I76" s="865">
        <f>I58/'MOD-Berechnungen'!I$26</f>
        <v>0.38641395416414226</v>
      </c>
      <c r="J76" s="865">
        <f>J58/'MOD-Berechnungen'!J$26</f>
        <v>1.2577938501427963</v>
      </c>
      <c r="K76" s="865">
        <f>K58/'MOD-Berechnungen'!K$26</f>
        <v>1.8480040482368028</v>
      </c>
      <c r="L76" s="865">
        <f>L58/'MOD-Berechnungen'!L$26</f>
        <v>2.5862812877890491</v>
      </c>
      <c r="M76" s="865">
        <f>M58/'MOD-Berechnungen'!M$26</f>
        <v>3.4098973619595907</v>
      </c>
      <c r="N76" s="865">
        <f>N58/'MOD-Berechnungen'!N$26</f>
        <v>3.781725567261665</v>
      </c>
      <c r="O76" s="865">
        <f>O58/'MOD-Berechnungen'!O$26</f>
        <v>4.1906092950408826</v>
      </c>
      <c r="P76" s="865">
        <f>P58/'MOD-Berechnungen'!P$26</f>
        <v>4.5560214331613089</v>
      </c>
      <c r="Q76" s="865">
        <f>Q58/'MOD-Berechnungen'!Q$26</f>
        <v>4.64410925447</v>
      </c>
      <c r="R76" s="865">
        <f>R58/'MOD-Berechnungen'!R$26</f>
        <v>3.6909425960000002</v>
      </c>
      <c r="S76" s="865">
        <f>S58/'MOD-Berechnungen'!S$26</f>
        <v>2.1348495790489181</v>
      </c>
      <c r="T76" s="865">
        <f>T58/'MOD-Berechnungen'!T$26</f>
        <v>2.174387530164688</v>
      </c>
      <c r="U76" s="865">
        <f>U58/'MOD-Berechnungen'!U$26</f>
        <v>1.9713100972081268</v>
      </c>
      <c r="V76" s="865">
        <f>V58/'MOD-Berechnungen'!V$26</f>
        <v>1.4124337450720261</v>
      </c>
      <c r="W76" s="865">
        <f>W58/'MOD-Berechnungen'!W$26</f>
        <v>0.53976676621769804</v>
      </c>
      <c r="X76" s="865">
        <f>X58/'MOD-Berechnungen'!X$26</f>
        <v>0.30969469756350598</v>
      </c>
      <c r="Y76" s="865">
        <f>Y58/'MOD-Berechnungen'!Y$26</f>
        <v>0</v>
      </c>
      <c r="Z76" s="865">
        <f>Z58/'MOD-Berechnungen'!Z$26</f>
        <v>4.5007748477178207E-2</v>
      </c>
      <c r="AA76" s="865">
        <f>AA58/'MOD-Berechnungen'!AA$26</f>
        <v>0.17495277263914361</v>
      </c>
      <c r="AB76" s="865">
        <f>AB58/'MOD-Berechnungen'!AB$26</f>
        <v>0.35133761983815343</v>
      </c>
      <c r="AC76" s="865">
        <f>AC58/'MOD-Berechnungen'!AC$26</f>
        <v>0.52943825907002817</v>
      </c>
      <c r="AD76" s="865">
        <f>AD58/'MOD-Berechnungen'!AD$26</f>
        <v>0.44722137581708377</v>
      </c>
      <c r="AE76" s="870">
        <f>AE58/'MOD-Berechnungen'!AE$26</f>
        <v>0.53131779048858663</v>
      </c>
      <c r="AF76" s="939" t="s">
        <v>468</v>
      </c>
      <c r="AG76" s="939" t="s">
        <v>468</v>
      </c>
      <c r="AH76" s="567"/>
    </row>
    <row r="77" spans="1:34" s="301" customFormat="1">
      <c r="A77" s="561">
        <v>77</v>
      </c>
      <c r="C77" s="10"/>
      <c r="D77" s="29"/>
      <c r="E77" s="201" t="s">
        <v>163</v>
      </c>
      <c r="F77" s="865">
        <f>F59/'MOD-Berechnungen'!F$26</f>
        <v>3.9670546349749856</v>
      </c>
      <c r="G77" s="865">
        <f>G59/'MOD-Berechnungen'!G$26</f>
        <v>7.936199767484319</v>
      </c>
      <c r="H77" s="865">
        <f>H59/'MOD-Berechnungen'!H$26</f>
        <v>8.4545715281138065</v>
      </c>
      <c r="I77" s="865">
        <f>I59/'MOD-Berechnungen'!I$26</f>
        <v>9.7379949301273534</v>
      </c>
      <c r="J77" s="865">
        <f>J59/'MOD-Berechnungen'!J$26</f>
        <v>10.344804147311823</v>
      </c>
      <c r="K77" s="865">
        <f>K59/'MOD-Berechnungen'!K$26</f>
        <v>10.908312171380457</v>
      </c>
      <c r="L77" s="865">
        <f>L59/'MOD-Berechnungen'!L$26</f>
        <v>10.64043066789209</v>
      </c>
      <c r="M77" s="865">
        <f>M59/'MOD-Berechnungen'!M$26</f>
        <v>10.178466431984999</v>
      </c>
      <c r="N77" s="865">
        <f>N59/'MOD-Berechnungen'!N$26</f>
        <v>10.229662199843142</v>
      </c>
      <c r="O77" s="865">
        <f>O59/'MOD-Berechnungen'!O$26</f>
        <v>9.3951882382166083</v>
      </c>
      <c r="P77" s="865">
        <f>P59/'MOD-Berechnungen'!P$26</f>
        <v>9.3729576414722562</v>
      </c>
      <c r="Q77" s="865">
        <f>Q59/'MOD-Berechnungen'!Q$26</f>
        <v>9.7227153512400708</v>
      </c>
      <c r="R77" s="865">
        <f>R59/'MOD-Berechnungen'!R$26</f>
        <v>8.7942608065317263</v>
      </c>
      <c r="S77" s="865">
        <f>S59/'MOD-Berechnungen'!S$26</f>
        <v>8.3026153496130561</v>
      </c>
      <c r="T77" s="865">
        <f>T59/'MOD-Berechnungen'!T$26</f>
        <v>9.1152296763065053</v>
      </c>
      <c r="U77" s="865">
        <f>U59/'MOD-Berechnungen'!U$26</f>
        <v>9.0090079575427637</v>
      </c>
      <c r="V77" s="865">
        <f>V59/'MOD-Berechnungen'!V$26</f>
        <v>8.7835483845549618</v>
      </c>
      <c r="W77" s="865">
        <f>W59/'MOD-Berechnungen'!W$26</f>
        <v>8.5089909114186764</v>
      </c>
      <c r="X77" s="865">
        <f>X59/'MOD-Berechnungen'!X$26</f>
        <v>8.1121083435064847</v>
      </c>
      <c r="Y77" s="865">
        <f>Y59/'MOD-Berechnungen'!Y$26</f>
        <v>7.4839972949292859</v>
      </c>
      <c r="Z77" s="865">
        <f>Z59/'MOD-Berechnungen'!Z$26</f>
        <v>6.1599863448087584</v>
      </c>
      <c r="AA77" s="865">
        <f>AA59/'MOD-Berechnungen'!AA$26</f>
        <v>4.28128532279199</v>
      </c>
      <c r="AB77" s="865">
        <f>AB59/'MOD-Berechnungen'!AB$26</f>
        <v>2.930204375588878</v>
      </c>
      <c r="AC77" s="865">
        <f>AC59/'MOD-Berechnungen'!AC$26</f>
        <v>2.2266819765091133</v>
      </c>
      <c r="AD77" s="865">
        <f>AD59/'MOD-Berechnungen'!AD$26</f>
        <v>2.1546215729582894</v>
      </c>
      <c r="AE77" s="870">
        <f>AE59/'MOD-Berechnungen'!AE$26</f>
        <v>2.0652631228018543</v>
      </c>
      <c r="AF77" s="939" t="s">
        <v>468</v>
      </c>
      <c r="AG77" s="939" t="s">
        <v>468</v>
      </c>
      <c r="AH77" s="567"/>
    </row>
    <row r="78" spans="1:34" s="301" customFormat="1">
      <c r="A78" s="561">
        <v>78</v>
      </c>
      <c r="C78" s="10"/>
      <c r="D78" s="29"/>
      <c r="E78" s="201" t="s">
        <v>164</v>
      </c>
      <c r="F78" s="865">
        <f>F60/'MOD-Berechnungen'!F$26</f>
        <v>9.7149369683918749</v>
      </c>
      <c r="G78" s="865">
        <f>G60/'MOD-Berechnungen'!G$26</f>
        <v>15.694016681506996</v>
      </c>
      <c r="H78" s="865">
        <f>H60/'MOD-Berechnungen'!H$26</f>
        <v>15.793773520468061</v>
      </c>
      <c r="I78" s="865">
        <f>I60/'MOD-Berechnungen'!I$26</f>
        <v>22.689854457020356</v>
      </c>
      <c r="J78" s="865">
        <f>J60/'MOD-Berechnungen'!J$26</f>
        <v>25.66393746201684</v>
      </c>
      <c r="K78" s="865">
        <f>K60/'MOD-Berechnungen'!K$26</f>
        <v>23.915964326096386</v>
      </c>
      <c r="L78" s="865">
        <f>L60/'MOD-Berechnungen'!L$26</f>
        <v>24.805626157837704</v>
      </c>
      <c r="M78" s="865">
        <f>M60/'MOD-Berechnungen'!M$26</f>
        <v>25.477205467839184</v>
      </c>
      <c r="N78" s="865">
        <f>N60/'MOD-Berechnungen'!N$26</f>
        <v>24.78350176341317</v>
      </c>
      <c r="O78" s="865">
        <f>O60/'MOD-Berechnungen'!O$26</f>
        <v>23.151006649172945</v>
      </c>
      <c r="P78" s="865">
        <f>P60/'MOD-Berechnungen'!P$26</f>
        <v>24.286085947929855</v>
      </c>
      <c r="Q78" s="865">
        <f>Q60/'MOD-Berechnungen'!Q$26</f>
        <v>21.891440767043449</v>
      </c>
      <c r="R78" s="865">
        <f>R60/'MOD-Berechnungen'!R$26</f>
        <v>12.434418620167067</v>
      </c>
      <c r="S78" s="865">
        <f ca="1">S60/'MOD-Berechnungen'!S$26</f>
        <v>7.3471138550744319</v>
      </c>
      <c r="T78" s="865">
        <f ca="1">T60/'MOD-Berechnungen'!T$26</f>
        <v>12.818594117797728</v>
      </c>
      <c r="U78" s="865">
        <f ca="1">U60/'MOD-Berechnungen'!U$26</f>
        <v>11.02966480192114</v>
      </c>
      <c r="V78" s="865">
        <f ca="1">V60/'MOD-Berechnungen'!V$26</f>
        <v>10.207466411899391</v>
      </c>
      <c r="W78" s="865">
        <f ca="1">W60/'MOD-Berechnungen'!W$26</f>
        <v>8.8095805264292526</v>
      </c>
      <c r="X78" s="865">
        <f ca="1">X60/'MOD-Berechnungen'!X$26</f>
        <v>7.9360577093497602</v>
      </c>
      <c r="Y78" s="865">
        <f ca="1">Y60/'MOD-Berechnungen'!Y$26</f>
        <v>7.0022168003276857</v>
      </c>
      <c r="Z78" s="865">
        <f ca="1">Z60/'MOD-Berechnungen'!Z$26</f>
        <v>5.5711741325667843</v>
      </c>
      <c r="AA78" s="865">
        <f ca="1">AA60/'MOD-Berechnungen'!AA$26</f>
        <v>3.5146601361906167</v>
      </c>
      <c r="AB78" s="865">
        <f ca="1">AB60/'MOD-Berechnungen'!AB$26</f>
        <v>1.7699580535591732</v>
      </c>
      <c r="AC78" s="865">
        <f ca="1">AC60/'MOD-Berechnungen'!AC$26</f>
        <v>1.0839862914237699</v>
      </c>
      <c r="AD78" s="865">
        <f ca="1">AD60/'MOD-Berechnungen'!AD$26</f>
        <v>1.0968586236021427</v>
      </c>
      <c r="AE78" s="870">
        <f ca="1">AE60/'MOD-Berechnungen'!AE$26</f>
        <v>1.4736896654823346</v>
      </c>
      <c r="AF78" s="939" t="s">
        <v>468</v>
      </c>
      <c r="AG78" s="939" t="s">
        <v>468</v>
      </c>
      <c r="AH78" s="567"/>
    </row>
    <row r="79" spans="1:34" s="301" customFormat="1">
      <c r="A79" s="561">
        <v>79</v>
      </c>
      <c r="C79" s="10"/>
      <c r="D79" s="29"/>
      <c r="E79" s="201" t="s">
        <v>165</v>
      </c>
      <c r="F79" s="865">
        <f>F61/'MOD-Berechnungen'!F$26</f>
        <v>4.0204831454453957E-2</v>
      </c>
      <c r="G79" s="865">
        <f>G61/'MOD-Berechnungen'!G$26</f>
        <v>4.3348048063566347E-2</v>
      </c>
      <c r="H79" s="865">
        <f>H61/'MOD-Berechnungen'!H$26</f>
        <v>4.8194628981231835E-2</v>
      </c>
      <c r="I79" s="865">
        <f>I61/'MOD-Berechnungen'!I$26</f>
        <v>3.6699314249972741E-2</v>
      </c>
      <c r="J79" s="865">
        <f>J61/'MOD-Berechnungen'!J$26</f>
        <v>0.15383670752011841</v>
      </c>
      <c r="K79" s="865">
        <f>K61/'MOD-Berechnungen'!K$26</f>
        <v>0.52548971032364156</v>
      </c>
      <c r="L79" s="865">
        <f>L61/'MOD-Berechnungen'!L$26</f>
        <v>0.54101093804569467</v>
      </c>
      <c r="M79" s="865">
        <f>M61/'MOD-Berechnungen'!M$26</f>
        <v>0.4841738538783476</v>
      </c>
      <c r="N79" s="865">
        <f>N61/'MOD-Berechnungen'!N$26</f>
        <v>0.49671337520805003</v>
      </c>
      <c r="O79" s="865">
        <f>O61/'MOD-Berechnungen'!O$26</f>
        <v>0.43902601215450487</v>
      </c>
      <c r="P79" s="865">
        <f>P61/'MOD-Berechnungen'!P$26</f>
        <v>0.46449941785910626</v>
      </c>
      <c r="Q79" s="865">
        <f>Q61/'MOD-Berechnungen'!Q$26</f>
        <v>0.42620215836249692</v>
      </c>
      <c r="R79" s="865">
        <f>R61/'MOD-Berechnungen'!R$26</f>
        <v>0.26105747067618412</v>
      </c>
      <c r="S79" s="865">
        <f ca="1">S61/'MOD-Berechnungen'!S$26</f>
        <v>0.15122956657769213</v>
      </c>
      <c r="T79" s="865">
        <f ca="1">T61/'MOD-Berechnungen'!T$26</f>
        <v>0.27422376890104755</v>
      </c>
      <c r="U79" s="865">
        <f ca="1">U61/'MOD-Berechnungen'!U$26</f>
        <v>0.23926776298315705</v>
      </c>
      <c r="V79" s="865">
        <f ca="1">V61/'MOD-Berechnungen'!V$26</f>
        <v>0.22559517210580932</v>
      </c>
      <c r="W79" s="865">
        <f ca="1">W61/'MOD-Berechnungen'!W$26</f>
        <v>0.18253904554897366</v>
      </c>
      <c r="X79" s="865">
        <f ca="1">X61/'MOD-Berechnungen'!X$26</f>
        <v>0.15467292228761301</v>
      </c>
      <c r="Y79" s="865">
        <f ca="1">Y61/'MOD-Berechnungen'!Y$26</f>
        <v>0.12877656051626357</v>
      </c>
      <c r="Z79" s="865">
        <f ca="1">Z61/'MOD-Berechnungen'!Z$26</f>
        <v>9.6951407112990232E-2</v>
      </c>
      <c r="AA79" s="865">
        <f ca="1">AA61/'MOD-Berechnungen'!AA$26</f>
        <v>5.8042869234634482E-2</v>
      </c>
      <c r="AB79" s="865">
        <f ca="1">AB61/'MOD-Berechnungen'!AB$26</f>
        <v>2.7810810531408822E-2</v>
      </c>
      <c r="AC79" s="865">
        <f ca="1">AC61/'MOD-Berechnungen'!AC$26</f>
        <v>1.6251788212250609E-2</v>
      </c>
      <c r="AD79" s="865">
        <f ca="1">AD61/'MOD-Berechnungen'!AD$26</f>
        <v>1.5726632411877276E-2</v>
      </c>
      <c r="AE79" s="870">
        <f ca="1">AE61/'MOD-Berechnungen'!AE$26</f>
        <v>2.024955435180557E-2</v>
      </c>
      <c r="AF79" s="939" t="s">
        <v>468</v>
      </c>
      <c r="AG79" s="939" t="s">
        <v>468</v>
      </c>
      <c r="AH79" s="567"/>
    </row>
    <row r="80" spans="1:34" s="301" customFormat="1">
      <c r="A80" s="561">
        <v>80</v>
      </c>
      <c r="C80" s="10"/>
      <c r="D80" s="29"/>
      <c r="E80" s="201" t="s">
        <v>280</v>
      </c>
      <c r="F80" s="865">
        <f>F62/'MOD-Berechnungen'!F$26</f>
        <v>0</v>
      </c>
      <c r="G80" s="865">
        <f>G62/'MOD-Berechnungen'!G$26</f>
        <v>0</v>
      </c>
      <c r="H80" s="865">
        <f>H62/'MOD-Berechnungen'!H$26</f>
        <v>0</v>
      </c>
      <c r="I80" s="865">
        <f>I62/'MOD-Berechnungen'!I$26</f>
        <v>0</v>
      </c>
      <c r="J80" s="865">
        <f>J62/'MOD-Berechnungen'!J$26</f>
        <v>0</v>
      </c>
      <c r="K80" s="865">
        <f>K62/'MOD-Berechnungen'!K$26</f>
        <v>1.0851338681326364E-3</v>
      </c>
      <c r="L80" s="865">
        <f>L62/'MOD-Berechnungen'!L$26</f>
        <v>3.9995951519082281E-3</v>
      </c>
      <c r="M80" s="865">
        <f>M62/'MOD-Berechnungen'!M$26</f>
        <v>1.8009193275893957E-2</v>
      </c>
      <c r="N80" s="865">
        <f>N62/'MOD-Berechnungen'!N$26</f>
        <v>2.3357664145250655E-2</v>
      </c>
      <c r="O80" s="865">
        <f>O62/'MOD-Berechnungen'!O$26</f>
        <v>4.0634519397035183E-2</v>
      </c>
      <c r="P80" s="865">
        <f>P62/'MOD-Berechnungen'!P$26</f>
        <v>5.415762329386177E-2</v>
      </c>
      <c r="Q80" s="865">
        <f>Q62/'MOD-Berechnungen'!Q$26</f>
        <v>6.3926736882310931E-2</v>
      </c>
      <c r="R80" s="865">
        <f>R62/'MOD-Berechnungen'!R$26</f>
        <v>9.4375536482462941E-2</v>
      </c>
      <c r="S80" s="865">
        <f>S62/'MOD-Berechnungen'!S$26</f>
        <v>9.7937067497830169E-2</v>
      </c>
      <c r="T80" s="865">
        <f>T62/'MOD-Berechnungen'!T$26</f>
        <v>0.10178031170655658</v>
      </c>
      <c r="U80" s="865">
        <f>U62/'MOD-Berechnungen'!U$26</f>
        <v>0.10547625217973897</v>
      </c>
      <c r="V80" s="865">
        <f>V62/'MOD-Berechnungen'!V$26</f>
        <v>0.10895544441725867</v>
      </c>
      <c r="W80" s="865">
        <f>W62/'MOD-Berechnungen'!W$26</f>
        <v>0.10947063048027547</v>
      </c>
      <c r="X80" s="865">
        <f>X62/'MOD-Berechnungen'!X$26</f>
        <v>0.10902098041181206</v>
      </c>
      <c r="Y80" s="865">
        <f>Y62/'MOD-Berechnungen'!Y$26</f>
        <v>0.10856737447104156</v>
      </c>
      <c r="Z80" s="865">
        <f>Z62/'MOD-Berechnungen'!Z$26</f>
        <v>0.10810992932659062</v>
      </c>
      <c r="AA80" s="865">
        <f>AA62/'MOD-Berechnungen'!AA$26</f>
        <v>0.10764876051773664</v>
      </c>
      <c r="AB80" s="865">
        <f>AB62/'MOD-Berechnungen'!AB$26</f>
        <v>0.10718398244080433</v>
      </c>
      <c r="AC80" s="865">
        <f>AC62/'MOD-Berechnungen'!AC$26</f>
        <v>0.10671570833652887</v>
      </c>
      <c r="AD80" s="865">
        <f>AD62/'MOD-Berechnungen'!AD$26</f>
        <v>0.10624405027835525</v>
      </c>
      <c r="AE80" s="870">
        <f>AE62/'MOD-Berechnungen'!AE$26</f>
        <v>0.10576255187851333</v>
      </c>
      <c r="AF80" s="939" t="s">
        <v>468</v>
      </c>
      <c r="AG80" s="939" t="s">
        <v>468</v>
      </c>
      <c r="AH80" s="567"/>
    </row>
    <row r="81" spans="1:34" s="301" customFormat="1">
      <c r="A81" s="561">
        <v>81</v>
      </c>
      <c r="C81" s="10"/>
      <c r="D81" s="29"/>
      <c r="E81" s="201" t="s">
        <v>179</v>
      </c>
      <c r="F81" s="865">
        <f>F63/'MOD-Berechnungen'!F$26</f>
        <v>6.3560928390632148</v>
      </c>
      <c r="G81" s="865">
        <f>G63/'MOD-Berechnungen'!G$26</f>
        <v>5.8875356789087769</v>
      </c>
      <c r="H81" s="865">
        <f>H63/'MOD-Berechnungen'!H$26</f>
        <v>6.2818434424715388</v>
      </c>
      <c r="I81" s="865">
        <f>I63/'MOD-Berechnungen'!I$26</f>
        <v>5.7385000446915795</v>
      </c>
      <c r="J81" s="865">
        <f>J63/'MOD-Berechnungen'!J$26</f>
        <v>4.6042183609160787</v>
      </c>
      <c r="K81" s="865">
        <f>K63/'MOD-Berechnungen'!K$26</f>
        <v>3.9424702526901454</v>
      </c>
      <c r="L81" s="865">
        <f>L63/'MOD-Berechnungen'!L$26</f>
        <v>3.4378603226952973</v>
      </c>
      <c r="M81" s="865">
        <f>M63/'MOD-Berechnungen'!M$26</f>
        <v>2.8983911712066663</v>
      </c>
      <c r="N81" s="865">
        <f>N63/'MOD-Berechnungen'!N$26</f>
        <v>3.429343353699899</v>
      </c>
      <c r="O81" s="865">
        <f>O63/'MOD-Berechnungen'!O$26</f>
        <v>4.8578134058999991</v>
      </c>
      <c r="P81" s="865">
        <f>P63/'MOD-Berechnungen'!P$26</f>
        <v>5.1532422899999988</v>
      </c>
      <c r="Q81" s="865">
        <f>Q63/'MOD-Berechnungen'!Q$26</f>
        <v>4.1351099999999992</v>
      </c>
      <c r="R81" s="865">
        <f>R63/'MOD-Berechnungen'!R$26</f>
        <v>7.8400000000000007</v>
      </c>
      <c r="S81" s="865">
        <f>S63/'MOD-Berechnungen'!S$26</f>
        <v>8.622660098522168</v>
      </c>
      <c r="T81" s="865">
        <f>T63/'MOD-Berechnungen'!T$26</f>
        <v>7.04020966293771</v>
      </c>
      <c r="U81" s="865">
        <f>U63/'MOD-Berechnungen'!U$26</f>
        <v>6.8472296751857398</v>
      </c>
      <c r="V81" s="865">
        <f>V63/'MOD-Berechnungen'!V$26</f>
        <v>6.6537050342848483</v>
      </c>
      <c r="W81" s="865">
        <f>W63/'MOD-Berechnungen'!W$26</f>
        <v>6.5303113892286779</v>
      </c>
      <c r="X81" s="865">
        <f>X63/'MOD-Berechnungen'!X$26</f>
        <v>6.3661282021169079</v>
      </c>
      <c r="Y81" s="865">
        <f>Y63/'MOD-Berechnungen'!Y$26</f>
        <v>6.2107776680056093</v>
      </c>
      <c r="Z81" s="865">
        <f>Z63/'MOD-Berechnungen'!Z$26</f>
        <v>6.0879228870271715</v>
      </c>
      <c r="AA81" s="865">
        <f>AA63/'MOD-Berechnungen'!AA$26</f>
        <v>5.9620953014298843</v>
      </c>
      <c r="AB81" s="865">
        <f>AB63/'MOD-Berechnungen'!AB$26</f>
        <v>5.8056983905361497</v>
      </c>
      <c r="AC81" s="865">
        <f>AC63/'MOD-Berechnungen'!AC$26</f>
        <v>5.6526219334208552</v>
      </c>
      <c r="AD81" s="865">
        <f>AD63/'MOD-Berechnungen'!AD$26</f>
        <v>5.5028019455052872</v>
      </c>
      <c r="AE81" s="870">
        <f>AE63/'MOD-Berechnungen'!AE$26</f>
        <v>5.3561756081971206</v>
      </c>
      <c r="AF81" s="939" t="s">
        <v>468</v>
      </c>
      <c r="AG81" s="939" t="s">
        <v>468</v>
      </c>
      <c r="AH81" s="567"/>
    </row>
    <row r="82" spans="1:34" s="301" customFormat="1">
      <c r="A82" s="561">
        <v>82</v>
      </c>
      <c r="C82" s="10"/>
      <c r="D82" s="29"/>
      <c r="E82" s="202" t="s">
        <v>181</v>
      </c>
      <c r="F82" s="866">
        <f>F64/'MOD-Berechnungen'!F$26</f>
        <v>8.7812197049481799</v>
      </c>
      <c r="G82" s="866">
        <f>G64/'MOD-Berechnungen'!G$26</f>
        <v>9.9835888297532218</v>
      </c>
      <c r="H82" s="866">
        <f>H64/'MOD-Berechnungen'!H$26</f>
        <v>10.368113208019849</v>
      </c>
      <c r="I82" s="866">
        <f>I64/'MOD-Berechnungen'!I$26</f>
        <v>11.658747304874858</v>
      </c>
      <c r="J82" s="866">
        <f>J64/'MOD-Berechnungen'!J$26</f>
        <v>11.535538643694444</v>
      </c>
      <c r="K82" s="866">
        <f>K64/'MOD-Berechnungen'!K$26</f>
        <v>10.761463498661596</v>
      </c>
      <c r="L82" s="866">
        <f>L64/'MOD-Berechnungen'!L$26</f>
        <v>10.408456058808754</v>
      </c>
      <c r="M82" s="866">
        <f>M64/'MOD-Berechnungen'!M$26</f>
        <v>10.331520044890258</v>
      </c>
      <c r="N82" s="866">
        <f>N64/'MOD-Berechnungen'!N$26</f>
        <v>10.644380383952997</v>
      </c>
      <c r="O82" s="866">
        <f>O64/'MOD-Berechnungen'!O$26</f>
        <v>11.58252798702682</v>
      </c>
      <c r="P82" s="866">
        <f>P64/'MOD-Berechnungen'!P$26</f>
        <v>12.211655502224778</v>
      </c>
      <c r="Q82" s="866">
        <f>Q64/'MOD-Berechnungen'!Q$26</f>
        <v>10.736279594172672</v>
      </c>
      <c r="R82" s="866">
        <f>R64/'MOD-Berechnungen'!R$26</f>
        <v>11.563082772147341</v>
      </c>
      <c r="S82" s="866">
        <f ca="1">S64/'MOD-Berechnungen'!S$26</f>
        <v>10.816979740292336</v>
      </c>
      <c r="T82" s="866">
        <f ca="1">T64/'MOD-Berechnungen'!T$26</f>
        <v>10.920640975405565</v>
      </c>
      <c r="U82" s="866">
        <f ca="1">U64/'MOD-Berechnungen'!U$26</f>
        <v>10.225664976906742</v>
      </c>
      <c r="V82" s="866">
        <f ca="1">V64/'MOD-Berechnungen'!V$26</f>
        <v>9.8059339184428822</v>
      </c>
      <c r="W82" s="866">
        <f ca="1">W64/'MOD-Berechnungen'!W$26</f>
        <v>9.0809193942450079</v>
      </c>
      <c r="X82" s="866">
        <f ca="1">X64/'MOD-Berechnungen'!X$26</f>
        <v>8.5273644053609452</v>
      </c>
      <c r="Y82" s="866">
        <f ca="1">Y64/'MOD-Berechnungen'!Y$26</f>
        <v>8.0101654380218008</v>
      </c>
      <c r="Z82" s="866">
        <f ca="1">Z64/'MOD-Berechnungen'!Z$26</f>
        <v>7.4426195456861297</v>
      </c>
      <c r="AA82" s="866">
        <f ca="1">AA64/'MOD-Berechnungen'!AA$26</f>
        <v>6.7731251085527422</v>
      </c>
      <c r="AB82" s="866">
        <f ca="1">AB64/'MOD-Berechnungen'!AB$26</f>
        <v>6.1942973105867782</v>
      </c>
      <c r="AC82" s="866">
        <f ca="1">AC64/'MOD-Berechnungen'!AC$26</f>
        <v>5.8797072728085604</v>
      </c>
      <c r="AD82" s="866">
        <f ca="1">AD64/'MOD-Berechnungen'!AD$26</f>
        <v>5.722549311889547</v>
      </c>
      <c r="AE82" s="872">
        <f ca="1">AE64/'MOD-Berechnungen'!AE$26</f>
        <v>5.6391215131261108</v>
      </c>
      <c r="AF82" s="939" t="s">
        <v>468</v>
      </c>
      <c r="AG82" s="939" t="s">
        <v>468</v>
      </c>
      <c r="AH82" s="567"/>
    </row>
    <row r="83" spans="1:34" s="301" customFormat="1">
      <c r="A83" s="561">
        <v>83</v>
      </c>
      <c r="C83" s="10"/>
      <c r="D83" s="29"/>
      <c r="E83" s="201" t="s">
        <v>229</v>
      </c>
      <c r="F83" s="865">
        <f>F65/'MOD-Berechnungen'!F$26</f>
        <v>5.9224039499239836E-2</v>
      </c>
      <c r="G83" s="865">
        <f>G65/'MOD-Berechnungen'!G$26</f>
        <v>5.8006246138478573E-2</v>
      </c>
      <c r="H83" s="865">
        <f>H65/'MOD-Berechnungen'!H$26</f>
        <v>5.6881956504662996E-2</v>
      </c>
      <c r="I83" s="865">
        <f>I65/'MOD-Berechnungen'!I$26</f>
        <v>3.8138868908015294E-2</v>
      </c>
      <c r="J83" s="865">
        <f>J65/'MOD-Berechnungen'!J$26</f>
        <v>0.14441643637298773</v>
      </c>
      <c r="K83" s="865">
        <f>K65/'MOD-Berechnungen'!K$26</f>
        <v>0.47664762789340442</v>
      </c>
      <c r="L83" s="865">
        <f>L65/'MOD-Berechnungen'!L$26</f>
        <v>0.5207035014876753</v>
      </c>
      <c r="M83" s="865">
        <f>M65/'MOD-Berechnungen'!M$26</f>
        <v>0.4241721683564787</v>
      </c>
      <c r="N83" s="865">
        <f>N65/'MOD-Berechnungen'!N$26</f>
        <v>0.43309207566692581</v>
      </c>
      <c r="O83" s="865">
        <f>O65/'MOD-Berechnungen'!O$26</f>
        <v>0.38535835620403963</v>
      </c>
      <c r="P83" s="865">
        <f>P65/'MOD-Berechnungen'!P$26</f>
        <v>0.39983882288259048</v>
      </c>
      <c r="Q83" s="865">
        <f>Q65/'MOD-Berechnungen'!Q$26</f>
        <v>0.37807341290029001</v>
      </c>
      <c r="R83" s="865">
        <f>R65/'MOD-Berechnungen'!R$26</f>
        <v>0.22007879841189015</v>
      </c>
      <c r="S83" s="865">
        <f ca="1">S65/'MOD-Berechnungen'!S$26</f>
        <v>0.12971058116278592</v>
      </c>
      <c r="T83" s="865">
        <f ca="1">T65/'MOD-Berechnungen'!T$26</f>
        <v>0.22937998235135723</v>
      </c>
      <c r="U83" s="865">
        <f ca="1">U65/'MOD-Berechnungen'!U$26</f>
        <v>0.19970600365842336</v>
      </c>
      <c r="V83" s="865">
        <f ca="1">V65/'MOD-Berechnungen'!V$26</f>
        <v>0.18633449418172074</v>
      </c>
      <c r="W83" s="865">
        <f ca="1">W65/'MOD-Berechnungen'!W$26</f>
        <v>0.15077149215245203</v>
      </c>
      <c r="X83" s="865">
        <f ca="1">X65/'MOD-Berechnungen'!X$26</f>
        <v>0.12775495357034197</v>
      </c>
      <c r="Y83" s="865">
        <f ca="1">Y65/'MOD-Berechnungen'!Y$26</f>
        <v>0.10636537582907706</v>
      </c>
      <c r="Z83" s="865">
        <f ca="1">Z65/'MOD-Berechnungen'!Z$26</f>
        <v>8.0078803265045212E-2</v>
      </c>
      <c r="AA83" s="865">
        <f ca="1">AA65/'MOD-Berechnungen'!AA$26</f>
        <v>4.7941578619504814E-2</v>
      </c>
      <c r="AB83" s="865">
        <f ca="1">AB65/'MOD-Berechnungen'!AB$26</f>
        <v>2.2970852012396816E-2</v>
      </c>
      <c r="AC83" s="865">
        <f ca="1">AC65/'MOD-Berechnungen'!AC$26</f>
        <v>1.3423464286983244E-2</v>
      </c>
      <c r="AD83" s="865">
        <f ca="1">AD65/'MOD-Berechnungen'!AD$26</f>
        <v>1.2989702165587907E-2</v>
      </c>
      <c r="AE83" s="870">
        <f ca="1">AE65/'MOD-Berechnungen'!AE$26</f>
        <v>1.6725492980759538E-2</v>
      </c>
      <c r="AF83" s="939" t="s">
        <v>468</v>
      </c>
      <c r="AG83" s="939" t="s">
        <v>468</v>
      </c>
      <c r="AH83" s="567"/>
    </row>
    <row r="84" spans="1:34" s="301" customFormat="1">
      <c r="A84" s="561">
        <v>84</v>
      </c>
      <c r="C84" s="10"/>
      <c r="D84" s="29"/>
      <c r="E84" s="202" t="s">
        <v>283</v>
      </c>
      <c r="F84" s="866">
        <f>F66/'MOD-Berechnungen'!F$26</f>
        <v>0</v>
      </c>
      <c r="G84" s="866">
        <f>G66/'MOD-Berechnungen'!G$26</f>
        <v>0</v>
      </c>
      <c r="H84" s="866">
        <f>H66/'MOD-Berechnungen'!H$26</f>
        <v>0</v>
      </c>
      <c r="I84" s="866">
        <f>I66/'MOD-Berechnungen'!I$26</f>
        <v>0</v>
      </c>
      <c r="J84" s="866">
        <f>J66/'MOD-Berechnungen'!J$26</f>
        <v>0</v>
      </c>
      <c r="K84" s="866">
        <f>K66/'MOD-Berechnungen'!K$26</f>
        <v>6.4703562415135963E-4</v>
      </c>
      <c r="L84" s="866">
        <f>L66/'MOD-Berechnungen'!L$26</f>
        <v>2.0733533064762571E-3</v>
      </c>
      <c r="M84" s="866">
        <f>M66/'MOD-Berechnungen'!M$26</f>
        <v>1.1707226346193049E-2</v>
      </c>
      <c r="N84" s="866">
        <f>N66/'MOD-Berechnungen'!N$26</f>
        <v>1.5521650867436943E-2</v>
      </c>
      <c r="O84" s="866">
        <f>O66/'MOD-Berechnungen'!O$26</f>
        <v>3.1712104919067528E-2</v>
      </c>
      <c r="P84" s="866">
        <f>P66/'MOD-Berechnungen'!P$26</f>
        <v>4.2390915831618678E-2</v>
      </c>
      <c r="Q84" s="866">
        <f>Q66/'MOD-Berechnungen'!Q$26</f>
        <v>4.7412608177150671E-2</v>
      </c>
      <c r="R84" s="866">
        <f>R66/'MOD-Berechnungen'!R$26</f>
        <v>6.1719908126301799E-2</v>
      </c>
      <c r="S84" s="866">
        <f>S66/'MOD-Berechnungen'!S$26</f>
        <v>6.295959747532355E-2</v>
      </c>
      <c r="T84" s="866">
        <f>T66/'MOD-Berechnungen'!T$26</f>
        <v>6.6473316447049929E-2</v>
      </c>
      <c r="U84" s="866">
        <f>U66/'MOD-Berechnungen'!U$26</f>
        <v>6.9949132006793882E-2</v>
      </c>
      <c r="V84" s="866">
        <f>V66/'MOD-Berechnungen'!V$26</f>
        <v>7.3340714924977096E-2</v>
      </c>
      <c r="W84" s="866">
        <f>W66/'MOD-Berechnungen'!W$26</f>
        <v>7.4099144505700043E-2</v>
      </c>
      <c r="X84" s="866">
        <f>X66/'MOD-Berechnungen'!X$26</f>
        <v>7.3949013184393328E-2</v>
      </c>
      <c r="Y84" s="866">
        <f>Y66/'MOD-Berechnungen'!Y$26</f>
        <v>7.3647326315373546E-2</v>
      </c>
      <c r="Z84" s="866">
        <f>Z66/'MOD-Berechnungen'!Z$26</f>
        <v>7.3170067146647602E-2</v>
      </c>
      <c r="AA84" s="866">
        <f>AA66/'MOD-Berechnungen'!AA$26</f>
        <v>7.2686916669938775E-2</v>
      </c>
      <c r="AB84" s="866">
        <f>AB66/'MOD-Berechnungen'!AB$26</f>
        <v>7.2197323277302508E-2</v>
      </c>
      <c r="AC84" s="866">
        <f>AC66/'MOD-Berechnungen'!AC$26</f>
        <v>7.1961022565113525E-2</v>
      </c>
      <c r="AD84" s="866">
        <f>AD66/'MOD-Berechnungen'!AD$26</f>
        <v>7.1804735982286511E-2</v>
      </c>
      <c r="AE84" s="872">
        <f>AE66/'MOD-Berechnungen'!AE$26</f>
        <v>7.1751477853940537E-2</v>
      </c>
      <c r="AF84" s="939" t="s">
        <v>468</v>
      </c>
      <c r="AG84" s="939" t="s">
        <v>468</v>
      </c>
      <c r="AH84" s="567"/>
    </row>
    <row r="85" spans="1:34" s="301" customFormat="1">
      <c r="A85" s="561">
        <v>85</v>
      </c>
      <c r="C85" s="10"/>
      <c r="D85" s="29"/>
      <c r="E85" s="202" t="s">
        <v>66</v>
      </c>
      <c r="F85" s="866">
        <f>F67/'MOD-Berechnungen'!F$26</f>
        <v>0</v>
      </c>
      <c r="G85" s="866">
        <f>G67/'MOD-Berechnungen'!G$26</f>
        <v>-1.2953030595291781</v>
      </c>
      <c r="H85" s="866">
        <f>H67/'MOD-Berechnungen'!H$26</f>
        <v>-0.8091099918026019</v>
      </c>
      <c r="I85" s="866">
        <f>I67/'MOD-Berechnungen'!I$26</f>
        <v>-2.9044931783220567</v>
      </c>
      <c r="J85" s="866">
        <f>J67/'MOD-Berechnungen'!J$26</f>
        <v>-2.4403190465106572</v>
      </c>
      <c r="K85" s="866">
        <f>K67/'MOD-Berechnungen'!K$26</f>
        <v>1.5260851812455698</v>
      </c>
      <c r="L85" s="866">
        <f>L67/'MOD-Berechnungen'!L$26</f>
        <v>2.7727124334536644</v>
      </c>
      <c r="M85" s="866">
        <f>M67/'MOD-Berechnungen'!M$26</f>
        <v>2.1104731733351589</v>
      </c>
      <c r="N85" s="866">
        <f>N67/'MOD-Berechnungen'!N$26</f>
        <v>3.543474011196297</v>
      </c>
      <c r="O85" s="866">
        <f>O67/'MOD-Berechnungen'!O$26</f>
        <v>3.8331751820005171</v>
      </c>
      <c r="P85" s="866">
        <f>P67/'MOD-Berechnungen'!P$26</f>
        <v>2.287736082049058</v>
      </c>
      <c r="Q85" s="866">
        <f>Q67/'MOD-Berechnungen'!Q$26</f>
        <v>-4.1416001912057503</v>
      </c>
      <c r="R85" s="866">
        <f>R67/'MOD-Berechnungen'!R$26</f>
        <v>4.5469536436400002</v>
      </c>
      <c r="S85" s="866">
        <f ca="1">S67/'MOD-Berechnungen'!S$26</f>
        <v>5.8395645590842395</v>
      </c>
      <c r="T85" s="866">
        <f ca="1">T67/'MOD-Berechnungen'!T$26</f>
        <v>0.92630675614009628</v>
      </c>
      <c r="U85" s="866">
        <f ca="1">U67/'MOD-Berechnungen'!U$26</f>
        <v>1.0643288384178597</v>
      </c>
      <c r="V85" s="866">
        <f ca="1">V67/'MOD-Berechnungen'!V$26</f>
        <v>1.0552250471076119</v>
      </c>
      <c r="W85" s="866">
        <f ca="1">W67/'MOD-Berechnungen'!W$26</f>
        <v>0.97625727167691256</v>
      </c>
      <c r="X85" s="866">
        <f ca="1">X67/'MOD-Berechnungen'!X$26</f>
        <v>0.88328289494031709</v>
      </c>
      <c r="Y85" s="866">
        <f ca="1">Y67/'MOD-Berechnungen'!Y$26</f>
        <v>0.8208330076235818</v>
      </c>
      <c r="Z85" s="866">
        <f ca="1">Z67/'MOD-Berechnungen'!Z$26</f>
        <v>0.75702949994764968</v>
      </c>
      <c r="AA85" s="866">
        <f ca="1">AA67/'MOD-Berechnungen'!AA$26</f>
        <v>0.66454523065142801</v>
      </c>
      <c r="AB85" s="866">
        <f ca="1">AB67/'MOD-Berechnungen'!AB$26</f>
        <v>0.53450842382870434</v>
      </c>
      <c r="AC85" s="866">
        <f ca="1">AC67/'MOD-Berechnungen'!AC$26</f>
        <v>0.42107736985206995</v>
      </c>
      <c r="AD85" s="866">
        <f ca="1">AD67/'MOD-Berechnungen'!AD$26</f>
        <v>0.37048763417867558</v>
      </c>
      <c r="AE85" s="872">
        <f ca="1">AE67/'MOD-Berechnungen'!AE$26</f>
        <v>0.36412183325373693</v>
      </c>
      <c r="AF85" s="939" t="s">
        <v>468</v>
      </c>
      <c r="AG85" s="939" t="s">
        <v>468</v>
      </c>
      <c r="AH85" s="567"/>
    </row>
    <row r="86" spans="1:34" s="301" customFormat="1">
      <c r="A86" s="561">
        <v>86</v>
      </c>
      <c r="C86" s="10"/>
      <c r="D86" s="29"/>
      <c r="AF86" s="939" t="s">
        <v>468</v>
      </c>
      <c r="AG86" s="939" t="s">
        <v>468</v>
      </c>
      <c r="AH86" s="567"/>
    </row>
    <row r="87" spans="1:34" s="301" customFormat="1">
      <c r="A87" s="561">
        <v>87</v>
      </c>
      <c r="C87" s="10"/>
      <c r="D87" s="29"/>
      <c r="E87" s="590" t="s">
        <v>388</v>
      </c>
      <c r="AF87" s="939" t="s">
        <v>468</v>
      </c>
      <c r="AG87" s="939" t="s">
        <v>468</v>
      </c>
      <c r="AH87" s="567"/>
    </row>
    <row r="88" spans="1:34" s="301" customFormat="1">
      <c r="A88" s="561">
        <v>88</v>
      </c>
      <c r="C88" s="10"/>
      <c r="D88" s="29"/>
      <c r="E88" s="200" t="s">
        <v>227</v>
      </c>
      <c r="F88" s="867">
        <f>'MOD-Berechnungen'!F185</f>
        <v>400.59500000000003</v>
      </c>
      <c r="G88" s="864">
        <f>'MOD-Berechnungen'!G185</f>
        <v>383.14973227999997</v>
      </c>
      <c r="H88" s="864">
        <f>'MOD-Berechnungen'!H185</f>
        <v>386.50834199999997</v>
      </c>
      <c r="I88" s="864">
        <f>'MOD-Berechnungen'!I185</f>
        <v>383.25856100000004</v>
      </c>
      <c r="J88" s="864">
        <f>'MOD-Berechnungen'!J185</f>
        <v>370.260447</v>
      </c>
      <c r="K88" s="864">
        <f>'MOD-Berechnungen'!K185</f>
        <v>350.72573712000002</v>
      </c>
      <c r="L88" s="864">
        <f>'MOD-Berechnungen'!L185</f>
        <v>355.8609206000001</v>
      </c>
      <c r="M88" s="864">
        <f>'MOD-Berechnungen'!M185</f>
        <v>342.7521021199999</v>
      </c>
      <c r="N88" s="864">
        <f>'MOD-Berechnungen'!N185</f>
        <v>343.49791497249993</v>
      </c>
      <c r="O88" s="864">
        <f>'MOD-Berechnungen'!O185</f>
        <v>344.26749819460247</v>
      </c>
      <c r="P88" s="864">
        <f>'MOD-Berechnungen'!P185</f>
        <v>344.07288462324232</v>
      </c>
      <c r="Q88" s="864">
        <f>'MOD-Berechnungen'!Q185</f>
        <v>331.62972795561251</v>
      </c>
      <c r="R88" s="864">
        <f>'MOD-Berechnungen'!R185</f>
        <v>333.98179361441754</v>
      </c>
      <c r="S88" s="864">
        <f>'MOD-Berechnungen'!S185</f>
        <v>334.82423049120968</v>
      </c>
      <c r="T88" s="864">
        <f>'MOD-Berechnungen'!T185</f>
        <v>330.33941553382203</v>
      </c>
      <c r="U88" s="864">
        <f>'MOD-Berechnungen'!U185</f>
        <v>326.47257729939474</v>
      </c>
      <c r="V88" s="864">
        <f>'MOD-Berechnungen'!V185</f>
        <v>323.81742528908472</v>
      </c>
      <c r="W88" s="864">
        <f>'MOD-Berechnungen'!W185</f>
        <v>345.3913933110569</v>
      </c>
      <c r="X88" s="864">
        <f>'MOD-Berechnungen'!X185</f>
        <v>367.19992462821301</v>
      </c>
      <c r="Y88" s="864">
        <f>'MOD-Berechnungen'!Y185</f>
        <v>389.14440328027115</v>
      </c>
      <c r="Z88" s="864">
        <f>'MOD-Berechnungen'!Z185</f>
        <v>411.24882806471254</v>
      </c>
      <c r="AA88" s="864">
        <f>'MOD-Berechnungen'!AA185</f>
        <v>433.35770218593228</v>
      </c>
      <c r="AB88" s="864">
        <f>'MOD-Berechnungen'!AB185</f>
        <v>455.47168616129227</v>
      </c>
      <c r="AC88" s="864">
        <f>'MOD-Berechnungen'!AC185</f>
        <v>477.34754447228744</v>
      </c>
      <c r="AD88" s="864">
        <f>'MOD-Berechnungen'!AD185</f>
        <v>499.14528744982846</v>
      </c>
      <c r="AE88" s="868">
        <f>'MOD-Berechnungen'!AE185</f>
        <v>520.83795517456952</v>
      </c>
      <c r="AF88" s="939"/>
      <c r="AG88" s="939"/>
      <c r="AH88" s="567"/>
    </row>
    <row r="89" spans="1:34" s="301" customFormat="1">
      <c r="A89" s="561">
        <v>89</v>
      </c>
      <c r="C89" s="10"/>
      <c r="D89" s="29"/>
      <c r="E89" s="201" t="s">
        <v>228</v>
      </c>
      <c r="F89" s="869">
        <f>'MOD-Berechnungen'!F12</f>
        <v>67.885999999999996</v>
      </c>
      <c r="G89" s="865">
        <f>'MOD-Berechnungen'!G12</f>
        <v>74.729966079999997</v>
      </c>
      <c r="H89" s="865">
        <f>'MOD-Berechnungen'!H12</f>
        <v>84.727446</v>
      </c>
      <c r="I89" s="865">
        <f>'MOD-Berechnungen'!I12</f>
        <v>96.225492000000003</v>
      </c>
      <c r="J89" s="865">
        <f>'MOD-Berechnungen'!J12</f>
        <v>106.52299099999999</v>
      </c>
      <c r="K89" s="865">
        <f>'MOD-Berechnungen'!K12</f>
        <v>110.247</v>
      </c>
      <c r="L89" s="865">
        <f>'MOD-Berechnungen'!L12</f>
        <v>103.9</v>
      </c>
      <c r="M89" s="865">
        <f>'MOD-Berechnungen'!M12</f>
        <v>114.145597</v>
      </c>
      <c r="N89" s="865">
        <f>'MOD-Berechnungen'!N12</f>
        <v>114.690017</v>
      </c>
      <c r="O89" s="865">
        <f>'MOD-Berechnungen'!O12</f>
        <v>113.926688</v>
      </c>
      <c r="P89" s="865">
        <f>'MOD-Berechnungen'!P12</f>
        <v>116.17166499999999</v>
      </c>
      <c r="Q89" s="865">
        <f>'MOD-Berechnungen'!Q12</f>
        <v>112.73</v>
      </c>
      <c r="R89" s="865">
        <f>'MOD-Berechnungen'!R12</f>
        <v>118.62</v>
      </c>
      <c r="S89" s="865">
        <f>'MOD-Berechnungen'!S12</f>
        <v>116.59</v>
      </c>
      <c r="T89" s="865">
        <f>'MOD-Berechnungen'!T12</f>
        <v>119.55</v>
      </c>
      <c r="U89" s="865">
        <f>'MOD-Berechnungen'!U12</f>
        <v>119.81</v>
      </c>
      <c r="V89" s="865">
        <f>'MOD-Berechnungen'!V12</f>
        <v>121.07</v>
      </c>
      <c r="W89" s="865">
        <f>'MOD-Berechnungen'!W12</f>
        <v>121.07</v>
      </c>
      <c r="X89" s="865">
        <f>'MOD-Berechnungen'!X12</f>
        <v>121.07</v>
      </c>
      <c r="Y89" s="865">
        <f>'MOD-Berechnungen'!Y12</f>
        <v>121.07</v>
      </c>
      <c r="Z89" s="865">
        <f>'MOD-Berechnungen'!Z12</f>
        <v>121.07</v>
      </c>
      <c r="AA89" s="865">
        <f>'MOD-Berechnungen'!AA12</f>
        <v>121.07</v>
      </c>
      <c r="AB89" s="865">
        <f>'MOD-Berechnungen'!AB12</f>
        <v>121.07</v>
      </c>
      <c r="AC89" s="865">
        <f>'MOD-Berechnungen'!AC12</f>
        <v>121.07</v>
      </c>
      <c r="AD89" s="865">
        <f>'MOD-Berechnungen'!AD12</f>
        <v>121.07</v>
      </c>
      <c r="AE89" s="870">
        <f>'MOD-Berechnungen'!AE12</f>
        <v>121.07</v>
      </c>
      <c r="AF89" s="939"/>
      <c r="AG89" s="939"/>
      <c r="AH89" s="567"/>
    </row>
    <row r="90" spans="1:34" s="301" customFormat="1">
      <c r="A90" s="561">
        <v>90</v>
      </c>
      <c r="C90" s="10"/>
      <c r="D90" s="29"/>
      <c r="E90" s="202" t="s">
        <v>282</v>
      </c>
      <c r="F90" s="871">
        <f>'MOD-Berechnungen'!F13+'MOD-Berechnungen'!F14+'MOD-Berechnungen'!F15+'MOD-Berechnungen'!F254+'MOD-Berechnungen'!F264</f>
        <v>66.919000000000011</v>
      </c>
      <c r="G90" s="866">
        <f>'MOD-Berechnungen'!G13+'MOD-Berechnungen'!G14+'MOD-Berechnungen'!G15+'MOD-Berechnungen'!G254+'MOD-Berechnungen'!G264</f>
        <v>54.256241999999979</v>
      </c>
      <c r="H90" s="866">
        <f>'MOD-Berechnungen'!H13+'MOD-Berechnungen'!H14+'MOD-Berechnungen'!H15+'MOD-Berechnungen'!H254+'MOD-Berechnungen'!H264</f>
        <v>62.745360999999974</v>
      </c>
      <c r="I90" s="866">
        <f>'MOD-Berechnungen'!I13+'MOD-Berechnungen'!I14+'MOD-Berechnungen'!I15+'MOD-Berechnungen'!I254+'MOD-Berechnungen'!I264</f>
        <v>55.017604000000063</v>
      </c>
      <c r="J90" s="866">
        <f>'MOD-Berechnungen'!J13+'MOD-Berechnungen'!J14+'MOD-Berechnungen'!J15+'MOD-Berechnungen'!J254+'MOD-Berechnungen'!J264</f>
        <v>47.117968535482987</v>
      </c>
      <c r="K90" s="866">
        <f>'MOD-Berechnungen'!K13+'MOD-Berechnungen'!K14+'MOD-Berechnungen'!K15+'MOD-Berechnungen'!K254+'MOD-Berechnungen'!K264</f>
        <v>59.627262880000004</v>
      </c>
      <c r="L90" s="866">
        <f>'MOD-Berechnungen'!L13+'MOD-Berechnungen'!L14+'MOD-Berechnungen'!L15+'MOD-Berechnungen'!L254+'MOD-Berechnungen'!L264</f>
        <v>51.839079399999996</v>
      </c>
      <c r="M90" s="866">
        <f>'MOD-Berechnungen'!M13+'MOD-Berechnungen'!M14+'MOD-Berechnungen'!M15+'MOD-Berechnungen'!M254+'MOD-Berechnungen'!M264</f>
        <v>65.006944879999992</v>
      </c>
      <c r="N90" s="866">
        <f>'MOD-Berechnungen'!N13+'MOD-Berechnungen'!N14+'MOD-Berechnungen'!N15+'MOD-Berechnungen'!N254+'MOD-Berechnungen'!N264</f>
        <v>66.452068027500005</v>
      </c>
      <c r="O90" s="866">
        <f>'MOD-Berechnungen'!O13+'MOD-Berechnungen'!O14+'MOD-Berechnungen'!O15+'MOD-Berechnungen'!O254+'MOD-Berechnungen'!O264</f>
        <v>78.042278805397501</v>
      </c>
      <c r="P90" s="866">
        <f>'MOD-Berechnungen'!P13+'MOD-Berechnungen'!P14+'MOD-Berechnungen'!P15+'MOD-Berechnungen'!P254+'MOD-Berechnungen'!P264</f>
        <v>78.273220376757692</v>
      </c>
      <c r="Q90" s="866">
        <f>'MOD-Berechnungen'!Q13+'MOD-Berechnungen'!Q14+'MOD-Berechnungen'!Q15+'MOD-Berechnungen'!Q254+'MOD-Berechnungen'!Q264</f>
        <v>74.167102044387548</v>
      </c>
      <c r="R90" s="866">
        <f>'MOD-Berechnungen'!R13+'MOD-Berechnungen'!R14+'MOD-Berechnungen'!R15+'MOD-Berechnungen'!R254+'MOD-Berechnungen'!R264</f>
        <v>65.398206385582483</v>
      </c>
      <c r="S90" s="866">
        <f>'MOD-Berechnungen'!S13+'MOD-Berechnungen'!S14+'MOD-Berechnungen'!S15+'MOD-Berechnungen'!S254+'MOD-Berechnungen'!S264</f>
        <v>64.285769508790366</v>
      </c>
      <c r="T90" s="866">
        <f>'MOD-Berechnungen'!T13+'MOD-Berechnungen'!T14+'MOD-Berechnungen'!T15+'MOD-Berechnungen'!T254+'MOD-Berechnungen'!T264</f>
        <v>65.310584466178042</v>
      </c>
      <c r="U90" s="866">
        <f>'MOD-Berechnungen'!U13+'MOD-Berechnungen'!U14+'MOD-Berechnungen'!U15+'MOD-Berechnungen'!U254+'MOD-Berechnungen'!U264</f>
        <v>66.317422700605277</v>
      </c>
      <c r="V90" s="866">
        <f>'MOD-Berechnungen'!V13+'MOD-Berechnungen'!V14+'MOD-Berechnungen'!V15+'MOD-Berechnungen'!V254+'MOD-Berechnungen'!V264</f>
        <v>67.312574710915356</v>
      </c>
      <c r="W90" s="866">
        <f>'MOD-Berechnungen'!W13+'MOD-Berechnungen'!W14+'MOD-Berechnungen'!W15+'MOD-Berechnungen'!W254+'MOD-Berechnungen'!W264</f>
        <v>67.68860668894321</v>
      </c>
      <c r="X90" s="866">
        <f>'MOD-Berechnungen'!X13+'MOD-Berechnungen'!X14+'MOD-Berechnungen'!X15+'MOD-Berechnungen'!X254+'MOD-Berechnungen'!X264</f>
        <v>67.830075371787061</v>
      </c>
      <c r="Y90" s="866">
        <f>'MOD-Berechnungen'!Y13+'MOD-Berechnungen'!Y14+'MOD-Berechnungen'!Y15+'MOD-Berechnungen'!Y254+'MOD-Berechnungen'!Y264</f>
        <v>67.835596719728798</v>
      </c>
      <c r="Z90" s="866">
        <f>'MOD-Berechnungen'!Z13+'MOD-Berechnungen'!Z14+'MOD-Berechnungen'!Z15+'MOD-Berechnungen'!Z254+'MOD-Berechnungen'!Z264</f>
        <v>67.68117193528748</v>
      </c>
      <c r="AA90" s="866">
        <f>'MOD-Berechnungen'!AA13+'MOD-Berechnungen'!AA14+'MOD-Berechnungen'!AA15+'MOD-Berechnungen'!AA254+'MOD-Berechnungen'!AA264</f>
        <v>67.522297814067798</v>
      </c>
      <c r="AB90" s="866">
        <f>'MOD-Berechnungen'!AB13+'MOD-Berechnungen'!AB14+'MOD-Berechnungen'!AB15+'MOD-Berechnungen'!AB254+'MOD-Berechnungen'!AB264</f>
        <v>67.358313838707858</v>
      </c>
      <c r="AC90" s="866">
        <f>'MOD-Berechnungen'!AC13+'MOD-Berechnungen'!AC14+'MOD-Berechnungen'!AC15+'MOD-Berechnungen'!AC254+'MOD-Berechnungen'!AC264</f>
        <v>67.43245552771279</v>
      </c>
      <c r="AD90" s="866">
        <f>'MOD-Berechnungen'!AD13+'MOD-Berechnungen'!AD14+'MOD-Berechnungen'!AD15+'MOD-Berechnungen'!AD254+'MOD-Berechnungen'!AD264</f>
        <v>67.584712550171901</v>
      </c>
      <c r="AE90" s="872">
        <f>'MOD-Berechnungen'!AE13+'MOD-Berechnungen'!AE14+'MOD-Berechnungen'!AE15+'MOD-Berechnungen'!AE254+'MOD-Berechnungen'!AE264</f>
        <v>67.842044825430818</v>
      </c>
      <c r="AF90" s="939"/>
      <c r="AG90" s="939"/>
      <c r="AH90" s="567"/>
    </row>
    <row r="91" spans="1:34" s="301" customFormat="1">
      <c r="A91" s="561">
        <v>91</v>
      </c>
      <c r="AF91" s="939"/>
      <c r="AG91" s="939"/>
      <c r="AH91" s="567"/>
    </row>
    <row r="92" spans="1:34" s="301" customFormat="1">
      <c r="A92" s="561">
        <v>92</v>
      </c>
      <c r="E92" s="619" t="s">
        <v>509</v>
      </c>
      <c r="F92" s="873">
        <f>F225</f>
        <v>0.17956606533398342</v>
      </c>
      <c r="G92" s="874">
        <f t="shared" ref="G92:AE92" si="5">G225</f>
        <v>0.20889978081740276</v>
      </c>
      <c r="H92" s="874">
        <f t="shared" si="5"/>
        <v>0.22202076099489373</v>
      </c>
      <c r="I92" s="874">
        <f t="shared" si="5"/>
        <v>0.25922769498261294</v>
      </c>
      <c r="J92" s="874">
        <f t="shared" si="5"/>
        <v>0.28309799017205339</v>
      </c>
      <c r="K92" s="874">
        <f t="shared" ca="1" si="5"/>
        <v>0.30059636757838554</v>
      </c>
      <c r="L92" s="874">
        <f t="shared" ca="1" si="5"/>
        <v>0.32800036950342748</v>
      </c>
      <c r="M92" s="874">
        <f t="shared" ca="1" si="5"/>
        <v>0.34547588818223213</v>
      </c>
      <c r="N92" s="874">
        <f t="shared" ca="1" si="5"/>
        <v>0.37587892392510169</v>
      </c>
      <c r="O92" s="874">
        <f t="shared" ca="1" si="5"/>
        <v>0.39575235855942015</v>
      </c>
      <c r="P92" s="874">
        <f t="shared" ca="1" si="5"/>
        <v>0.41050394895058645</v>
      </c>
      <c r="Q92" s="874">
        <f t="shared" ca="1" si="5"/>
        <v>0.4325342394860715</v>
      </c>
      <c r="R92" s="874">
        <f t="shared" ca="1" si="5"/>
        <v>0.46571829833782635</v>
      </c>
      <c r="S92" s="874">
        <f t="shared" ca="1" si="5"/>
        <v>0.50142246529592194</v>
      </c>
      <c r="T92" s="874">
        <f t="shared" ca="1" si="5"/>
        <v>0.532142255999694</v>
      </c>
      <c r="U92" s="874">
        <f t="shared" ca="1" si="5"/>
        <v>0.56203262172263801</v>
      </c>
      <c r="V92" s="874">
        <f t="shared" ca="1" si="5"/>
        <v>0.58528520305834397</v>
      </c>
      <c r="W92" s="874">
        <f t="shared" ca="1" si="5"/>
        <v>0.5779596122645192</v>
      </c>
      <c r="X92" s="874">
        <f t="shared" ca="1" si="5"/>
        <v>0.56791967004725596</v>
      </c>
      <c r="Y92" s="874">
        <f t="shared" ca="1" si="5"/>
        <v>0.56209177842234381</v>
      </c>
      <c r="Z92" s="874">
        <f t="shared" ca="1" si="5"/>
        <v>0.55575636455364708</v>
      </c>
      <c r="AA92" s="874">
        <f t="shared" ca="1" si="5"/>
        <v>0.54867747835100678</v>
      </c>
      <c r="AB92" s="874">
        <f t="shared" ca="1" si="5"/>
        <v>0.53761406817443358</v>
      </c>
      <c r="AC92" s="874">
        <f t="shared" ca="1" si="5"/>
        <v>0.53402881396106749</v>
      </c>
      <c r="AD92" s="874">
        <f t="shared" ca="1" si="5"/>
        <v>0.53106744125023231</v>
      </c>
      <c r="AE92" s="875">
        <f t="shared" ca="1" si="5"/>
        <v>0.5210230381623282</v>
      </c>
      <c r="AF92" s="939" t="s">
        <v>510</v>
      </c>
      <c r="AG92" s="939"/>
      <c r="AH92" s="567"/>
    </row>
    <row r="93" spans="1:34" s="301" customFormat="1">
      <c r="A93" s="561">
        <v>93</v>
      </c>
      <c r="AF93" s="939"/>
      <c r="AG93" s="939"/>
      <c r="AH93" s="567"/>
    </row>
    <row r="94" spans="1:34" s="301" customFormat="1">
      <c r="A94" s="561">
        <v>94</v>
      </c>
      <c r="C94" s="10"/>
      <c r="D94" s="29"/>
      <c r="E94" s="36"/>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939"/>
      <c r="AG94" s="939"/>
      <c r="AH94" s="567"/>
    </row>
    <row r="95" spans="1:34" s="301" customFormat="1">
      <c r="A95" s="561">
        <v>95</v>
      </c>
      <c r="C95" s="10"/>
      <c r="D95" s="29"/>
      <c r="E95" s="199" t="s">
        <v>473</v>
      </c>
      <c r="G95" s="331"/>
      <c r="H95" s="331"/>
      <c r="I95" s="331"/>
      <c r="J95" s="331"/>
      <c r="K95" s="331"/>
      <c r="L95" s="524"/>
      <c r="M95" s="331"/>
      <c r="N95" s="331"/>
      <c r="O95" s="331"/>
      <c r="P95" s="331"/>
      <c r="Q95" s="331"/>
      <c r="R95" s="331"/>
      <c r="S95" s="331"/>
      <c r="T95" s="331"/>
      <c r="U95" s="331"/>
      <c r="V95" s="331"/>
      <c r="W95" s="331"/>
      <c r="X95" s="331"/>
      <c r="Y95" s="331"/>
      <c r="Z95" s="331"/>
      <c r="AA95" s="331"/>
      <c r="AB95" s="331"/>
      <c r="AC95" s="331"/>
      <c r="AD95" s="331"/>
      <c r="AE95" s="331"/>
      <c r="AF95" s="939"/>
      <c r="AG95" s="939"/>
      <c r="AH95" s="567"/>
    </row>
    <row r="96" spans="1:34" s="301" customFormat="1" ht="25.5">
      <c r="A96" s="561">
        <v>96</v>
      </c>
      <c r="C96" s="10"/>
      <c r="D96" s="29"/>
      <c r="E96" s="521" t="s">
        <v>478</v>
      </c>
      <c r="F96" s="100">
        <f>'MOD-Berechnungen'!F365/'MOD-Berechnungen'!F$186*100</f>
        <v>0</v>
      </c>
      <c r="G96" s="100">
        <f>'MOD-Berechnungen'!G365/'MOD-Berechnungen'!G$186*100</f>
        <v>0</v>
      </c>
      <c r="H96" s="100">
        <f>'MOD-Berechnungen'!H365/'MOD-Berechnungen'!H$186*100</f>
        <v>0</v>
      </c>
      <c r="I96" s="100">
        <f>'MOD-Berechnungen'!I365/'MOD-Berechnungen'!I$186*100</f>
        <v>0</v>
      </c>
      <c r="J96" s="100">
        <f>'MOD-Berechnungen'!J365/'MOD-Berechnungen'!J$186*100</f>
        <v>0</v>
      </c>
      <c r="K96" s="100">
        <f>'MOD-Berechnungen'!K365/'MOD-Berechnungen'!K$186*100</f>
        <v>0.34674016946025665</v>
      </c>
      <c r="L96" s="100">
        <f>'MOD-Berechnungen'!L365/'MOD-Berechnungen'!L$186*100</f>
        <v>0.90519305019850904</v>
      </c>
      <c r="M96" s="100">
        <f>'MOD-Berechnungen'!M365/'MOD-Berechnungen'!M$186*100</f>
        <v>1.4807367349706839</v>
      </c>
      <c r="N96" s="100">
        <f>'MOD-Berechnungen'!N365/'MOD-Berechnungen'!N$186*100</f>
        <v>1.9749077089706597</v>
      </c>
      <c r="O96" s="100">
        <f>'MOD-Berechnungen'!O365/'MOD-Berechnungen'!O$186*100</f>
        <v>2.3677034569835729</v>
      </c>
      <c r="P96" s="100">
        <f>'MOD-Berechnungen'!P365/'MOD-Berechnungen'!P$186*100</f>
        <v>2.6768361668385245</v>
      </c>
      <c r="Q96" s="100">
        <f>'MOD-Berechnungen'!Q365/'MOD-Berechnungen'!Q$186*100</f>
        <v>2.9804641048759821</v>
      </c>
      <c r="R96" s="100">
        <f>'MOD-Berechnungen'!R365/'MOD-Berechnungen'!R$186*100</f>
        <v>3.1533029559337367</v>
      </c>
      <c r="S96" s="100">
        <f>'MOD-Berechnungen'!S365/'MOD-Berechnungen'!S$186*100</f>
        <v>3.5710484771982873</v>
      </c>
      <c r="T96" s="100">
        <f>'MOD-Berechnungen'!T365/'MOD-Berechnungen'!T$186*100</f>
        <v>3.7672126822130898</v>
      </c>
      <c r="U96" s="100">
        <f>'MOD-Berechnungen'!U365/'MOD-Berechnungen'!U$186*100</f>
        <v>4.1168239747561106</v>
      </c>
      <c r="V96" s="100">
        <f>'MOD-Berechnungen'!V365/'MOD-Berechnungen'!V$186*100</f>
        <v>4.3885721339349075</v>
      </c>
      <c r="W96" s="100">
        <f>'MOD-Berechnungen'!W365/'MOD-Berechnungen'!W$186*100</f>
        <v>4.153998612926137</v>
      </c>
      <c r="X96" s="100">
        <f>'MOD-Berechnungen'!X365/'MOD-Berechnungen'!X$186*100</f>
        <v>4.0504469141749402</v>
      </c>
      <c r="Y96" s="100">
        <f>'MOD-Berechnungen'!Y365/'MOD-Berechnungen'!Y$186*100</f>
        <v>3.9288741526661854</v>
      </c>
      <c r="Z96" s="100">
        <f>'MOD-Berechnungen'!Z365/'MOD-Berechnungen'!Z$186*100</f>
        <v>3.9069620929635396</v>
      </c>
      <c r="AA96" s="100">
        <f>'MOD-Berechnungen'!AA365/'MOD-Berechnungen'!AA$186*100</f>
        <v>3.903461373453601</v>
      </c>
      <c r="AB96" s="100">
        <f>'MOD-Berechnungen'!AB365/'MOD-Berechnungen'!AB$186*100</f>
        <v>3.9028524983731163</v>
      </c>
      <c r="AC96" s="100">
        <f>'MOD-Berechnungen'!AC365/'MOD-Berechnungen'!AC$186*100</f>
        <v>3.9015181461490531</v>
      </c>
      <c r="AD96" s="100">
        <f>'MOD-Berechnungen'!AD365/'MOD-Berechnungen'!AD$186*100</f>
        <v>3.8361792650591706</v>
      </c>
      <c r="AE96" s="591">
        <f>'MOD-Berechnungen'!AE365/'MOD-Berechnungen'!AE$186*100</f>
        <v>3.7870767940382737</v>
      </c>
      <c r="AF96" s="939"/>
      <c r="AG96" s="939"/>
      <c r="AH96" s="567"/>
    </row>
    <row r="97" spans="1:34" s="301" customFormat="1" ht="38.25">
      <c r="A97" s="561">
        <v>97</v>
      </c>
      <c r="C97" s="10"/>
      <c r="D97" s="29"/>
      <c r="E97" s="495" t="s">
        <v>373</v>
      </c>
      <c r="F97" s="101">
        <f>-'MOD-Berechnungen'!F366/'MOD-Berechnungen'!F$186*100</f>
        <v>-1.1143275278744671</v>
      </c>
      <c r="G97" s="101">
        <f>-'MOD-Berechnungen'!G366/'MOD-Berechnungen'!G$186*100</f>
        <v>-1.1481771217342542</v>
      </c>
      <c r="H97" s="101">
        <f>-'MOD-Berechnungen'!H366/'MOD-Berechnungen'!H$186*100</f>
        <v>-1.4749351709875336</v>
      </c>
      <c r="I97" s="101">
        <f>-'MOD-Berechnungen'!I366/'MOD-Berechnungen'!I$186*100</f>
        <v>-1.6337029152159672</v>
      </c>
      <c r="J97" s="101">
        <f>-'MOD-Berechnungen'!J366/'MOD-Berechnungen'!J$186*100</f>
        <v>-1.4657694443600116</v>
      </c>
      <c r="K97" s="101">
        <f>-'MOD-Berechnungen'!K366/'MOD-Berechnungen'!K$186*100</f>
        <v>-1.4327617618396029</v>
      </c>
      <c r="L97" s="101">
        <f>-'MOD-Berechnungen'!L366/'MOD-Berechnungen'!L$186*100</f>
        <v>-1.409457795327492</v>
      </c>
      <c r="M97" s="101">
        <f>-'MOD-Berechnungen'!M366/'MOD-Berechnungen'!M$186*100</f>
        <v>-1.3269671439911248</v>
      </c>
      <c r="N97" s="101">
        <f>-'MOD-Berechnungen'!N366/'MOD-Berechnungen'!N$186*100</f>
        <v>-1.6102913072213689</v>
      </c>
      <c r="O97" s="101">
        <f>-'MOD-Berechnungen'!O366/'MOD-Berechnungen'!O$186*100</f>
        <v>-2.2003317493481238</v>
      </c>
      <c r="P97" s="101">
        <f>-'MOD-Berechnungen'!P366/'MOD-Berechnungen'!P$186*100</f>
        <v>-2.5394781566597135</v>
      </c>
      <c r="Q97" s="101">
        <f>-'MOD-Berechnungen'!Q366/'MOD-Berechnungen'!Q$186*100</f>
        <v>-2.0923655388120102</v>
      </c>
      <c r="R97" s="101">
        <f>-'MOD-Berechnungen'!R366/'MOD-Berechnungen'!R$186*100</f>
        <v>-3.882747883441668</v>
      </c>
      <c r="S97" s="101">
        <f>-'MOD-Berechnungen'!S366/'MOD-Berechnungen'!S$186*100</f>
        <v>-5.6634552683789519</v>
      </c>
      <c r="T97" s="101">
        <f>-'MOD-Berechnungen'!T366/'MOD-Berechnungen'!T$186*100</f>
        <v>-4.9219952117284622</v>
      </c>
      <c r="U97" s="101">
        <f>-'MOD-Berechnungen'!U366/'MOD-Berechnungen'!U$186*100</f>
        <v>-4.8825158422907089</v>
      </c>
      <c r="V97" s="101">
        <f>-'MOD-Berechnungen'!V366/'MOD-Berechnungen'!V$186*100</f>
        <v>-4.9969386513938971</v>
      </c>
      <c r="W97" s="101">
        <f>-'MOD-Berechnungen'!W366/'MOD-Berechnungen'!W$186*100</f>
        <v>-4.6731781178572636</v>
      </c>
      <c r="X97" s="101">
        <f>-'MOD-Berechnungen'!X366/'MOD-Berechnungen'!X$186*100</f>
        <v>-4.3466376723096225</v>
      </c>
      <c r="Y97" s="101">
        <f>-'MOD-Berechnungen'!Y366/'MOD-Berechnungen'!Y$186*100</f>
        <v>-4.0925240406859116</v>
      </c>
      <c r="Z97" s="101">
        <f>-'MOD-Berechnungen'!Z366/'MOD-Berechnungen'!Z$186*100</f>
        <v>-3.7943182309391652</v>
      </c>
      <c r="AA97" s="101">
        <f>-'MOD-Berechnungen'!AA366/'MOD-Berechnungen'!AA$186*100</f>
        <v>-3.4996264464321594</v>
      </c>
      <c r="AB97" s="101">
        <f>-'MOD-Berechnungen'!AB366/'MOD-Berechnungen'!AB$186*100</f>
        <v>-3.169108338634762</v>
      </c>
      <c r="AC97" s="101">
        <f>-'MOD-Berechnungen'!AC366/'MOD-Berechnungen'!AC$186*100</f>
        <v>-2.927604733859503</v>
      </c>
      <c r="AD97" s="101">
        <f>-'MOD-Berechnungen'!AD366/'MOD-Berechnungen'!AD$186*100</f>
        <v>-2.7205283517379422</v>
      </c>
      <c r="AE97" s="592">
        <f>-'MOD-Berechnungen'!AE366/'MOD-Berechnungen'!AE$186*100</f>
        <v>-2.4766573974023509</v>
      </c>
      <c r="AF97" s="939"/>
      <c r="AG97" s="939"/>
      <c r="AH97" s="567"/>
    </row>
    <row r="98" spans="1:34" s="301" customFormat="1">
      <c r="A98" s="561">
        <v>98</v>
      </c>
      <c r="C98" s="10"/>
      <c r="D98" s="29"/>
      <c r="E98" s="16" t="s">
        <v>75</v>
      </c>
      <c r="F98" s="101">
        <f>'MOD-Berechnungen'!F381/'MOD-Berechnungen'!F$186*100</f>
        <v>0</v>
      </c>
      <c r="G98" s="101">
        <f>'MOD-Berechnungen'!G381/'MOD-Berechnungen'!G$186*100</f>
        <v>0</v>
      </c>
      <c r="H98" s="101">
        <f>'MOD-Berechnungen'!H381/'MOD-Berechnungen'!H$186*100</f>
        <v>9.9363640268897269E-2</v>
      </c>
      <c r="I98" s="101">
        <f>'MOD-Berechnungen'!I381/'MOD-Berechnungen'!I$186*100</f>
        <v>0.41882948767683209</v>
      </c>
      <c r="J98" s="101">
        <f>'MOD-Berechnungen'!J381/'MOD-Berechnungen'!J$186*100</f>
        <v>0.51450044762037139</v>
      </c>
      <c r="K98" s="101">
        <f>'MOD-Berechnungen'!K381/'MOD-Berechnungen'!K$186*100</f>
        <v>0.59588029975693935</v>
      </c>
      <c r="L98" s="101">
        <f>'MOD-Berechnungen'!L381/'MOD-Berechnungen'!L$186*100</f>
        <v>0.63917545747264604</v>
      </c>
      <c r="M98" s="101">
        <f>'MOD-Berechnungen'!M381/'MOD-Berechnungen'!M$186*100</f>
        <v>0.41973237987297907</v>
      </c>
      <c r="N98" s="101">
        <f>'MOD-Berechnungen'!N381/'MOD-Berechnungen'!N$186*100</f>
        <v>0.43715441640493991</v>
      </c>
      <c r="O98" s="101">
        <f>'MOD-Berechnungen'!O381/'MOD-Berechnungen'!O$186*100</f>
        <v>0.42091884484027542</v>
      </c>
      <c r="P98" s="101">
        <f>'MOD-Berechnungen'!P381/'MOD-Berechnungen'!P$186*100</f>
        <v>0.54619830175326833</v>
      </c>
      <c r="Q98" s="101">
        <f>'MOD-Berechnungen'!Q381/'MOD-Berechnungen'!Q$186*100</f>
        <v>0.76861898320156619</v>
      </c>
      <c r="R98" s="101">
        <f>'MOD-Berechnungen'!R381/'MOD-Berechnungen'!R$186*100</f>
        <v>0.28324012362832324</v>
      </c>
      <c r="S98" s="101">
        <f>'MOD-Berechnungen'!S381/'MOD-Berechnungen'!S$186*100</f>
        <v>0.27137385813731224</v>
      </c>
      <c r="T98" s="101">
        <f>'MOD-Berechnungen'!T381/'MOD-Berechnungen'!T$186*100</f>
        <v>0.31991132938767008</v>
      </c>
      <c r="U98" s="101">
        <f>'MOD-Berechnungen'!U381/'MOD-Berechnungen'!U$186*100</f>
        <v>0.32502284748188753</v>
      </c>
      <c r="V98" s="101">
        <f>'MOD-Berechnungen'!V381/'MOD-Berechnungen'!V$186*100</f>
        <v>0.30703325919733476</v>
      </c>
      <c r="W98" s="101">
        <f>'MOD-Berechnungen'!W381/'MOD-Berechnungen'!W$186*100</f>
        <v>0.26508662572377822</v>
      </c>
      <c r="X98" s="101">
        <f>'MOD-Berechnungen'!X381/'MOD-Berechnungen'!X$186*100</f>
        <v>0.23584016269154762</v>
      </c>
      <c r="Y98" s="101">
        <f>'MOD-Berechnungen'!Y381/'MOD-Berechnungen'!Y$186*100</f>
        <v>0.20883734887461067</v>
      </c>
      <c r="Z98" s="101">
        <f>'MOD-Berechnungen'!Z381/'MOD-Berechnungen'!Z$186*100</f>
        <v>0.17646599069671065</v>
      </c>
      <c r="AA98" s="101">
        <f>'MOD-Berechnungen'!AA381/'MOD-Berechnungen'!AA$186*100</f>
        <v>0.13698930152597238</v>
      </c>
      <c r="AB98" s="101">
        <f>'MOD-Berechnungen'!AB381/'MOD-Berechnungen'!AB$186*100</f>
        <v>0.10440782149466275</v>
      </c>
      <c r="AC98" s="101">
        <f>'MOD-Berechnungen'!AC381/'MOD-Berechnungen'!AC$186*100</f>
        <v>8.9113700777496918E-2</v>
      </c>
      <c r="AD98" s="101">
        <f>'MOD-Berechnungen'!AD381/'MOD-Berechnungen'!AD$186*100</f>
        <v>8.5140064233752394E-2</v>
      </c>
      <c r="AE98" s="592">
        <f>'MOD-Berechnungen'!AE381/'MOD-Berechnungen'!AE$186*100</f>
        <v>8.6857413255096716E-2</v>
      </c>
      <c r="AF98" s="939"/>
      <c r="AG98" s="939"/>
      <c r="AH98" s="567"/>
    </row>
    <row r="99" spans="1:34" s="301" customFormat="1">
      <c r="A99" s="561">
        <v>99</v>
      </c>
      <c r="C99" s="10"/>
      <c r="D99" s="29"/>
      <c r="E99" s="16" t="s">
        <v>604</v>
      </c>
      <c r="F99" s="101">
        <f>-'MOD-Berechnungen'!F382/'MOD-Berechnungen'!F$186*100</f>
        <v>0</v>
      </c>
      <c r="G99" s="101">
        <f>-'MOD-Berechnungen'!G382/'MOD-Berechnungen'!G$186*100</f>
        <v>0.27301911687690317</v>
      </c>
      <c r="H99" s="101">
        <f>-'MOD-Berechnungen'!H382/'MOD-Berechnungen'!H$186*100</f>
        <v>0.18051501743452761</v>
      </c>
      <c r="I99" s="101">
        <f>-'MOD-Berechnungen'!I382/'MOD-Berechnungen'!I$186*100</f>
        <v>0.66987563555484619</v>
      </c>
      <c r="J99" s="101">
        <f>-'MOD-Berechnungen'!J382/'MOD-Berechnungen'!J$186*100</f>
        <v>0.580495076175914</v>
      </c>
      <c r="K99" s="101">
        <f>-'MOD-Berechnungen'!K382/'MOD-Berechnungen'!K$186*100</f>
        <v>-0.38511260956194937</v>
      </c>
      <c r="L99" s="101">
        <f>-'MOD-Berechnungen'!L382/'MOD-Berechnungen'!L$186*100</f>
        <v>-0.69266139247521119</v>
      </c>
      <c r="M99" s="101">
        <f>-'MOD-Berechnungen'!M382/'MOD-Berechnungen'!M$186*100</f>
        <v>-0.55504560755227295</v>
      </c>
      <c r="N99" s="101">
        <f>-'MOD-Berechnungen'!N382/'MOD-Berechnungen'!N$186*100</f>
        <v>-0.94425652016355122</v>
      </c>
      <c r="O99" s="101">
        <f>-'MOD-Berechnungen'!O382/'MOD-Berechnungen'!O$186*100</f>
        <v>-1.0296510992816279</v>
      </c>
      <c r="P99" s="101">
        <f>-'MOD-Berechnungen'!P382/'MOD-Berechnungen'!P$186*100</f>
        <v>-0.61556075984894099</v>
      </c>
      <c r="Q99" s="101">
        <f>-'MOD-Berechnungen'!Q382/'MOD-Berechnungen'!Q$186*100</f>
        <v>1.184837164735316</v>
      </c>
      <c r="R99" s="101">
        <f>-'MOD-Berechnungen'!R382/'MOD-Berechnungen'!R$186*100</f>
        <v>-1.2975310154828803</v>
      </c>
      <c r="S99" s="101">
        <f ca="1">-'MOD-Berechnungen'!S382/'MOD-Berechnungen'!S$186*100</f>
        <v>-1.6854955075627092</v>
      </c>
      <c r="T99" s="101">
        <f ca="1">-'MOD-Berechnungen'!T382/'MOD-Berechnungen'!T$186*100</f>
        <v>-0.27431059377937422</v>
      </c>
      <c r="U99" s="101">
        <f ca="1">-'MOD-Berechnungen'!U382/'MOD-Berechnungen'!U$186*100</f>
        <v>-0.32298219897446123</v>
      </c>
      <c r="V99" s="101">
        <f ca="1">-'MOD-Berechnungen'!V382/'MOD-Berechnungen'!V$186*100</f>
        <v>-0.32696418981196645</v>
      </c>
      <c r="W99" s="101">
        <f ca="1">-'MOD-Berechnungen'!W382/'MOD-Berechnungen'!W$186*100</f>
        <v>-0.28865975341303451</v>
      </c>
      <c r="X99" s="101">
        <f ca="1">-'MOD-Berechnungen'!X382/'MOD-Berechnungen'!X$186*100</f>
        <v>-0.25003265451330225</v>
      </c>
      <c r="Y99" s="101">
        <f ca="1">-'MOD-Berechnungen'!Y382/'MOD-Berechnungen'!Y$186*100</f>
        <v>-0.22309207236024953</v>
      </c>
      <c r="Z99" s="101">
        <f ca="1">-'MOD-Berechnungen'!Z382/'MOD-Berechnungen'!Z$186*100</f>
        <v>-0.19805382500983618</v>
      </c>
      <c r="AA99" s="101">
        <f ca="1">-'MOD-Berechnungen'!AA382/'MOD-Berechnungen'!AA$186*100</f>
        <v>-0.1677994760769958</v>
      </c>
      <c r="AB99" s="101">
        <f ca="1">-'MOD-Berechnungen'!AB382/'MOD-Berechnungen'!AB$186*100</f>
        <v>-0.1305748827088945</v>
      </c>
      <c r="AC99" s="101">
        <f ca="1">-'MOD-Berechnungen'!AC382/'MOD-Berechnungen'!AC$186*100</f>
        <v>-9.9785312558395664E-2</v>
      </c>
      <c r="AD99" s="101">
        <f ca="1">-'MOD-Berechnungen'!AD382/'MOD-Berechnungen'!AD$186*100</f>
        <v>-8.5348310332645963E-2</v>
      </c>
      <c r="AE99" s="592">
        <f ca="1">-'MOD-Berechnungen'!AE382/'MOD-Berechnungen'!AE$186*100</f>
        <v>-8.1704299509258851E-2</v>
      </c>
      <c r="AF99" s="939"/>
      <c r="AG99" s="939"/>
      <c r="AH99" s="567"/>
    </row>
    <row r="100" spans="1:34" s="301" customFormat="1">
      <c r="A100" s="561">
        <v>99</v>
      </c>
      <c r="C100" s="10"/>
      <c r="D100" s="29"/>
      <c r="E100" s="16" t="s">
        <v>871</v>
      </c>
      <c r="F100" s="101">
        <f>-'MOD-Berechnungen'!F383/'MOD-Berechnungen'!F$186*100</f>
        <v>0</v>
      </c>
      <c r="G100" s="101">
        <f>-'MOD-Berechnungen'!G383/'MOD-Berechnungen'!G$186*100</f>
        <v>0</v>
      </c>
      <c r="H100" s="101">
        <f>-'MOD-Berechnungen'!H383/'MOD-Berechnungen'!H$186*100</f>
        <v>0</v>
      </c>
      <c r="I100" s="101">
        <f>-'MOD-Berechnungen'!I383/'MOD-Berechnungen'!I$186*100</f>
        <v>0</v>
      </c>
      <c r="J100" s="101">
        <f>-'MOD-Berechnungen'!J383/'MOD-Berechnungen'!J$186*100</f>
        <v>0</v>
      </c>
      <c r="K100" s="101">
        <f>-'MOD-Berechnungen'!K383/'MOD-Berechnungen'!K$186*100</f>
        <v>0</v>
      </c>
      <c r="L100" s="101">
        <f>-'MOD-Berechnungen'!L383/'MOD-Berechnungen'!L$186*100</f>
        <v>0</v>
      </c>
      <c r="M100" s="101">
        <f>-'MOD-Berechnungen'!M383/'MOD-Berechnungen'!M$186*100</f>
        <v>0</v>
      </c>
      <c r="N100" s="101">
        <f>-'MOD-Berechnungen'!N383/'MOD-Berechnungen'!N$186*100</f>
        <v>0</v>
      </c>
      <c r="O100" s="101">
        <f>-'MOD-Berechnungen'!O383/'MOD-Berechnungen'!O$186*100</f>
        <v>0</v>
      </c>
      <c r="P100" s="101">
        <f>-'MOD-Berechnungen'!P383/'MOD-Berechnungen'!P$186*100</f>
        <v>0</v>
      </c>
      <c r="Q100" s="101">
        <f>-'MOD-Berechnungen'!Q383/'MOD-Berechnungen'!Q$186*100</f>
        <v>-3.1360306162356211</v>
      </c>
      <c r="R100" s="101">
        <f>-'MOD-Berechnungen'!R383/'MOD-Berechnungen'!R$186*100</f>
        <v>-0.92742880856456678</v>
      </c>
      <c r="S100" s="101">
        <f>-'MOD-Berechnungen'!S383/'MOD-Berechnungen'!S$186*100</f>
        <v>-0.88154154979975385</v>
      </c>
      <c r="T100" s="101">
        <f>-'MOD-Berechnungen'!T383/'MOD-Berechnungen'!T$186*100</f>
        <v>-1.3797388765156033</v>
      </c>
      <c r="U100" s="101">
        <f>-'MOD-Berechnungen'!U383/'MOD-Berechnungen'!U$186*100</f>
        <v>-1.8863313701926339</v>
      </c>
      <c r="V100" s="101">
        <f>-'MOD-Berechnungen'!V383/'MOD-Berechnungen'!V$186*100</f>
        <v>-1.7516292151349633</v>
      </c>
      <c r="W100" s="101">
        <f>-'MOD-Berechnungen'!W383/'MOD-Berechnungen'!W$186*100</f>
        <v>-1.6468080970568528</v>
      </c>
      <c r="X100" s="101">
        <f>-'MOD-Berechnungen'!X383/'MOD-Berechnungen'!X$186*100</f>
        <v>-1.5532877181445466</v>
      </c>
      <c r="Y100" s="101">
        <f>-'MOD-Berechnungen'!Y383/'MOD-Berechnungen'!Y$186*100</f>
        <v>-1.4693263948677264</v>
      </c>
      <c r="Z100" s="101">
        <f>-'MOD-Berechnungen'!Z383/'MOD-Berechnungen'!Z$186*100</f>
        <v>-1.3934562675673046</v>
      </c>
      <c r="AA100" s="101">
        <f>-'MOD-Berechnungen'!AA383/'MOD-Berechnungen'!AA$186*100</f>
        <v>-1.3250214996716538</v>
      </c>
      <c r="AB100" s="101">
        <f>-'MOD-Berechnungen'!AB383/'MOD-Berechnungen'!AB$186*100</f>
        <v>-1.2629783857507084</v>
      </c>
      <c r="AC100" s="101">
        <f>-'MOD-Berechnungen'!AC383/'MOD-Berechnungen'!AC$186*100</f>
        <v>-1.2070618002797318</v>
      </c>
      <c r="AD100" s="101">
        <f>-'MOD-Berechnungen'!AD383/'MOD-Berechnungen'!AD$186*100</f>
        <v>-1.1560588800838096</v>
      </c>
      <c r="AE100" s="592">
        <f>-'MOD-Berechnungen'!AE383/'MOD-Berechnungen'!AE$186*100</f>
        <v>-1.1094069735416157</v>
      </c>
      <c r="AF100" s="939"/>
      <c r="AG100" s="939"/>
      <c r="AH100" s="567"/>
    </row>
    <row r="101" spans="1:34" s="301" customFormat="1" ht="25.5">
      <c r="A101" s="561">
        <v>100</v>
      </c>
      <c r="C101" s="10"/>
      <c r="D101" s="29"/>
      <c r="E101" s="495" t="s">
        <v>475</v>
      </c>
      <c r="F101" s="101">
        <f>('MOD-Berechnungen'!F369+'MOD-Berechnungen'!F367-'MOD-Berechnungen'!F368)/'MOD-Berechnungen'!F$186*100</f>
        <v>1.2621203479080452E-2</v>
      </c>
      <c r="G101" s="101">
        <f>('MOD-Berechnungen'!G369+'MOD-Berechnungen'!G367-'MOD-Berechnungen'!G368)/'MOD-Berechnungen'!G$186*100</f>
        <v>0.21705777646400023</v>
      </c>
      <c r="H101" s="101">
        <f>('MOD-Berechnungen'!H369+'MOD-Berechnungen'!H367-'MOD-Berechnungen'!H368)/'MOD-Berechnungen'!H$186*100</f>
        <v>-2.030389836889188E-2</v>
      </c>
      <c r="I101" s="101">
        <f>('MOD-Berechnungen'!I369+'MOD-Berechnungen'!I367-'MOD-Berechnungen'!I368)/'MOD-Berechnungen'!I$186*100</f>
        <v>-7.6196695631972927E-2</v>
      </c>
      <c r="J101" s="101">
        <f>('MOD-Berechnungen'!J369+'MOD-Berechnungen'!J367-'MOD-Berechnungen'!J368)/'MOD-Berechnungen'!J$186*100</f>
        <v>-7.2646252065796002E-2</v>
      </c>
      <c r="K101" s="101">
        <f>('MOD-Berechnungen'!K369+'MOD-Berechnungen'!K367-'MOD-Berechnungen'!K368)/'MOD-Berechnungen'!K$186*100</f>
        <v>-0.15408249338839253</v>
      </c>
      <c r="L101" s="101">
        <f>('MOD-Berechnungen'!L369+'MOD-Berechnungen'!L367-'MOD-Berechnungen'!L368)/'MOD-Berechnungen'!L$186*100</f>
        <v>-0.19537762018019211</v>
      </c>
      <c r="M101" s="101">
        <f>('MOD-Berechnungen'!M369+'MOD-Berechnungen'!M367-'MOD-Berechnungen'!M368)/'MOD-Berechnungen'!M$186*100</f>
        <v>-0.23261197641055825</v>
      </c>
      <c r="N101" s="101">
        <f>('MOD-Berechnungen'!N369+'MOD-Berechnungen'!N367-'MOD-Berechnungen'!N368)/'MOD-Berechnungen'!N$186*100</f>
        <v>-0.17235341820590774</v>
      </c>
      <c r="O101" s="101">
        <f>('MOD-Berechnungen'!O369+'MOD-Berechnungen'!O367-'MOD-Berechnungen'!O368)/'MOD-Berechnungen'!O$186*100</f>
        <v>-0.13412767068844386</v>
      </c>
      <c r="P101" s="101">
        <f>('MOD-Berechnungen'!P369+'MOD-Berechnungen'!P367-'MOD-Berechnungen'!P368)/'MOD-Berechnungen'!P$186*100</f>
        <v>-8.0443426936161966E-2</v>
      </c>
      <c r="Q101" s="101">
        <f>('MOD-Berechnungen'!Q369+'MOD-Berechnungen'!Q367-'MOD-Berechnungen'!Q368)/'MOD-Berechnungen'!Q$186*100</f>
        <v>-8.278910044952377E-2</v>
      </c>
      <c r="R101" s="101">
        <f>('MOD-Berechnungen'!R369+'MOD-Berechnungen'!R367-'MOD-Berechnungen'!R368)/'MOD-Berechnungen'!R$186*100</f>
        <v>-5.3106405646958163E-2</v>
      </c>
      <c r="S101" s="101">
        <f>('MOD-Berechnungen'!S369+'MOD-Berechnungen'!S367-'MOD-Berechnungen'!S368)/'MOD-Berechnungen'!S$186*100</f>
        <v>-7.0128944737390259E-2</v>
      </c>
      <c r="T101" s="101">
        <f>('MOD-Berechnungen'!T369+'MOD-Berechnungen'!T367-'MOD-Berechnungen'!T368)/'MOD-Berechnungen'!T$186*100</f>
        <v>-7.2173137743076529E-2</v>
      </c>
      <c r="U101" s="101">
        <f>('MOD-Berechnungen'!U369+'MOD-Berechnungen'!U367-'MOD-Berechnungen'!U368)/'MOD-Berechnungen'!U$186*100</f>
        <v>-7.0475794869206645E-2</v>
      </c>
      <c r="V101" s="101">
        <f>('MOD-Berechnungen'!V369+'MOD-Berechnungen'!V367-'MOD-Berechnungen'!V368)/'MOD-Berechnungen'!V$186*100</f>
        <v>-6.7441943850191574E-2</v>
      </c>
      <c r="W101" s="101">
        <f>('MOD-Berechnungen'!W369+'MOD-Berechnungen'!W367-'MOD-Berechnungen'!W368)/'MOD-Berechnungen'!W$186*100</f>
        <v>-5.7824695904141861E-2</v>
      </c>
      <c r="X101" s="101">
        <f>('MOD-Berechnungen'!X369+'MOD-Berechnungen'!X367-'MOD-Berechnungen'!X368)/'MOD-Berechnungen'!X$186*100</f>
        <v>-5.0634240205999839E-2</v>
      </c>
      <c r="Y101" s="101">
        <f>('MOD-Berechnungen'!Y369+'MOD-Berechnungen'!Y367-'MOD-Berechnungen'!Y368)/'MOD-Berechnungen'!Y$186*100</f>
        <v>-4.6785678178503848E-2</v>
      </c>
      <c r="Z101" s="101">
        <f>('MOD-Berechnungen'!Z369+'MOD-Berechnungen'!Z367-'MOD-Berechnungen'!Z368)/'MOD-Berechnungen'!Z$186*100</f>
        <v>-4.1415616307358058E-2</v>
      </c>
      <c r="AA101" s="101">
        <f>('MOD-Berechnungen'!AA369+'MOD-Berechnungen'!AA367-'MOD-Berechnungen'!AA368)/'MOD-Berechnungen'!AA$186*100</f>
        <v>-3.5045833096892812E-2</v>
      </c>
      <c r="AB101" s="101">
        <f>('MOD-Berechnungen'!AB369+'MOD-Berechnungen'!AB367-'MOD-Berechnungen'!AB368)/'MOD-Berechnungen'!AB$186*100</f>
        <v>-2.5722605539340252E-2</v>
      </c>
      <c r="AC101" s="101">
        <f>('MOD-Berechnungen'!AC369+'MOD-Berechnungen'!AC367-'MOD-Berechnungen'!AC368)/'MOD-Berechnungen'!AC$186*100</f>
        <v>-2.3186772064501818E-2</v>
      </c>
      <c r="AD101" s="101">
        <f>('MOD-Berechnungen'!AD369+'MOD-Berechnungen'!AD367-'MOD-Berechnungen'!AD368)/'MOD-Berechnungen'!AD$186*100</f>
        <v>-2.0845143498167591E-2</v>
      </c>
      <c r="AE101" s="592">
        <f>('MOD-Berechnungen'!AE369+'MOD-Berechnungen'!AE367-'MOD-Berechnungen'!AE368)/'MOD-Berechnungen'!AE$186*100</f>
        <v>-1.9852527153369992E-2</v>
      </c>
      <c r="AF101" s="939"/>
      <c r="AG101" s="939" t="s">
        <v>468</v>
      </c>
      <c r="AH101" s="956" t="s">
        <v>476</v>
      </c>
    </row>
    <row r="102" spans="1:34" s="301" customFormat="1">
      <c r="A102" s="561">
        <v>101</v>
      </c>
      <c r="C102" s="10"/>
      <c r="D102" s="29"/>
      <c r="E102" s="305" t="s">
        <v>386</v>
      </c>
      <c r="F102" s="102">
        <f>'MOD-Berechnungen'!F370/'MOD-Berechnungen'!F$186*100</f>
        <v>3.149123966277187</v>
      </c>
      <c r="G102" s="102">
        <f>'MOD-Berechnungen'!G370/'MOD-Berechnungen'!G$186*100</f>
        <v>4.1888003025421927</v>
      </c>
      <c r="H102" s="102">
        <f>'MOD-Berechnungen'!H370/'MOD-Berechnungen'!H$186*100</f>
        <v>4.8064331813660583</v>
      </c>
      <c r="I102" s="102">
        <f>'MOD-Berechnungen'!I370/'MOD-Berechnungen'!I$186*100</f>
        <v>5.8986442334188212</v>
      </c>
      <c r="J102" s="102">
        <f>'MOD-Berechnungen'!J370/'MOD-Berechnungen'!J$186*100</f>
        <v>6.6832122779814043</v>
      </c>
      <c r="K102" s="102">
        <f>'MOD-Berechnungen'!K370/'MOD-Berechnungen'!K$186*100</f>
        <v>7.1886572360120375</v>
      </c>
      <c r="L102" s="102">
        <f>'MOD-Berechnungen'!L370/'MOD-Berechnungen'!L$186*100</f>
        <v>7.0956148314624299</v>
      </c>
      <c r="M102" s="102">
        <f>'MOD-Berechnungen'!M370/'MOD-Berechnungen'!M$186*100</f>
        <v>7.0727015380925158</v>
      </c>
      <c r="N102" s="102">
        <f>'MOD-Berechnungen'!N370/'MOD-Berechnungen'!N$186*100</f>
        <v>7.0900492955319212</v>
      </c>
      <c r="O102" s="102">
        <f>'MOD-Berechnungen'!O370/'MOD-Berechnungen'!O$186*100</f>
        <v>6.982070043724252</v>
      </c>
      <c r="P102" s="102">
        <f>'MOD-Berechnungen'!P370/'MOD-Berechnungen'!P$186*100</f>
        <v>6.7765276396295775</v>
      </c>
      <c r="Q102" s="102">
        <f>'MOD-Berechnungen'!Q370/'MOD-Berechnungen'!Q$186*100</f>
        <v>6.8791381271699699</v>
      </c>
      <c r="R102" s="102">
        <f>'MOD-Berechnungen'!R370/'MOD-Berechnungen'!R$186*100</f>
        <v>6.491299663111799</v>
      </c>
      <c r="S102" s="102">
        <f>'MOD-Berechnungen'!S370/'MOD-Berechnungen'!S$186*100</f>
        <v>6.6854333715399257</v>
      </c>
      <c r="T102" s="102">
        <f>'MOD-Berechnungen'!T370/'MOD-Berechnungen'!T$186*100</f>
        <v>6.5588111570529515</v>
      </c>
      <c r="U102" s="102">
        <f>'MOD-Berechnungen'!U370/'MOD-Berechnungen'!U$186*100</f>
        <v>6.2532151204352653</v>
      </c>
      <c r="V102" s="102">
        <f>'MOD-Berechnungen'!V370/'MOD-Berechnungen'!V$186*100</f>
        <v>5.7930294479314277</v>
      </c>
      <c r="W102" s="102">
        <f>'MOD-Berechnungen'!W370/'MOD-Berechnungen'!W$186*100</f>
        <v>4.9951146295649052</v>
      </c>
      <c r="X102" s="102">
        <f>'MOD-Berechnungen'!X370/'MOD-Berechnungen'!X$186*100</f>
        <v>4.2774943765331415</v>
      </c>
      <c r="Y102" s="102">
        <f>'MOD-Berechnungen'!Y370/'MOD-Berechnungen'!Y$186*100</f>
        <v>3.6910580474417412</v>
      </c>
      <c r="Z102" s="102">
        <f>'MOD-Berechnungen'!Z370/'MOD-Berechnungen'!Z$186*100</f>
        <v>2.8698715992281612</v>
      </c>
      <c r="AA102" s="102">
        <f>'MOD-Berechnungen'!AA370/'MOD-Berechnungen'!AA$186*100</f>
        <v>1.9143659315083248</v>
      </c>
      <c r="AB102" s="102">
        <f>'MOD-Berechnungen'!AB370/'MOD-Berechnungen'!AB$186*100</f>
        <v>1.0321088040453661</v>
      </c>
      <c r="AC102" s="102">
        <f>'MOD-Berechnungen'!AC370/'MOD-Berechnungen'!AC$186*100</f>
        <v>0.53450170606656722</v>
      </c>
      <c r="AD102" s="102">
        <f>'MOD-Berechnungen'!AD370/'MOD-Berechnungen'!AD$186*100</f>
        <v>0.32419530073947944</v>
      </c>
      <c r="AE102" s="593">
        <f>'MOD-Berechnungen'!AE370/'MOD-Berechnungen'!AE$186*100</f>
        <v>0.15705668476905912</v>
      </c>
      <c r="AF102" s="939"/>
      <c r="AG102" s="939" t="s">
        <v>462</v>
      </c>
      <c r="AH102" s="567"/>
    </row>
    <row r="103" spans="1:34" s="301" customFormat="1">
      <c r="A103" s="561">
        <v>102</v>
      </c>
      <c r="C103" s="10"/>
      <c r="D103" s="29"/>
      <c r="E103" s="203" t="s">
        <v>168</v>
      </c>
      <c r="F103" s="103">
        <f t="shared" ref="F103:AE103" si="6">F8</f>
        <v>2.0469999999999997</v>
      </c>
      <c r="G103" s="103">
        <f t="shared" si="6"/>
        <v>3.5300000000000007</v>
      </c>
      <c r="H103" s="103">
        <f t="shared" si="6"/>
        <v>3.5920000000000005</v>
      </c>
      <c r="I103" s="103">
        <f t="shared" si="6"/>
        <v>5.2769999999999992</v>
      </c>
      <c r="J103" s="103">
        <f t="shared" si="6"/>
        <v>6.2399999999999993</v>
      </c>
      <c r="K103" s="103">
        <f t="shared" si="6"/>
        <v>6.1695706877643843</v>
      </c>
      <c r="L103" s="103">
        <f t="shared" si="6"/>
        <v>6.3382686397238945</v>
      </c>
      <c r="M103" s="103">
        <f t="shared" si="6"/>
        <v>6.8602264368703567</v>
      </c>
      <c r="N103" s="103">
        <f t="shared" si="6"/>
        <v>6.7788048363237206</v>
      </c>
      <c r="O103" s="103">
        <f t="shared" si="6"/>
        <v>6.406581826229905</v>
      </c>
      <c r="P103" s="103">
        <f t="shared" si="6"/>
        <v>6.7581163138201807</v>
      </c>
      <c r="Q103" s="103">
        <f t="shared" si="6"/>
        <v>6.5036153637169205</v>
      </c>
      <c r="R103" s="103">
        <f t="shared" si="6"/>
        <v>3.7230827721473405</v>
      </c>
      <c r="S103" s="103">
        <f t="shared" si="6"/>
        <v>2.2272344363967198</v>
      </c>
      <c r="T103" s="103">
        <f t="shared" si="6"/>
        <v>3.997717348887194</v>
      </c>
      <c r="U103" s="103">
        <f t="shared" si="6"/>
        <v>3.5327567363462515</v>
      </c>
      <c r="V103" s="103">
        <f t="shared" si="6"/>
        <v>3.3456608408726511</v>
      </c>
      <c r="W103" s="103">
        <f t="shared" si="6"/>
        <v>2.7477292039835279</v>
      </c>
      <c r="X103" s="103">
        <f t="shared" si="6"/>
        <v>2.3631891682261594</v>
      </c>
      <c r="Y103" s="103">
        <f t="shared" si="6"/>
        <v>1.9970413628901464</v>
      </c>
      <c r="Z103" s="103">
        <f t="shared" si="6"/>
        <v>1.5260557430647477</v>
      </c>
      <c r="AA103" s="103">
        <f t="shared" si="6"/>
        <v>0.92732335121019616</v>
      </c>
      <c r="AB103" s="103">
        <f t="shared" si="6"/>
        <v>0.45098491127943902</v>
      </c>
      <c r="AC103" s="103">
        <f t="shared" si="6"/>
        <v>0.26749493423098486</v>
      </c>
      <c r="AD103" s="103">
        <f t="shared" si="6"/>
        <v>0.26273394437983666</v>
      </c>
      <c r="AE103" s="1031">
        <f t="shared" si="6"/>
        <v>0.34336969445583421</v>
      </c>
      <c r="AF103" s="939"/>
      <c r="AG103" s="939"/>
      <c r="AH103" s="567"/>
    </row>
    <row r="104" spans="1:34" s="301" customFormat="1">
      <c r="A104" s="561">
        <v>103</v>
      </c>
      <c r="C104" s="10"/>
      <c r="D104" s="29"/>
      <c r="E104" s="203" t="s">
        <v>167</v>
      </c>
      <c r="F104" s="103">
        <f>'MOD-Berechnungen'!F390</f>
        <v>2.0469999999999997</v>
      </c>
      <c r="G104" s="103">
        <f>'MOD-Berechnungen'!G390</f>
        <v>3.5300000000000007</v>
      </c>
      <c r="H104" s="103">
        <f>'MOD-Berechnungen'!H390</f>
        <v>3.5920000000000005</v>
      </c>
      <c r="I104" s="103">
        <f>'MOD-Berechnungen'!I390</f>
        <v>5.2769999999999992</v>
      </c>
      <c r="J104" s="103">
        <f>'MOD-Berechnungen'!J390</f>
        <v>6.2399999999999993</v>
      </c>
      <c r="K104" s="103">
        <f>'MOD-Berechnungen'!K390</f>
        <v>6.1695706877643843</v>
      </c>
      <c r="L104" s="103">
        <f>'MOD-Berechnungen'!L390</f>
        <v>6.3382686397238945</v>
      </c>
      <c r="M104" s="103">
        <f>'MOD-Berechnungen'!M390</f>
        <v>6.8602264368703567</v>
      </c>
      <c r="N104" s="103">
        <f>'MOD-Berechnungen'!N390</f>
        <v>6.7788048363237206</v>
      </c>
      <c r="O104" s="103">
        <f>'MOD-Berechnungen'!O390</f>
        <v>6.406581826229905</v>
      </c>
      <c r="P104" s="103">
        <f>'MOD-Berechnungen'!P390</f>
        <v>6.7581163138201807</v>
      </c>
      <c r="Q104" s="103">
        <f>'MOD-Berechnungen'!Q390</f>
        <v>6.5036153637169205</v>
      </c>
      <c r="R104" s="103">
        <f>'MOD-Berechnungen'!R390</f>
        <v>3.7230827721473405</v>
      </c>
      <c r="S104" s="103">
        <f ca="1">'MOD-Berechnungen'!S390</f>
        <v>2.2272344363967198</v>
      </c>
      <c r="T104" s="103">
        <f ca="1">'MOD-Berechnungen'!T390</f>
        <v>3.997717348887194</v>
      </c>
      <c r="U104" s="103">
        <f ca="1">'MOD-Berechnungen'!U390</f>
        <v>3.5327567363462515</v>
      </c>
      <c r="V104" s="103">
        <f ca="1">'MOD-Berechnungen'!V390</f>
        <v>3.3456608408726511</v>
      </c>
      <c r="W104" s="103">
        <f ca="1">'MOD-Berechnungen'!W390</f>
        <v>2.7477292039835279</v>
      </c>
      <c r="X104" s="103">
        <f ca="1">'MOD-Berechnungen'!X390</f>
        <v>2.3631891682261594</v>
      </c>
      <c r="Y104" s="103">
        <f ca="1">'MOD-Berechnungen'!Y390</f>
        <v>1.9970413628901464</v>
      </c>
      <c r="Z104" s="103">
        <f ca="1">'MOD-Berechnungen'!Z390</f>
        <v>1.5260557430647477</v>
      </c>
      <c r="AA104" s="103">
        <f ca="1">'MOD-Berechnungen'!AA390</f>
        <v>0.92732335121019616</v>
      </c>
      <c r="AB104" s="103">
        <f ca="1">'MOD-Berechnungen'!AB390</f>
        <v>0.45098491127943902</v>
      </c>
      <c r="AC104" s="103">
        <f ca="1">'MOD-Berechnungen'!AC390</f>
        <v>0.26749493423098486</v>
      </c>
      <c r="AD104" s="103">
        <f ca="1">'MOD-Berechnungen'!AD390</f>
        <v>0.26273394437983666</v>
      </c>
      <c r="AE104" s="1031">
        <f ca="1">'MOD-Berechnungen'!AE390</f>
        <v>0.34336969445583421</v>
      </c>
      <c r="AF104" s="939"/>
      <c r="AG104" s="939"/>
      <c r="AH104" s="567"/>
    </row>
    <row r="105" spans="1:34" s="301" customFormat="1">
      <c r="A105" s="561">
        <v>104</v>
      </c>
      <c r="C105" s="10"/>
      <c r="D105" s="29"/>
      <c r="E105" s="199"/>
      <c r="G105" s="331"/>
      <c r="H105" s="331"/>
      <c r="I105" s="331"/>
      <c r="J105" s="331"/>
      <c r="K105" s="331"/>
      <c r="L105" s="524"/>
      <c r="M105" s="331"/>
      <c r="N105" s="331"/>
      <c r="O105" s="331"/>
      <c r="P105" s="331"/>
      <c r="Q105" s="331"/>
      <c r="R105" s="331"/>
      <c r="S105" s="331"/>
      <c r="T105" s="331"/>
      <c r="U105" s="331"/>
      <c r="V105" s="331"/>
      <c r="W105" s="331"/>
      <c r="X105" s="331"/>
      <c r="Y105" s="331"/>
      <c r="Z105" s="331"/>
      <c r="AA105" s="331"/>
      <c r="AB105" s="331"/>
      <c r="AC105" s="331"/>
      <c r="AD105" s="331"/>
      <c r="AE105" s="331"/>
      <c r="AF105" s="939" t="s">
        <v>468</v>
      </c>
      <c r="AG105" s="939"/>
      <c r="AH105" s="567"/>
    </row>
    <row r="106" spans="1:34" s="301" customFormat="1">
      <c r="A106" s="561">
        <v>105</v>
      </c>
      <c r="C106" s="10"/>
      <c r="D106" s="29"/>
      <c r="E106" s="199" t="s">
        <v>474</v>
      </c>
      <c r="G106" s="331"/>
      <c r="H106" s="331"/>
      <c r="I106" s="331"/>
      <c r="J106" s="331"/>
      <c r="K106" s="331"/>
      <c r="L106" s="524"/>
      <c r="M106" s="331"/>
      <c r="N106" s="331"/>
      <c r="O106" s="331"/>
      <c r="P106" s="331"/>
      <c r="Q106" s="331"/>
      <c r="R106" s="331"/>
      <c r="S106" s="331"/>
      <c r="T106" s="331"/>
      <c r="U106" s="331"/>
      <c r="V106" s="331"/>
      <c r="W106" s="331"/>
      <c r="X106" s="331"/>
      <c r="Y106" s="331"/>
      <c r="Z106" s="331"/>
      <c r="AA106" s="331"/>
      <c r="AB106" s="331"/>
      <c r="AC106" s="331"/>
      <c r="AD106" s="331"/>
      <c r="AE106" s="331"/>
      <c r="AF106" s="939" t="s">
        <v>468</v>
      </c>
      <c r="AG106" s="939"/>
      <c r="AH106" s="567"/>
    </row>
    <row r="107" spans="1:34" s="301" customFormat="1" ht="25.5">
      <c r="A107" s="561">
        <v>106</v>
      </c>
      <c r="C107" s="10"/>
      <c r="D107" s="29"/>
      <c r="E107" s="521" t="s">
        <v>478</v>
      </c>
      <c r="F107" s="100">
        <f>F96/'MOD-Berechnungen'!F$26</f>
        <v>0</v>
      </c>
      <c r="G107" s="100">
        <f>G96/'MOD-Berechnungen'!G$26</f>
        <v>0</v>
      </c>
      <c r="H107" s="100">
        <f>H96/'MOD-Berechnungen'!H$26</f>
        <v>0</v>
      </c>
      <c r="I107" s="100">
        <f>I96/'MOD-Berechnungen'!I$26</f>
        <v>0</v>
      </c>
      <c r="J107" s="100">
        <f>J96/'MOD-Berechnungen'!J$26</f>
        <v>0</v>
      </c>
      <c r="K107" s="100">
        <f>K96/'MOD-Berechnungen'!K$26</f>
        <v>0.38323880109610364</v>
      </c>
      <c r="L107" s="100">
        <f>L96/'MOD-Berechnungen'!L$26</f>
        <v>0.99549816751663034</v>
      </c>
      <c r="M107" s="100">
        <f>M96/'MOD-Berechnungen'!M$26</f>
        <v>1.6043941231852021</v>
      </c>
      <c r="N107" s="100">
        <f>N96/'MOD-Berechnungen'!N$26</f>
        <v>2.1019977113374382</v>
      </c>
      <c r="O107" s="100">
        <f>O96/'MOD-Berechnungen'!O$26</f>
        <v>2.4852769218951103</v>
      </c>
      <c r="P107" s="100">
        <f>P96/'MOD-Berechnungen'!P$26</f>
        <v>2.7957813819119939</v>
      </c>
      <c r="Q107" s="100">
        <f>Q96/'MOD-Berechnungen'!Q$26</f>
        <v>3.0251710664491216</v>
      </c>
      <c r="R107" s="100">
        <f>R96/'MOD-Berechnungen'!R$26</f>
        <v>3.1533029559337367</v>
      </c>
      <c r="S107" s="100">
        <f>S96/'MOD-Berechnungen'!S$26</f>
        <v>3.518274361771712</v>
      </c>
      <c r="T107" s="100">
        <f>T96/'MOD-Berechnungen'!T$26</f>
        <v>3.6566892496426417</v>
      </c>
      <c r="U107" s="100">
        <f>U96/'MOD-Berechnungen'!U$26</f>
        <v>3.9369887272997417</v>
      </c>
      <c r="V107" s="100">
        <f>V96/'MOD-Berechnungen'!V$26</f>
        <v>4.1348434580692288</v>
      </c>
      <c r="W107" s="100">
        <f>W96/'MOD-Berechnungen'!W$26</f>
        <v>3.8559921041693932</v>
      </c>
      <c r="X107" s="100">
        <f>X96/'MOD-Berechnungen'!X$26</f>
        <v>3.7043046015667991</v>
      </c>
      <c r="Y107" s="100">
        <f>Y96/'MOD-Berechnungen'!Y$26</f>
        <v>3.5400208686759909</v>
      </c>
      <c r="Z107" s="100">
        <f>Z96/'MOD-Berechnungen'!Z$26</f>
        <v>3.4682537101925215</v>
      </c>
      <c r="AA107" s="100">
        <f>AA96/'MOD-Berechnungen'!AA$26</f>
        <v>3.4139370271352143</v>
      </c>
      <c r="AB107" s="100">
        <f>AB96/'MOD-Berechnungen'!AB$26</f>
        <v>3.362960108093175</v>
      </c>
      <c r="AC107" s="100">
        <f>AC96/'MOD-Berechnungen'!AC$26</f>
        <v>3.3121284142917484</v>
      </c>
      <c r="AD107" s="100">
        <f>AD96/'MOD-Berechnungen'!AD$26</f>
        <v>3.2085320854314161</v>
      </c>
      <c r="AE107" s="591">
        <f>AE96/'MOD-Berechnungen'!AE$26</f>
        <v>3.1206535923995617</v>
      </c>
      <c r="AF107" s="939" t="s">
        <v>468</v>
      </c>
      <c r="AG107" s="939" t="s">
        <v>468</v>
      </c>
      <c r="AH107" s="956" t="s">
        <v>472</v>
      </c>
    </row>
    <row r="108" spans="1:34" s="301" customFormat="1" ht="38.25">
      <c r="A108" s="561">
        <v>107</v>
      </c>
      <c r="C108" s="10"/>
      <c r="D108" s="29"/>
      <c r="E108" s="495" t="s">
        <v>373</v>
      </c>
      <c r="F108" s="101">
        <f>F97/'MOD-Berechnungen'!F$26</f>
        <v>-1.3201688447696862</v>
      </c>
      <c r="G108" s="101">
        <f>G97/'MOD-Berechnungen'!G$26</f>
        <v>-1.3322930643646167</v>
      </c>
      <c r="H108" s="101">
        <f>H97/'MOD-Berechnungen'!H$26</f>
        <v>-1.6778905889059534</v>
      </c>
      <c r="I108" s="101">
        <f>I97/'MOD-Berechnungen'!I$26</f>
        <v>-1.8328454060566162</v>
      </c>
      <c r="J108" s="101">
        <f>J97/'MOD-Berechnungen'!J$26</f>
        <v>-1.628159852495084</v>
      </c>
      <c r="K108" s="101">
        <f>K97/'MOD-Berechnungen'!K$26</f>
        <v>-1.5835774110581879</v>
      </c>
      <c r="L108" s="101">
        <f>L97/'MOD-Berechnungen'!L$26</f>
        <v>-1.5500700675207848</v>
      </c>
      <c r="M108" s="101">
        <f>M97/'MOD-Berechnungen'!M$26</f>
        <v>-1.4377831232243743</v>
      </c>
      <c r="N108" s="101">
        <f>N97/'MOD-Berechnungen'!N$26</f>
        <v>-1.7139173780075492</v>
      </c>
      <c r="O108" s="101">
        <f>O97/'MOD-Berechnungen'!O$26</f>
        <v>-2.3095940080835589</v>
      </c>
      <c r="P108" s="101">
        <f>P97/'MOD-Berechnungen'!P$26</f>
        <v>-2.6523198685508875</v>
      </c>
      <c r="Q108" s="101">
        <f>Q97/'MOD-Berechnungen'!Q$26</f>
        <v>-2.12375102189419</v>
      </c>
      <c r="R108" s="101">
        <f>R97/'MOD-Berechnungen'!R$26</f>
        <v>-3.882747883441668</v>
      </c>
      <c r="S108" s="101">
        <f>S97/'MOD-Berechnungen'!S$26</f>
        <v>-5.5797588851024162</v>
      </c>
      <c r="T108" s="101">
        <f>T97/'MOD-Berechnungen'!T$26</f>
        <v>-4.7775924790492015</v>
      </c>
      <c r="U108" s="101">
        <f>U97/'MOD-Berechnungen'!U$26</f>
        <v>-4.6692328721923797</v>
      </c>
      <c r="V108" s="101">
        <f>V97/'MOD-Berechnungen'!V$26</f>
        <v>-4.7080367970535422</v>
      </c>
      <c r="W108" s="101">
        <f>W97/'MOD-Berechnungen'!W$26</f>
        <v>-4.3379258403606995</v>
      </c>
      <c r="X108" s="101">
        <f>X97/'MOD-Berechnungen'!X$26</f>
        <v>-3.9751835469148222</v>
      </c>
      <c r="Y108" s="101">
        <f>Y97/'MOD-Berechnungen'!Y$26</f>
        <v>-3.6874738020699462</v>
      </c>
      <c r="Z108" s="101">
        <f>Z97/'MOD-Berechnungen'!Z$26</f>
        <v>-3.368258500845581</v>
      </c>
      <c r="AA108" s="101">
        <f>AA97/'MOD-Berechnungen'!AA$26</f>
        <v>-3.0607461336413286</v>
      </c>
      <c r="AB108" s="101">
        <f>AB97/'MOD-Berechnungen'!AB$26</f>
        <v>-2.730716809179107</v>
      </c>
      <c r="AC108" s="101">
        <f>AC97/'MOD-Berechnungen'!AC$26</f>
        <v>-2.4853409523167302</v>
      </c>
      <c r="AD108" s="101">
        <f>AD97/'MOD-Berechnungen'!AD$26</f>
        <v>-2.2754156943034296</v>
      </c>
      <c r="AE108" s="592">
        <f>AE97/'MOD-Berechnungen'!AE$26</f>
        <v>-2.0408326064349898</v>
      </c>
      <c r="AF108" s="939" t="s">
        <v>468</v>
      </c>
      <c r="AG108" s="939" t="s">
        <v>468</v>
      </c>
      <c r="AH108" s="567"/>
    </row>
    <row r="109" spans="1:34" s="301" customFormat="1">
      <c r="A109" s="561">
        <v>108</v>
      </c>
      <c r="C109" s="10"/>
      <c r="D109" s="29"/>
      <c r="E109" s="16" t="s">
        <v>75</v>
      </c>
      <c r="F109" s="101">
        <f>F98/'MOD-Berechnungen'!F$26</f>
        <v>0</v>
      </c>
      <c r="G109" s="101">
        <f>G98/'MOD-Berechnungen'!G$26</f>
        <v>0</v>
      </c>
      <c r="H109" s="101">
        <f>H98/'MOD-Berechnungen'!H$26</f>
        <v>0.11303636943920196</v>
      </c>
      <c r="I109" s="101">
        <f>I98/'MOD-Berechnungen'!I$26</f>
        <v>0.46988329105604154</v>
      </c>
      <c r="J109" s="101">
        <f>J98/'MOD-Berechnungen'!J$26</f>
        <v>0.57150118398872252</v>
      </c>
      <c r="K109" s="101">
        <f>K98/'MOD-Berechnungen'!K$26</f>
        <v>0.65860396858867953</v>
      </c>
      <c r="L109" s="101">
        <f>L98/'MOD-Berechnungen'!L$26</f>
        <v>0.7029417608719849</v>
      </c>
      <c r="M109" s="101">
        <f>M98/'MOD-Berechnungen'!M$26</f>
        <v>0.45478453237136646</v>
      </c>
      <c r="N109" s="101">
        <f>N98/'MOD-Berechnungen'!N$26</f>
        <v>0.46528634153905607</v>
      </c>
      <c r="O109" s="101">
        <f>O98/'MOD-Berechnungen'!O$26</f>
        <v>0.4418204855793067</v>
      </c>
      <c r="P109" s="101">
        <f>P98/'MOD-Berechnungen'!P$26</f>
        <v>0.57046862329167469</v>
      </c>
      <c r="Q109" s="101">
        <f>Q98/'MOD-Berechnungen'!Q$26</f>
        <v>0.78014826794958958</v>
      </c>
      <c r="R109" s="101">
        <f>R98/'MOD-Berechnungen'!R$26</f>
        <v>0.28324012362832324</v>
      </c>
      <c r="S109" s="101">
        <f>S98/'MOD-Berechnungen'!S$26</f>
        <v>0.26736340703183475</v>
      </c>
      <c r="T109" s="101">
        <f>T98/'MOD-Berechnungen'!T$26</f>
        <v>0.31052569039546718</v>
      </c>
      <c r="U109" s="101">
        <f>U98/'MOD-Berechnungen'!U$26</f>
        <v>0.31082487240102641</v>
      </c>
      <c r="V109" s="101">
        <f>V98/'MOD-Berechnungen'!V$26</f>
        <v>0.28928189498926521</v>
      </c>
      <c r="W109" s="101">
        <f>W98/'MOD-Berechnungen'!W$26</f>
        <v>0.24606939745503748</v>
      </c>
      <c r="X109" s="101">
        <f>X98/'MOD-Berechnungen'!X$26</f>
        <v>0.21568577947169962</v>
      </c>
      <c r="Y109" s="101">
        <f>Y98/'MOD-Berechnungen'!Y$26</f>
        <v>0.18816804622601599</v>
      </c>
      <c r="Z109" s="101">
        <f>Z98/'MOD-Berechnungen'!Z$26</f>
        <v>0.1566508229140316</v>
      </c>
      <c r="AA109" s="101">
        <f>AA98/'MOD-Berechnungen'!AA$26</f>
        <v>0.11980978010476186</v>
      </c>
      <c r="AB109" s="101">
        <f>AB98/'MOD-Berechnungen'!AB$26</f>
        <v>8.9964798517450054E-2</v>
      </c>
      <c r="AC109" s="101">
        <f>AC98/'MOD-Berechnungen'!AC$26</f>
        <v>7.5651582125581152E-2</v>
      </c>
      <c r="AD109" s="101">
        <f>AD98/'MOD-Berechnungen'!AD$26</f>
        <v>7.1210078824476608E-2</v>
      </c>
      <c r="AE109" s="592">
        <f>AE98/'MOD-Berechnungen'!AE$26</f>
        <v>7.1572855118160958E-2</v>
      </c>
      <c r="AF109" s="939" t="s">
        <v>468</v>
      </c>
      <c r="AG109" s="939" t="s">
        <v>468</v>
      </c>
      <c r="AH109" s="567"/>
    </row>
    <row r="110" spans="1:34" s="301" customFormat="1">
      <c r="A110" s="561">
        <v>109</v>
      </c>
      <c r="C110" s="10"/>
      <c r="D110" s="29"/>
      <c r="E110" s="16" t="s">
        <v>604</v>
      </c>
      <c r="F110" s="101">
        <f>F99/'MOD-Berechnungen'!F$26</f>
        <v>0</v>
      </c>
      <c r="G110" s="101">
        <f>G99/'MOD-Berechnungen'!G$26</f>
        <v>0.31679909742901041</v>
      </c>
      <c r="H110" s="101">
        <f>H99/'MOD-Berechnungen'!H$26</f>
        <v>0.20535441480237646</v>
      </c>
      <c r="I110" s="101">
        <f>I99/'MOD-Berechnungen'!I$26</f>
        <v>0.75153105856682023</v>
      </c>
      <c r="J110" s="101">
        <f>J99/'MOD-Berechnungen'!J$26</f>
        <v>0.64480725890241763</v>
      </c>
      <c r="K110" s="101">
        <f>K99/'MOD-Berechnungen'!K$26</f>
        <v>-0.42565040850402569</v>
      </c>
      <c r="L110" s="101">
        <f>L99/'MOD-Berechnungen'!L$26</f>
        <v>-0.76176363347837595</v>
      </c>
      <c r="M110" s="101">
        <f>M99/'MOD-Berechnungen'!M$26</f>
        <v>-0.60139786487721425</v>
      </c>
      <c r="N110" s="101">
        <f>N99/'MOD-Berechnungen'!N$26</f>
        <v>-1.0050216702702262</v>
      </c>
      <c r="O110" s="101">
        <f>O99/'MOD-Berechnungen'!O$26</f>
        <v>-1.0807806641075977</v>
      </c>
      <c r="P110" s="101">
        <f>P99/'MOD-Berechnungen'!P$26</f>
        <v>-0.64291320221282855</v>
      </c>
      <c r="Q110" s="101">
        <f>Q99/'MOD-Berechnungen'!Q$26</f>
        <v>1.2026097222063457</v>
      </c>
      <c r="R110" s="101">
        <f>R99/'MOD-Berechnungen'!R$26</f>
        <v>-1.2975310154828803</v>
      </c>
      <c r="S110" s="101">
        <f ca="1">S99/'MOD-Berechnungen'!S$26</f>
        <v>-1.6605867069583342</v>
      </c>
      <c r="T110" s="101">
        <f ca="1">T99/'MOD-Berechnungen'!T$26</f>
        <v>-0.26626280063032282</v>
      </c>
      <c r="U110" s="101">
        <f ca="1">U99/'MOD-Berechnungen'!U$26</f>
        <v>-0.3088733655551224</v>
      </c>
      <c r="V110" s="101">
        <f ca="1">V99/'MOD-Berechnungen'!V$26</f>
        <v>-0.30806050350931008</v>
      </c>
      <c r="W110" s="101">
        <f ca="1">W99/'MOD-Berechnungen'!W$26</f>
        <v>-0.26795139663469519</v>
      </c>
      <c r="X110" s="101">
        <f ca="1">X99/'MOD-Berechnungen'!X$26</f>
        <v>-0.22866541205965907</v>
      </c>
      <c r="Y110" s="101">
        <f ca="1">Y99/'MOD-Berechnungen'!Y$26</f>
        <v>-0.20101193397999842</v>
      </c>
      <c r="Z110" s="101">
        <f ca="1">Z99/'MOD-Berechnungen'!Z$26</f>
        <v>-0.1758145835725658</v>
      </c>
      <c r="AA110" s="101">
        <f ca="1">AA99/'MOD-Berechnungen'!AA$26</f>
        <v>-0.14675611968623337</v>
      </c>
      <c r="AB110" s="101">
        <f ca="1">AB99/'MOD-Berechnungen'!AB$26</f>
        <v>-0.11251209771622207</v>
      </c>
      <c r="AC110" s="101">
        <f ca="1">AC99/'MOD-Berechnungen'!AC$26</f>
        <v>-8.4711068018449007E-2</v>
      </c>
      <c r="AD110" s="101">
        <f ca="1">AD99/'MOD-Berechnungen'!AD$26</f>
        <v>-7.1384253242249979E-2</v>
      </c>
      <c r="AE110" s="592">
        <f ca="1">AE99/'MOD-Berechnungen'!AE$26</f>
        <v>-6.7326550171742189E-2</v>
      </c>
      <c r="AF110" s="939" t="s">
        <v>468</v>
      </c>
      <c r="AG110" s="939" t="s">
        <v>468</v>
      </c>
      <c r="AH110" s="567"/>
    </row>
    <row r="111" spans="1:34" s="301" customFormat="1">
      <c r="A111" s="561">
        <v>109</v>
      </c>
      <c r="C111" s="10"/>
      <c r="D111" s="29"/>
      <c r="E111" s="16" t="s">
        <v>871</v>
      </c>
      <c r="F111" s="101">
        <f>F100/'MOD-Berechnungen'!F$26</f>
        <v>0</v>
      </c>
      <c r="G111" s="101">
        <f>G100/'MOD-Berechnungen'!G$26</f>
        <v>0</v>
      </c>
      <c r="H111" s="101">
        <f>H100/'MOD-Berechnungen'!H$26</f>
        <v>0</v>
      </c>
      <c r="I111" s="101">
        <f>I100/'MOD-Berechnungen'!I$26</f>
        <v>0</v>
      </c>
      <c r="J111" s="101">
        <f>J100/'MOD-Berechnungen'!J$26</f>
        <v>0</v>
      </c>
      <c r="K111" s="101">
        <f>K100/'MOD-Berechnungen'!K$26</f>
        <v>0</v>
      </c>
      <c r="L111" s="101">
        <f>L100/'MOD-Berechnungen'!L$26</f>
        <v>0</v>
      </c>
      <c r="M111" s="101">
        <f>M100/'MOD-Berechnungen'!M$26</f>
        <v>0</v>
      </c>
      <c r="N111" s="101">
        <f>N100/'MOD-Berechnungen'!N$26</f>
        <v>0</v>
      </c>
      <c r="O111" s="101">
        <f>O100/'MOD-Berechnungen'!O$26</f>
        <v>0</v>
      </c>
      <c r="P111" s="101">
        <f>P100/'MOD-Berechnungen'!P$26</f>
        <v>0</v>
      </c>
      <c r="Q111" s="101">
        <f>Q100/'MOD-Berechnungen'!Q$26</f>
        <v>-3.1830710754791549</v>
      </c>
      <c r="R111" s="101">
        <f>R100/'MOD-Berechnungen'!R$26</f>
        <v>-0.92742880856456678</v>
      </c>
      <c r="S111" s="101">
        <f>S100/'MOD-Berechnungen'!S$26</f>
        <v>-0.86851384216724525</v>
      </c>
      <c r="T111" s="101">
        <f>T100/'MOD-Berechnungen'!T$26</f>
        <v>-1.3392597505550765</v>
      </c>
      <c r="U111" s="101">
        <f>U100/'MOD-Berechnungen'!U$26</f>
        <v>-1.8039307451420086</v>
      </c>
      <c r="V111" s="101">
        <f>V100/'MOD-Berechnungen'!V$26</f>
        <v>-1.6503574238096748</v>
      </c>
      <c r="W111" s="101">
        <f>W100/'MOD-Berechnungen'!W$26</f>
        <v>-1.528666620054637</v>
      </c>
      <c r="X111" s="101">
        <f>X100/'MOD-Berechnungen'!X$26</f>
        <v>-1.4205471553629963</v>
      </c>
      <c r="Y111" s="101">
        <f>Y100/'MOD-Berechnungen'!Y$26</f>
        <v>-1.3239024459967601</v>
      </c>
      <c r="Z111" s="101">
        <f>Z100/'MOD-Berechnungen'!Z$26</f>
        <v>-1.2369866292497014</v>
      </c>
      <c r="AA111" s="101">
        <f>AA100/'MOD-Berechnungen'!AA$26</f>
        <v>-1.1588535217083682</v>
      </c>
      <c r="AB111" s="101">
        <f>AB100/'MOD-Berechnungen'!AB$26</f>
        <v>-1.0882670893747663</v>
      </c>
      <c r="AC111" s="101">
        <f>AC100/'MOD-Berechnungen'!AC$26</f>
        <v>-1.0247148768124463</v>
      </c>
      <c r="AD111" s="101">
        <f>AD100/'MOD-Berechnungen'!AD$26</f>
        <v>-0.96691310627257676</v>
      </c>
      <c r="AE111" s="592">
        <f>AE100/'MOD-Berechnungen'!AE$26</f>
        <v>-0.91418131865344454</v>
      </c>
      <c r="AF111" s="939" t="s">
        <v>468</v>
      </c>
      <c r="AG111" s="939" t="s">
        <v>468</v>
      </c>
      <c r="AH111" s="567"/>
    </row>
    <row r="112" spans="1:34" s="301" customFormat="1" ht="25.5">
      <c r="A112" s="561">
        <v>110</v>
      </c>
      <c r="C112" s="10"/>
      <c r="D112" s="29"/>
      <c r="E112" s="495" t="s">
        <v>475</v>
      </c>
      <c r="F112" s="101">
        <f>F101/'MOD-Berechnungen'!F$26</f>
        <v>1.4952623173873374E-2</v>
      </c>
      <c r="G112" s="101">
        <f>G101/'MOD-Berechnungen'!G$26</f>
        <v>0.25186407626080942</v>
      </c>
      <c r="H112" s="101">
        <f>H101/'MOD-Berechnungen'!H$26</f>
        <v>-2.3097774506561395E-2</v>
      </c>
      <c r="I112" s="101">
        <f>I101/'MOD-Berechnungen'!I$26</f>
        <v>-8.5484797906046406E-2</v>
      </c>
      <c r="J112" s="101">
        <f>J101/'MOD-Berechnungen'!J$26</f>
        <v>-8.0694621860814372E-2</v>
      </c>
      <c r="K112" s="101">
        <f>K101/'MOD-Berechnungen'!K$26</f>
        <v>-0.17030155498852353</v>
      </c>
      <c r="L112" s="101">
        <f>L101/'MOD-Berechnungen'!L$26</f>
        <v>-0.21486915174667767</v>
      </c>
      <c r="M112" s="101">
        <f>M101/'MOD-Berechnungen'!M$26</f>
        <v>-0.25203756962440949</v>
      </c>
      <c r="N112" s="101">
        <f>N101/'MOD-Berechnungen'!N$26</f>
        <v>-0.18344477008438512</v>
      </c>
      <c r="O112" s="101">
        <f>O101/'MOD-Berechnungen'!O$26</f>
        <v>-0.14078807190416226</v>
      </c>
      <c r="P112" s="101">
        <f>P101/'MOD-Berechnungen'!P$26</f>
        <v>-8.4017930612070302E-2</v>
      </c>
      <c r="Q112" s="101">
        <f>Q101/'MOD-Berechnungen'!Q$26</f>
        <v>-8.4030936956266622E-2</v>
      </c>
      <c r="R112" s="101">
        <f>R101/'MOD-Berechnungen'!R$26</f>
        <v>-5.3106405646958163E-2</v>
      </c>
      <c r="S112" s="101">
        <f>S101/'MOD-Berechnungen'!S$26</f>
        <v>-6.9092556391517498E-2</v>
      </c>
      <c r="T112" s="101">
        <f>T101/'MOD-Berechnungen'!T$26</f>
        <v>-7.0055704087045589E-2</v>
      </c>
      <c r="U112" s="101">
        <f>U101/'MOD-Berechnungen'!U$26</f>
        <v>-6.7397200280828864E-2</v>
      </c>
      <c r="V112" s="101">
        <f>V101/'MOD-Berechnungen'!V$26</f>
        <v>-6.3542735955533239E-2</v>
      </c>
      <c r="W112" s="101">
        <f>W101/'MOD-Berechnungen'!W$26</f>
        <v>-5.3676371036460904E-2</v>
      </c>
      <c r="X112" s="101">
        <f>X101/'MOD-Berechnungen'!X$26</f>
        <v>-4.6307149054471683E-2</v>
      </c>
      <c r="Y112" s="101">
        <f>Y101/'MOD-Berechnungen'!Y$26</f>
        <v>-4.2155149457935449E-2</v>
      </c>
      <c r="Z112" s="101">
        <f>Z101/'MOD-Berechnungen'!Z$26</f>
        <v>-3.6765103295115321E-2</v>
      </c>
      <c r="AA112" s="101">
        <f>AA101/'MOD-Berechnungen'!AA$26</f>
        <v>-3.0650813677817301E-2</v>
      </c>
      <c r="AB112" s="101">
        <f>AB101/'MOD-Berechnungen'!AB$26</f>
        <v>-2.2164326307765048E-2</v>
      </c>
      <c r="AC112" s="101">
        <f>AC101/'MOD-Berechnungen'!AC$26</f>
        <v>-1.9684021376741447E-2</v>
      </c>
      <c r="AD112" s="101">
        <f>AD101/'MOD-Berechnungen'!AD$26</f>
        <v>-1.7434615829471974E-2</v>
      </c>
      <c r="AE112" s="592">
        <f>AE101/'MOD-Berechnungen'!AE$26</f>
        <v>-1.6359018723069441E-2</v>
      </c>
      <c r="AF112" s="939" t="s">
        <v>468</v>
      </c>
      <c r="AG112" s="939" t="s">
        <v>468</v>
      </c>
      <c r="AH112" s="567"/>
    </row>
    <row r="113" spans="1:34" s="301" customFormat="1">
      <c r="A113" s="561">
        <v>111</v>
      </c>
      <c r="C113" s="10"/>
      <c r="D113" s="29"/>
      <c r="E113" s="305" t="s">
        <v>386</v>
      </c>
      <c r="F113" s="102">
        <f>F102/'MOD-Berechnungen'!F$26</f>
        <v>3.7308378771963975</v>
      </c>
      <c r="G113" s="102">
        <f>G102/'MOD-Berechnungen'!G$26</f>
        <v>4.8604953760583882</v>
      </c>
      <c r="H113" s="102">
        <f>H102/'MOD-Berechnungen'!H$26</f>
        <v>5.4678125248174556</v>
      </c>
      <c r="I113" s="102">
        <f>I102/'MOD-Berechnungen'!I$26</f>
        <v>6.6176676827162533</v>
      </c>
      <c r="J113" s="102">
        <f>J102/'MOD-Berechnungen'!J$26</f>
        <v>7.4236353872573586</v>
      </c>
      <c r="K113" s="102">
        <f>K102/'MOD-Berechnungen'!K$26</f>
        <v>7.9453510820754749</v>
      </c>
      <c r="L113" s="102">
        <f>L102/'MOD-Berechnungen'!L$26</f>
        <v>7.8034973429983889</v>
      </c>
      <c r="M113" s="102">
        <f>M102/'MOD-Berechnungen'!M$26</f>
        <v>7.6633479232101527</v>
      </c>
      <c r="N113" s="102">
        <f>N102/'MOD-Berechnungen'!N$26</f>
        <v>7.5463108097569966</v>
      </c>
      <c r="O113" s="102">
        <f>O102/'MOD-Berechnungen'!O$26</f>
        <v>7.3287799177477231</v>
      </c>
      <c r="P113" s="102">
        <f>P102/'MOD-Berechnungen'!P$26</f>
        <v>7.0776426452965167</v>
      </c>
      <c r="Q113" s="102">
        <f>Q102/'MOD-Berechnungen'!Q$26</f>
        <v>6.9823251990775184</v>
      </c>
      <c r="R113" s="102">
        <f>R102/'MOD-Berechnungen'!R$26</f>
        <v>6.491299663111799</v>
      </c>
      <c r="S113" s="102">
        <f>S102/'MOD-Berechnungen'!S$26</f>
        <v>6.5866338635861341</v>
      </c>
      <c r="T113" s="102">
        <f>T102/'MOD-Berechnungen'!T$26</f>
        <v>6.3663871067513922</v>
      </c>
      <c r="U113" s="102">
        <f>U102/'MOD-Berechnungen'!U$26</f>
        <v>5.9800558851905752</v>
      </c>
      <c r="V113" s="102">
        <f>V102/'MOD-Berechnungen'!V$26</f>
        <v>5.4581009914276004</v>
      </c>
      <c r="W113" s="102">
        <f>W102/'MOD-Berechnungen'!W$26</f>
        <v>4.6367667314783914</v>
      </c>
      <c r="X113" s="102">
        <f>X102/'MOD-Berechnungen'!X$26</f>
        <v>3.9119490855974877</v>
      </c>
      <c r="Y113" s="102">
        <f>Y102/'MOD-Berechnungen'!Y$26</f>
        <v>3.3257421866188239</v>
      </c>
      <c r="Z113" s="102">
        <f>Z102/'MOD-Berechnungen'!Z$26</f>
        <v>2.5476169425153681</v>
      </c>
      <c r="AA113" s="102">
        <f>AA102/'MOD-Berechnungen'!AA$26</f>
        <v>1.67428958859663</v>
      </c>
      <c r="AB113" s="102">
        <f>AB102/'MOD-Berechnungen'!AB$26</f>
        <v>0.88933433601786527</v>
      </c>
      <c r="AC113" s="102">
        <f>AC102/'MOD-Berechnungen'!AC$26</f>
        <v>0.45375626149474269</v>
      </c>
      <c r="AD113" s="102">
        <f>AD102/'MOD-Berechnungen'!AD$26</f>
        <v>0.27115287177609593</v>
      </c>
      <c r="AE113" s="593">
        <f>AE102/'MOD-Berechnungen'!AE$26</f>
        <v>0.12941895139451365</v>
      </c>
      <c r="AF113" s="939" t="s">
        <v>468</v>
      </c>
      <c r="AG113" s="939" t="s">
        <v>468</v>
      </c>
      <c r="AH113" s="567"/>
    </row>
    <row r="114" spans="1:34" s="301" customFormat="1">
      <c r="A114" s="561">
        <v>112</v>
      </c>
      <c r="C114" s="10"/>
      <c r="D114" s="29"/>
      <c r="E114" s="203" t="s">
        <v>168</v>
      </c>
      <c r="F114" s="103">
        <f>F103/'MOD-Berechnungen'!F$26</f>
        <v>2.4251268658849647</v>
      </c>
      <c r="G114" s="103">
        <f>G103/'MOD-Berechnungen'!G$26</f>
        <v>4.0960531508444449</v>
      </c>
      <c r="H114" s="103">
        <f>H103/'MOD-Berechnungen'!H$26</f>
        <v>4.0862697655483107</v>
      </c>
      <c r="I114" s="103">
        <f>I103/'MOD-Berechnungen'!I$26</f>
        <v>5.9202472601832774</v>
      </c>
      <c r="J114" s="103">
        <f>J103/'MOD-Berechnungen'!J$26</f>
        <v>6.9313202827783655</v>
      </c>
      <c r="K114" s="103">
        <f>K103/'MOD-Berechnungen'!K$26</f>
        <v>6.8189932459714511</v>
      </c>
      <c r="L114" s="103">
        <f>L103/'MOD-Berechnungen'!L$26</f>
        <v>6.9705957361134576</v>
      </c>
      <c r="M114" s="103">
        <f>M103/'MOD-Berechnungen'!M$26</f>
        <v>7.4331288736835921</v>
      </c>
      <c r="N114" s="103">
        <f>N103/'MOD-Berechnungen'!N$26</f>
        <v>7.2150370302530984</v>
      </c>
      <c r="O114" s="103">
        <f>O103/'MOD-Berechnungen'!O$26</f>
        <v>6.724714581126821</v>
      </c>
      <c r="P114" s="103">
        <f>P103/'MOD-Berechnungen'!P$26</f>
        <v>7.0584132122247789</v>
      </c>
      <c r="Q114" s="103">
        <f>Q103/'MOD-Berechnungen'!Q$26</f>
        <v>6.6011695941726733</v>
      </c>
      <c r="R114" s="103">
        <f>R103/'MOD-Berechnungen'!R$26</f>
        <v>3.7230827721473405</v>
      </c>
      <c r="S114" s="103">
        <f>S103/'MOD-Berechnungen'!S$26</f>
        <v>2.1943196417701674</v>
      </c>
      <c r="T114" s="103">
        <f>T103/'MOD-Berechnungen'!T$26</f>
        <v>3.880431312467854</v>
      </c>
      <c r="U114" s="103">
        <f>U103/'MOD-Berechnungen'!U$26</f>
        <v>3.3784353017210029</v>
      </c>
      <c r="V114" s="103">
        <f>V103/'MOD-Berechnungen'!V$26</f>
        <v>3.1522288841580344</v>
      </c>
      <c r="W114" s="103">
        <f>W103/'MOD-Berechnungen'!W$26</f>
        <v>2.5506080050163296</v>
      </c>
      <c r="X114" s="103">
        <f>X103/'MOD-Berechnungen'!X$26</f>
        <v>2.1612362032440382</v>
      </c>
      <c r="Y114" s="103">
        <f>Y103/'MOD-Berechnungen'!Y$26</f>
        <v>1.7993877700161913</v>
      </c>
      <c r="Z114" s="103">
        <f>Z103/'MOD-Berechnungen'!Z$26</f>
        <v>1.3546966586589582</v>
      </c>
      <c r="AA114" s="103">
        <f>AA103/'MOD-Berechnungen'!AA$26</f>
        <v>0.81102980712285822</v>
      </c>
      <c r="AB114" s="103">
        <f>AB103/'MOD-Berechnungen'!AB$26</f>
        <v>0.38859892005062924</v>
      </c>
      <c r="AC114" s="103">
        <f>AC103/'MOD-Berechnungen'!AC$26</f>
        <v>0.22708533938770503</v>
      </c>
      <c r="AD114" s="103">
        <f>AD103/'MOD-Berechnungen'!AD$26</f>
        <v>0.21974736638426007</v>
      </c>
      <c r="AE114" s="1031">
        <f>AE103/'MOD-Berechnungen'!AE$26</f>
        <v>0.2829459049289903</v>
      </c>
      <c r="AF114" s="939" t="s">
        <v>468</v>
      </c>
      <c r="AG114" s="939" t="s">
        <v>468</v>
      </c>
      <c r="AH114" s="567"/>
    </row>
    <row r="115" spans="1:34" s="301" customFormat="1">
      <c r="A115" s="561">
        <v>113</v>
      </c>
      <c r="C115" s="10"/>
      <c r="D115" s="29"/>
      <c r="E115" s="203" t="s">
        <v>167</v>
      </c>
      <c r="F115" s="103">
        <f>F104/'MOD-Berechnungen'!F$26</f>
        <v>2.4251268658849647</v>
      </c>
      <c r="G115" s="103">
        <f>G104/'MOD-Berechnungen'!G$26</f>
        <v>4.0960531508444449</v>
      </c>
      <c r="H115" s="103">
        <f>H104/'MOD-Berechnungen'!H$26</f>
        <v>4.0862697655483107</v>
      </c>
      <c r="I115" s="103">
        <f>I104/'MOD-Berechnungen'!I$26</f>
        <v>5.9202472601832774</v>
      </c>
      <c r="J115" s="103">
        <f>J104/'MOD-Berechnungen'!J$26</f>
        <v>6.9313202827783655</v>
      </c>
      <c r="K115" s="103">
        <f>K104/'MOD-Berechnungen'!K$26</f>
        <v>6.8189932459714511</v>
      </c>
      <c r="L115" s="103">
        <f>L104/'MOD-Berechnungen'!L$26</f>
        <v>6.9705957361134576</v>
      </c>
      <c r="M115" s="103">
        <f>M104/'MOD-Berechnungen'!M$26</f>
        <v>7.4331288736835921</v>
      </c>
      <c r="N115" s="103">
        <f>N104/'MOD-Berechnungen'!N$26</f>
        <v>7.2150370302530984</v>
      </c>
      <c r="O115" s="103">
        <f>O104/'MOD-Berechnungen'!O$26</f>
        <v>6.724714581126821</v>
      </c>
      <c r="P115" s="103">
        <f>P104/'MOD-Berechnungen'!P$26</f>
        <v>7.0584132122247789</v>
      </c>
      <c r="Q115" s="103">
        <f>Q104/'MOD-Berechnungen'!Q$26</f>
        <v>6.6011695941726733</v>
      </c>
      <c r="R115" s="103">
        <f>R104/'MOD-Berechnungen'!R$26</f>
        <v>3.7230827721473405</v>
      </c>
      <c r="S115" s="103">
        <f ca="1">S104/'MOD-Berechnungen'!S$26</f>
        <v>2.1943196417701674</v>
      </c>
      <c r="T115" s="103">
        <f ca="1">T104/'MOD-Berechnungen'!T$26</f>
        <v>3.880431312467854</v>
      </c>
      <c r="U115" s="103">
        <f ca="1">U104/'MOD-Berechnungen'!U$26</f>
        <v>3.3784353017210029</v>
      </c>
      <c r="V115" s="103">
        <f ca="1">V104/'MOD-Berechnungen'!V$26</f>
        <v>3.1522288841580344</v>
      </c>
      <c r="W115" s="103">
        <f ca="1">W104/'MOD-Berechnungen'!W$26</f>
        <v>2.5506080050163296</v>
      </c>
      <c r="X115" s="103">
        <f ca="1">X104/'MOD-Berechnungen'!X$26</f>
        <v>2.1612362032440382</v>
      </c>
      <c r="Y115" s="103">
        <f ca="1">Y104/'MOD-Berechnungen'!Y$26</f>
        <v>1.7993877700161913</v>
      </c>
      <c r="Z115" s="103">
        <f ca="1">Z104/'MOD-Berechnungen'!Z$26</f>
        <v>1.3546966586589582</v>
      </c>
      <c r="AA115" s="103">
        <f ca="1">AA104/'MOD-Berechnungen'!AA$26</f>
        <v>0.81102980712285822</v>
      </c>
      <c r="AB115" s="103">
        <f ca="1">AB104/'MOD-Berechnungen'!AB$26</f>
        <v>0.38859892005062924</v>
      </c>
      <c r="AC115" s="103">
        <f ca="1">AC104/'MOD-Berechnungen'!AC$26</f>
        <v>0.22708533938770503</v>
      </c>
      <c r="AD115" s="103">
        <f ca="1">AD104/'MOD-Berechnungen'!AD$26</f>
        <v>0.21974736638426007</v>
      </c>
      <c r="AE115" s="1031">
        <f ca="1">AE104/'MOD-Berechnungen'!AE$26</f>
        <v>0.2829459049289903</v>
      </c>
      <c r="AF115" s="939" t="s">
        <v>468</v>
      </c>
      <c r="AG115" s="939" t="s">
        <v>468</v>
      </c>
      <c r="AH115" s="567"/>
    </row>
    <row r="116" spans="1:34" s="301" customFormat="1">
      <c r="A116" s="561">
        <v>114</v>
      </c>
      <c r="C116" s="10"/>
      <c r="D116" s="29"/>
      <c r="E116" s="199"/>
      <c r="G116" s="331"/>
      <c r="H116" s="331"/>
      <c r="I116" s="331"/>
      <c r="J116" s="331"/>
      <c r="K116" s="331"/>
      <c r="L116" s="524"/>
      <c r="M116" s="331"/>
      <c r="N116" s="331"/>
      <c r="O116" s="331"/>
      <c r="P116" s="331"/>
      <c r="Q116" s="331"/>
      <c r="R116" s="331"/>
      <c r="S116" s="331"/>
      <c r="T116" s="331"/>
      <c r="U116" s="331"/>
      <c r="V116" s="331"/>
      <c r="W116" s="331"/>
      <c r="X116" s="331"/>
      <c r="Y116" s="331"/>
      <c r="Z116" s="331"/>
      <c r="AA116" s="331"/>
      <c r="AB116" s="331"/>
      <c r="AC116" s="331"/>
      <c r="AD116" s="331"/>
      <c r="AE116" s="331"/>
      <c r="AF116" s="939" t="s">
        <v>468</v>
      </c>
      <c r="AG116" s="939" t="s">
        <v>468</v>
      </c>
      <c r="AH116" s="567"/>
    </row>
    <row r="117" spans="1:34" s="301" customFormat="1">
      <c r="A117" s="561">
        <v>115</v>
      </c>
      <c r="C117" s="10"/>
      <c r="D117" s="29"/>
      <c r="E117" s="199" t="s">
        <v>477</v>
      </c>
      <c r="G117" s="331"/>
      <c r="H117" s="331"/>
      <c r="I117" s="331"/>
      <c r="J117" s="331"/>
      <c r="K117" s="331"/>
      <c r="L117" s="524"/>
      <c r="M117" s="331"/>
      <c r="N117" s="331"/>
      <c r="O117" s="331"/>
      <c r="P117" s="331"/>
      <c r="Q117" s="331"/>
      <c r="R117" s="331"/>
      <c r="S117" s="331"/>
      <c r="T117" s="331"/>
      <c r="U117" s="331"/>
      <c r="V117" s="331"/>
      <c r="W117" s="331"/>
      <c r="X117" s="331"/>
      <c r="Y117" s="331"/>
      <c r="Z117" s="331"/>
      <c r="AA117" s="331"/>
      <c r="AB117" s="331"/>
      <c r="AC117" s="331"/>
      <c r="AD117" s="331"/>
      <c r="AE117" s="331"/>
      <c r="AF117" s="939" t="s">
        <v>468</v>
      </c>
      <c r="AG117" s="939" t="s">
        <v>468</v>
      </c>
      <c r="AH117" s="567"/>
    </row>
    <row r="118" spans="1:34" s="301" customFormat="1">
      <c r="A118" s="561">
        <v>116</v>
      </c>
      <c r="C118" s="10"/>
      <c r="D118" s="29"/>
      <c r="E118" s="521" t="s">
        <v>518</v>
      </c>
      <c r="F118" s="100">
        <f>IF(ControlPanel!$T$5="nominal",'GrD-Grafikdaten'!F96,'GrD-Grafikdaten'!F107)</f>
        <v>0</v>
      </c>
      <c r="G118" s="100">
        <f>IF(ControlPanel!$T$5="nominal",'GrD-Grafikdaten'!G96,'GrD-Grafikdaten'!G107)</f>
        <v>0</v>
      </c>
      <c r="H118" s="100">
        <f>IF(ControlPanel!$T$5="nominal",'GrD-Grafikdaten'!H96,'GrD-Grafikdaten'!H107)</f>
        <v>0</v>
      </c>
      <c r="I118" s="100">
        <f>IF(ControlPanel!$T$5="nominal",'GrD-Grafikdaten'!I96,'GrD-Grafikdaten'!I107)</f>
        <v>0</v>
      </c>
      <c r="J118" s="100">
        <f>IF(ControlPanel!$T$5="nominal",'GrD-Grafikdaten'!J96,'GrD-Grafikdaten'!J107)</f>
        <v>0</v>
      </c>
      <c r="K118" s="100">
        <f>IF(ControlPanel!$T$5="nominal",'GrD-Grafikdaten'!K96,'GrD-Grafikdaten'!K107)</f>
        <v>0.34674016946025665</v>
      </c>
      <c r="L118" s="100">
        <f>IF(ControlPanel!$T$5="nominal",'GrD-Grafikdaten'!L96,'GrD-Grafikdaten'!L107)</f>
        <v>0.90519305019850904</v>
      </c>
      <c r="M118" s="100">
        <f>IF(ControlPanel!$T$5="nominal",'GrD-Grafikdaten'!M96,'GrD-Grafikdaten'!M107)</f>
        <v>1.4807367349706839</v>
      </c>
      <c r="N118" s="100">
        <f>IF(ControlPanel!$T$5="nominal",'GrD-Grafikdaten'!N96,'GrD-Grafikdaten'!N107)</f>
        <v>1.9749077089706597</v>
      </c>
      <c r="O118" s="100">
        <f>IF(ControlPanel!$T$5="nominal",'GrD-Grafikdaten'!O96,'GrD-Grafikdaten'!O107)</f>
        <v>2.3677034569835729</v>
      </c>
      <c r="P118" s="100">
        <f>IF(ControlPanel!$T$5="nominal",'GrD-Grafikdaten'!P96,'GrD-Grafikdaten'!P107)</f>
        <v>2.6768361668385245</v>
      </c>
      <c r="Q118" s="100">
        <f>IF(ControlPanel!$T$5="nominal",'GrD-Grafikdaten'!Q96,'GrD-Grafikdaten'!Q107)</f>
        <v>2.9804641048759821</v>
      </c>
      <c r="R118" s="100">
        <f>IF(ControlPanel!$T$5="nominal",'GrD-Grafikdaten'!R96,'GrD-Grafikdaten'!R107)</f>
        <v>3.1533029559337367</v>
      </c>
      <c r="S118" s="100">
        <f>IF(ControlPanel!$T$5="nominal",'GrD-Grafikdaten'!S96,'GrD-Grafikdaten'!S107)</f>
        <v>3.5710484771982873</v>
      </c>
      <c r="T118" s="100">
        <f>IF(ControlPanel!$T$5="nominal",'GrD-Grafikdaten'!T96,'GrD-Grafikdaten'!T107)</f>
        <v>3.7672126822130898</v>
      </c>
      <c r="U118" s="100">
        <f>IF(ControlPanel!$T$5="nominal",'GrD-Grafikdaten'!U96,'GrD-Grafikdaten'!U107)</f>
        <v>4.1168239747561106</v>
      </c>
      <c r="V118" s="100">
        <f>IF(ControlPanel!$T$5="nominal",'GrD-Grafikdaten'!V96,'GrD-Grafikdaten'!V107)</f>
        <v>4.3885721339349075</v>
      </c>
      <c r="W118" s="100">
        <f>IF(ControlPanel!$T$5="nominal",'GrD-Grafikdaten'!W96,'GrD-Grafikdaten'!W107)</f>
        <v>4.153998612926137</v>
      </c>
      <c r="X118" s="100">
        <f>IF(ControlPanel!$T$5="nominal",'GrD-Grafikdaten'!X96,'GrD-Grafikdaten'!X107)</f>
        <v>4.0504469141749402</v>
      </c>
      <c r="Y118" s="100">
        <f>IF(ControlPanel!$T$5="nominal",'GrD-Grafikdaten'!Y96,'GrD-Grafikdaten'!Y107)</f>
        <v>3.9288741526661854</v>
      </c>
      <c r="Z118" s="100">
        <f>IF(ControlPanel!$T$5="nominal",'GrD-Grafikdaten'!Z96,'GrD-Grafikdaten'!Z107)</f>
        <v>3.9069620929635396</v>
      </c>
      <c r="AA118" s="100">
        <f>IF(ControlPanel!$T$5="nominal",'GrD-Grafikdaten'!AA96,'GrD-Grafikdaten'!AA107)</f>
        <v>3.903461373453601</v>
      </c>
      <c r="AB118" s="100">
        <f>IF(ControlPanel!$T$5="nominal",'GrD-Grafikdaten'!AB96,'GrD-Grafikdaten'!AB107)</f>
        <v>3.9028524983731163</v>
      </c>
      <c r="AC118" s="100">
        <f>IF(ControlPanel!$T$5="nominal",'GrD-Grafikdaten'!AC96,'GrD-Grafikdaten'!AC107)</f>
        <v>3.9015181461490531</v>
      </c>
      <c r="AD118" s="100">
        <f>IF(ControlPanel!$T$5="nominal",'GrD-Grafikdaten'!AD96,'GrD-Grafikdaten'!AD107)</f>
        <v>3.8361792650591706</v>
      </c>
      <c r="AE118" s="591">
        <f>IF(ControlPanel!$T$5="nominal",'GrD-Grafikdaten'!AE96,'GrD-Grafikdaten'!AE107)</f>
        <v>3.7870767940382737</v>
      </c>
      <c r="AF118" s="939" t="s">
        <v>468</v>
      </c>
      <c r="AG118" s="939" t="s">
        <v>632</v>
      </c>
      <c r="AH118" s="567"/>
    </row>
    <row r="119" spans="1:34" s="301" customFormat="1">
      <c r="A119" s="561">
        <v>117</v>
      </c>
      <c r="C119" s="10"/>
      <c r="D119" s="29"/>
      <c r="E119" s="495" t="s">
        <v>516</v>
      </c>
      <c r="F119" s="101">
        <f>IF(ControlPanel!$T$5="nominal",'GrD-Grafikdaten'!F97,'GrD-Grafikdaten'!F108)</f>
        <v>-1.1143275278744671</v>
      </c>
      <c r="G119" s="101">
        <f>IF(ControlPanel!$T$5="nominal",'GrD-Grafikdaten'!G97,'GrD-Grafikdaten'!G108)</f>
        <v>-1.1481771217342542</v>
      </c>
      <c r="H119" s="101">
        <f>IF(ControlPanel!$T$5="nominal",'GrD-Grafikdaten'!H97,'GrD-Grafikdaten'!H108)</f>
        <v>-1.4749351709875336</v>
      </c>
      <c r="I119" s="101">
        <f>IF(ControlPanel!$T$5="nominal",'GrD-Grafikdaten'!I97,'GrD-Grafikdaten'!I108)</f>
        <v>-1.6337029152159672</v>
      </c>
      <c r="J119" s="101">
        <f>IF(ControlPanel!$T$5="nominal",'GrD-Grafikdaten'!J97,'GrD-Grafikdaten'!J108)</f>
        <v>-1.4657694443600116</v>
      </c>
      <c r="K119" s="101">
        <f>IF(ControlPanel!$T$5="nominal",'GrD-Grafikdaten'!K97,'GrD-Grafikdaten'!K108)</f>
        <v>-1.4327617618396029</v>
      </c>
      <c r="L119" s="101">
        <f>IF(ControlPanel!$T$5="nominal",'GrD-Grafikdaten'!L97,'GrD-Grafikdaten'!L108)</f>
        <v>-1.409457795327492</v>
      </c>
      <c r="M119" s="101">
        <f>IF(ControlPanel!$T$5="nominal",'GrD-Grafikdaten'!M97,'GrD-Grafikdaten'!M108)</f>
        <v>-1.3269671439911248</v>
      </c>
      <c r="N119" s="101">
        <f>IF(ControlPanel!$T$5="nominal",'GrD-Grafikdaten'!N97,'GrD-Grafikdaten'!N108)</f>
        <v>-1.6102913072213689</v>
      </c>
      <c r="O119" s="101">
        <f>IF(ControlPanel!$T$5="nominal",'GrD-Grafikdaten'!O97,'GrD-Grafikdaten'!O108)</f>
        <v>-2.2003317493481238</v>
      </c>
      <c r="P119" s="101">
        <f>IF(ControlPanel!$T$5="nominal",'GrD-Grafikdaten'!P97,'GrD-Grafikdaten'!P108)</f>
        <v>-2.5394781566597135</v>
      </c>
      <c r="Q119" s="101">
        <f>IF(ControlPanel!$T$5="nominal",'GrD-Grafikdaten'!Q97,'GrD-Grafikdaten'!Q108)</f>
        <v>-2.0923655388120102</v>
      </c>
      <c r="R119" s="101">
        <f>IF(ControlPanel!$T$5="nominal",'GrD-Grafikdaten'!R97,'GrD-Grafikdaten'!R108)</f>
        <v>-3.882747883441668</v>
      </c>
      <c r="S119" s="101">
        <f>IF(ControlPanel!$T$5="nominal",'GrD-Grafikdaten'!S97,'GrD-Grafikdaten'!S108)</f>
        <v>-5.6634552683789519</v>
      </c>
      <c r="T119" s="101">
        <f>IF(ControlPanel!$T$5="nominal",'GrD-Grafikdaten'!T97,'GrD-Grafikdaten'!T108)</f>
        <v>-4.9219952117284622</v>
      </c>
      <c r="U119" s="101">
        <f>IF(ControlPanel!$T$5="nominal",'GrD-Grafikdaten'!U97,'GrD-Grafikdaten'!U108)</f>
        <v>-4.8825158422907089</v>
      </c>
      <c r="V119" s="101">
        <f>IF(ControlPanel!$T$5="nominal",'GrD-Grafikdaten'!V97,'GrD-Grafikdaten'!V108)</f>
        <v>-4.9969386513938971</v>
      </c>
      <c r="W119" s="101">
        <f>IF(ControlPanel!$T$5="nominal",'GrD-Grafikdaten'!W97,'GrD-Grafikdaten'!W108)</f>
        <v>-4.6731781178572636</v>
      </c>
      <c r="X119" s="101">
        <f>IF(ControlPanel!$T$5="nominal",'GrD-Grafikdaten'!X97,'GrD-Grafikdaten'!X108)</f>
        <v>-4.3466376723096225</v>
      </c>
      <c r="Y119" s="101">
        <f>IF(ControlPanel!$T$5="nominal",'GrD-Grafikdaten'!Y97,'GrD-Grafikdaten'!Y108)</f>
        <v>-4.0925240406859116</v>
      </c>
      <c r="Z119" s="101">
        <f>IF(ControlPanel!$T$5="nominal",'GrD-Grafikdaten'!Z97,'GrD-Grafikdaten'!Z108)</f>
        <v>-3.7943182309391652</v>
      </c>
      <c r="AA119" s="101">
        <f>IF(ControlPanel!$T$5="nominal",'GrD-Grafikdaten'!AA97,'GrD-Grafikdaten'!AA108)</f>
        <v>-3.4996264464321594</v>
      </c>
      <c r="AB119" s="101">
        <f>IF(ControlPanel!$T$5="nominal",'GrD-Grafikdaten'!AB97,'GrD-Grafikdaten'!AB108)</f>
        <v>-3.169108338634762</v>
      </c>
      <c r="AC119" s="101">
        <f>IF(ControlPanel!$T$5="nominal",'GrD-Grafikdaten'!AC97,'GrD-Grafikdaten'!AC108)</f>
        <v>-2.927604733859503</v>
      </c>
      <c r="AD119" s="101">
        <f>IF(ControlPanel!$T$5="nominal",'GrD-Grafikdaten'!AD97,'GrD-Grafikdaten'!AD108)</f>
        <v>-2.7205283517379422</v>
      </c>
      <c r="AE119" s="592">
        <f>IF(ControlPanel!$T$5="nominal",'GrD-Grafikdaten'!AE97,'GrD-Grafikdaten'!AE108)</f>
        <v>-2.4766573974023509</v>
      </c>
      <c r="AF119" s="939" t="s">
        <v>468</v>
      </c>
      <c r="AG119" s="939" t="s">
        <v>632</v>
      </c>
      <c r="AH119" s="567"/>
    </row>
    <row r="120" spans="1:34" s="301" customFormat="1">
      <c r="A120" s="561">
        <v>118</v>
      </c>
      <c r="C120" s="10"/>
      <c r="D120" s="29"/>
      <c r="E120" s="16" t="s">
        <v>75</v>
      </c>
      <c r="F120" s="101">
        <f>IF(ControlPanel!$T$5="nominal",'GrD-Grafikdaten'!F98,'GrD-Grafikdaten'!F109)</f>
        <v>0</v>
      </c>
      <c r="G120" s="101">
        <f>IF(ControlPanel!$T$5="nominal",'GrD-Grafikdaten'!G98,'GrD-Grafikdaten'!G109)</f>
        <v>0</v>
      </c>
      <c r="H120" s="101">
        <f>IF(ControlPanel!$T$5="nominal",'GrD-Grafikdaten'!H98,'GrD-Grafikdaten'!H109)</f>
        <v>9.9363640268897269E-2</v>
      </c>
      <c r="I120" s="101">
        <f>IF(ControlPanel!$T$5="nominal",'GrD-Grafikdaten'!I98,'GrD-Grafikdaten'!I109)</f>
        <v>0.41882948767683209</v>
      </c>
      <c r="J120" s="101">
        <f>IF(ControlPanel!$T$5="nominal",'GrD-Grafikdaten'!J98,'GrD-Grafikdaten'!J109)</f>
        <v>0.51450044762037139</v>
      </c>
      <c r="K120" s="101">
        <f>IF(ControlPanel!$T$5="nominal",'GrD-Grafikdaten'!K98,'GrD-Grafikdaten'!K109)</f>
        <v>0.59588029975693935</v>
      </c>
      <c r="L120" s="101">
        <f>IF(ControlPanel!$T$5="nominal",'GrD-Grafikdaten'!L98,'GrD-Grafikdaten'!L109)</f>
        <v>0.63917545747264604</v>
      </c>
      <c r="M120" s="101">
        <f>IF(ControlPanel!$T$5="nominal",'GrD-Grafikdaten'!M98,'GrD-Grafikdaten'!M109)</f>
        <v>0.41973237987297907</v>
      </c>
      <c r="N120" s="101">
        <f>IF(ControlPanel!$T$5="nominal",'GrD-Grafikdaten'!N98,'GrD-Grafikdaten'!N109)</f>
        <v>0.43715441640493991</v>
      </c>
      <c r="O120" s="101">
        <f>IF(ControlPanel!$T$5="nominal",'GrD-Grafikdaten'!O98,'GrD-Grafikdaten'!O109)</f>
        <v>0.42091884484027542</v>
      </c>
      <c r="P120" s="101">
        <f>IF(ControlPanel!$T$5="nominal",'GrD-Grafikdaten'!P98,'GrD-Grafikdaten'!P109)</f>
        <v>0.54619830175326833</v>
      </c>
      <c r="Q120" s="101">
        <f>IF(ControlPanel!$T$5="nominal",'GrD-Grafikdaten'!Q98,'GrD-Grafikdaten'!Q109)</f>
        <v>0.76861898320156619</v>
      </c>
      <c r="R120" s="101">
        <f>IF(ControlPanel!$T$5="nominal",'GrD-Grafikdaten'!R98,'GrD-Grafikdaten'!R109)</f>
        <v>0.28324012362832324</v>
      </c>
      <c r="S120" s="101">
        <f>IF(ControlPanel!$T$5="nominal",'GrD-Grafikdaten'!S98,'GrD-Grafikdaten'!S109)</f>
        <v>0.27137385813731224</v>
      </c>
      <c r="T120" s="101">
        <f>IF(ControlPanel!$T$5="nominal",'GrD-Grafikdaten'!T98,'GrD-Grafikdaten'!T109)</f>
        <v>0.31991132938767008</v>
      </c>
      <c r="U120" s="101">
        <f>IF(ControlPanel!$T$5="nominal",'GrD-Grafikdaten'!U98,'GrD-Grafikdaten'!U109)</f>
        <v>0.32502284748188753</v>
      </c>
      <c r="V120" s="101">
        <f>IF(ControlPanel!$T$5="nominal",'GrD-Grafikdaten'!V98,'GrD-Grafikdaten'!V109)</f>
        <v>0.30703325919733476</v>
      </c>
      <c r="W120" s="101">
        <f>IF(ControlPanel!$T$5="nominal",'GrD-Grafikdaten'!W98,'GrD-Grafikdaten'!W109)</f>
        <v>0.26508662572377822</v>
      </c>
      <c r="X120" s="101">
        <f>IF(ControlPanel!$T$5="nominal",'GrD-Grafikdaten'!X98,'GrD-Grafikdaten'!X109)</f>
        <v>0.23584016269154762</v>
      </c>
      <c r="Y120" s="101">
        <f>IF(ControlPanel!$T$5="nominal",'GrD-Grafikdaten'!Y98,'GrD-Grafikdaten'!Y109)</f>
        <v>0.20883734887461067</v>
      </c>
      <c r="Z120" s="101">
        <f>IF(ControlPanel!$T$5="nominal",'GrD-Grafikdaten'!Z98,'GrD-Grafikdaten'!Z109)</f>
        <v>0.17646599069671065</v>
      </c>
      <c r="AA120" s="101">
        <f>IF(ControlPanel!$T$5="nominal",'GrD-Grafikdaten'!AA98,'GrD-Grafikdaten'!AA109)</f>
        <v>0.13698930152597238</v>
      </c>
      <c r="AB120" s="101">
        <f>IF(ControlPanel!$T$5="nominal",'GrD-Grafikdaten'!AB98,'GrD-Grafikdaten'!AB109)</f>
        <v>0.10440782149466275</v>
      </c>
      <c r="AC120" s="101">
        <f>IF(ControlPanel!$T$5="nominal",'GrD-Grafikdaten'!AC98,'GrD-Grafikdaten'!AC109)</f>
        <v>8.9113700777496918E-2</v>
      </c>
      <c r="AD120" s="101">
        <f>IF(ControlPanel!$T$5="nominal",'GrD-Grafikdaten'!AD98,'GrD-Grafikdaten'!AD109)</f>
        <v>8.5140064233752394E-2</v>
      </c>
      <c r="AE120" s="592">
        <f>IF(ControlPanel!$T$5="nominal",'GrD-Grafikdaten'!AE98,'GrD-Grafikdaten'!AE109)</f>
        <v>8.6857413255096716E-2</v>
      </c>
      <c r="AF120" s="939" t="s">
        <v>468</v>
      </c>
      <c r="AG120" s="939" t="s">
        <v>632</v>
      </c>
      <c r="AH120" s="567"/>
    </row>
    <row r="121" spans="1:34" s="301" customFormat="1">
      <c r="A121" s="561">
        <v>119</v>
      </c>
      <c r="C121" s="10"/>
      <c r="D121" s="29"/>
      <c r="E121" s="16" t="s">
        <v>604</v>
      </c>
      <c r="F121" s="101">
        <f>IF(ControlPanel!$T$5="nominal",'GrD-Grafikdaten'!F99,'GrD-Grafikdaten'!F110)</f>
        <v>0</v>
      </c>
      <c r="G121" s="101">
        <f>IF(ControlPanel!$T$5="nominal",'GrD-Grafikdaten'!G99,'GrD-Grafikdaten'!G110)</f>
        <v>0.27301911687690317</v>
      </c>
      <c r="H121" s="101">
        <f>IF(ControlPanel!$T$5="nominal",'GrD-Grafikdaten'!H99,'GrD-Grafikdaten'!H110)</f>
        <v>0.18051501743452761</v>
      </c>
      <c r="I121" s="101">
        <f>IF(ControlPanel!$T$5="nominal",'GrD-Grafikdaten'!I99,'GrD-Grafikdaten'!I110)</f>
        <v>0.66987563555484619</v>
      </c>
      <c r="J121" s="101">
        <f>IF(ControlPanel!$T$5="nominal",'GrD-Grafikdaten'!J99,'GrD-Grafikdaten'!J110)</f>
        <v>0.580495076175914</v>
      </c>
      <c r="K121" s="101">
        <f>IF(ControlPanel!$T$5="nominal",'GrD-Grafikdaten'!K99,'GrD-Grafikdaten'!K110)</f>
        <v>-0.38511260956194937</v>
      </c>
      <c r="L121" s="101">
        <f>IF(ControlPanel!$T$5="nominal",'GrD-Grafikdaten'!L99,'GrD-Grafikdaten'!L110)</f>
        <v>-0.69266139247521119</v>
      </c>
      <c r="M121" s="101">
        <f>IF(ControlPanel!$T$5="nominal",'GrD-Grafikdaten'!M99,'GrD-Grafikdaten'!M110)</f>
        <v>-0.55504560755227295</v>
      </c>
      <c r="N121" s="101">
        <f>IF(ControlPanel!$T$5="nominal",'GrD-Grafikdaten'!N99,'GrD-Grafikdaten'!N110)</f>
        <v>-0.94425652016355122</v>
      </c>
      <c r="O121" s="101">
        <f>IF(ControlPanel!$T$5="nominal",'GrD-Grafikdaten'!O99,'GrD-Grafikdaten'!O110)</f>
        <v>-1.0296510992816279</v>
      </c>
      <c r="P121" s="101">
        <f>IF(ControlPanel!$T$5="nominal",'GrD-Grafikdaten'!P99,'GrD-Grafikdaten'!P110)</f>
        <v>-0.61556075984894099</v>
      </c>
      <c r="Q121" s="101">
        <f>IF(ControlPanel!$T$5="nominal",'GrD-Grafikdaten'!Q99,'GrD-Grafikdaten'!Q110)</f>
        <v>1.184837164735316</v>
      </c>
      <c r="R121" s="101">
        <f>IF(ControlPanel!$T$5="nominal",'GrD-Grafikdaten'!R99,'GrD-Grafikdaten'!R110)</f>
        <v>-1.2975310154828803</v>
      </c>
      <c r="S121" s="101">
        <f ca="1">IF(ControlPanel!$T$5="nominal",'GrD-Grafikdaten'!S99,'GrD-Grafikdaten'!S110)</f>
        <v>-1.6854955075627092</v>
      </c>
      <c r="T121" s="101">
        <f ca="1">IF(ControlPanel!$T$5="nominal",'GrD-Grafikdaten'!T99,'GrD-Grafikdaten'!T110)</f>
        <v>-0.27431059377937422</v>
      </c>
      <c r="U121" s="101">
        <f ca="1">IF(ControlPanel!$T$5="nominal",'GrD-Grafikdaten'!U99,'GrD-Grafikdaten'!U110)</f>
        <v>-0.32298219897446123</v>
      </c>
      <c r="V121" s="101">
        <f ca="1">IF(ControlPanel!$T$5="nominal",'GrD-Grafikdaten'!V99,'GrD-Grafikdaten'!V110)</f>
        <v>-0.32696418981196645</v>
      </c>
      <c r="W121" s="101">
        <f ca="1">IF(ControlPanel!$T$5="nominal",'GrD-Grafikdaten'!W99,'GrD-Grafikdaten'!W110)</f>
        <v>-0.28865975341303451</v>
      </c>
      <c r="X121" s="101">
        <f ca="1">IF(ControlPanel!$T$5="nominal",'GrD-Grafikdaten'!X99,'GrD-Grafikdaten'!X110)</f>
        <v>-0.25003265451330225</v>
      </c>
      <c r="Y121" s="101">
        <f ca="1">IF(ControlPanel!$T$5="nominal",'GrD-Grafikdaten'!Y99,'GrD-Grafikdaten'!Y110)</f>
        <v>-0.22309207236024953</v>
      </c>
      <c r="Z121" s="101">
        <f ca="1">IF(ControlPanel!$T$5="nominal",'GrD-Grafikdaten'!Z99,'GrD-Grafikdaten'!Z110)</f>
        <v>-0.19805382500983618</v>
      </c>
      <c r="AA121" s="101">
        <f ca="1">IF(ControlPanel!$T$5="nominal",'GrD-Grafikdaten'!AA99,'GrD-Grafikdaten'!AA110)</f>
        <v>-0.1677994760769958</v>
      </c>
      <c r="AB121" s="101">
        <f ca="1">IF(ControlPanel!$T$5="nominal",'GrD-Grafikdaten'!AB99,'GrD-Grafikdaten'!AB110)</f>
        <v>-0.1305748827088945</v>
      </c>
      <c r="AC121" s="101">
        <f ca="1">IF(ControlPanel!$T$5="nominal",'GrD-Grafikdaten'!AC99,'GrD-Grafikdaten'!AC110)</f>
        <v>-9.9785312558395664E-2</v>
      </c>
      <c r="AD121" s="101">
        <f ca="1">IF(ControlPanel!$T$5="nominal",'GrD-Grafikdaten'!AD99,'GrD-Grafikdaten'!AD110)</f>
        <v>-8.5348310332645963E-2</v>
      </c>
      <c r="AE121" s="592">
        <f ca="1">IF(ControlPanel!$T$5="nominal",'GrD-Grafikdaten'!AE99,'GrD-Grafikdaten'!AE110)</f>
        <v>-8.1704299509258851E-2</v>
      </c>
      <c r="AF121" s="939" t="s">
        <v>468</v>
      </c>
      <c r="AG121" s="939" t="s">
        <v>632</v>
      </c>
      <c r="AH121" s="567"/>
    </row>
    <row r="122" spans="1:34" s="301" customFormat="1">
      <c r="A122" s="561">
        <v>119</v>
      </c>
      <c r="C122" s="10"/>
      <c r="D122" s="29"/>
      <c r="E122" s="16" t="s">
        <v>871</v>
      </c>
      <c r="F122" s="101">
        <f>IF(ControlPanel!$T$5="nominal",'GrD-Grafikdaten'!F100,'GrD-Grafikdaten'!F111)</f>
        <v>0</v>
      </c>
      <c r="G122" s="101">
        <f>IF(ControlPanel!$T$5="nominal",'GrD-Grafikdaten'!G100,'GrD-Grafikdaten'!G111)</f>
        <v>0</v>
      </c>
      <c r="H122" s="101">
        <f>IF(ControlPanel!$T$5="nominal",'GrD-Grafikdaten'!H100,'GrD-Grafikdaten'!H111)</f>
        <v>0</v>
      </c>
      <c r="I122" s="101">
        <f>IF(ControlPanel!$T$5="nominal",'GrD-Grafikdaten'!I100,'GrD-Grafikdaten'!I111)</f>
        <v>0</v>
      </c>
      <c r="J122" s="101">
        <f>IF(ControlPanel!$T$5="nominal",'GrD-Grafikdaten'!J100,'GrD-Grafikdaten'!J111)</f>
        <v>0</v>
      </c>
      <c r="K122" s="101">
        <f>IF(ControlPanel!$T$5="nominal",'GrD-Grafikdaten'!K100,'GrD-Grafikdaten'!K111)</f>
        <v>0</v>
      </c>
      <c r="L122" s="101">
        <f>IF(ControlPanel!$T$5="nominal",'GrD-Grafikdaten'!L100,'GrD-Grafikdaten'!L111)</f>
        <v>0</v>
      </c>
      <c r="M122" s="101">
        <f>IF(ControlPanel!$T$5="nominal",'GrD-Grafikdaten'!M100,'GrD-Grafikdaten'!M111)</f>
        <v>0</v>
      </c>
      <c r="N122" s="101">
        <f>IF(ControlPanel!$T$5="nominal",'GrD-Grafikdaten'!N100,'GrD-Grafikdaten'!N111)</f>
        <v>0</v>
      </c>
      <c r="O122" s="101">
        <f>IF(ControlPanel!$T$5="nominal",'GrD-Grafikdaten'!O100,'GrD-Grafikdaten'!O111)</f>
        <v>0</v>
      </c>
      <c r="P122" s="101">
        <f>IF(ControlPanel!$T$5="nominal",'GrD-Grafikdaten'!P100,'GrD-Grafikdaten'!P111)</f>
        <v>0</v>
      </c>
      <c r="Q122" s="101">
        <f>IF(ControlPanel!$T$5="nominal",'GrD-Grafikdaten'!Q100,'GrD-Grafikdaten'!Q111)</f>
        <v>-3.1360306162356211</v>
      </c>
      <c r="R122" s="101">
        <f>IF(ControlPanel!$T$5="nominal",'GrD-Grafikdaten'!R100,'GrD-Grafikdaten'!R111)</f>
        <v>-0.92742880856456678</v>
      </c>
      <c r="S122" s="101">
        <f>IF(ControlPanel!$T$5="nominal",'GrD-Grafikdaten'!S100,'GrD-Grafikdaten'!S111)</f>
        <v>-0.88154154979975385</v>
      </c>
      <c r="T122" s="101">
        <f>IF(ControlPanel!$T$5="nominal",'GrD-Grafikdaten'!T100,'GrD-Grafikdaten'!T111)</f>
        <v>-1.3797388765156033</v>
      </c>
      <c r="U122" s="101">
        <f>IF(ControlPanel!$T$5="nominal",'GrD-Grafikdaten'!U100,'GrD-Grafikdaten'!U111)</f>
        <v>-1.8863313701926339</v>
      </c>
      <c r="V122" s="101">
        <f>IF(ControlPanel!$T$5="nominal",'GrD-Grafikdaten'!V100,'GrD-Grafikdaten'!V111)</f>
        <v>-1.7516292151349633</v>
      </c>
      <c r="W122" s="101">
        <f>IF(ControlPanel!$T$5="nominal",'GrD-Grafikdaten'!W100,'GrD-Grafikdaten'!W111)</f>
        <v>-1.6468080970568528</v>
      </c>
      <c r="X122" s="101">
        <f>IF(ControlPanel!$T$5="nominal",'GrD-Grafikdaten'!X100,'GrD-Grafikdaten'!X111)</f>
        <v>-1.5532877181445466</v>
      </c>
      <c r="Y122" s="101">
        <f>IF(ControlPanel!$T$5="nominal",'GrD-Grafikdaten'!Y100,'GrD-Grafikdaten'!Y111)</f>
        <v>-1.4693263948677264</v>
      </c>
      <c r="Z122" s="101">
        <f>IF(ControlPanel!$T$5="nominal",'GrD-Grafikdaten'!Z100,'GrD-Grafikdaten'!Z111)</f>
        <v>-1.3934562675673046</v>
      </c>
      <c r="AA122" s="101">
        <f>IF(ControlPanel!$T$5="nominal",'GrD-Grafikdaten'!AA100,'GrD-Grafikdaten'!AA111)</f>
        <v>-1.3250214996716538</v>
      </c>
      <c r="AB122" s="101">
        <f>IF(ControlPanel!$T$5="nominal",'GrD-Grafikdaten'!AB100,'GrD-Grafikdaten'!AB111)</f>
        <v>-1.2629783857507084</v>
      </c>
      <c r="AC122" s="101">
        <f>IF(ControlPanel!$T$5="nominal",'GrD-Grafikdaten'!AC100,'GrD-Grafikdaten'!AC111)</f>
        <v>-1.2070618002797318</v>
      </c>
      <c r="AD122" s="101">
        <f>IF(ControlPanel!$T$5="nominal",'GrD-Grafikdaten'!AD100,'GrD-Grafikdaten'!AD111)</f>
        <v>-1.1560588800838096</v>
      </c>
      <c r="AE122" s="592">
        <f>IF(ControlPanel!$T$5="nominal",'GrD-Grafikdaten'!AE100,'GrD-Grafikdaten'!AE111)</f>
        <v>-1.1094069735416157</v>
      </c>
      <c r="AF122" s="939" t="s">
        <v>468</v>
      </c>
      <c r="AG122" s="939" t="s">
        <v>632</v>
      </c>
      <c r="AH122" s="567"/>
    </row>
    <row r="123" spans="1:34" s="301" customFormat="1" ht="25.5">
      <c r="A123" s="561">
        <v>120</v>
      </c>
      <c r="C123" s="10"/>
      <c r="D123" s="29"/>
      <c r="E123" s="495" t="s">
        <v>475</v>
      </c>
      <c r="F123" s="101">
        <f>IF(ControlPanel!$T$5="nominal",'GrD-Grafikdaten'!F101,'GrD-Grafikdaten'!F112)</f>
        <v>1.2621203479080452E-2</v>
      </c>
      <c r="G123" s="101">
        <f>IF(ControlPanel!$T$5="nominal",'GrD-Grafikdaten'!G101,'GrD-Grafikdaten'!G112)</f>
        <v>0.21705777646400023</v>
      </c>
      <c r="H123" s="101">
        <f>IF(ControlPanel!$T$5="nominal",'GrD-Grafikdaten'!H101,'GrD-Grafikdaten'!H112)</f>
        <v>-2.030389836889188E-2</v>
      </c>
      <c r="I123" s="101">
        <f>IF(ControlPanel!$T$5="nominal",'GrD-Grafikdaten'!I101,'GrD-Grafikdaten'!I112)</f>
        <v>-7.6196695631972927E-2</v>
      </c>
      <c r="J123" s="101">
        <f>IF(ControlPanel!$T$5="nominal",'GrD-Grafikdaten'!J101,'GrD-Grafikdaten'!J112)</f>
        <v>-7.2646252065796002E-2</v>
      </c>
      <c r="K123" s="101">
        <f>IF(ControlPanel!$T$5="nominal",'GrD-Grafikdaten'!K101,'GrD-Grafikdaten'!K112)</f>
        <v>-0.15408249338839253</v>
      </c>
      <c r="L123" s="101">
        <f>IF(ControlPanel!$T$5="nominal",'GrD-Grafikdaten'!L101,'GrD-Grafikdaten'!L112)</f>
        <v>-0.19537762018019211</v>
      </c>
      <c r="M123" s="101">
        <f>IF(ControlPanel!$T$5="nominal",'GrD-Grafikdaten'!M101,'GrD-Grafikdaten'!M112)</f>
        <v>-0.23261197641055825</v>
      </c>
      <c r="N123" s="101">
        <f>IF(ControlPanel!$T$5="nominal",'GrD-Grafikdaten'!N101,'GrD-Grafikdaten'!N112)</f>
        <v>-0.17235341820590774</v>
      </c>
      <c r="O123" s="101">
        <f>IF(ControlPanel!$T$5="nominal",'GrD-Grafikdaten'!O101,'GrD-Grafikdaten'!O112)</f>
        <v>-0.13412767068844386</v>
      </c>
      <c r="P123" s="101">
        <f>IF(ControlPanel!$T$5="nominal",'GrD-Grafikdaten'!P101,'GrD-Grafikdaten'!P112)</f>
        <v>-8.0443426936161966E-2</v>
      </c>
      <c r="Q123" s="101">
        <f>IF(ControlPanel!$T$5="nominal",'GrD-Grafikdaten'!Q101,'GrD-Grafikdaten'!Q112)</f>
        <v>-8.278910044952377E-2</v>
      </c>
      <c r="R123" s="101">
        <f>IF(ControlPanel!$T$5="nominal",'GrD-Grafikdaten'!R101,'GrD-Grafikdaten'!R112)</f>
        <v>-5.3106405646958163E-2</v>
      </c>
      <c r="S123" s="101">
        <f>IF(ControlPanel!$T$5="nominal",'GrD-Grafikdaten'!S101,'GrD-Grafikdaten'!S112)</f>
        <v>-7.0128944737390259E-2</v>
      </c>
      <c r="T123" s="101">
        <f>IF(ControlPanel!$T$5="nominal",'GrD-Grafikdaten'!T101,'GrD-Grafikdaten'!T112)</f>
        <v>-7.2173137743076529E-2</v>
      </c>
      <c r="U123" s="101">
        <f>IF(ControlPanel!$T$5="nominal",'GrD-Grafikdaten'!U101,'GrD-Grafikdaten'!U112)</f>
        <v>-7.0475794869206645E-2</v>
      </c>
      <c r="V123" s="101">
        <f>IF(ControlPanel!$T$5="nominal",'GrD-Grafikdaten'!V101,'GrD-Grafikdaten'!V112)</f>
        <v>-6.7441943850191574E-2</v>
      </c>
      <c r="W123" s="101">
        <f>IF(ControlPanel!$T$5="nominal",'GrD-Grafikdaten'!W101,'GrD-Grafikdaten'!W112)</f>
        <v>-5.7824695904141861E-2</v>
      </c>
      <c r="X123" s="101">
        <f>IF(ControlPanel!$T$5="nominal",'GrD-Grafikdaten'!X101,'GrD-Grafikdaten'!X112)</f>
        <v>-5.0634240205999839E-2</v>
      </c>
      <c r="Y123" s="101">
        <f>IF(ControlPanel!$T$5="nominal",'GrD-Grafikdaten'!Y101,'GrD-Grafikdaten'!Y112)</f>
        <v>-4.6785678178503848E-2</v>
      </c>
      <c r="Z123" s="101">
        <f>IF(ControlPanel!$T$5="nominal",'GrD-Grafikdaten'!Z101,'GrD-Grafikdaten'!Z112)</f>
        <v>-4.1415616307358058E-2</v>
      </c>
      <c r="AA123" s="101">
        <f>IF(ControlPanel!$T$5="nominal",'GrD-Grafikdaten'!AA101,'GrD-Grafikdaten'!AA112)</f>
        <v>-3.5045833096892812E-2</v>
      </c>
      <c r="AB123" s="101">
        <f>IF(ControlPanel!$T$5="nominal",'GrD-Grafikdaten'!AB101,'GrD-Grafikdaten'!AB112)</f>
        <v>-2.5722605539340252E-2</v>
      </c>
      <c r="AC123" s="101">
        <f>IF(ControlPanel!$T$5="nominal",'GrD-Grafikdaten'!AC101,'GrD-Grafikdaten'!AC112)</f>
        <v>-2.3186772064501818E-2</v>
      </c>
      <c r="AD123" s="101">
        <f>IF(ControlPanel!$T$5="nominal",'GrD-Grafikdaten'!AD101,'GrD-Grafikdaten'!AD112)</f>
        <v>-2.0845143498167591E-2</v>
      </c>
      <c r="AE123" s="592">
        <f>IF(ControlPanel!$T$5="nominal",'GrD-Grafikdaten'!AE101,'GrD-Grafikdaten'!AE112)</f>
        <v>-1.9852527153369992E-2</v>
      </c>
      <c r="AF123" s="939" t="s">
        <v>468</v>
      </c>
      <c r="AG123" s="939" t="s">
        <v>632</v>
      </c>
      <c r="AH123" s="567"/>
    </row>
    <row r="124" spans="1:34" s="301" customFormat="1">
      <c r="A124" s="561">
        <v>121</v>
      </c>
      <c r="C124" s="10"/>
      <c r="D124" s="29"/>
      <c r="E124" s="305" t="s">
        <v>517</v>
      </c>
      <c r="F124" s="102">
        <f>IF(ControlPanel!$T$5="nominal",'GrD-Grafikdaten'!F102,'GrD-Grafikdaten'!F113)</f>
        <v>3.149123966277187</v>
      </c>
      <c r="G124" s="102">
        <f>IF(ControlPanel!$T$5="nominal",'GrD-Grafikdaten'!G102,'GrD-Grafikdaten'!G113)</f>
        <v>4.1888003025421927</v>
      </c>
      <c r="H124" s="102">
        <f>IF(ControlPanel!$T$5="nominal",'GrD-Grafikdaten'!H102,'GrD-Grafikdaten'!H113)</f>
        <v>4.8064331813660583</v>
      </c>
      <c r="I124" s="102">
        <f>IF(ControlPanel!$T$5="nominal",'GrD-Grafikdaten'!I102,'GrD-Grafikdaten'!I113)</f>
        <v>5.8986442334188212</v>
      </c>
      <c r="J124" s="102">
        <f>IF(ControlPanel!$T$5="nominal",'GrD-Grafikdaten'!J102,'GrD-Grafikdaten'!J113)</f>
        <v>6.6832122779814043</v>
      </c>
      <c r="K124" s="102">
        <f>IF(ControlPanel!$T$5="nominal",'GrD-Grafikdaten'!K102,'GrD-Grafikdaten'!K113)</f>
        <v>7.1886572360120375</v>
      </c>
      <c r="L124" s="102">
        <f>IF(ControlPanel!$T$5="nominal",'GrD-Grafikdaten'!L102,'GrD-Grafikdaten'!L113)</f>
        <v>7.0956148314624299</v>
      </c>
      <c r="M124" s="102">
        <f>IF(ControlPanel!$T$5="nominal",'GrD-Grafikdaten'!M102,'GrD-Grafikdaten'!M113)</f>
        <v>7.0727015380925158</v>
      </c>
      <c r="N124" s="102">
        <f>IF(ControlPanel!$T$5="nominal",'GrD-Grafikdaten'!N102,'GrD-Grafikdaten'!N113)</f>
        <v>7.0900492955319212</v>
      </c>
      <c r="O124" s="102">
        <f>IF(ControlPanel!$T$5="nominal",'GrD-Grafikdaten'!O102,'GrD-Grafikdaten'!O113)</f>
        <v>6.982070043724252</v>
      </c>
      <c r="P124" s="102">
        <f>IF(ControlPanel!$T$5="nominal",'GrD-Grafikdaten'!P102,'GrD-Grafikdaten'!P113)</f>
        <v>6.7765276396295775</v>
      </c>
      <c r="Q124" s="102">
        <f>IF(ControlPanel!$T$5="nominal",'GrD-Grafikdaten'!Q102,'GrD-Grafikdaten'!Q113)</f>
        <v>6.8791381271699699</v>
      </c>
      <c r="R124" s="102">
        <f>IF(ControlPanel!$T$5="nominal",'GrD-Grafikdaten'!R102,'GrD-Grafikdaten'!R113)</f>
        <v>6.491299663111799</v>
      </c>
      <c r="S124" s="102">
        <f>IF(ControlPanel!$T$5="nominal",'GrD-Grafikdaten'!S102,'GrD-Grafikdaten'!S113)</f>
        <v>6.6854333715399257</v>
      </c>
      <c r="T124" s="102">
        <f>IF(ControlPanel!$T$5="nominal",'GrD-Grafikdaten'!T102,'GrD-Grafikdaten'!T113)</f>
        <v>6.5588111570529515</v>
      </c>
      <c r="U124" s="102">
        <f>IF(ControlPanel!$T$5="nominal",'GrD-Grafikdaten'!U102,'GrD-Grafikdaten'!U113)</f>
        <v>6.2532151204352653</v>
      </c>
      <c r="V124" s="102">
        <f>IF(ControlPanel!$T$5="nominal",'GrD-Grafikdaten'!V102,'GrD-Grafikdaten'!V113)</f>
        <v>5.7930294479314277</v>
      </c>
      <c r="W124" s="102">
        <f>IF(ControlPanel!$T$5="nominal",'GrD-Grafikdaten'!W102,'GrD-Grafikdaten'!W113)</f>
        <v>4.9951146295649052</v>
      </c>
      <c r="X124" s="102">
        <f>IF(ControlPanel!$T$5="nominal",'GrD-Grafikdaten'!X102,'GrD-Grafikdaten'!X113)</f>
        <v>4.2774943765331415</v>
      </c>
      <c r="Y124" s="102">
        <f>IF(ControlPanel!$T$5="nominal",'GrD-Grafikdaten'!Y102,'GrD-Grafikdaten'!Y113)</f>
        <v>3.6910580474417412</v>
      </c>
      <c r="Z124" s="102">
        <f>IF(ControlPanel!$T$5="nominal",'GrD-Grafikdaten'!Z102,'GrD-Grafikdaten'!Z113)</f>
        <v>2.8698715992281612</v>
      </c>
      <c r="AA124" s="102">
        <f>IF(ControlPanel!$T$5="nominal",'GrD-Grafikdaten'!AA102,'GrD-Grafikdaten'!AA113)</f>
        <v>1.9143659315083248</v>
      </c>
      <c r="AB124" s="102">
        <f>IF(ControlPanel!$T$5="nominal",'GrD-Grafikdaten'!AB102,'GrD-Grafikdaten'!AB113)</f>
        <v>1.0321088040453661</v>
      </c>
      <c r="AC124" s="102">
        <f>IF(ControlPanel!$T$5="nominal",'GrD-Grafikdaten'!AC102,'GrD-Grafikdaten'!AC113)</f>
        <v>0.53450170606656722</v>
      </c>
      <c r="AD124" s="102">
        <f>IF(ControlPanel!$T$5="nominal",'GrD-Grafikdaten'!AD102,'GrD-Grafikdaten'!AD113)</f>
        <v>0.32419530073947944</v>
      </c>
      <c r="AE124" s="593">
        <f>IF(ControlPanel!$T$5="nominal",'GrD-Grafikdaten'!AE102,'GrD-Grafikdaten'!AE113)</f>
        <v>0.15705668476905912</v>
      </c>
      <c r="AF124" s="939" t="s">
        <v>468</v>
      </c>
      <c r="AG124" s="939" t="s">
        <v>632</v>
      </c>
      <c r="AH124" s="567"/>
    </row>
    <row r="125" spans="1:34" s="301" customFormat="1">
      <c r="A125" s="561">
        <v>122</v>
      </c>
      <c r="C125" s="10"/>
      <c r="D125" s="29"/>
      <c r="E125" s="203" t="s">
        <v>168</v>
      </c>
      <c r="F125" s="103">
        <f>IF(IF(ControlPanel!$T$5="nominal",'GrD-Grafikdaten'!F103,'GrD-Grafikdaten'!F114)&lt;0,0,IF(ControlPanel!$T$5="nominal",'GrD-Grafikdaten'!F103,'GrD-Grafikdaten'!F114))</f>
        <v>2.0469999999999997</v>
      </c>
      <c r="G125" s="103">
        <f>IF(IF(ControlPanel!$T$5="nominal",'GrD-Grafikdaten'!G103,'GrD-Grafikdaten'!G114)&lt;0,0,IF(ControlPanel!$T$5="nominal",'GrD-Grafikdaten'!G103,'GrD-Grafikdaten'!G114))</f>
        <v>3.5300000000000007</v>
      </c>
      <c r="H125" s="103">
        <f>IF(IF(ControlPanel!$T$5="nominal",'GrD-Grafikdaten'!H103,'GrD-Grafikdaten'!H114)&lt;0,0,IF(ControlPanel!$T$5="nominal",'GrD-Grafikdaten'!H103,'GrD-Grafikdaten'!H114))</f>
        <v>3.5920000000000005</v>
      </c>
      <c r="I125" s="103">
        <f>IF(IF(ControlPanel!$T$5="nominal",'GrD-Grafikdaten'!I103,'GrD-Grafikdaten'!I114)&lt;0,0,IF(ControlPanel!$T$5="nominal",'GrD-Grafikdaten'!I103,'GrD-Grafikdaten'!I114))</f>
        <v>5.2769999999999992</v>
      </c>
      <c r="J125" s="103">
        <f>IF(IF(ControlPanel!$T$5="nominal",'GrD-Grafikdaten'!J103,'GrD-Grafikdaten'!J114)&lt;0,0,IF(ControlPanel!$T$5="nominal",'GrD-Grafikdaten'!J103,'GrD-Grafikdaten'!J114))</f>
        <v>6.2399999999999993</v>
      </c>
      <c r="K125" s="103">
        <f>IF(IF(ControlPanel!$T$5="nominal",'GrD-Grafikdaten'!K103,'GrD-Grafikdaten'!K114)&lt;0,0,IF(ControlPanel!$T$5="nominal",'GrD-Grafikdaten'!K103,'GrD-Grafikdaten'!K114))</f>
        <v>6.1695706877643843</v>
      </c>
      <c r="L125" s="103">
        <f>IF(IF(ControlPanel!$T$5="nominal",'GrD-Grafikdaten'!L103,'GrD-Grafikdaten'!L114)&lt;0,0,IF(ControlPanel!$T$5="nominal",'GrD-Grafikdaten'!L103,'GrD-Grafikdaten'!L114))</f>
        <v>6.3382686397238945</v>
      </c>
      <c r="M125" s="103">
        <f>IF(IF(ControlPanel!$T$5="nominal",'GrD-Grafikdaten'!M103,'GrD-Grafikdaten'!M114)&lt;0,0,IF(ControlPanel!$T$5="nominal",'GrD-Grafikdaten'!M103,'GrD-Grafikdaten'!M114))</f>
        <v>6.8602264368703567</v>
      </c>
      <c r="N125" s="103">
        <f>IF(IF(ControlPanel!$T$5="nominal",'GrD-Grafikdaten'!N103,'GrD-Grafikdaten'!N114)&lt;0,0,IF(ControlPanel!$T$5="nominal",'GrD-Grafikdaten'!N103,'GrD-Grafikdaten'!N114))</f>
        <v>6.7788048363237206</v>
      </c>
      <c r="O125" s="103">
        <f>IF(IF(ControlPanel!$T$5="nominal",'GrD-Grafikdaten'!O103,'GrD-Grafikdaten'!O114)&lt;0,0,IF(ControlPanel!$T$5="nominal",'GrD-Grafikdaten'!O103,'GrD-Grafikdaten'!O114))</f>
        <v>6.406581826229905</v>
      </c>
      <c r="P125" s="103">
        <f>IF(IF(ControlPanel!$T$5="nominal",'GrD-Grafikdaten'!P103,'GrD-Grafikdaten'!P114)&lt;0,0,IF(ControlPanel!$T$5="nominal",'GrD-Grafikdaten'!P103,'GrD-Grafikdaten'!P114))</f>
        <v>6.7581163138201807</v>
      </c>
      <c r="Q125" s="103">
        <f>IF(IF(ControlPanel!$T$5="nominal",'GrD-Grafikdaten'!Q103,'GrD-Grafikdaten'!Q114)&lt;0,0,IF(ControlPanel!$T$5="nominal",'GrD-Grafikdaten'!Q103,'GrD-Grafikdaten'!Q114))</f>
        <v>6.5036153637169205</v>
      </c>
      <c r="R125" s="103">
        <f>IF(IF(ControlPanel!$T$5="nominal",'GrD-Grafikdaten'!R103,'GrD-Grafikdaten'!R114)&lt;0,0,IF(ControlPanel!$T$5="nominal",'GrD-Grafikdaten'!R103,'GrD-Grafikdaten'!R114))</f>
        <v>3.7230827721473405</v>
      </c>
      <c r="S125" s="103">
        <f>IF(IF(ControlPanel!$T$5="nominal",'GrD-Grafikdaten'!S103,'GrD-Grafikdaten'!S114)&lt;0,0,IF(ControlPanel!$T$5="nominal",'GrD-Grafikdaten'!S103,'GrD-Grafikdaten'!S114))</f>
        <v>2.2272344363967198</v>
      </c>
      <c r="T125" s="103">
        <f>IF(IF(ControlPanel!$T$5="nominal",'GrD-Grafikdaten'!T103,'GrD-Grafikdaten'!T114)&lt;0,0,IF(ControlPanel!$T$5="nominal",'GrD-Grafikdaten'!T103,'GrD-Grafikdaten'!T114))</f>
        <v>3.997717348887194</v>
      </c>
      <c r="U125" s="103">
        <f>IF(IF(ControlPanel!$T$5="nominal",'GrD-Grafikdaten'!U103,'GrD-Grafikdaten'!U114)&lt;0,0,IF(ControlPanel!$T$5="nominal",'GrD-Grafikdaten'!U103,'GrD-Grafikdaten'!U114))</f>
        <v>3.5327567363462515</v>
      </c>
      <c r="V125" s="103">
        <f>IF(IF(ControlPanel!$T$5="nominal",'GrD-Grafikdaten'!V103,'GrD-Grafikdaten'!V114)&lt;0,0,IF(ControlPanel!$T$5="nominal",'GrD-Grafikdaten'!V103,'GrD-Grafikdaten'!V114))</f>
        <v>3.3456608408726511</v>
      </c>
      <c r="W125" s="103">
        <f>IF(IF(ControlPanel!$T$5="nominal",'GrD-Grafikdaten'!W103,'GrD-Grafikdaten'!W114)&lt;0,0,IF(ControlPanel!$T$5="nominal",'GrD-Grafikdaten'!W103,'GrD-Grafikdaten'!W114))</f>
        <v>2.7477292039835279</v>
      </c>
      <c r="X125" s="103">
        <f>IF(IF(ControlPanel!$T$5="nominal",'GrD-Grafikdaten'!X103,'GrD-Grafikdaten'!X114)&lt;0,0,IF(ControlPanel!$T$5="nominal",'GrD-Grafikdaten'!X103,'GrD-Grafikdaten'!X114))</f>
        <v>2.3631891682261594</v>
      </c>
      <c r="Y125" s="103">
        <f>IF(IF(ControlPanel!$T$5="nominal",'GrD-Grafikdaten'!Y103,'GrD-Grafikdaten'!Y114)&lt;0,0,IF(ControlPanel!$T$5="nominal",'GrD-Grafikdaten'!Y103,'GrD-Grafikdaten'!Y114))</f>
        <v>1.9970413628901464</v>
      </c>
      <c r="Z125" s="103">
        <f>IF(IF(ControlPanel!$T$5="nominal",'GrD-Grafikdaten'!Z103,'GrD-Grafikdaten'!Z114)&lt;0,0,IF(ControlPanel!$T$5="nominal",'GrD-Grafikdaten'!Z103,'GrD-Grafikdaten'!Z114))</f>
        <v>1.5260557430647477</v>
      </c>
      <c r="AA125" s="103">
        <f>IF(IF(ControlPanel!$T$5="nominal",'GrD-Grafikdaten'!AA103,'GrD-Grafikdaten'!AA114)&lt;0,0,IF(ControlPanel!$T$5="nominal",'GrD-Grafikdaten'!AA103,'GrD-Grafikdaten'!AA114))</f>
        <v>0.92732335121019616</v>
      </c>
      <c r="AB125" s="103">
        <f>IF(IF(ControlPanel!$T$5="nominal",'GrD-Grafikdaten'!AB103,'GrD-Grafikdaten'!AB114)&lt;0,0,IF(ControlPanel!$T$5="nominal",'GrD-Grafikdaten'!AB103,'GrD-Grafikdaten'!AB114))</f>
        <v>0.45098491127943902</v>
      </c>
      <c r="AC125" s="103">
        <f>IF(IF(ControlPanel!$T$5="nominal",'GrD-Grafikdaten'!AC103,'GrD-Grafikdaten'!AC114)&lt;0,0,IF(ControlPanel!$T$5="nominal",'GrD-Grafikdaten'!AC103,'GrD-Grafikdaten'!AC114))</f>
        <v>0.26749493423098486</v>
      </c>
      <c r="AD125" s="103">
        <f>IF(IF(ControlPanel!$T$5="nominal",'GrD-Grafikdaten'!AD103,'GrD-Grafikdaten'!AD114)&lt;0,0,IF(ControlPanel!$T$5="nominal",'GrD-Grafikdaten'!AD103,'GrD-Grafikdaten'!AD114))</f>
        <v>0.26273394437983666</v>
      </c>
      <c r="AE125" s="103">
        <f>IF(IF(ControlPanel!$T$5="nominal",'GrD-Grafikdaten'!AE103,'GrD-Grafikdaten'!AE114)&lt;0,0,IF(ControlPanel!$T$5="nominal",'GrD-Grafikdaten'!AE103,'GrD-Grafikdaten'!AE114))</f>
        <v>0.34336969445583421</v>
      </c>
      <c r="AF125" s="103">
        <f>IF(IF(ControlPanel!$T$5="nominal",'GrD-Grafikdaten'!AF103,'GrD-Grafikdaten'!AF114)&lt;0,0,IF(ControlPanel!$T$5="nominal",'GrD-Grafikdaten'!AF103,'GrD-Grafikdaten'!AF114))</f>
        <v>0</v>
      </c>
      <c r="AG125" s="103">
        <f>IF(IF(ControlPanel!$T$5="nominal",'GrD-Grafikdaten'!AG103,'GrD-Grafikdaten'!AG114)&lt;0,0,IF(ControlPanel!$T$5="nominal",'GrD-Grafikdaten'!AG103,'GrD-Grafikdaten'!AG114))</f>
        <v>0</v>
      </c>
      <c r="AH125" s="567"/>
    </row>
    <row r="126" spans="1:34" s="301" customFormat="1">
      <c r="A126" s="561">
        <v>123</v>
      </c>
      <c r="C126" s="10"/>
      <c r="D126" s="29"/>
      <c r="E126" s="203" t="s">
        <v>167</v>
      </c>
      <c r="F126" s="103">
        <f>IF(IF(ControlPanel!$T$5="nominal",'GrD-Grafikdaten'!F104,'GrD-Grafikdaten'!F115)&lt;0,0,IF(ControlPanel!$T$5="nominal",'GrD-Grafikdaten'!F104,'GrD-Grafikdaten'!F115))</f>
        <v>2.0469999999999997</v>
      </c>
      <c r="G126" s="103">
        <f>IF(IF(ControlPanel!$T$5="nominal",'GrD-Grafikdaten'!G104,'GrD-Grafikdaten'!G115)&lt;0,0,IF(ControlPanel!$T$5="nominal",'GrD-Grafikdaten'!G104,'GrD-Grafikdaten'!G115))</f>
        <v>3.5300000000000007</v>
      </c>
      <c r="H126" s="103">
        <f>IF(IF(ControlPanel!$T$5="nominal",'GrD-Grafikdaten'!H104,'GrD-Grafikdaten'!H115)&lt;0,0,IF(ControlPanel!$T$5="nominal",'GrD-Grafikdaten'!H104,'GrD-Grafikdaten'!H115))</f>
        <v>3.5920000000000005</v>
      </c>
      <c r="I126" s="103">
        <f>IF(IF(ControlPanel!$T$5="nominal",'GrD-Grafikdaten'!I104,'GrD-Grafikdaten'!I115)&lt;0,0,IF(ControlPanel!$T$5="nominal",'GrD-Grafikdaten'!I104,'GrD-Grafikdaten'!I115))</f>
        <v>5.2769999999999992</v>
      </c>
      <c r="J126" s="103">
        <f>IF(IF(ControlPanel!$T$5="nominal",'GrD-Grafikdaten'!J104,'GrD-Grafikdaten'!J115)&lt;0,0,IF(ControlPanel!$T$5="nominal",'GrD-Grafikdaten'!J104,'GrD-Grafikdaten'!J115))</f>
        <v>6.2399999999999993</v>
      </c>
      <c r="K126" s="103">
        <f>IF(IF(ControlPanel!$T$5="nominal",'GrD-Grafikdaten'!K104,'GrD-Grafikdaten'!K115)&lt;0,0,IF(ControlPanel!$T$5="nominal",'GrD-Grafikdaten'!K104,'GrD-Grafikdaten'!K115))</f>
        <v>6.1695706877643843</v>
      </c>
      <c r="L126" s="103">
        <f>IF(IF(ControlPanel!$T$5="nominal",'GrD-Grafikdaten'!L104,'GrD-Grafikdaten'!L115)&lt;0,0,IF(ControlPanel!$T$5="nominal",'GrD-Grafikdaten'!L104,'GrD-Grafikdaten'!L115))</f>
        <v>6.3382686397238945</v>
      </c>
      <c r="M126" s="103">
        <f>IF(IF(ControlPanel!$T$5="nominal",'GrD-Grafikdaten'!M104,'GrD-Grafikdaten'!M115)&lt;0,0,IF(ControlPanel!$T$5="nominal",'GrD-Grafikdaten'!M104,'GrD-Grafikdaten'!M115))</f>
        <v>6.8602264368703567</v>
      </c>
      <c r="N126" s="103">
        <f>IF(IF(ControlPanel!$T$5="nominal",'GrD-Grafikdaten'!N104,'GrD-Grafikdaten'!N115)&lt;0,0,IF(ControlPanel!$T$5="nominal",'GrD-Grafikdaten'!N104,'GrD-Grafikdaten'!N115))</f>
        <v>6.7788048363237206</v>
      </c>
      <c r="O126" s="103">
        <f>IF(IF(ControlPanel!$T$5="nominal",'GrD-Grafikdaten'!O104,'GrD-Grafikdaten'!O115)&lt;0,0,IF(ControlPanel!$T$5="nominal",'GrD-Grafikdaten'!O104,'GrD-Grafikdaten'!O115))</f>
        <v>6.406581826229905</v>
      </c>
      <c r="P126" s="103">
        <f>IF(IF(ControlPanel!$T$5="nominal",'GrD-Grafikdaten'!P104,'GrD-Grafikdaten'!P115)&lt;0,0,IF(ControlPanel!$T$5="nominal",'GrD-Grafikdaten'!P104,'GrD-Grafikdaten'!P115))</f>
        <v>6.7581163138201807</v>
      </c>
      <c r="Q126" s="103">
        <f>IF(IF(ControlPanel!$T$5="nominal",'GrD-Grafikdaten'!Q104,'GrD-Grafikdaten'!Q115)&lt;0,0,IF(ControlPanel!$T$5="nominal",'GrD-Grafikdaten'!Q104,'GrD-Grafikdaten'!Q115))</f>
        <v>6.5036153637169205</v>
      </c>
      <c r="R126" s="103">
        <f>IF(IF(ControlPanel!$T$5="nominal",'GrD-Grafikdaten'!R104,'GrD-Grafikdaten'!R115)&lt;0,0,IF(ControlPanel!$T$5="nominal",'GrD-Grafikdaten'!R104,'GrD-Grafikdaten'!R115))</f>
        <v>3.7230827721473405</v>
      </c>
      <c r="S126" s="103">
        <f ca="1">IF(IF(ControlPanel!$T$5="nominal",'GrD-Grafikdaten'!S104,'GrD-Grafikdaten'!S115)&lt;0,0,IF(ControlPanel!$T$5="nominal",'GrD-Grafikdaten'!S104,'GrD-Grafikdaten'!S115))</f>
        <v>2.2272344363967198</v>
      </c>
      <c r="T126" s="103">
        <f ca="1">IF(IF(ControlPanel!$T$5="nominal",'GrD-Grafikdaten'!T104,'GrD-Grafikdaten'!T115)&lt;0,0,IF(ControlPanel!$T$5="nominal",'GrD-Grafikdaten'!T104,'GrD-Grafikdaten'!T115))</f>
        <v>3.997717348887194</v>
      </c>
      <c r="U126" s="103">
        <f ca="1">IF(IF(ControlPanel!$T$5="nominal",'GrD-Grafikdaten'!U104,'GrD-Grafikdaten'!U115)&lt;0,0,IF(ControlPanel!$T$5="nominal",'GrD-Grafikdaten'!U104,'GrD-Grafikdaten'!U115))</f>
        <v>3.5327567363462515</v>
      </c>
      <c r="V126" s="103">
        <f ca="1">IF(IF(ControlPanel!$T$5="nominal",'GrD-Grafikdaten'!V104,'GrD-Grafikdaten'!V115)&lt;0,0,IF(ControlPanel!$T$5="nominal",'GrD-Grafikdaten'!V104,'GrD-Grafikdaten'!V115))</f>
        <v>3.3456608408726511</v>
      </c>
      <c r="W126" s="103">
        <f ca="1">IF(IF(ControlPanel!$T$5="nominal",'GrD-Grafikdaten'!W104,'GrD-Grafikdaten'!W115)&lt;0,0,IF(ControlPanel!$T$5="nominal",'GrD-Grafikdaten'!W104,'GrD-Grafikdaten'!W115))</f>
        <v>2.7477292039835279</v>
      </c>
      <c r="X126" s="103">
        <f ca="1">IF(IF(ControlPanel!$T$5="nominal",'GrD-Grafikdaten'!X104,'GrD-Grafikdaten'!X115)&lt;0,0,IF(ControlPanel!$T$5="nominal",'GrD-Grafikdaten'!X104,'GrD-Grafikdaten'!X115))</f>
        <v>2.3631891682261594</v>
      </c>
      <c r="Y126" s="103">
        <f ca="1">IF(IF(ControlPanel!$T$5="nominal",'GrD-Grafikdaten'!Y104,'GrD-Grafikdaten'!Y115)&lt;0,0,IF(ControlPanel!$T$5="nominal",'GrD-Grafikdaten'!Y104,'GrD-Grafikdaten'!Y115))</f>
        <v>1.9970413628901464</v>
      </c>
      <c r="Z126" s="103">
        <f ca="1">IF(IF(ControlPanel!$T$5="nominal",'GrD-Grafikdaten'!Z104,'GrD-Grafikdaten'!Z115)&lt;0,0,IF(ControlPanel!$T$5="nominal",'GrD-Grafikdaten'!Z104,'GrD-Grafikdaten'!Z115))</f>
        <v>1.5260557430647477</v>
      </c>
      <c r="AA126" s="103">
        <f ca="1">IF(IF(ControlPanel!$T$5="nominal",'GrD-Grafikdaten'!AA104,'GrD-Grafikdaten'!AA115)&lt;0,0,IF(ControlPanel!$T$5="nominal",'GrD-Grafikdaten'!AA104,'GrD-Grafikdaten'!AA115))</f>
        <v>0.92732335121019616</v>
      </c>
      <c r="AB126" s="103">
        <f ca="1">IF(IF(ControlPanel!$T$5="nominal",'GrD-Grafikdaten'!AB104,'GrD-Grafikdaten'!AB115)&lt;0,0,IF(ControlPanel!$T$5="nominal",'GrD-Grafikdaten'!AB104,'GrD-Grafikdaten'!AB115))</f>
        <v>0.45098491127943902</v>
      </c>
      <c r="AC126" s="103">
        <f ca="1">IF(IF(ControlPanel!$T$5="nominal",'GrD-Grafikdaten'!AC104,'GrD-Grafikdaten'!AC115)&lt;0,0,IF(ControlPanel!$T$5="nominal",'GrD-Grafikdaten'!AC104,'GrD-Grafikdaten'!AC115))</f>
        <v>0.26749493423098486</v>
      </c>
      <c r="AD126" s="103">
        <f ca="1">IF(IF(ControlPanel!$T$5="nominal",'GrD-Grafikdaten'!AD104,'GrD-Grafikdaten'!AD115)&lt;0,0,IF(ControlPanel!$T$5="nominal",'GrD-Grafikdaten'!AD104,'GrD-Grafikdaten'!AD115))</f>
        <v>0.26273394437983666</v>
      </c>
      <c r="AE126" s="103">
        <f ca="1">IF(IF(ControlPanel!$T$5="nominal",'GrD-Grafikdaten'!AE104,'GrD-Grafikdaten'!AE115)&lt;0,0,IF(ControlPanel!$T$5="nominal",'GrD-Grafikdaten'!AE104,'GrD-Grafikdaten'!AE115))</f>
        <v>0.34336969445583421</v>
      </c>
      <c r="AF126" s="103">
        <f>IF(IF(ControlPanel!$T$5="nominal",'GrD-Grafikdaten'!AF104,'GrD-Grafikdaten'!AF115)&lt;0,0,IF(ControlPanel!$T$5="nominal",'GrD-Grafikdaten'!AF104,'GrD-Grafikdaten'!AF115))</f>
        <v>0</v>
      </c>
      <c r="AG126" s="103">
        <f>IF(IF(ControlPanel!$T$5="nominal",'GrD-Grafikdaten'!AG104,'GrD-Grafikdaten'!AG115)&lt;0,0,IF(ControlPanel!$T$5="nominal",'GrD-Grafikdaten'!AG104,'GrD-Grafikdaten'!AG115))</f>
        <v>0</v>
      </c>
      <c r="AH126" s="567"/>
    </row>
    <row r="127" spans="1:34" s="301" customFormat="1">
      <c r="A127" s="561">
        <v>124</v>
      </c>
      <c r="C127" s="10"/>
      <c r="D127" s="29"/>
      <c r="E127" s="1228" t="s">
        <v>872</v>
      </c>
      <c r="F127" s="1229">
        <f>SUM(F118:F124)-F126</f>
        <v>4.1764188180071216E-4</v>
      </c>
      <c r="G127" s="1229">
        <f t="shared" ref="G127:AE127" si="7">SUM(G118:G124)-G126</f>
        <v>7.0007414884143415E-4</v>
      </c>
      <c r="H127" s="1229">
        <f t="shared" si="7"/>
        <v>-9.2723028694274845E-4</v>
      </c>
      <c r="I127" s="1229">
        <f t="shared" si="7"/>
        <v>4.497458025598533E-4</v>
      </c>
      <c r="J127" s="1229">
        <f t="shared" si="7"/>
        <v>-2.0789464811699077E-4</v>
      </c>
      <c r="K127" s="1229">
        <f t="shared" si="7"/>
        <v>-1.0249847325095374E-2</v>
      </c>
      <c r="L127" s="1229">
        <f t="shared" si="7"/>
        <v>4.2178914267951839E-3</v>
      </c>
      <c r="M127" s="1229">
        <f t="shared" si="7"/>
        <v>-1.6805118881340064E-3</v>
      </c>
      <c r="N127" s="1229">
        <f t="shared" si="7"/>
        <v>-3.5946610070274332E-3</v>
      </c>
      <c r="O127" s="1229">
        <f t="shared" si="7"/>
        <v>0</v>
      </c>
      <c r="P127" s="1229">
        <f t="shared" si="7"/>
        <v>5.9634509563730731E-3</v>
      </c>
      <c r="Q127" s="1229">
        <f t="shared" si="7"/>
        <v>-1.7422392312411716E-3</v>
      </c>
      <c r="R127" s="1229">
        <f t="shared" si="7"/>
        <v>4.3945857390444765E-2</v>
      </c>
      <c r="S127" s="1229">
        <f t="shared" ca="1" si="7"/>
        <v>0</v>
      </c>
      <c r="T127" s="1229">
        <f t="shared" ca="1" si="7"/>
        <v>0</v>
      </c>
      <c r="U127" s="1229">
        <f t="shared" ca="1" si="7"/>
        <v>0</v>
      </c>
      <c r="V127" s="1229">
        <f t="shared" ca="1" si="7"/>
        <v>0</v>
      </c>
      <c r="W127" s="1229">
        <f t="shared" ca="1" si="7"/>
        <v>0</v>
      </c>
      <c r="X127" s="1229">
        <f t="shared" ca="1" si="7"/>
        <v>0</v>
      </c>
      <c r="Y127" s="1229">
        <f t="shared" ca="1" si="7"/>
        <v>0</v>
      </c>
      <c r="Z127" s="1229">
        <f t="shared" ca="1" si="7"/>
        <v>0</v>
      </c>
      <c r="AA127" s="1229">
        <f t="shared" ca="1" si="7"/>
        <v>0</v>
      </c>
      <c r="AB127" s="1229">
        <f t="shared" ca="1" si="7"/>
        <v>9.4368957093138306E-16</v>
      </c>
      <c r="AC127" s="1229">
        <f t="shared" ca="1" si="7"/>
        <v>0</v>
      </c>
      <c r="AD127" s="1229">
        <f t="shared" ca="1" si="7"/>
        <v>0</v>
      </c>
      <c r="AE127" s="1229">
        <f t="shared" ca="1" si="7"/>
        <v>0</v>
      </c>
      <c r="AF127" s="939"/>
      <c r="AG127" s="939"/>
      <c r="AH127" s="567"/>
    </row>
    <row r="128" spans="1:34" s="301" customFormat="1">
      <c r="A128" s="561">
        <v>125</v>
      </c>
      <c r="C128" s="10"/>
      <c r="D128" s="29"/>
      <c r="E128" s="36"/>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939"/>
      <c r="AG128" s="939"/>
      <c r="AH128" s="567"/>
    </row>
    <row r="129" spans="1:34" s="301" customFormat="1">
      <c r="A129" s="561">
        <v>126</v>
      </c>
      <c r="C129" s="10"/>
      <c r="D129" s="29"/>
      <c r="E129" s="36"/>
      <c r="AF129" s="939"/>
      <c r="AG129" s="939"/>
      <c r="AH129" s="567"/>
    </row>
    <row r="130" spans="1:34" s="301" customFormat="1">
      <c r="A130" s="561">
        <v>127</v>
      </c>
      <c r="C130" s="10"/>
      <c r="D130" s="29"/>
      <c r="E130" s="36"/>
      <c r="AF130" s="939"/>
      <c r="AG130" s="939"/>
      <c r="AH130" s="567"/>
    </row>
    <row r="131" spans="1:34" s="301" customFormat="1">
      <c r="A131" s="561">
        <v>128</v>
      </c>
      <c r="C131" s="10"/>
      <c r="D131" s="29"/>
      <c r="E131" s="199" t="s">
        <v>419</v>
      </c>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331"/>
      <c r="AF131" s="939"/>
      <c r="AG131" s="939"/>
      <c r="AH131" s="567"/>
    </row>
    <row r="132" spans="1:34" s="301" customFormat="1">
      <c r="A132" s="561">
        <v>129</v>
      </c>
      <c r="C132" s="10"/>
      <c r="D132" s="29"/>
      <c r="E132" s="321" t="s">
        <v>166</v>
      </c>
      <c r="F132" s="100">
        <f>IF(ControlPanel!$T$5="nominal",F52-F8,F70-F26)</f>
        <v>0</v>
      </c>
      <c r="G132" s="100">
        <f>IF(ControlPanel!$T$5="nominal",G52-G8,G70-G26)</f>
        <v>0</v>
      </c>
      <c r="H132" s="100">
        <f>IF(ControlPanel!$T$5="nominal",H52-H8,H70-H26)</f>
        <v>0</v>
      </c>
      <c r="I132" s="100">
        <f>IF(ControlPanel!$T$5="nominal",I52-I8,I70-I26)</f>
        <v>0</v>
      </c>
      <c r="J132" s="100">
        <f>IF(ControlPanel!$T$5="nominal",J52-J8,J70-J26)</f>
        <v>0</v>
      </c>
      <c r="K132" s="100">
        <f>IF(ControlPanel!$T$5="nominal",K52-K8,K70-K26)</f>
        <v>0</v>
      </c>
      <c r="L132" s="100">
        <f>IF(ControlPanel!$T$5="nominal",L52-L8,L70-L26)</f>
        <v>0</v>
      </c>
      <c r="M132" s="100">
        <f>IF(ControlPanel!$T$5="nominal",M52-M8,M70-M26)</f>
        <v>0</v>
      </c>
      <c r="N132" s="100">
        <f>IF(ControlPanel!$T$5="nominal",N52-N8,N70-N26)</f>
        <v>0</v>
      </c>
      <c r="O132" s="100">
        <f>IF(ControlPanel!$T$5="nominal",O52-O8,O70-O26)</f>
        <v>0</v>
      </c>
      <c r="P132" s="100">
        <f>IF(ControlPanel!$T$5="nominal",P52-P8,P70-P26)</f>
        <v>0</v>
      </c>
      <c r="Q132" s="100">
        <f>IF(ControlPanel!$T$5="nominal",Q52-Q8,Q70-Q26)</f>
        <v>0</v>
      </c>
      <c r="R132" s="100">
        <f>IF(ControlPanel!$T$5="nominal",R52-R8,R70-R26)</f>
        <v>0</v>
      </c>
      <c r="S132" s="100">
        <f ca="1">IF(ControlPanel!$T$5="nominal",S52-S8,S70-S26)</f>
        <v>0</v>
      </c>
      <c r="T132" s="100">
        <f ca="1">IF(ControlPanel!$T$5="nominal",T52-T8,T70-T26)</f>
        <v>0</v>
      </c>
      <c r="U132" s="100">
        <f ca="1">IF(ControlPanel!$T$5="nominal",U52-U8,U70-U26)</f>
        <v>0</v>
      </c>
      <c r="V132" s="100">
        <f ca="1">IF(ControlPanel!$T$5="nominal",V52-V8,V70-V26)</f>
        <v>0</v>
      </c>
      <c r="W132" s="100">
        <f ca="1">IF(ControlPanel!$T$5="nominal",W52-W8,W70-W26)</f>
        <v>0</v>
      </c>
      <c r="X132" s="100">
        <f ca="1">IF(ControlPanel!$T$5="nominal",X52-X8,X70-X26)</f>
        <v>0</v>
      </c>
      <c r="Y132" s="100">
        <f ca="1">IF(ControlPanel!$T$5="nominal",Y52-Y8,Y70-Y26)</f>
        <v>0</v>
      </c>
      <c r="Z132" s="100">
        <f ca="1">IF(ControlPanel!$T$5="nominal",Z52-Z8,Z70-Z26)</f>
        <v>0</v>
      </c>
      <c r="AA132" s="100">
        <f ca="1">IF(ControlPanel!$T$5="nominal",AA52-AA8,AA70-AA26)</f>
        <v>0</v>
      </c>
      <c r="AB132" s="100">
        <f ca="1">IF(ControlPanel!$T$5="nominal",AB52-AB8,AB70-AB26)</f>
        <v>0</v>
      </c>
      <c r="AC132" s="100">
        <f ca="1">IF(ControlPanel!$T$5="nominal",AC52-AC8,AC70-AC26)</f>
        <v>0</v>
      </c>
      <c r="AD132" s="100">
        <f ca="1">IF(ControlPanel!$T$5="nominal",AD52-AD8,AD70-AD26)</f>
        <v>0</v>
      </c>
      <c r="AE132" s="591">
        <f ca="1">IF(ControlPanel!$T$5="nominal",AE52-AE8,AE70-AE26)</f>
        <v>0</v>
      </c>
      <c r="AF132" s="939"/>
      <c r="AG132" s="939" t="s">
        <v>485</v>
      </c>
      <c r="AH132" s="956" t="s">
        <v>486</v>
      </c>
    </row>
    <row r="133" spans="1:34" s="301" customFormat="1">
      <c r="A133" s="561">
        <v>130</v>
      </c>
      <c r="C133" s="10"/>
      <c r="D133" s="29"/>
      <c r="E133" s="16" t="s">
        <v>157</v>
      </c>
      <c r="F133" s="101">
        <f>IF(ControlPanel!$T$5="nominal",F53-F9,F71-F27)</f>
        <v>0</v>
      </c>
      <c r="G133" s="101">
        <f>IF(ControlPanel!$T$5="nominal",G53-G9,G71-G27)</f>
        <v>0</v>
      </c>
      <c r="H133" s="101">
        <f>IF(ControlPanel!$T$5="nominal",H53-H9,H71-H27)</f>
        <v>0</v>
      </c>
      <c r="I133" s="101">
        <f>IF(ControlPanel!$T$5="nominal",I53-I9,I71-I27)</f>
        <v>0</v>
      </c>
      <c r="J133" s="101">
        <f>IF(ControlPanel!$T$5="nominal",J53-J9,J71-J27)</f>
        <v>0</v>
      </c>
      <c r="K133" s="101">
        <f>IF(ControlPanel!$T$5="nominal",K53-K9,K71-K27)</f>
        <v>0</v>
      </c>
      <c r="L133" s="101">
        <f>IF(ControlPanel!$T$5="nominal",L53-L9,L71-L27)</f>
        <v>0</v>
      </c>
      <c r="M133" s="101">
        <f>IF(ControlPanel!$T$5="nominal",M53-M9,M71-M27)</f>
        <v>0</v>
      </c>
      <c r="N133" s="101">
        <f>IF(ControlPanel!$T$5="nominal",N53-N9,N71-N27)</f>
        <v>0</v>
      </c>
      <c r="O133" s="101">
        <f>IF(ControlPanel!$T$5="nominal",O53-O9,O71-O27)</f>
        <v>0</v>
      </c>
      <c r="P133" s="101">
        <f>IF(ControlPanel!$T$5="nominal",P53-P9,P71-P27)</f>
        <v>0</v>
      </c>
      <c r="Q133" s="101">
        <f>IF(ControlPanel!$T$5="nominal",Q53-Q9,Q71-Q27)</f>
        <v>0</v>
      </c>
      <c r="R133" s="101">
        <f>IF(ControlPanel!$T$5="nominal",R53-R9,R71-R27)</f>
        <v>0</v>
      </c>
      <c r="S133" s="101">
        <f>IF(ControlPanel!$T$5="nominal",S53-S9,S71-S27)</f>
        <v>0</v>
      </c>
      <c r="T133" s="101">
        <f>IF(ControlPanel!$T$5="nominal",T53-T9,T71-T27)</f>
        <v>0</v>
      </c>
      <c r="U133" s="101">
        <f>IF(ControlPanel!$T$5="nominal",U53-U9,U71-U27)</f>
        <v>0</v>
      </c>
      <c r="V133" s="101">
        <f>IF(ControlPanel!$T$5="nominal",V53-V9,V71-V27)</f>
        <v>0</v>
      </c>
      <c r="W133" s="101">
        <f>IF(ControlPanel!$T$5="nominal",W53-W9,W71-W27)</f>
        <v>0</v>
      </c>
      <c r="X133" s="101">
        <f>IF(ControlPanel!$T$5="nominal",X53-X9,X71-X27)</f>
        <v>0</v>
      </c>
      <c r="Y133" s="101">
        <f>IF(ControlPanel!$T$5="nominal",Y53-Y9,Y71-Y27)</f>
        <v>0</v>
      </c>
      <c r="Z133" s="101">
        <f>IF(ControlPanel!$T$5="nominal",Z53-Z9,Z71-Z27)</f>
        <v>0</v>
      </c>
      <c r="AA133" s="101">
        <f>IF(ControlPanel!$T$5="nominal",AA53-AA9,AA71-AA27)</f>
        <v>0</v>
      </c>
      <c r="AB133" s="101">
        <f>IF(ControlPanel!$T$5="nominal",AB53-AB9,AB71-AB27)</f>
        <v>0</v>
      </c>
      <c r="AC133" s="101">
        <f>IF(ControlPanel!$T$5="nominal",AC53-AC9,AC71-AC27)</f>
        <v>0</v>
      </c>
      <c r="AD133" s="101">
        <f>IF(ControlPanel!$T$5="nominal",AD53-AD9,AD71-AD27)</f>
        <v>0</v>
      </c>
      <c r="AE133" s="592">
        <f>IF(ControlPanel!$T$5="nominal",AE53-AE9,AE71-AE27)</f>
        <v>0</v>
      </c>
      <c r="AF133" s="939"/>
      <c r="AG133" s="939" t="s">
        <v>485</v>
      </c>
      <c r="AH133" s="567"/>
    </row>
    <row r="134" spans="1:34" s="301" customFormat="1">
      <c r="A134" s="561">
        <v>131</v>
      </c>
      <c r="C134" s="10"/>
      <c r="D134" s="29"/>
      <c r="E134" s="16" t="s">
        <v>158</v>
      </c>
      <c r="F134" s="101">
        <f>IF(ControlPanel!$T$5="nominal",F54-F10,F72-F28)</f>
        <v>0</v>
      </c>
      <c r="G134" s="101">
        <f>IF(ControlPanel!$T$5="nominal",G54-G10,G72-G28)</f>
        <v>0</v>
      </c>
      <c r="H134" s="101">
        <f>IF(ControlPanel!$T$5="nominal",H54-H10,H72-H28)</f>
        <v>0</v>
      </c>
      <c r="I134" s="101">
        <f>IF(ControlPanel!$T$5="nominal",I54-I10,I72-I28)</f>
        <v>0</v>
      </c>
      <c r="J134" s="101">
        <f>IF(ControlPanel!$T$5="nominal",J54-J10,J72-J28)</f>
        <v>0</v>
      </c>
      <c r="K134" s="101">
        <f>IF(ControlPanel!$T$5="nominal",K54-K10,K72-K28)</f>
        <v>0</v>
      </c>
      <c r="L134" s="101">
        <f>IF(ControlPanel!$T$5="nominal",L54-L10,L72-L28)</f>
        <v>0</v>
      </c>
      <c r="M134" s="101">
        <f>IF(ControlPanel!$T$5="nominal",M54-M10,M72-M28)</f>
        <v>0</v>
      </c>
      <c r="N134" s="101">
        <f>IF(ControlPanel!$T$5="nominal",N54-N10,N72-N28)</f>
        <v>0</v>
      </c>
      <c r="O134" s="101">
        <f>IF(ControlPanel!$T$5="nominal",O54-O10,O72-O28)</f>
        <v>0</v>
      </c>
      <c r="P134" s="101">
        <f>IF(ControlPanel!$T$5="nominal",P54-P10,P72-P28)</f>
        <v>0</v>
      </c>
      <c r="Q134" s="101">
        <f>IF(ControlPanel!$T$5="nominal",Q54-Q10,Q72-Q28)</f>
        <v>0</v>
      </c>
      <c r="R134" s="101">
        <f>IF(ControlPanel!$T$5="nominal",R54-R10,R72-R28)</f>
        <v>0</v>
      </c>
      <c r="S134" s="101">
        <f>IF(ControlPanel!$T$5="nominal",S54-S10,S72-S28)</f>
        <v>0</v>
      </c>
      <c r="T134" s="101">
        <f>IF(ControlPanel!$T$5="nominal",T54-T10,T72-T28)</f>
        <v>0</v>
      </c>
      <c r="U134" s="101">
        <f>IF(ControlPanel!$T$5="nominal",U54-U10,U72-U28)</f>
        <v>0</v>
      </c>
      <c r="V134" s="101">
        <f>IF(ControlPanel!$T$5="nominal",V54-V10,V72-V28)</f>
        <v>0</v>
      </c>
      <c r="W134" s="101">
        <f>IF(ControlPanel!$T$5="nominal",W54-W10,W72-W28)</f>
        <v>0</v>
      </c>
      <c r="X134" s="101">
        <f>IF(ControlPanel!$T$5="nominal",X54-X10,X72-X28)</f>
        <v>0</v>
      </c>
      <c r="Y134" s="101">
        <f>IF(ControlPanel!$T$5="nominal",Y54-Y10,Y72-Y28)</f>
        <v>0</v>
      </c>
      <c r="Z134" s="101">
        <f>IF(ControlPanel!$T$5="nominal",Z54-Z10,Z72-Z28)</f>
        <v>0</v>
      </c>
      <c r="AA134" s="101">
        <f>IF(ControlPanel!$T$5="nominal",AA54-AA10,AA72-AA28)</f>
        <v>0</v>
      </c>
      <c r="AB134" s="101">
        <f>IF(ControlPanel!$T$5="nominal",AB54-AB10,AB72-AB28)</f>
        <v>0</v>
      </c>
      <c r="AC134" s="101">
        <f>IF(ControlPanel!$T$5="nominal",AC54-AC10,AC72-AC28)</f>
        <v>0</v>
      </c>
      <c r="AD134" s="101">
        <f>IF(ControlPanel!$T$5="nominal",AD54-AD10,AD72-AD28)</f>
        <v>0</v>
      </c>
      <c r="AE134" s="592">
        <f>IF(ControlPanel!$T$5="nominal",AE54-AE10,AE72-AE28)</f>
        <v>0</v>
      </c>
      <c r="AF134" s="939"/>
      <c r="AG134" s="939" t="s">
        <v>485</v>
      </c>
      <c r="AH134" s="567"/>
    </row>
    <row r="135" spans="1:34" s="301" customFormat="1">
      <c r="A135" s="561">
        <v>132</v>
      </c>
      <c r="C135" s="10"/>
      <c r="D135" s="29"/>
      <c r="E135" s="16" t="s">
        <v>159</v>
      </c>
      <c r="F135" s="101">
        <f>IF(ControlPanel!$T$5="nominal",F55-F11,F73-F29)</f>
        <v>0</v>
      </c>
      <c r="G135" s="101">
        <f>IF(ControlPanel!$T$5="nominal",G55-G11,G73-G29)</f>
        <v>0</v>
      </c>
      <c r="H135" s="101">
        <f>IF(ControlPanel!$T$5="nominal",H55-H11,H73-H29)</f>
        <v>0</v>
      </c>
      <c r="I135" s="101">
        <f>IF(ControlPanel!$T$5="nominal",I55-I11,I73-I29)</f>
        <v>0</v>
      </c>
      <c r="J135" s="101">
        <f>IF(ControlPanel!$T$5="nominal",J55-J11,J73-J29)</f>
        <v>0</v>
      </c>
      <c r="K135" s="101">
        <f>IF(ControlPanel!$T$5="nominal",K55-K11,K73-K29)</f>
        <v>0</v>
      </c>
      <c r="L135" s="101">
        <f>IF(ControlPanel!$T$5="nominal",L55-L11,L73-L29)</f>
        <v>0</v>
      </c>
      <c r="M135" s="101">
        <f>IF(ControlPanel!$T$5="nominal",M55-M11,M73-M29)</f>
        <v>0</v>
      </c>
      <c r="N135" s="101">
        <f>IF(ControlPanel!$T$5="nominal",N55-N11,N73-N29)</f>
        <v>0</v>
      </c>
      <c r="O135" s="101">
        <f>IF(ControlPanel!$T$5="nominal",O55-O11,O73-O29)</f>
        <v>0</v>
      </c>
      <c r="P135" s="101">
        <f>IF(ControlPanel!$T$5="nominal",P55-P11,P73-P29)</f>
        <v>0</v>
      </c>
      <c r="Q135" s="101">
        <f>IF(ControlPanel!$T$5="nominal",Q55-Q11,Q73-Q29)</f>
        <v>0</v>
      </c>
      <c r="R135" s="101">
        <f>IF(ControlPanel!$T$5="nominal",R55-R11,R73-R29)</f>
        <v>0</v>
      </c>
      <c r="S135" s="101">
        <f>IF(ControlPanel!$T$5="nominal",S55-S11,S73-S29)</f>
        <v>0</v>
      </c>
      <c r="T135" s="101">
        <f>IF(ControlPanel!$T$5="nominal",T55-T11,T73-T29)</f>
        <v>0</v>
      </c>
      <c r="U135" s="101">
        <f>IF(ControlPanel!$T$5="nominal",U55-U11,U73-U29)</f>
        <v>0</v>
      </c>
      <c r="V135" s="101">
        <f>IF(ControlPanel!$T$5="nominal",V55-V11,V73-V29)</f>
        <v>0</v>
      </c>
      <c r="W135" s="101">
        <f>IF(ControlPanel!$T$5="nominal",W55-W11,W73-W29)</f>
        <v>0</v>
      </c>
      <c r="X135" s="101">
        <f>IF(ControlPanel!$T$5="nominal",X55-X11,X73-X29)</f>
        <v>0</v>
      </c>
      <c r="Y135" s="101">
        <f>IF(ControlPanel!$T$5="nominal",Y55-Y11,Y73-Y29)</f>
        <v>0</v>
      </c>
      <c r="Z135" s="101">
        <f>IF(ControlPanel!$T$5="nominal",Z55-Z11,Z73-Z29)</f>
        <v>0</v>
      </c>
      <c r="AA135" s="101">
        <f>IF(ControlPanel!$T$5="nominal",AA55-AA11,AA73-AA29)</f>
        <v>0</v>
      </c>
      <c r="AB135" s="101">
        <f>IF(ControlPanel!$T$5="nominal",AB55-AB11,AB73-AB29)</f>
        <v>0</v>
      </c>
      <c r="AC135" s="101">
        <f>IF(ControlPanel!$T$5="nominal",AC55-AC11,AC73-AC29)</f>
        <v>0</v>
      </c>
      <c r="AD135" s="101">
        <f>IF(ControlPanel!$T$5="nominal",AD55-AD11,AD73-AD29)</f>
        <v>0</v>
      </c>
      <c r="AE135" s="592">
        <f>IF(ControlPanel!$T$5="nominal",AE55-AE11,AE73-AE29)</f>
        <v>0</v>
      </c>
      <c r="AF135" s="939"/>
      <c r="AG135" s="939" t="s">
        <v>485</v>
      </c>
      <c r="AH135" s="567"/>
    </row>
    <row r="136" spans="1:34" s="301" customFormat="1">
      <c r="A136" s="561">
        <v>133</v>
      </c>
      <c r="C136" s="10"/>
      <c r="D136" s="29"/>
      <c r="E136" s="16" t="s">
        <v>160</v>
      </c>
      <c r="F136" s="101">
        <f>IF(ControlPanel!$T$5="nominal",F56-F12,F74-F30)</f>
        <v>0</v>
      </c>
      <c r="G136" s="101">
        <f>IF(ControlPanel!$T$5="nominal",G56-G12,G74-G30)</f>
        <v>0</v>
      </c>
      <c r="H136" s="101">
        <f>IF(ControlPanel!$T$5="nominal",H56-H12,H74-H30)</f>
        <v>0</v>
      </c>
      <c r="I136" s="101">
        <f>IF(ControlPanel!$T$5="nominal",I56-I12,I74-I30)</f>
        <v>0</v>
      </c>
      <c r="J136" s="101">
        <f>IF(ControlPanel!$T$5="nominal",J56-J12,J74-J30)</f>
        <v>0</v>
      </c>
      <c r="K136" s="101">
        <f>IF(ControlPanel!$T$5="nominal",K56-K12,K74-K30)</f>
        <v>0</v>
      </c>
      <c r="L136" s="101">
        <f>IF(ControlPanel!$T$5="nominal",L56-L12,L74-L30)</f>
        <v>0</v>
      </c>
      <c r="M136" s="101">
        <f>IF(ControlPanel!$T$5="nominal",M56-M12,M74-M30)</f>
        <v>0</v>
      </c>
      <c r="N136" s="101">
        <f>IF(ControlPanel!$T$5="nominal",N56-N12,N74-N30)</f>
        <v>0</v>
      </c>
      <c r="O136" s="101">
        <f>IF(ControlPanel!$T$5="nominal",O56-O12,O74-O30)</f>
        <v>0</v>
      </c>
      <c r="P136" s="101">
        <f>IF(ControlPanel!$T$5="nominal",P56-P12,P74-P30)</f>
        <v>0</v>
      </c>
      <c r="Q136" s="101">
        <f>IF(ControlPanel!$T$5="nominal",Q56-Q12,Q74-Q30)</f>
        <v>0</v>
      </c>
      <c r="R136" s="101">
        <f>IF(ControlPanel!$T$5="nominal",R56-R12,R74-R30)</f>
        <v>0</v>
      </c>
      <c r="S136" s="101">
        <f>IF(ControlPanel!$T$5="nominal",S56-S12,S74-S30)</f>
        <v>0</v>
      </c>
      <c r="T136" s="101">
        <f>IF(ControlPanel!$T$5="nominal",T56-T12,T74-T30)</f>
        <v>0</v>
      </c>
      <c r="U136" s="101">
        <f>IF(ControlPanel!$T$5="nominal",U56-U12,U74-U30)</f>
        <v>0</v>
      </c>
      <c r="V136" s="101">
        <f>IF(ControlPanel!$T$5="nominal",V56-V12,V74-V30)</f>
        <v>0</v>
      </c>
      <c r="W136" s="101">
        <f>IF(ControlPanel!$T$5="nominal",W56-W12,W74-W30)</f>
        <v>0</v>
      </c>
      <c r="X136" s="101">
        <f>IF(ControlPanel!$T$5="nominal",X56-X12,X74-X30)</f>
        <v>0</v>
      </c>
      <c r="Y136" s="101">
        <f>IF(ControlPanel!$T$5="nominal",Y56-Y12,Y74-Y30)</f>
        <v>0</v>
      </c>
      <c r="Z136" s="101">
        <f>IF(ControlPanel!$T$5="nominal",Z56-Z12,Z74-Z30)</f>
        <v>0</v>
      </c>
      <c r="AA136" s="101">
        <f>IF(ControlPanel!$T$5="nominal",AA56-AA12,AA74-AA30)</f>
        <v>0</v>
      </c>
      <c r="AB136" s="101">
        <f>IF(ControlPanel!$T$5="nominal",AB56-AB12,AB74-AB30)</f>
        <v>0</v>
      </c>
      <c r="AC136" s="101">
        <f>IF(ControlPanel!$T$5="nominal",AC56-AC12,AC74-AC30)</f>
        <v>0</v>
      </c>
      <c r="AD136" s="101">
        <f>IF(ControlPanel!$T$5="nominal",AD56-AD12,AD74-AD30)</f>
        <v>0</v>
      </c>
      <c r="AE136" s="592">
        <f>IF(ControlPanel!$T$5="nominal",AE56-AE12,AE74-AE30)</f>
        <v>0</v>
      </c>
      <c r="AF136" s="939"/>
      <c r="AG136" s="939" t="s">
        <v>485</v>
      </c>
      <c r="AH136" s="567"/>
    </row>
    <row r="137" spans="1:34" s="301" customFormat="1">
      <c r="A137" s="561">
        <v>134</v>
      </c>
      <c r="C137" s="10"/>
      <c r="D137" s="29"/>
      <c r="E137" s="16" t="s">
        <v>161</v>
      </c>
      <c r="F137" s="101">
        <f>IF(ControlPanel!$T$5="nominal",F57-F13,F75-F31)</f>
        <v>0</v>
      </c>
      <c r="G137" s="101">
        <f>IF(ControlPanel!$T$5="nominal",G57-G13,G75-G31)</f>
        <v>0</v>
      </c>
      <c r="H137" s="101">
        <f>IF(ControlPanel!$T$5="nominal",H57-H13,H75-H31)</f>
        <v>0</v>
      </c>
      <c r="I137" s="101">
        <f>IF(ControlPanel!$T$5="nominal",I57-I13,I75-I31)</f>
        <v>0</v>
      </c>
      <c r="J137" s="101">
        <f>IF(ControlPanel!$T$5="nominal",J57-J13,J75-J31)</f>
        <v>0</v>
      </c>
      <c r="K137" s="101">
        <f>IF(ControlPanel!$T$5="nominal",K57-K13,K75-K31)</f>
        <v>0</v>
      </c>
      <c r="L137" s="101">
        <f>IF(ControlPanel!$T$5="nominal",L57-L13,L75-L31)</f>
        <v>0</v>
      </c>
      <c r="M137" s="101">
        <f>IF(ControlPanel!$T$5="nominal",M57-M13,M75-M31)</f>
        <v>0</v>
      </c>
      <c r="N137" s="101">
        <f>IF(ControlPanel!$T$5="nominal",N57-N13,N75-N31)</f>
        <v>0</v>
      </c>
      <c r="O137" s="101">
        <f>IF(ControlPanel!$T$5="nominal",O57-O13,O75-O31)</f>
        <v>0</v>
      </c>
      <c r="P137" s="101">
        <f>IF(ControlPanel!$T$5="nominal",P57-P13,P75-P31)</f>
        <v>0</v>
      </c>
      <c r="Q137" s="101">
        <f>IF(ControlPanel!$T$5="nominal",Q57-Q13,Q75-Q31)</f>
        <v>0</v>
      </c>
      <c r="R137" s="101">
        <f>IF(ControlPanel!$T$5="nominal",R57-R13,R75-R31)</f>
        <v>0</v>
      </c>
      <c r="S137" s="101">
        <f>IF(ControlPanel!$T$5="nominal",S57-S13,S75-S31)</f>
        <v>0</v>
      </c>
      <c r="T137" s="101">
        <f>IF(ControlPanel!$T$5="nominal",T57-T13,T75-T31)</f>
        <v>0</v>
      </c>
      <c r="U137" s="101">
        <f>IF(ControlPanel!$T$5="nominal",U57-U13,U75-U31)</f>
        <v>0</v>
      </c>
      <c r="V137" s="101">
        <f>IF(ControlPanel!$T$5="nominal",V57-V13,V75-V31)</f>
        <v>0</v>
      </c>
      <c r="W137" s="101">
        <f>IF(ControlPanel!$T$5="nominal",W57-W13,W75-W31)</f>
        <v>0</v>
      </c>
      <c r="X137" s="101">
        <f>IF(ControlPanel!$T$5="nominal",X57-X13,X75-X31)</f>
        <v>0</v>
      </c>
      <c r="Y137" s="101">
        <f>IF(ControlPanel!$T$5="nominal",Y57-Y13,Y75-Y31)</f>
        <v>0</v>
      </c>
      <c r="Z137" s="101">
        <f>IF(ControlPanel!$T$5="nominal",Z57-Z13,Z75-Z31)</f>
        <v>0</v>
      </c>
      <c r="AA137" s="101">
        <f>IF(ControlPanel!$T$5="nominal",AA57-AA13,AA75-AA31)</f>
        <v>0</v>
      </c>
      <c r="AB137" s="101">
        <f>IF(ControlPanel!$T$5="nominal",AB57-AB13,AB75-AB31)</f>
        <v>0</v>
      </c>
      <c r="AC137" s="101">
        <f>IF(ControlPanel!$T$5="nominal",AC57-AC13,AC75-AC31)</f>
        <v>0</v>
      </c>
      <c r="AD137" s="101">
        <f>IF(ControlPanel!$T$5="nominal",AD57-AD13,AD75-AD31)</f>
        <v>0</v>
      </c>
      <c r="AE137" s="592">
        <f>IF(ControlPanel!$T$5="nominal",AE57-AE13,AE75-AE31)</f>
        <v>0</v>
      </c>
      <c r="AF137" s="939"/>
      <c r="AG137" s="939" t="s">
        <v>485</v>
      </c>
      <c r="AH137" s="567"/>
    </row>
    <row r="138" spans="1:34" s="301" customFormat="1">
      <c r="A138" s="561">
        <v>135</v>
      </c>
      <c r="C138" s="10"/>
      <c r="D138" s="29"/>
      <c r="E138" s="16" t="s">
        <v>162</v>
      </c>
      <c r="F138" s="101">
        <f>IF(ControlPanel!$T$5="nominal",F58-F14,F76-F32)</f>
        <v>0</v>
      </c>
      <c r="G138" s="101">
        <f>IF(ControlPanel!$T$5="nominal",G58-G14,G76-G32)</f>
        <v>0</v>
      </c>
      <c r="H138" s="101">
        <f>IF(ControlPanel!$T$5="nominal",H58-H14,H76-H32)</f>
        <v>0</v>
      </c>
      <c r="I138" s="101">
        <f>IF(ControlPanel!$T$5="nominal",I58-I14,I76-I32)</f>
        <v>0</v>
      </c>
      <c r="J138" s="101">
        <f>IF(ControlPanel!$T$5="nominal",J58-J14,J76-J32)</f>
        <v>0</v>
      </c>
      <c r="K138" s="101">
        <f>IF(ControlPanel!$T$5="nominal",K58-K14,K76-K32)</f>
        <v>0</v>
      </c>
      <c r="L138" s="101">
        <f>IF(ControlPanel!$T$5="nominal",L58-L14,L76-L32)</f>
        <v>0</v>
      </c>
      <c r="M138" s="101">
        <f>IF(ControlPanel!$T$5="nominal",M58-M14,M76-M32)</f>
        <v>0</v>
      </c>
      <c r="N138" s="101">
        <f>IF(ControlPanel!$T$5="nominal",N58-N14,N76-N32)</f>
        <v>0</v>
      </c>
      <c r="O138" s="101">
        <f>IF(ControlPanel!$T$5="nominal",O58-O14,O76-O32)</f>
        <v>0</v>
      </c>
      <c r="P138" s="101">
        <f>IF(ControlPanel!$T$5="nominal",P58-P14,P76-P32)</f>
        <v>0</v>
      </c>
      <c r="Q138" s="101">
        <f>IF(ControlPanel!$T$5="nominal",Q58-Q14,Q76-Q32)</f>
        <v>0</v>
      </c>
      <c r="R138" s="101">
        <f>IF(ControlPanel!$T$5="nominal",R58-R14,R76-R32)</f>
        <v>0</v>
      </c>
      <c r="S138" s="101">
        <f>IF(ControlPanel!$T$5="nominal",S58-S14,S76-S32)</f>
        <v>0</v>
      </c>
      <c r="T138" s="101">
        <f>IF(ControlPanel!$T$5="nominal",T58-T14,T76-T32)</f>
        <v>0</v>
      </c>
      <c r="U138" s="101">
        <f>IF(ControlPanel!$T$5="nominal",U58-U14,U76-U32)</f>
        <v>0</v>
      </c>
      <c r="V138" s="101">
        <f>IF(ControlPanel!$T$5="nominal",V58-V14,V76-V32)</f>
        <v>0</v>
      </c>
      <c r="W138" s="101">
        <f>IF(ControlPanel!$T$5="nominal",W58-W14,W76-W32)</f>
        <v>0</v>
      </c>
      <c r="X138" s="101">
        <f>IF(ControlPanel!$T$5="nominal",X58-X14,X76-X32)</f>
        <v>0</v>
      </c>
      <c r="Y138" s="101">
        <f>IF(ControlPanel!$T$5="nominal",Y58-Y14,Y76-Y32)</f>
        <v>0</v>
      </c>
      <c r="Z138" s="101">
        <f>IF(ControlPanel!$T$5="nominal",Z58-Z14,Z76-Z32)</f>
        <v>0</v>
      </c>
      <c r="AA138" s="101">
        <f>IF(ControlPanel!$T$5="nominal",AA58-AA14,AA76-AA32)</f>
        <v>0</v>
      </c>
      <c r="AB138" s="101">
        <f>IF(ControlPanel!$T$5="nominal",AB58-AB14,AB76-AB32)</f>
        <v>0</v>
      </c>
      <c r="AC138" s="101">
        <f>IF(ControlPanel!$T$5="nominal",AC58-AC14,AC76-AC32)</f>
        <v>0</v>
      </c>
      <c r="AD138" s="101">
        <f>IF(ControlPanel!$T$5="nominal",AD58-AD14,AD76-AD32)</f>
        <v>0</v>
      </c>
      <c r="AE138" s="592">
        <f>IF(ControlPanel!$T$5="nominal",AE58-AE14,AE76-AE32)</f>
        <v>0</v>
      </c>
      <c r="AF138" s="939"/>
      <c r="AG138" s="939" t="s">
        <v>485</v>
      </c>
      <c r="AH138" s="567"/>
    </row>
    <row r="139" spans="1:34" s="301" customFormat="1">
      <c r="A139" s="561">
        <v>136</v>
      </c>
      <c r="C139" s="10"/>
      <c r="D139" s="29"/>
      <c r="E139" s="16" t="s">
        <v>163</v>
      </c>
      <c r="F139" s="101">
        <f>IF(ControlPanel!$T$5="nominal",F59-F15,F77-F33)</f>
        <v>0</v>
      </c>
      <c r="G139" s="101">
        <f>IF(ControlPanel!$T$5="nominal",G59-G15,G77-G33)</f>
        <v>0</v>
      </c>
      <c r="H139" s="101">
        <f>IF(ControlPanel!$T$5="nominal",H59-H15,H77-H33)</f>
        <v>0</v>
      </c>
      <c r="I139" s="101">
        <f>IF(ControlPanel!$T$5="nominal",I59-I15,I77-I33)</f>
        <v>0</v>
      </c>
      <c r="J139" s="101">
        <f>IF(ControlPanel!$T$5="nominal",J59-J15,J77-J33)</f>
        <v>0</v>
      </c>
      <c r="K139" s="101">
        <f>IF(ControlPanel!$T$5="nominal",K59-K15,K77-K33)</f>
        <v>0</v>
      </c>
      <c r="L139" s="101">
        <f>IF(ControlPanel!$T$5="nominal",L59-L15,L77-L33)</f>
        <v>0</v>
      </c>
      <c r="M139" s="101">
        <f>IF(ControlPanel!$T$5="nominal",M59-M15,M77-M33)</f>
        <v>0</v>
      </c>
      <c r="N139" s="101">
        <f>IF(ControlPanel!$T$5="nominal",N59-N15,N77-N33)</f>
        <v>0</v>
      </c>
      <c r="O139" s="101">
        <f>IF(ControlPanel!$T$5="nominal",O59-O15,O77-O33)</f>
        <v>0</v>
      </c>
      <c r="P139" s="101">
        <f>IF(ControlPanel!$T$5="nominal",P59-P15,P77-P33)</f>
        <v>0</v>
      </c>
      <c r="Q139" s="101">
        <f>IF(ControlPanel!$T$5="nominal",Q59-Q15,Q77-Q33)</f>
        <v>0</v>
      </c>
      <c r="R139" s="101">
        <f>IF(ControlPanel!$T$5="nominal",R59-R15,R77-R33)</f>
        <v>0</v>
      </c>
      <c r="S139" s="101">
        <f>IF(ControlPanel!$T$5="nominal",S59-S15,S77-S33)</f>
        <v>0</v>
      </c>
      <c r="T139" s="101">
        <f>IF(ControlPanel!$T$5="nominal",T59-T15,T77-T33)</f>
        <v>0</v>
      </c>
      <c r="U139" s="101">
        <f>IF(ControlPanel!$T$5="nominal",U59-U15,U77-U33)</f>
        <v>0</v>
      </c>
      <c r="V139" s="101">
        <f>IF(ControlPanel!$T$5="nominal",V59-V15,V77-V33)</f>
        <v>0</v>
      </c>
      <c r="W139" s="101">
        <f>IF(ControlPanel!$T$5="nominal",W59-W15,W77-W33)</f>
        <v>0</v>
      </c>
      <c r="X139" s="101">
        <f>IF(ControlPanel!$T$5="nominal",X59-X15,X77-X33)</f>
        <v>0</v>
      </c>
      <c r="Y139" s="101">
        <f>IF(ControlPanel!$T$5="nominal",Y59-Y15,Y77-Y33)</f>
        <v>0</v>
      </c>
      <c r="Z139" s="101">
        <f>IF(ControlPanel!$T$5="nominal",Z59-Z15,Z77-Z33)</f>
        <v>0</v>
      </c>
      <c r="AA139" s="101">
        <f>IF(ControlPanel!$T$5="nominal",AA59-AA15,AA77-AA33)</f>
        <v>0</v>
      </c>
      <c r="AB139" s="101">
        <f>IF(ControlPanel!$T$5="nominal",AB59-AB15,AB77-AB33)</f>
        <v>0</v>
      </c>
      <c r="AC139" s="101">
        <f>IF(ControlPanel!$T$5="nominal",AC59-AC15,AC77-AC33)</f>
        <v>0</v>
      </c>
      <c r="AD139" s="101">
        <f>IF(ControlPanel!$T$5="nominal",AD59-AD15,AD77-AD33)</f>
        <v>0</v>
      </c>
      <c r="AE139" s="592">
        <f>IF(ControlPanel!$T$5="nominal",AE59-AE15,AE77-AE33)</f>
        <v>0</v>
      </c>
      <c r="AF139" s="939"/>
      <c r="AG139" s="939" t="s">
        <v>485</v>
      </c>
      <c r="AH139" s="567"/>
    </row>
    <row r="140" spans="1:34" s="301" customFormat="1">
      <c r="A140" s="561">
        <v>137</v>
      </c>
      <c r="C140" s="10"/>
      <c r="D140" s="29"/>
      <c r="E140" s="16" t="s">
        <v>164</v>
      </c>
      <c r="F140" s="101">
        <f>IF(ControlPanel!$T$5="nominal",F60-F16,F78-F34)</f>
        <v>0</v>
      </c>
      <c r="G140" s="101">
        <f>IF(ControlPanel!$T$5="nominal",G60-G16,G78-G34)</f>
        <v>0</v>
      </c>
      <c r="H140" s="101">
        <f>IF(ControlPanel!$T$5="nominal",H60-H16,H78-H34)</f>
        <v>0</v>
      </c>
      <c r="I140" s="101">
        <f>IF(ControlPanel!$T$5="nominal",I60-I16,I78-I34)</f>
        <v>0</v>
      </c>
      <c r="J140" s="101">
        <f>IF(ControlPanel!$T$5="nominal",J60-J16,J78-J34)</f>
        <v>0</v>
      </c>
      <c r="K140" s="101">
        <f>IF(ControlPanel!$T$5="nominal",K60-K16,K78-K34)</f>
        <v>0</v>
      </c>
      <c r="L140" s="101">
        <f>IF(ControlPanel!$T$5="nominal",L60-L16,L78-L34)</f>
        <v>0</v>
      </c>
      <c r="M140" s="101">
        <f>IF(ControlPanel!$T$5="nominal",M60-M16,M78-M34)</f>
        <v>0</v>
      </c>
      <c r="N140" s="101">
        <f>IF(ControlPanel!$T$5="nominal",N60-N16,N78-N34)</f>
        <v>0</v>
      </c>
      <c r="O140" s="101">
        <f>IF(ControlPanel!$T$5="nominal",O60-O16,O78-O34)</f>
        <v>0</v>
      </c>
      <c r="P140" s="101">
        <f>IF(ControlPanel!$T$5="nominal",P60-P16,P78-P34)</f>
        <v>0</v>
      </c>
      <c r="Q140" s="101">
        <f>IF(ControlPanel!$T$5="nominal",Q60-Q16,Q78-Q34)</f>
        <v>0</v>
      </c>
      <c r="R140" s="101">
        <f>IF(ControlPanel!$T$5="nominal",R60-R16,R78-R34)</f>
        <v>0</v>
      </c>
      <c r="S140" s="101">
        <f ca="1">IF(ControlPanel!$T$5="nominal",S60-S16,S78-S34)</f>
        <v>0</v>
      </c>
      <c r="T140" s="101">
        <f ca="1">IF(ControlPanel!$T$5="nominal",T60-T16,T78-T34)</f>
        <v>0</v>
      </c>
      <c r="U140" s="101">
        <f ca="1">IF(ControlPanel!$T$5="nominal",U60-U16,U78-U34)</f>
        <v>0</v>
      </c>
      <c r="V140" s="101">
        <f ca="1">IF(ControlPanel!$T$5="nominal",V60-V16,V78-V34)</f>
        <v>0</v>
      </c>
      <c r="W140" s="101">
        <f ca="1">IF(ControlPanel!$T$5="nominal",W60-W16,W78-W34)</f>
        <v>0</v>
      </c>
      <c r="X140" s="101">
        <f ca="1">IF(ControlPanel!$T$5="nominal",X60-X16,X78-X34)</f>
        <v>0</v>
      </c>
      <c r="Y140" s="101">
        <f ca="1">IF(ControlPanel!$T$5="nominal",Y60-Y16,Y78-Y34)</f>
        <v>0</v>
      </c>
      <c r="Z140" s="101">
        <f ca="1">IF(ControlPanel!$T$5="nominal",Z60-Z16,Z78-Z34)</f>
        <v>0</v>
      </c>
      <c r="AA140" s="101">
        <f ca="1">IF(ControlPanel!$T$5="nominal",AA60-AA16,AA78-AA34)</f>
        <v>0</v>
      </c>
      <c r="AB140" s="101">
        <f ca="1">IF(ControlPanel!$T$5="nominal",AB60-AB16,AB78-AB34)</f>
        <v>0</v>
      </c>
      <c r="AC140" s="101">
        <f ca="1">IF(ControlPanel!$T$5="nominal",AC60-AC16,AC78-AC34)</f>
        <v>0</v>
      </c>
      <c r="AD140" s="101">
        <f ca="1">IF(ControlPanel!$T$5="nominal",AD60-AD16,AD78-AD34)</f>
        <v>0</v>
      </c>
      <c r="AE140" s="592">
        <f ca="1">IF(ControlPanel!$T$5="nominal",AE60-AE16,AE78-AE34)</f>
        <v>0</v>
      </c>
      <c r="AF140" s="939"/>
      <c r="AG140" s="939" t="s">
        <v>485</v>
      </c>
      <c r="AH140" s="567"/>
    </row>
    <row r="141" spans="1:34" s="301" customFormat="1">
      <c r="A141" s="561">
        <v>138</v>
      </c>
      <c r="C141" s="10"/>
      <c r="D141" s="29"/>
      <c r="E141" s="16" t="s">
        <v>165</v>
      </c>
      <c r="F141" s="101">
        <f>IF(ControlPanel!$T$5="nominal",F61-F17,F79-F35)</f>
        <v>0</v>
      </c>
      <c r="G141" s="101">
        <f>IF(ControlPanel!$T$5="nominal",G61-G17,G79-G35)</f>
        <v>0</v>
      </c>
      <c r="H141" s="101">
        <f>IF(ControlPanel!$T$5="nominal",H61-H17,H79-H35)</f>
        <v>0</v>
      </c>
      <c r="I141" s="101">
        <f>IF(ControlPanel!$T$5="nominal",I61-I17,I79-I35)</f>
        <v>0</v>
      </c>
      <c r="J141" s="101">
        <f>IF(ControlPanel!$T$5="nominal",J61-J17,J79-J35)</f>
        <v>0</v>
      </c>
      <c r="K141" s="101">
        <f>IF(ControlPanel!$T$5="nominal",K61-K17,K79-K35)</f>
        <v>0</v>
      </c>
      <c r="L141" s="101">
        <f>IF(ControlPanel!$T$5="nominal",L61-L17,L79-L35)</f>
        <v>0</v>
      </c>
      <c r="M141" s="101">
        <f>IF(ControlPanel!$T$5="nominal",M61-M17,M79-M35)</f>
        <v>0</v>
      </c>
      <c r="N141" s="101">
        <f>IF(ControlPanel!$T$5="nominal",N61-N17,N79-N35)</f>
        <v>0</v>
      </c>
      <c r="O141" s="101">
        <f>IF(ControlPanel!$T$5="nominal",O61-O17,O79-O35)</f>
        <v>0</v>
      </c>
      <c r="P141" s="101">
        <f>IF(ControlPanel!$T$5="nominal",P61-P17,P79-P35)</f>
        <v>0</v>
      </c>
      <c r="Q141" s="101">
        <f>IF(ControlPanel!$T$5="nominal",Q61-Q17,Q79-Q35)</f>
        <v>0</v>
      </c>
      <c r="R141" s="101">
        <f>IF(ControlPanel!$T$5="nominal",R61-R17,R79-R35)</f>
        <v>0</v>
      </c>
      <c r="S141" s="101">
        <f ca="1">IF(ControlPanel!$T$5="nominal",S61-S17,S79-S35)</f>
        <v>0</v>
      </c>
      <c r="T141" s="101">
        <f ca="1">IF(ControlPanel!$T$5="nominal",T61-T17,T79-T35)</f>
        <v>0</v>
      </c>
      <c r="U141" s="101">
        <f ca="1">IF(ControlPanel!$T$5="nominal",U61-U17,U79-U35)</f>
        <v>0</v>
      </c>
      <c r="V141" s="101">
        <f ca="1">IF(ControlPanel!$T$5="nominal",V61-V17,V79-V35)</f>
        <v>0</v>
      </c>
      <c r="W141" s="101">
        <f ca="1">IF(ControlPanel!$T$5="nominal",W61-W17,W79-W35)</f>
        <v>0</v>
      </c>
      <c r="X141" s="101">
        <f ca="1">IF(ControlPanel!$T$5="nominal",X61-X17,X79-X35)</f>
        <v>0</v>
      </c>
      <c r="Y141" s="101">
        <f ca="1">IF(ControlPanel!$T$5="nominal",Y61-Y17,Y79-Y35)</f>
        <v>0</v>
      </c>
      <c r="Z141" s="101">
        <f ca="1">IF(ControlPanel!$T$5="nominal",Z61-Z17,Z79-Z35)</f>
        <v>0</v>
      </c>
      <c r="AA141" s="101">
        <f ca="1">IF(ControlPanel!$T$5="nominal",AA61-AA17,AA79-AA35)</f>
        <v>0</v>
      </c>
      <c r="AB141" s="101">
        <f ca="1">IF(ControlPanel!$T$5="nominal",AB61-AB17,AB79-AB35)</f>
        <v>0</v>
      </c>
      <c r="AC141" s="101">
        <f ca="1">IF(ControlPanel!$T$5="nominal",AC61-AC17,AC79-AC35)</f>
        <v>0</v>
      </c>
      <c r="AD141" s="101">
        <f ca="1">IF(ControlPanel!$T$5="nominal",AD61-AD17,AD79-AD35)</f>
        <v>0</v>
      </c>
      <c r="AE141" s="592">
        <f ca="1">IF(ControlPanel!$T$5="nominal",AE61-AE17,AE79-AE35)</f>
        <v>0</v>
      </c>
      <c r="AF141" s="939"/>
      <c r="AG141" s="939" t="s">
        <v>485</v>
      </c>
      <c r="AH141" s="567"/>
    </row>
    <row r="142" spans="1:34" s="301" customFormat="1">
      <c r="A142" s="561">
        <v>139</v>
      </c>
      <c r="C142" s="10"/>
      <c r="D142" s="29"/>
      <c r="E142" s="16" t="s">
        <v>280</v>
      </c>
      <c r="F142" s="101">
        <f>IF(ControlPanel!$T$5="nominal",F62-F18,F80-F36)</f>
        <v>0</v>
      </c>
      <c r="G142" s="101">
        <f>IF(ControlPanel!$T$5="nominal",G62-G18,G80-G36)</f>
        <v>0</v>
      </c>
      <c r="H142" s="101">
        <f>IF(ControlPanel!$T$5="nominal",H62-H18,H80-H36)</f>
        <v>0</v>
      </c>
      <c r="I142" s="101">
        <f>IF(ControlPanel!$T$5="nominal",I62-I18,I80-I36)</f>
        <v>0</v>
      </c>
      <c r="J142" s="101">
        <f>IF(ControlPanel!$T$5="nominal",J62-J18,J80-J36)</f>
        <v>0</v>
      </c>
      <c r="K142" s="101">
        <f>IF(ControlPanel!$T$5="nominal",K62-K18,K80-K36)</f>
        <v>0</v>
      </c>
      <c r="L142" s="101">
        <f>IF(ControlPanel!$T$5="nominal",L62-L18,L80-L36)</f>
        <v>0</v>
      </c>
      <c r="M142" s="101">
        <f>IF(ControlPanel!$T$5="nominal",M62-M18,M80-M36)</f>
        <v>0</v>
      </c>
      <c r="N142" s="101">
        <f>IF(ControlPanel!$T$5="nominal",N62-N18,N80-N36)</f>
        <v>0</v>
      </c>
      <c r="O142" s="101">
        <f>IF(ControlPanel!$T$5="nominal",O62-O18,O80-O36)</f>
        <v>0</v>
      </c>
      <c r="P142" s="101">
        <f>IF(ControlPanel!$T$5="nominal",P62-P18,P80-P36)</f>
        <v>0</v>
      </c>
      <c r="Q142" s="101">
        <f>IF(ControlPanel!$T$5="nominal",Q62-Q18,Q80-Q36)</f>
        <v>0</v>
      </c>
      <c r="R142" s="101">
        <f>IF(ControlPanel!$T$5="nominal",R62-R18,R80-R36)</f>
        <v>0</v>
      </c>
      <c r="S142" s="101">
        <f>IF(ControlPanel!$T$5="nominal",S62-S18,S80-S36)</f>
        <v>0</v>
      </c>
      <c r="T142" s="101">
        <f>IF(ControlPanel!$T$5="nominal",T62-T18,T80-T36)</f>
        <v>0</v>
      </c>
      <c r="U142" s="101">
        <f>IF(ControlPanel!$T$5="nominal",U62-U18,U80-U36)</f>
        <v>0</v>
      </c>
      <c r="V142" s="101">
        <f>IF(ControlPanel!$T$5="nominal",V62-V18,V80-V36)</f>
        <v>0</v>
      </c>
      <c r="W142" s="101">
        <f>IF(ControlPanel!$T$5="nominal",W62-W18,W80-W36)</f>
        <v>0</v>
      </c>
      <c r="X142" s="101">
        <f>IF(ControlPanel!$T$5="nominal",X62-X18,X80-X36)</f>
        <v>0</v>
      </c>
      <c r="Y142" s="101">
        <f>IF(ControlPanel!$T$5="nominal",Y62-Y18,Y80-Y36)</f>
        <v>0</v>
      </c>
      <c r="Z142" s="101">
        <f>IF(ControlPanel!$T$5="nominal",Z62-Z18,Z80-Z36)</f>
        <v>0</v>
      </c>
      <c r="AA142" s="101">
        <f>IF(ControlPanel!$T$5="nominal",AA62-AA18,AA80-AA36)</f>
        <v>0</v>
      </c>
      <c r="AB142" s="101">
        <f>IF(ControlPanel!$T$5="nominal",AB62-AB18,AB80-AB36)</f>
        <v>0</v>
      </c>
      <c r="AC142" s="101">
        <f>IF(ControlPanel!$T$5="nominal",AC62-AC18,AC80-AC36)</f>
        <v>0</v>
      </c>
      <c r="AD142" s="101">
        <f>IF(ControlPanel!$T$5="nominal",AD62-AD18,AD80-AD36)</f>
        <v>0</v>
      </c>
      <c r="AE142" s="592">
        <f>IF(ControlPanel!$T$5="nominal",AE62-AE18,AE80-AE36)</f>
        <v>0</v>
      </c>
      <c r="AF142" s="939"/>
      <c r="AG142" s="939" t="s">
        <v>485</v>
      </c>
      <c r="AH142" s="567"/>
    </row>
    <row r="143" spans="1:34" s="301" customFormat="1">
      <c r="A143" s="561">
        <v>140</v>
      </c>
      <c r="C143" s="10"/>
      <c r="D143" s="29"/>
      <c r="E143" s="204" t="s">
        <v>179</v>
      </c>
      <c r="F143" s="101">
        <f>IF(ControlPanel!$T$5="nominal",F63-F19,F81-F37)</f>
        <v>0</v>
      </c>
      <c r="G143" s="101">
        <f>IF(ControlPanel!$T$5="nominal",G63-G19,G81-G37)</f>
        <v>0</v>
      </c>
      <c r="H143" s="101">
        <f>IF(ControlPanel!$T$5="nominal",H63-H19,H81-H37)</f>
        <v>0</v>
      </c>
      <c r="I143" s="101">
        <f>IF(ControlPanel!$T$5="nominal",I63-I19,I81-I37)</f>
        <v>0</v>
      </c>
      <c r="J143" s="101">
        <f>IF(ControlPanel!$T$5="nominal",J63-J19,J81-J37)</f>
        <v>0</v>
      </c>
      <c r="K143" s="101">
        <f>IF(ControlPanel!$T$5="nominal",K63-K19,K81-K37)</f>
        <v>0</v>
      </c>
      <c r="L143" s="101">
        <f>IF(ControlPanel!$T$5="nominal",L63-L19,L81-L37)</f>
        <v>0</v>
      </c>
      <c r="M143" s="101">
        <f>IF(ControlPanel!$T$5="nominal",M63-M19,M81-M37)</f>
        <v>0</v>
      </c>
      <c r="N143" s="101">
        <f>IF(ControlPanel!$T$5="nominal",N63-N19,N81-N37)</f>
        <v>0</v>
      </c>
      <c r="O143" s="101">
        <f>IF(ControlPanel!$T$5="nominal",O63-O19,O81-O37)</f>
        <v>0</v>
      </c>
      <c r="P143" s="101">
        <f>IF(ControlPanel!$T$5="nominal",P63-P19,P81-P37)</f>
        <v>0</v>
      </c>
      <c r="Q143" s="101">
        <f>IF(ControlPanel!$T$5="nominal",Q63-Q19,Q81-Q37)</f>
        <v>0</v>
      </c>
      <c r="R143" s="101">
        <f>IF(ControlPanel!$T$5="nominal",R63-R19,R81-R37)</f>
        <v>0</v>
      </c>
      <c r="S143" s="101">
        <f>IF(ControlPanel!$T$5="nominal",S63-S19,S81-S37)</f>
        <v>0</v>
      </c>
      <c r="T143" s="101">
        <f>IF(ControlPanel!$T$5="nominal",T63-T19,T81-T37)</f>
        <v>0</v>
      </c>
      <c r="U143" s="101">
        <f>IF(ControlPanel!$T$5="nominal",U63-U19,U81-U37)</f>
        <v>0</v>
      </c>
      <c r="V143" s="101">
        <f>IF(ControlPanel!$T$5="nominal",V63-V19,V81-V37)</f>
        <v>0</v>
      </c>
      <c r="W143" s="101">
        <f>IF(ControlPanel!$T$5="nominal",W63-W19,W81-W37)</f>
        <v>0</v>
      </c>
      <c r="X143" s="101">
        <f>IF(ControlPanel!$T$5="nominal",X63-X19,X81-X37)</f>
        <v>0</v>
      </c>
      <c r="Y143" s="101">
        <f>IF(ControlPanel!$T$5="nominal",Y63-Y19,Y81-Y37)</f>
        <v>0</v>
      </c>
      <c r="Z143" s="101">
        <f>IF(ControlPanel!$T$5="nominal",Z63-Z19,Z81-Z37)</f>
        <v>0</v>
      </c>
      <c r="AA143" s="101">
        <f>IF(ControlPanel!$T$5="nominal",AA63-AA19,AA81-AA37)</f>
        <v>0</v>
      </c>
      <c r="AB143" s="101">
        <f>IF(ControlPanel!$T$5="nominal",AB63-AB19,AB81-AB37)</f>
        <v>0</v>
      </c>
      <c r="AC143" s="101">
        <f>IF(ControlPanel!$T$5="nominal",AC63-AC19,AC81-AC37)</f>
        <v>0</v>
      </c>
      <c r="AD143" s="101">
        <f>IF(ControlPanel!$T$5="nominal",AD63-AD19,AD81-AD37)</f>
        <v>0</v>
      </c>
      <c r="AE143" s="592">
        <f>IF(ControlPanel!$T$5="nominal",AE63-AE19,AE81-AE37)</f>
        <v>0</v>
      </c>
      <c r="AF143" s="939"/>
      <c r="AG143" s="939" t="s">
        <v>485</v>
      </c>
      <c r="AH143" s="567"/>
    </row>
    <row r="144" spans="1:34" s="301" customFormat="1">
      <c r="A144" s="561">
        <v>141</v>
      </c>
      <c r="C144" s="10"/>
      <c r="D144" s="29"/>
      <c r="E144" s="205" t="s">
        <v>181</v>
      </c>
      <c r="F144" s="102">
        <f>IF(ControlPanel!$T$5="nominal",F64-F20,F82-F38)</f>
        <v>0</v>
      </c>
      <c r="G144" s="102">
        <f>IF(ControlPanel!$T$5="nominal",G64-G20,G82-G38)</f>
        <v>0</v>
      </c>
      <c r="H144" s="102">
        <f>IF(ControlPanel!$T$5="nominal",H64-H20,H82-H38)</f>
        <v>0</v>
      </c>
      <c r="I144" s="102">
        <f>IF(ControlPanel!$T$5="nominal",I64-I20,I82-I38)</f>
        <v>0</v>
      </c>
      <c r="J144" s="102">
        <f>IF(ControlPanel!$T$5="nominal",J64-J20,J82-J38)</f>
        <v>0</v>
      </c>
      <c r="K144" s="102">
        <f>IF(ControlPanel!$T$5="nominal",K64-K20,K82-K38)</f>
        <v>0</v>
      </c>
      <c r="L144" s="102">
        <f>IF(ControlPanel!$T$5="nominal",L64-L20,L82-L38)</f>
        <v>0</v>
      </c>
      <c r="M144" s="102">
        <f>IF(ControlPanel!$T$5="nominal",M64-M20,M82-M38)</f>
        <v>0</v>
      </c>
      <c r="N144" s="102">
        <f>IF(ControlPanel!$T$5="nominal",N64-N20,N82-N38)</f>
        <v>0</v>
      </c>
      <c r="O144" s="102">
        <f>IF(ControlPanel!$T$5="nominal",O64-O20,O82-O38)</f>
        <v>0</v>
      </c>
      <c r="P144" s="102">
        <f>IF(ControlPanel!$T$5="nominal",P64-P20,P82-P38)</f>
        <v>0</v>
      </c>
      <c r="Q144" s="102">
        <f>IF(ControlPanel!$T$5="nominal",Q64-Q20,Q82-Q38)</f>
        <v>0</v>
      </c>
      <c r="R144" s="102">
        <f>IF(ControlPanel!$T$5="nominal",R64-R20,R82-R38)</f>
        <v>0</v>
      </c>
      <c r="S144" s="102">
        <f ca="1">IF(ControlPanel!$T$5="nominal",S64-S20,S82-S38)</f>
        <v>0</v>
      </c>
      <c r="T144" s="102">
        <f ca="1">IF(ControlPanel!$T$5="nominal",T64-T20,T82-T38)</f>
        <v>0</v>
      </c>
      <c r="U144" s="102">
        <f ca="1">IF(ControlPanel!$T$5="nominal",U64-U20,U82-U38)</f>
        <v>0</v>
      </c>
      <c r="V144" s="102">
        <f ca="1">IF(ControlPanel!$T$5="nominal",V64-V20,V82-V38)</f>
        <v>0</v>
      </c>
      <c r="W144" s="102">
        <f ca="1">IF(ControlPanel!$T$5="nominal",W64-W20,W82-W38)</f>
        <v>0</v>
      </c>
      <c r="X144" s="102">
        <f ca="1">IF(ControlPanel!$T$5="nominal",X64-X20,X82-X38)</f>
        <v>0</v>
      </c>
      <c r="Y144" s="102">
        <f ca="1">IF(ControlPanel!$T$5="nominal",Y64-Y20,Y82-Y38)</f>
        <v>0</v>
      </c>
      <c r="Z144" s="102">
        <f ca="1">IF(ControlPanel!$T$5="nominal",Z64-Z20,Z82-Z38)</f>
        <v>0</v>
      </c>
      <c r="AA144" s="102">
        <f ca="1">IF(ControlPanel!$T$5="nominal",AA64-AA20,AA82-AA38)</f>
        <v>0</v>
      </c>
      <c r="AB144" s="102">
        <f ca="1">IF(ControlPanel!$T$5="nominal",AB64-AB20,AB82-AB38)</f>
        <v>0</v>
      </c>
      <c r="AC144" s="102">
        <f ca="1">IF(ControlPanel!$T$5="nominal",AC64-AC20,AC82-AC38)</f>
        <v>0</v>
      </c>
      <c r="AD144" s="102">
        <f ca="1">IF(ControlPanel!$T$5="nominal",AD64-AD20,AD82-AD38)</f>
        <v>0</v>
      </c>
      <c r="AE144" s="593">
        <f ca="1">IF(ControlPanel!$T$5="nominal",AE64-AE20,AE82-AE38)</f>
        <v>0</v>
      </c>
      <c r="AF144" s="939"/>
      <c r="AG144" s="939" t="s">
        <v>485</v>
      </c>
      <c r="AH144" s="567"/>
    </row>
    <row r="145" spans="1:35" s="301" customFormat="1">
      <c r="A145" s="561">
        <v>142</v>
      </c>
      <c r="C145" s="10"/>
      <c r="D145" s="29"/>
      <c r="E145" s="36"/>
      <c r="AF145" s="939"/>
      <c r="AG145" s="939"/>
      <c r="AH145" s="567"/>
    </row>
    <row r="146" spans="1:35" s="301" customFormat="1">
      <c r="A146" s="561">
        <v>143</v>
      </c>
      <c r="C146" s="10"/>
      <c r="D146" s="29"/>
      <c r="E146" s="36"/>
      <c r="AF146" s="939"/>
      <c r="AG146" s="939"/>
      <c r="AH146" s="567"/>
    </row>
    <row r="147" spans="1:35" s="301" customFormat="1">
      <c r="A147" s="561">
        <v>144</v>
      </c>
      <c r="C147" s="10"/>
      <c r="D147" s="29"/>
      <c r="E147" s="36"/>
      <c r="AF147" s="939"/>
      <c r="AG147" s="939"/>
      <c r="AH147" s="567"/>
    </row>
    <row r="148" spans="1:35" s="301" customFormat="1">
      <c r="A148" s="561">
        <v>145</v>
      </c>
      <c r="B148" s="516"/>
      <c r="C148" s="582"/>
      <c r="D148" s="583"/>
      <c r="E148" s="199" t="s">
        <v>479</v>
      </c>
      <c r="F148" s="331"/>
      <c r="G148" s="331"/>
      <c r="H148" s="331"/>
      <c r="I148" s="331"/>
      <c r="J148" s="331"/>
      <c r="K148" s="331"/>
      <c r="L148" s="331"/>
      <c r="M148" s="331"/>
      <c r="N148" s="331"/>
      <c r="O148" s="331"/>
      <c r="P148" s="331"/>
      <c r="Q148" s="331"/>
      <c r="R148" s="331"/>
      <c r="S148" s="331"/>
      <c r="T148" s="331"/>
      <c r="U148" s="331"/>
      <c r="V148" s="331"/>
      <c r="W148" s="331"/>
      <c r="X148" s="331"/>
      <c r="Y148" s="331"/>
      <c r="Z148" s="331"/>
      <c r="AA148" s="331"/>
      <c r="AB148" s="331"/>
      <c r="AC148" s="331"/>
      <c r="AD148" s="331"/>
      <c r="AE148" s="331"/>
      <c r="AF148" s="939" t="s">
        <v>481</v>
      </c>
      <c r="AG148" s="939" t="s">
        <v>481</v>
      </c>
      <c r="AH148" s="567"/>
      <c r="AI148" s="516"/>
    </row>
    <row r="149" spans="1:35" s="301" customFormat="1">
      <c r="A149" s="561">
        <v>146</v>
      </c>
      <c r="C149" s="10"/>
      <c r="D149" s="29"/>
      <c r="E149" s="321" t="s">
        <v>181</v>
      </c>
      <c r="F149" s="100">
        <f>IF(ControlPanel!$T$5="nominal",'GrD-Grafikdaten'!F64,'GrD-Grafikdaten'!F82)</f>
        <v>7.4120479999999995</v>
      </c>
      <c r="G149" s="100">
        <f>IF(ControlPanel!$T$5="nominal",'GrD-Grafikdaten'!G64,'GrD-Grafikdaten'!G82)</f>
        <v>8.6039089999999998</v>
      </c>
      <c r="H149" s="100">
        <f>IF(ControlPanel!$T$5="nominal",'GrD-Grafikdaten'!H64,'GrD-Grafikdaten'!H82)</f>
        <v>9.1140000000000008</v>
      </c>
      <c r="I149" s="100">
        <f>IF(ControlPanel!$T$5="nominal",'GrD-Grafikdaten'!I64,'GrD-Grafikdaten'!I82)</f>
        <v>10.391999999999999</v>
      </c>
      <c r="J149" s="100">
        <f>IF(ControlPanel!$T$5="nominal",'GrD-Grafikdaten'!J64,'GrD-Grafikdaten'!J82)</f>
        <v>10.385</v>
      </c>
      <c r="K149" s="100">
        <f>IF(ControlPanel!$T$5="nominal",'GrD-Grafikdaten'!K64,'GrD-Grafikdaten'!K82)</f>
        <v>9.7365706877643845</v>
      </c>
      <c r="L149" s="100">
        <f>IF(ControlPanel!$T$5="nominal",'GrD-Grafikdaten'!L64,'GrD-Grafikdaten'!L82)</f>
        <v>9.464268639723894</v>
      </c>
      <c r="M149" s="100">
        <f>IF(ControlPanel!$T$5="nominal",'GrD-Grafikdaten'!M64,'GrD-Grafikdaten'!M82)</f>
        <v>9.5352264368703565</v>
      </c>
      <c r="N149" s="100">
        <f>IF(ControlPanel!$T$5="nominal",'GrD-Grafikdaten'!N64,'GrD-Grafikdaten'!N82)</f>
        <v>10.00080483632372</v>
      </c>
      <c r="O149" s="100">
        <f>IF(ControlPanel!$T$5="nominal",'GrD-Grafikdaten'!O64,'GrD-Grafikdaten'!O82)</f>
        <v>11.034581826229905</v>
      </c>
      <c r="P149" s="100">
        <f>IF(ControlPanel!$T$5="nominal",'GrD-Grafikdaten'!P64,'GrD-Grafikdaten'!P82)</f>
        <v>11.692116313820181</v>
      </c>
      <c r="Q149" s="100">
        <f>IF(ControlPanel!$T$5="nominal",'GrD-Grafikdaten'!Q64,'GrD-Grafikdaten'!Q82)</f>
        <v>10.577615363716919</v>
      </c>
      <c r="R149" s="100">
        <f>IF(ControlPanel!$T$5="nominal",'GrD-Grafikdaten'!R64,'GrD-Grafikdaten'!R82)</f>
        <v>11.563082772147341</v>
      </c>
      <c r="S149" s="100">
        <f ca="1">IF(ControlPanel!$T$5="nominal",'GrD-Grafikdaten'!S64,'GrD-Grafikdaten'!S82)</f>
        <v>10.97923443639672</v>
      </c>
      <c r="T149" s="100">
        <f ca="1">IF(ControlPanel!$T$5="nominal",'GrD-Grafikdaten'!T64,'GrD-Grafikdaten'!T82)</f>
        <v>11.250717348887195</v>
      </c>
      <c r="U149" s="100">
        <f ca="1">IF(ControlPanel!$T$5="nominal",'GrD-Grafikdaten'!U64,'GrD-Grafikdaten'!U82)</f>
        <v>10.692756736346251</v>
      </c>
      <c r="V149" s="100">
        <f ca="1">IF(ControlPanel!$T$5="nominal",'GrD-Grafikdaten'!V64,'GrD-Grafikdaten'!V82)</f>
        <v>10.407660840872651</v>
      </c>
      <c r="W149" s="100">
        <f ca="1">IF(ControlPanel!$T$5="nominal",'GrD-Grafikdaten'!W64,'GrD-Grafikdaten'!W82)</f>
        <v>9.7827292039835285</v>
      </c>
      <c r="X149" s="100">
        <f ca="1">IF(ControlPanel!$T$5="nominal",'GrD-Grafikdaten'!X64,'GrD-Grafikdaten'!X82)</f>
        <v>9.3241891682261588</v>
      </c>
      <c r="Y149" s="100">
        <f ca="1">IF(ControlPanel!$T$5="nominal",'GrD-Grafikdaten'!Y64,'GrD-Grafikdaten'!Y82)</f>
        <v>8.8900413628901465</v>
      </c>
      <c r="Z149" s="100">
        <f ca="1">IF(ControlPanel!$T$5="nominal",'GrD-Grafikdaten'!Z64,'GrD-Grafikdaten'!Z82)</f>
        <v>8.3840557430647475</v>
      </c>
      <c r="AA149" s="100">
        <f ca="1">IF(ControlPanel!$T$5="nominal",'GrD-Grafikdaten'!AA64,'GrD-Grafikdaten'!AA82)</f>
        <v>7.7443233512101965</v>
      </c>
      <c r="AB149" s="100">
        <f ca="1">IF(ControlPanel!$T$5="nominal",'GrD-Grafikdaten'!AB64,'GrD-Grafikdaten'!AB82)</f>
        <v>7.1887349112794388</v>
      </c>
      <c r="AC149" s="100">
        <f ca="1">IF(ControlPanel!$T$5="nominal",'GrD-Grafikdaten'!AC64,'GrD-Grafikdaten'!AC82)</f>
        <v>6.9259949342309861</v>
      </c>
      <c r="AD149" s="100">
        <f ca="1">IF(ControlPanel!$T$5="nominal",'GrD-Grafikdaten'!AD64,'GrD-Grafikdaten'!AD82)</f>
        <v>6.8419839443798365</v>
      </c>
      <c r="AE149" s="591">
        <f ca="1">IF(ControlPanel!$T$5="nominal",'GrD-Grafikdaten'!AE64,'GrD-Grafikdaten'!AE82)</f>
        <v>6.8433696944558342</v>
      </c>
      <c r="AF149" s="939" t="s">
        <v>481</v>
      </c>
      <c r="AG149" s="939" t="s">
        <v>481</v>
      </c>
      <c r="AH149" s="567"/>
    </row>
    <row r="150" spans="1:35" s="301" customFormat="1">
      <c r="A150" s="561">
        <v>147</v>
      </c>
      <c r="C150" s="10"/>
      <c r="D150" s="29"/>
      <c r="E150" s="16" t="s">
        <v>480</v>
      </c>
      <c r="F150" s="101">
        <f>IF(ControlPanel!$T$5="nominal",'GrD-Grafikdaten'!F63,'GrD-Grafikdaten'!F81)</f>
        <v>5.3650479999999998</v>
      </c>
      <c r="G150" s="101">
        <f>IF(ControlPanel!$T$5="nominal",'GrD-Grafikdaten'!G63,'GrD-Grafikdaten'!G81)</f>
        <v>5.0739089999999996</v>
      </c>
      <c r="H150" s="101">
        <f>IF(ControlPanel!$T$5="nominal",'GrD-Grafikdaten'!H63,'GrD-Grafikdaten'!H81)</f>
        <v>5.5220000000000002</v>
      </c>
      <c r="I150" s="101">
        <f>IF(ControlPanel!$T$5="nominal",'GrD-Grafikdaten'!I63,'GrD-Grafikdaten'!I81)</f>
        <v>5.1150000000000002</v>
      </c>
      <c r="J150" s="101">
        <f>IF(ControlPanel!$T$5="nominal",'GrD-Grafikdaten'!J63,'GrD-Grafikdaten'!J81)</f>
        <v>4.1450000000000005</v>
      </c>
      <c r="K150" s="101">
        <f>IF(ControlPanel!$T$5="nominal",'GrD-Grafikdaten'!K63,'GrD-Grafikdaten'!K81)</f>
        <v>3.5670000000000002</v>
      </c>
      <c r="L150" s="101">
        <f>IF(ControlPanel!$T$5="nominal",'GrD-Grafikdaten'!L63,'GrD-Grafikdaten'!L81)</f>
        <v>3.1260000000000003</v>
      </c>
      <c r="M150" s="101">
        <f>IF(ControlPanel!$T$5="nominal",'GrD-Grafikdaten'!M63,'GrD-Grafikdaten'!M81)</f>
        <v>2.6749999999999998</v>
      </c>
      <c r="N150" s="101">
        <f>IF(ControlPanel!$T$5="nominal",'GrD-Grafikdaten'!N63,'GrD-Grafikdaten'!N81)</f>
        <v>3.222</v>
      </c>
      <c r="O150" s="101">
        <f>IF(ControlPanel!$T$5="nominal",'GrD-Grafikdaten'!O63,'GrD-Grafikdaten'!O81)</f>
        <v>4.6280000000000001</v>
      </c>
      <c r="P150" s="101">
        <f>IF(ControlPanel!$T$5="nominal",'GrD-Grafikdaten'!P63,'GrD-Grafikdaten'!P81)</f>
        <v>4.9340000000000002</v>
      </c>
      <c r="Q150" s="101">
        <f>IF(ControlPanel!$T$5="nominal",'GrD-Grafikdaten'!Q63,'GrD-Grafikdaten'!Q81)</f>
        <v>4.0739999999999998</v>
      </c>
      <c r="R150" s="101">
        <f>IF(ControlPanel!$T$5="nominal",'GrD-Grafikdaten'!R63,'GrD-Grafikdaten'!R81)</f>
        <v>7.8400000000000007</v>
      </c>
      <c r="S150" s="101">
        <f>IF(ControlPanel!$T$5="nominal",'GrD-Grafikdaten'!S63,'GrD-Grafikdaten'!S81)</f>
        <v>8.7519999999999989</v>
      </c>
      <c r="T150" s="101">
        <f>IF(ControlPanel!$T$5="nominal",'GrD-Grafikdaten'!T63,'GrD-Grafikdaten'!T81)</f>
        <v>7.2530000000000001</v>
      </c>
      <c r="U150" s="101">
        <f>IF(ControlPanel!$T$5="nominal",'GrD-Grafikdaten'!U63,'GrD-Grafikdaten'!U81)</f>
        <v>7.1599999999999993</v>
      </c>
      <c r="V150" s="101">
        <f>IF(ControlPanel!$T$5="nominal",'GrD-Grafikdaten'!V63,'GrD-Grafikdaten'!V81)</f>
        <v>7.0620000000000003</v>
      </c>
      <c r="W150" s="101">
        <f>IF(ControlPanel!$T$5="nominal",'GrD-Grafikdaten'!W63,'GrD-Grafikdaten'!W81)</f>
        <v>7.035000000000001</v>
      </c>
      <c r="X150" s="101">
        <f>IF(ControlPanel!$T$5="nominal",'GrD-Grafikdaten'!X63,'GrD-Grafikdaten'!X81)</f>
        <v>6.9610000000000003</v>
      </c>
      <c r="Y150" s="101">
        <f>IF(ControlPanel!$T$5="nominal",'GrD-Grafikdaten'!Y63,'GrD-Grafikdaten'!Y81)</f>
        <v>6.8930000000000007</v>
      </c>
      <c r="Z150" s="101">
        <f>IF(ControlPanel!$T$5="nominal",'GrD-Grafikdaten'!Z63,'GrD-Grafikdaten'!Z81)</f>
        <v>6.8579999999999997</v>
      </c>
      <c r="AA150" s="101">
        <f>IF(ControlPanel!$T$5="nominal",'GrD-Grafikdaten'!AA63,'GrD-Grafikdaten'!AA81)</f>
        <v>6.8170000000000002</v>
      </c>
      <c r="AB150" s="101">
        <f>IF(ControlPanel!$T$5="nominal",'GrD-Grafikdaten'!AB63,'GrD-Grafikdaten'!AB81)</f>
        <v>6.7377500000000001</v>
      </c>
      <c r="AC150" s="101">
        <f>IF(ControlPanel!$T$5="nominal",'GrD-Grafikdaten'!AC63,'GrD-Grafikdaten'!AC81)</f>
        <v>6.658500000000001</v>
      </c>
      <c r="AD150" s="101">
        <f>IF(ControlPanel!$T$5="nominal",'GrD-Grafikdaten'!AD63,'GrD-Grafikdaten'!AD81)</f>
        <v>6.57925</v>
      </c>
      <c r="AE150" s="592">
        <f>IF(ControlPanel!$T$5="nominal",'GrD-Grafikdaten'!AE63,'GrD-Grafikdaten'!AE81)</f>
        <v>6.5</v>
      </c>
      <c r="AF150" s="939" t="s">
        <v>481</v>
      </c>
      <c r="AG150" s="939" t="s">
        <v>481</v>
      </c>
      <c r="AH150" s="567"/>
    </row>
    <row r="151" spans="1:35" s="301" customFormat="1">
      <c r="A151" s="561">
        <v>148</v>
      </c>
      <c r="C151" s="10"/>
      <c r="D151" s="29"/>
      <c r="E151" s="303" t="s">
        <v>166</v>
      </c>
      <c r="F151" s="102">
        <f>IF(IF(ControlPanel!$T$5="nominal",'GrD-Grafikdaten'!F52,'GrD-Grafikdaten'!F70)&lt;0,0,IF(ControlPanel!$T$5="nominal",'GrD-Grafikdaten'!F52,'GrD-Grafikdaten'!F70))</f>
        <v>2.0469999999999997</v>
      </c>
      <c r="G151" s="102">
        <f>IF(IF(ControlPanel!$T$5="nominal",'GrD-Grafikdaten'!G52,'GrD-Grafikdaten'!G70)&lt;0,0,IF(ControlPanel!$T$5="nominal",'GrD-Grafikdaten'!G52,'GrD-Grafikdaten'!G70))</f>
        <v>3.5300000000000007</v>
      </c>
      <c r="H151" s="102">
        <f>IF(IF(ControlPanel!$T$5="nominal",'GrD-Grafikdaten'!H52,'GrD-Grafikdaten'!H70)&lt;0,0,IF(ControlPanel!$T$5="nominal",'GrD-Grafikdaten'!H52,'GrD-Grafikdaten'!H70))</f>
        <v>3.5920000000000005</v>
      </c>
      <c r="I151" s="102">
        <f>IF(IF(ControlPanel!$T$5="nominal",'GrD-Grafikdaten'!I52,'GrD-Grafikdaten'!I70)&lt;0,0,IF(ControlPanel!$T$5="nominal",'GrD-Grafikdaten'!I52,'GrD-Grafikdaten'!I70))</f>
        <v>5.2769999999999992</v>
      </c>
      <c r="J151" s="102">
        <f>IF(IF(ControlPanel!$T$5="nominal",'GrD-Grafikdaten'!J52,'GrD-Grafikdaten'!J70)&lt;0,0,IF(ControlPanel!$T$5="nominal",'GrD-Grafikdaten'!J52,'GrD-Grafikdaten'!J70))</f>
        <v>6.2399999999999993</v>
      </c>
      <c r="K151" s="102">
        <f>IF(IF(ControlPanel!$T$5="nominal",'GrD-Grafikdaten'!K52,'GrD-Grafikdaten'!K70)&lt;0,0,IF(ControlPanel!$T$5="nominal",'GrD-Grafikdaten'!K52,'GrD-Grafikdaten'!K70))</f>
        <v>6.1695706877643843</v>
      </c>
      <c r="L151" s="102">
        <f>IF(IF(ControlPanel!$T$5="nominal",'GrD-Grafikdaten'!L52,'GrD-Grafikdaten'!L70)&lt;0,0,IF(ControlPanel!$T$5="nominal",'GrD-Grafikdaten'!L52,'GrD-Grafikdaten'!L70))</f>
        <v>6.3382686397238945</v>
      </c>
      <c r="M151" s="102">
        <f>IF(IF(ControlPanel!$T$5="nominal",'GrD-Grafikdaten'!M52,'GrD-Grafikdaten'!M70)&lt;0,0,IF(ControlPanel!$T$5="nominal",'GrD-Grafikdaten'!M52,'GrD-Grafikdaten'!M70))</f>
        <v>6.8602264368703567</v>
      </c>
      <c r="N151" s="102">
        <f>IF(IF(ControlPanel!$T$5="nominal",'GrD-Grafikdaten'!N52,'GrD-Grafikdaten'!N70)&lt;0,0,IF(ControlPanel!$T$5="nominal",'GrD-Grafikdaten'!N52,'GrD-Grafikdaten'!N70))</f>
        <v>6.7788048363237206</v>
      </c>
      <c r="O151" s="102">
        <f>IF(IF(ControlPanel!$T$5="nominal",'GrD-Grafikdaten'!O52,'GrD-Grafikdaten'!O70)&lt;0,0,IF(ControlPanel!$T$5="nominal",'GrD-Grafikdaten'!O52,'GrD-Grafikdaten'!O70))</f>
        <v>6.406581826229905</v>
      </c>
      <c r="P151" s="102">
        <f>IF(IF(ControlPanel!$T$5="nominal",'GrD-Grafikdaten'!P52,'GrD-Grafikdaten'!P70)&lt;0,0,IF(ControlPanel!$T$5="nominal",'GrD-Grafikdaten'!P52,'GrD-Grafikdaten'!P70))</f>
        <v>6.7581163138201807</v>
      </c>
      <c r="Q151" s="102">
        <f>IF(IF(ControlPanel!$T$5="nominal",'GrD-Grafikdaten'!Q52,'GrD-Grafikdaten'!Q70)&lt;0,0,IF(ControlPanel!$T$5="nominal",'GrD-Grafikdaten'!Q52,'GrD-Grafikdaten'!Q70))</f>
        <v>6.5036153637169205</v>
      </c>
      <c r="R151" s="102">
        <f>IF(IF(ControlPanel!$T$5="nominal",'GrD-Grafikdaten'!R52,'GrD-Grafikdaten'!R70)&lt;0,0,IF(ControlPanel!$T$5="nominal",'GrD-Grafikdaten'!R52,'GrD-Grafikdaten'!R70))</f>
        <v>3.7230827721473405</v>
      </c>
      <c r="S151" s="102">
        <f ca="1">IF(IF(ControlPanel!$T$5="nominal",'GrD-Grafikdaten'!S52,'GrD-Grafikdaten'!S70)&lt;0,0,IF(ControlPanel!$T$5="nominal",'GrD-Grafikdaten'!S52,'GrD-Grafikdaten'!S70))</f>
        <v>2.2272344363967198</v>
      </c>
      <c r="T151" s="102">
        <f ca="1">IF(IF(ControlPanel!$T$5="nominal",'GrD-Grafikdaten'!T52,'GrD-Grafikdaten'!T70)&lt;0,0,IF(ControlPanel!$T$5="nominal",'GrD-Grafikdaten'!T52,'GrD-Grafikdaten'!T70))</f>
        <v>3.997717348887194</v>
      </c>
      <c r="U151" s="102">
        <f ca="1">IF(IF(ControlPanel!$T$5="nominal",'GrD-Grafikdaten'!U52,'GrD-Grafikdaten'!U70)&lt;0,0,IF(ControlPanel!$T$5="nominal",'GrD-Grafikdaten'!U52,'GrD-Grafikdaten'!U70))</f>
        <v>3.5327567363462515</v>
      </c>
      <c r="V151" s="102">
        <f ca="1">IF(IF(ControlPanel!$T$5="nominal",'GrD-Grafikdaten'!V52,'GrD-Grafikdaten'!V70)&lt;0,0,IF(ControlPanel!$T$5="nominal",'GrD-Grafikdaten'!V52,'GrD-Grafikdaten'!V70))</f>
        <v>3.3456608408726511</v>
      </c>
      <c r="W151" s="102">
        <f ca="1">IF(IF(ControlPanel!$T$5="nominal",'GrD-Grafikdaten'!W52,'GrD-Grafikdaten'!W70)&lt;0,0,IF(ControlPanel!$T$5="nominal",'GrD-Grafikdaten'!W52,'GrD-Grafikdaten'!W70))</f>
        <v>2.7477292039835279</v>
      </c>
      <c r="X151" s="102">
        <f ca="1">IF(IF(ControlPanel!$T$5="nominal",'GrD-Grafikdaten'!X52,'GrD-Grafikdaten'!X70)&lt;0,0,IF(ControlPanel!$T$5="nominal",'GrD-Grafikdaten'!X52,'GrD-Grafikdaten'!X70))</f>
        <v>2.3631891682261594</v>
      </c>
      <c r="Y151" s="102">
        <f ca="1">IF(IF(ControlPanel!$T$5="nominal",'GrD-Grafikdaten'!Y52,'GrD-Grafikdaten'!Y70)&lt;0,0,IF(ControlPanel!$T$5="nominal",'GrD-Grafikdaten'!Y52,'GrD-Grafikdaten'!Y70))</f>
        <v>1.9970413628901464</v>
      </c>
      <c r="Z151" s="102">
        <f ca="1">IF(IF(ControlPanel!$T$5="nominal",'GrD-Grafikdaten'!Z52,'GrD-Grafikdaten'!Z70)&lt;0,0,IF(ControlPanel!$T$5="nominal",'GrD-Grafikdaten'!Z52,'GrD-Grafikdaten'!Z70))</f>
        <v>1.5260557430647477</v>
      </c>
      <c r="AA151" s="102">
        <f ca="1">IF(IF(ControlPanel!$T$5="nominal",'GrD-Grafikdaten'!AA52,'GrD-Grafikdaten'!AA70)&lt;0,0,IF(ControlPanel!$T$5="nominal",'GrD-Grafikdaten'!AA52,'GrD-Grafikdaten'!AA70))</f>
        <v>0.92732335121019616</v>
      </c>
      <c r="AB151" s="102">
        <f ca="1">IF(IF(ControlPanel!$T$5="nominal",'GrD-Grafikdaten'!AB52,'GrD-Grafikdaten'!AB70)&lt;0,0,IF(ControlPanel!$T$5="nominal",'GrD-Grafikdaten'!AB52,'GrD-Grafikdaten'!AB70))</f>
        <v>0.45098491127943902</v>
      </c>
      <c r="AC151" s="102">
        <f ca="1">IF(IF(ControlPanel!$T$5="nominal",'GrD-Grafikdaten'!AC52,'GrD-Grafikdaten'!AC70)&lt;0,0,IF(ControlPanel!$T$5="nominal",'GrD-Grafikdaten'!AC52,'GrD-Grafikdaten'!AC70))</f>
        <v>0.26749493423098486</v>
      </c>
      <c r="AD151" s="102">
        <f ca="1">IF(IF(ControlPanel!$T$5="nominal",'GrD-Grafikdaten'!AD52,'GrD-Grafikdaten'!AD70)&lt;0,0,IF(ControlPanel!$T$5="nominal",'GrD-Grafikdaten'!AD52,'GrD-Grafikdaten'!AD70))</f>
        <v>0.26273394437983666</v>
      </c>
      <c r="AE151" s="593">
        <f ca="1">IF(IF(ControlPanel!$T$5="nominal",'GrD-Grafikdaten'!AE52,'GrD-Grafikdaten'!AE70)&lt;0,0,IF(ControlPanel!$T$5="nominal",'GrD-Grafikdaten'!AE52,'GrD-Grafikdaten'!AE70))</f>
        <v>0.34336969445583421</v>
      </c>
      <c r="AF151" s="102">
        <f>IF(IF(ControlPanel!$T$5="nominal",'GrD-Grafikdaten'!AF52,'GrD-Grafikdaten'!AF70)&lt;0,0,IF(ControlPanel!$T$5="nominal",'GrD-Grafikdaten'!AF52,'GrD-Grafikdaten'!AF70))</f>
        <v>0</v>
      </c>
      <c r="AG151" s="102">
        <f>IF(IF(ControlPanel!$T$5="nominal",'GrD-Grafikdaten'!AG52,'GrD-Grafikdaten'!AG70)&lt;0,0,IF(ControlPanel!$T$5="nominal",'GrD-Grafikdaten'!AG52,'GrD-Grafikdaten'!AG70))</f>
        <v>0</v>
      </c>
      <c r="AH151" s="567"/>
    </row>
    <row r="152" spans="1:35" s="301" customFormat="1">
      <c r="A152" s="561">
        <v>149</v>
      </c>
      <c r="C152" s="10"/>
      <c r="D152" s="29"/>
      <c r="E152" s="36"/>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939"/>
      <c r="AG152" s="939"/>
    </row>
    <row r="153" spans="1:35" s="301" customFormat="1">
      <c r="A153" s="561">
        <v>150</v>
      </c>
      <c r="C153" s="10"/>
      <c r="D153" s="29"/>
      <c r="E153" s="36"/>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331"/>
      <c r="AF153" s="939"/>
      <c r="AG153" s="939"/>
    </row>
    <row r="154" spans="1:35" s="301" customFormat="1">
      <c r="A154" s="561">
        <v>151</v>
      </c>
      <c r="C154" s="10"/>
      <c r="D154" s="29"/>
      <c r="E154" s="36"/>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939"/>
      <c r="AG154" s="939"/>
    </row>
    <row r="155" spans="1:35" s="301" customFormat="1">
      <c r="A155" s="561">
        <v>152</v>
      </c>
      <c r="C155" s="10"/>
      <c r="D155" s="29"/>
      <c r="E155" s="36"/>
      <c r="F155" s="331"/>
      <c r="G155" s="331"/>
      <c r="H155" s="331"/>
      <c r="I155" s="331"/>
      <c r="J155" s="331"/>
      <c r="K155" s="331"/>
      <c r="L155" s="331"/>
      <c r="M155" s="331"/>
      <c r="N155" s="331"/>
      <c r="O155" s="331"/>
      <c r="P155" s="331"/>
      <c r="Q155" s="331"/>
      <c r="R155" s="331"/>
      <c r="S155" s="331"/>
      <c r="T155" s="331"/>
      <c r="U155" s="331"/>
      <c r="V155" s="331"/>
      <c r="W155" s="331"/>
      <c r="X155" s="331"/>
      <c r="Y155" s="331"/>
      <c r="Z155" s="331"/>
      <c r="AA155" s="331"/>
      <c r="AB155" s="331"/>
      <c r="AC155" s="331"/>
      <c r="AD155" s="331"/>
      <c r="AE155" s="331"/>
      <c r="AF155" s="939"/>
      <c r="AG155" s="939"/>
    </row>
    <row r="156" spans="1:35" s="301" customFormat="1">
      <c r="A156" s="561">
        <v>153</v>
      </c>
      <c r="C156" s="10"/>
      <c r="D156" s="29"/>
      <c r="E156" s="199" t="s">
        <v>487</v>
      </c>
      <c r="F156" s="331"/>
      <c r="G156" s="331"/>
      <c r="H156" s="331"/>
      <c r="I156" s="331"/>
      <c r="J156" s="331"/>
      <c r="K156" s="331"/>
      <c r="L156" s="331"/>
      <c r="M156" s="331"/>
      <c r="N156" s="331"/>
      <c r="O156" s="331"/>
      <c r="P156" s="331"/>
      <c r="Q156" s="331"/>
      <c r="R156" s="331"/>
      <c r="S156" s="331"/>
      <c r="T156" s="331"/>
      <c r="U156" s="331"/>
      <c r="V156" s="331"/>
      <c r="W156" s="331"/>
      <c r="X156" s="331"/>
      <c r="Y156" s="331"/>
      <c r="Z156" s="331"/>
      <c r="AA156" s="331"/>
      <c r="AB156" s="331"/>
      <c r="AC156" s="331"/>
      <c r="AD156" s="331"/>
      <c r="AE156" s="331"/>
      <c r="AF156" s="939"/>
      <c r="AG156" s="939"/>
    </row>
    <row r="157" spans="1:35" s="301" customFormat="1">
      <c r="A157" s="561">
        <v>154</v>
      </c>
      <c r="C157" s="10"/>
      <c r="D157" s="29"/>
      <c r="E157" s="321" t="s">
        <v>502</v>
      </c>
      <c r="F157" s="100">
        <f>'MOD-Berechnungen'!F185</f>
        <v>400.59500000000003</v>
      </c>
      <c r="G157" s="100">
        <f>'MOD-Berechnungen'!G185</f>
        <v>383.14973227999997</v>
      </c>
      <c r="H157" s="100">
        <f>'MOD-Berechnungen'!H185</f>
        <v>386.50834199999997</v>
      </c>
      <c r="I157" s="100">
        <f>'MOD-Berechnungen'!I185</f>
        <v>383.25856100000004</v>
      </c>
      <c r="J157" s="100">
        <f>'MOD-Berechnungen'!J185</f>
        <v>370.260447</v>
      </c>
      <c r="K157" s="100">
        <f>'MOD-Berechnungen'!K185</f>
        <v>350.72573712000002</v>
      </c>
      <c r="L157" s="100">
        <f>'MOD-Berechnungen'!L185</f>
        <v>355.8609206000001</v>
      </c>
      <c r="M157" s="100">
        <f>'MOD-Berechnungen'!M185</f>
        <v>342.7521021199999</v>
      </c>
      <c r="N157" s="100">
        <f>'MOD-Berechnungen'!N185</f>
        <v>343.49791497249993</v>
      </c>
      <c r="O157" s="100">
        <f>'MOD-Berechnungen'!O185</f>
        <v>344.26749819460247</v>
      </c>
      <c r="P157" s="100">
        <f>'MOD-Berechnungen'!P185</f>
        <v>344.07288462324232</v>
      </c>
      <c r="Q157" s="100">
        <f>'MOD-Berechnungen'!Q185</f>
        <v>331.62972795561251</v>
      </c>
      <c r="R157" s="100">
        <f>'MOD-Berechnungen'!R185</f>
        <v>333.98179361441754</v>
      </c>
      <c r="S157" s="100">
        <f>'MOD-Berechnungen'!S185</f>
        <v>334.82423049120968</v>
      </c>
      <c r="T157" s="100">
        <f>'MOD-Berechnungen'!T185</f>
        <v>330.33941553382203</v>
      </c>
      <c r="U157" s="100">
        <f>'MOD-Berechnungen'!U185</f>
        <v>326.47257729939474</v>
      </c>
      <c r="V157" s="100">
        <f>'MOD-Berechnungen'!V185</f>
        <v>323.81742528908472</v>
      </c>
      <c r="W157" s="100">
        <f>'MOD-Berechnungen'!W185</f>
        <v>345.3913933110569</v>
      </c>
      <c r="X157" s="100">
        <f>'MOD-Berechnungen'!X185</f>
        <v>367.19992462821301</v>
      </c>
      <c r="Y157" s="100">
        <f>'MOD-Berechnungen'!Y185</f>
        <v>389.14440328027115</v>
      </c>
      <c r="Z157" s="100">
        <f>'MOD-Berechnungen'!Z185</f>
        <v>411.24882806471254</v>
      </c>
      <c r="AA157" s="100">
        <f>'MOD-Berechnungen'!AA185</f>
        <v>433.35770218593228</v>
      </c>
      <c r="AB157" s="100">
        <f>'MOD-Berechnungen'!AB185</f>
        <v>455.47168616129227</v>
      </c>
      <c r="AC157" s="100">
        <f>'MOD-Berechnungen'!AC185</f>
        <v>477.34754447228744</v>
      </c>
      <c r="AD157" s="100">
        <f>'MOD-Berechnungen'!AD185</f>
        <v>499.14528744982846</v>
      </c>
      <c r="AE157" s="591">
        <f>'MOD-Berechnungen'!AE185</f>
        <v>520.83795517456952</v>
      </c>
      <c r="AF157" s="939"/>
      <c r="AG157" s="939"/>
    </row>
    <row r="158" spans="1:35" s="301" customFormat="1">
      <c r="A158" s="561">
        <v>155</v>
      </c>
      <c r="C158" s="10"/>
      <c r="D158" s="29"/>
      <c r="E158" s="16" t="s">
        <v>142</v>
      </c>
      <c r="F158" s="101">
        <f>'MOD-Berechnungen'!F12</f>
        <v>67.885999999999996</v>
      </c>
      <c r="G158" s="101">
        <f>'MOD-Berechnungen'!G12</f>
        <v>74.729966079999997</v>
      </c>
      <c r="H158" s="101">
        <f>'MOD-Berechnungen'!H12</f>
        <v>84.727446</v>
      </c>
      <c r="I158" s="101">
        <f>'MOD-Berechnungen'!I12</f>
        <v>96.225492000000003</v>
      </c>
      <c r="J158" s="101">
        <f>'MOD-Berechnungen'!J12</f>
        <v>106.52299099999999</v>
      </c>
      <c r="K158" s="101">
        <f>'MOD-Berechnungen'!K12</f>
        <v>110.247</v>
      </c>
      <c r="L158" s="101">
        <f>'MOD-Berechnungen'!L12</f>
        <v>103.9</v>
      </c>
      <c r="M158" s="101">
        <f>'MOD-Berechnungen'!M12</f>
        <v>114.145597</v>
      </c>
      <c r="N158" s="101">
        <f>'MOD-Berechnungen'!N12</f>
        <v>114.690017</v>
      </c>
      <c r="O158" s="101">
        <f>'MOD-Berechnungen'!O12</f>
        <v>113.926688</v>
      </c>
      <c r="P158" s="101">
        <f>'MOD-Berechnungen'!P12</f>
        <v>116.17166499999999</v>
      </c>
      <c r="Q158" s="101">
        <f>'MOD-Berechnungen'!Q12</f>
        <v>112.73</v>
      </c>
      <c r="R158" s="101">
        <f>'MOD-Berechnungen'!R12</f>
        <v>118.62</v>
      </c>
      <c r="S158" s="101">
        <f>'MOD-Berechnungen'!S12</f>
        <v>116.59</v>
      </c>
      <c r="T158" s="101">
        <f>'MOD-Berechnungen'!T12</f>
        <v>119.55</v>
      </c>
      <c r="U158" s="101">
        <f>'MOD-Berechnungen'!U12</f>
        <v>119.81</v>
      </c>
      <c r="V158" s="101">
        <f>'MOD-Berechnungen'!V12</f>
        <v>121.07</v>
      </c>
      <c r="W158" s="101">
        <f>'MOD-Berechnungen'!W12</f>
        <v>121.07</v>
      </c>
      <c r="X158" s="101">
        <f>'MOD-Berechnungen'!X12</f>
        <v>121.07</v>
      </c>
      <c r="Y158" s="101">
        <f>'MOD-Berechnungen'!Y12</f>
        <v>121.07</v>
      </c>
      <c r="Z158" s="101">
        <f>'MOD-Berechnungen'!Z12</f>
        <v>121.07</v>
      </c>
      <c r="AA158" s="101">
        <f>'MOD-Berechnungen'!AA12</f>
        <v>121.07</v>
      </c>
      <c r="AB158" s="101">
        <f>'MOD-Berechnungen'!AB12</f>
        <v>121.07</v>
      </c>
      <c r="AC158" s="101">
        <f>'MOD-Berechnungen'!AC12</f>
        <v>121.07</v>
      </c>
      <c r="AD158" s="101">
        <f>'MOD-Berechnungen'!AD12</f>
        <v>121.07</v>
      </c>
      <c r="AE158" s="592">
        <f>'MOD-Berechnungen'!AE12</f>
        <v>121.07</v>
      </c>
      <c r="AF158" s="939"/>
      <c r="AG158" s="939"/>
    </row>
    <row r="159" spans="1:35" s="301" customFormat="1">
      <c r="A159" s="561">
        <v>156</v>
      </c>
      <c r="C159" s="10"/>
      <c r="D159" s="29"/>
      <c r="E159" s="16" t="s">
        <v>535</v>
      </c>
      <c r="F159" s="101">
        <f>'MOD-Berechnungen'!F13</f>
        <v>66.919000000000011</v>
      </c>
      <c r="G159" s="101">
        <f>'MOD-Berechnungen'!G13</f>
        <v>54.256241999999979</v>
      </c>
      <c r="H159" s="101">
        <f>'MOD-Berechnungen'!H13</f>
        <v>62.173272999999973</v>
      </c>
      <c r="I159" s="101">
        <f>'MOD-Berechnungen'!I13</f>
        <v>52.680143000000065</v>
      </c>
      <c r="J159" s="101">
        <f>'MOD-Berechnungen'!J13</f>
        <v>44.33</v>
      </c>
      <c r="K159" s="101">
        <f>'MOD-Berechnungen'!K13</f>
        <v>57.291305999999999</v>
      </c>
      <c r="L159" s="101">
        <f>'MOD-Berechnungen'!L13</f>
        <v>48.547290999999994</v>
      </c>
      <c r="M159" s="101">
        <f>'MOD-Berechnungen'!M13</f>
        <v>60.951926519999994</v>
      </c>
      <c r="N159" s="101">
        <f>'MOD-Berechnungen'!N13</f>
        <v>61.173551851607797</v>
      </c>
      <c r="O159" s="101">
        <f>'MOD-Berechnungen'!O13</f>
        <v>69.750429999999994</v>
      </c>
      <c r="P159" s="101">
        <f>'MOD-Berechnungen'!P13</f>
        <v>68.086641999999998</v>
      </c>
      <c r="Q159" s="101">
        <f>'MOD-Berechnungen'!Q13</f>
        <v>60.732941999999994</v>
      </c>
      <c r="R159" s="101">
        <f>'MOD-Berechnungen'!R13</f>
        <v>47.785909999999994</v>
      </c>
      <c r="S159" s="101">
        <f>'MOD-Berechnungen'!S13</f>
        <v>47.785909999999994</v>
      </c>
      <c r="T159" s="101">
        <f>'MOD-Berechnungen'!T13</f>
        <v>47.785909999999994</v>
      </c>
      <c r="U159" s="101">
        <f>'MOD-Berechnungen'!U13</f>
        <v>47.785909999999994</v>
      </c>
      <c r="V159" s="101">
        <f>'MOD-Berechnungen'!V13</f>
        <v>47.785909999999994</v>
      </c>
      <c r="W159" s="101">
        <f>'MOD-Berechnungen'!W13</f>
        <v>47.785909999999994</v>
      </c>
      <c r="X159" s="101">
        <f>'MOD-Berechnungen'!X13</f>
        <v>47.785909999999994</v>
      </c>
      <c r="Y159" s="101">
        <f>'MOD-Berechnungen'!Y13</f>
        <v>47.785909999999994</v>
      </c>
      <c r="Z159" s="101">
        <f>'MOD-Berechnungen'!Z13</f>
        <v>47.785909999999994</v>
      </c>
      <c r="AA159" s="101">
        <f>'MOD-Berechnungen'!AA13</f>
        <v>47.785909999999994</v>
      </c>
      <c r="AB159" s="101">
        <f>'MOD-Berechnungen'!AB13</f>
        <v>47.785909999999994</v>
      </c>
      <c r="AC159" s="101">
        <f>'MOD-Berechnungen'!AC13</f>
        <v>47.785909999999994</v>
      </c>
      <c r="AD159" s="101">
        <f>'MOD-Berechnungen'!AD13</f>
        <v>47.785909999999994</v>
      </c>
      <c r="AE159" s="592">
        <f>'MOD-Berechnungen'!AE13</f>
        <v>47.785909999999994</v>
      </c>
      <c r="AF159" s="939"/>
      <c r="AG159" s="939"/>
    </row>
    <row r="160" spans="1:35" s="301" customFormat="1">
      <c r="A160" s="561">
        <v>157</v>
      </c>
      <c r="C160" s="10"/>
      <c r="D160" s="29"/>
      <c r="E160" s="16" t="s">
        <v>534</v>
      </c>
      <c r="F160" s="101">
        <f>'MOD-Berechnungen'!F14+'MOD-Berechnungen'!F265</f>
        <v>0</v>
      </c>
      <c r="G160" s="101">
        <f>'MOD-Berechnungen'!G14+'MOD-Berechnungen'!G265</f>
        <v>0</v>
      </c>
      <c r="H160" s="101">
        <f>'MOD-Berechnungen'!H14+'MOD-Berechnungen'!H265</f>
        <v>0</v>
      </c>
      <c r="I160" s="101">
        <f>'MOD-Berechnungen'!I14+'MOD-Berechnungen'!I265</f>
        <v>0</v>
      </c>
      <c r="J160" s="101">
        <f>'MOD-Berechnungen'!J14+'MOD-Berechnungen'!J265</f>
        <v>0</v>
      </c>
      <c r="K160" s="101">
        <f>'MOD-Berechnungen'!K14+'MOD-Berechnungen'!K265</f>
        <v>0.32726288000000003</v>
      </c>
      <c r="L160" s="101">
        <f>'MOD-Berechnungen'!L14+'MOD-Berechnungen'!L265</f>
        <v>1.0390793999999999</v>
      </c>
      <c r="M160" s="101">
        <f>'MOD-Berechnungen'!M14+'MOD-Berechnungen'!M265</f>
        <v>1.21881288</v>
      </c>
      <c r="N160" s="101">
        <f>'MOD-Berechnungen'!N14+'MOD-Berechnungen'!N265</f>
        <v>1.9339500274999999</v>
      </c>
      <c r="O160" s="101">
        <f>'MOD-Berechnungen'!O14+'MOD-Berechnungen'!O265</f>
        <v>3.7481448053975073</v>
      </c>
      <c r="P160" s="101">
        <f>'MOD-Berechnungen'!P14+'MOD-Berechnungen'!P265</f>
        <v>4.0547823767576929</v>
      </c>
      <c r="Q160" s="101">
        <f>'MOD-Berechnungen'!Q14+'MOD-Berechnungen'!Q265</f>
        <v>6.405829044387545</v>
      </c>
      <c r="R160" s="101">
        <f>'MOD-Berechnungen'!R14+'MOD-Berechnungen'!R265</f>
        <v>8.210714385582488</v>
      </c>
      <c r="S160" s="101">
        <f>'MOD-Berechnungen'!S14+'MOD-Berechnungen'!S265</f>
        <v>9.1906144169262518</v>
      </c>
      <c r="T160" s="101">
        <f>'MOD-Berechnungen'!T14+'MOD-Berechnungen'!T265</f>
        <v>10.252308260351144</v>
      </c>
      <c r="U160" s="101">
        <f>'MOD-Berechnungen'!U14+'MOD-Berechnungen'!U265</f>
        <v>11.311492495705815</v>
      </c>
      <c r="V160" s="101">
        <f>'MOD-Berechnungen'!V14+'MOD-Berechnungen'!V265</f>
        <v>12.353045850686588</v>
      </c>
      <c r="W160" s="101">
        <f>'MOD-Berechnungen'!W14+'MOD-Berechnungen'!W265</f>
        <v>12.799037625958174</v>
      </c>
      <c r="X160" s="101">
        <f>'MOD-Berechnungen'!X14+'MOD-Berechnungen'!X265</f>
        <v>13.047840380104345</v>
      </c>
      <c r="Y160" s="101">
        <f>'MOD-Berechnungen'!Y14+'MOD-Berechnungen'!Y265</f>
        <v>13.298083410615384</v>
      </c>
      <c r="Z160" s="101">
        <f>'MOD-Berechnungen'!Z14+'MOD-Berechnungen'!Z265</f>
        <v>13.549766717491293</v>
      </c>
      <c r="AA160" s="101">
        <f>'MOD-Berechnungen'!AA14+'MOD-Berechnungen'!AA265</f>
        <v>13.80289030073207</v>
      </c>
      <c r="AB160" s="101">
        <f>'MOD-Berechnungen'!AB14+'MOD-Berechnungen'!AB265</f>
        <v>14.05745416033772</v>
      </c>
      <c r="AC160" s="101">
        <f>'MOD-Berechnungen'!AC14+'MOD-Berechnungen'!AC265</f>
        <v>14.313458296308237</v>
      </c>
      <c r="AD160" s="101">
        <f>'MOD-Berechnungen'!AD14+'MOD-Berechnungen'!AD265</f>
        <v>14.570902708643622</v>
      </c>
      <c r="AE160" s="592">
        <f>'MOD-Berechnungen'!AE14+'MOD-Berechnungen'!AE265</f>
        <v>14.828234983902535</v>
      </c>
      <c r="AF160" s="939"/>
      <c r="AG160" s="939" t="s">
        <v>537</v>
      </c>
    </row>
    <row r="161" spans="1:34" s="301" customFormat="1">
      <c r="A161" s="561">
        <v>158</v>
      </c>
      <c r="C161" s="10"/>
      <c r="D161" s="29"/>
      <c r="E161" s="16" t="s">
        <v>533</v>
      </c>
      <c r="F161" s="101">
        <f>'MOD-Berechnungen'!F15</f>
        <v>0</v>
      </c>
      <c r="G161" s="101">
        <f>'MOD-Berechnungen'!G15</f>
        <v>0</v>
      </c>
      <c r="H161" s="101">
        <f>'MOD-Berechnungen'!H15</f>
        <v>0</v>
      </c>
      <c r="I161" s="101">
        <f>'MOD-Berechnungen'!I15</f>
        <v>0</v>
      </c>
      <c r="J161" s="101">
        <f>'MOD-Berechnungen'!J15</f>
        <v>0</v>
      </c>
      <c r="K161" s="101">
        <f>'MOD-Berechnungen'!K15</f>
        <v>0</v>
      </c>
      <c r="L161" s="101">
        <f>'MOD-Berechnungen'!L15</f>
        <v>0</v>
      </c>
      <c r="M161" s="101">
        <f>'MOD-Berechnungen'!M15</f>
        <v>1.1745889999999999</v>
      </c>
      <c r="N161" s="101">
        <f>'MOD-Berechnungen'!N15</f>
        <v>1.5439479999999999</v>
      </c>
      <c r="O161" s="101">
        <f>'MOD-Berechnungen'!O15</f>
        <v>2.5107649999999997</v>
      </c>
      <c r="P161" s="101">
        <f>'MOD-Berechnungen'!P15</f>
        <v>3.6564139999999998</v>
      </c>
      <c r="Q161" s="101">
        <f>'MOD-Berechnungen'!Q15</f>
        <v>3.8827539999999998</v>
      </c>
      <c r="R161" s="101">
        <f>'MOD-Berechnungen'!R15</f>
        <v>5.2223569999999997</v>
      </c>
      <c r="S161" s="101">
        <f>'MOD-Berechnungen'!S15</f>
        <v>5.2223569999999997</v>
      </c>
      <c r="T161" s="101">
        <f>'MOD-Berechnungen'!T15</f>
        <v>5.2223569999999997</v>
      </c>
      <c r="U161" s="101">
        <f>'MOD-Berechnungen'!U15</f>
        <v>5.2223569999999997</v>
      </c>
      <c r="V161" s="101">
        <f>'MOD-Berechnungen'!V15</f>
        <v>5.2223569999999997</v>
      </c>
      <c r="W161" s="101">
        <f>'MOD-Berechnungen'!W15</f>
        <v>5.2223569999999997</v>
      </c>
      <c r="X161" s="101">
        <f>'MOD-Berechnungen'!X15</f>
        <v>5.2223569999999997</v>
      </c>
      <c r="Y161" s="101">
        <f>'MOD-Berechnungen'!Y15</f>
        <v>5.2223569999999997</v>
      </c>
      <c r="Z161" s="101">
        <f>'MOD-Berechnungen'!Z15</f>
        <v>5.2223569999999997</v>
      </c>
      <c r="AA161" s="101">
        <f>'MOD-Berechnungen'!AA15</f>
        <v>5.2223569999999997</v>
      </c>
      <c r="AB161" s="101">
        <f>'MOD-Berechnungen'!AB15</f>
        <v>5.2223569999999997</v>
      </c>
      <c r="AC161" s="101">
        <f>'MOD-Berechnungen'!AC15</f>
        <v>5.2223569999999997</v>
      </c>
      <c r="AD161" s="101">
        <f>'MOD-Berechnungen'!AD15</f>
        <v>5.2223569999999997</v>
      </c>
      <c r="AE161" s="592">
        <f>'MOD-Berechnungen'!AE15</f>
        <v>5.2223569999999997</v>
      </c>
      <c r="AF161" s="939"/>
      <c r="AG161" s="939"/>
    </row>
    <row r="162" spans="1:34" s="301" customFormat="1">
      <c r="A162" s="561">
        <v>159</v>
      </c>
      <c r="C162" s="10"/>
      <c r="D162" s="29"/>
      <c r="E162" s="16" t="s">
        <v>503</v>
      </c>
      <c r="F162" s="101">
        <f>'MOD-Berechnungen'!F16</f>
        <v>0</v>
      </c>
      <c r="G162" s="101">
        <f>'MOD-Berechnungen'!G16</f>
        <v>24.664059639999998</v>
      </c>
      <c r="H162" s="101">
        <f>'MOD-Berechnungen'!H16</f>
        <v>6.3188509999999996</v>
      </c>
      <c r="I162" s="101">
        <f>'MOD-Berechnungen'!I16</f>
        <v>2.5983429999999998</v>
      </c>
      <c r="J162" s="101">
        <f>'MOD-Berechnungen'!J16</f>
        <v>5.9772400000000001</v>
      </c>
      <c r="K162" s="101">
        <f>'MOD-Berechnungen'!K16</f>
        <v>0</v>
      </c>
      <c r="L162" s="101">
        <f>'MOD-Berechnungen'!L16</f>
        <v>0</v>
      </c>
      <c r="M162" s="101">
        <f>'MOD-Berechnungen'!M16</f>
        <v>0</v>
      </c>
      <c r="N162" s="101">
        <f>'MOD-Berechnungen'!N16</f>
        <v>0</v>
      </c>
      <c r="O162" s="101">
        <f>'MOD-Berechnungen'!O16</f>
        <v>0</v>
      </c>
      <c r="P162" s="101">
        <f>'MOD-Berechnungen'!P16</f>
        <v>0</v>
      </c>
      <c r="Q162" s="101">
        <f>'MOD-Berechnungen'!Q16</f>
        <v>0</v>
      </c>
      <c r="R162" s="101">
        <f>'MOD-Berechnungen'!R16</f>
        <v>0</v>
      </c>
      <c r="S162" s="101">
        <f>'MOD-Berechnungen'!S16</f>
        <v>0</v>
      </c>
      <c r="T162" s="101">
        <f>'MOD-Berechnungen'!T16</f>
        <v>0</v>
      </c>
      <c r="U162" s="101">
        <f>'MOD-Berechnungen'!U16</f>
        <v>0</v>
      </c>
      <c r="V162" s="101">
        <f>'MOD-Berechnungen'!V16</f>
        <v>0</v>
      </c>
      <c r="W162" s="101">
        <f>'MOD-Berechnungen'!W16</f>
        <v>0</v>
      </c>
      <c r="X162" s="101">
        <f>'MOD-Berechnungen'!X16</f>
        <v>0</v>
      </c>
      <c r="Y162" s="101">
        <f>'MOD-Berechnungen'!Y16</f>
        <v>0</v>
      </c>
      <c r="Z162" s="101">
        <f>'MOD-Berechnungen'!Z16</f>
        <v>0</v>
      </c>
      <c r="AA162" s="101">
        <f>'MOD-Berechnungen'!AA16</f>
        <v>0</v>
      </c>
      <c r="AB162" s="101">
        <f>'MOD-Berechnungen'!AB16</f>
        <v>0</v>
      </c>
      <c r="AC162" s="101">
        <f>'MOD-Berechnungen'!AC16</f>
        <v>0</v>
      </c>
      <c r="AD162" s="101">
        <f>'MOD-Berechnungen'!AD16</f>
        <v>0</v>
      </c>
      <c r="AE162" s="592">
        <f>'MOD-Berechnungen'!AE16</f>
        <v>0</v>
      </c>
      <c r="AF162" s="939"/>
      <c r="AG162" s="939"/>
    </row>
    <row r="163" spans="1:34" s="301" customFormat="1">
      <c r="A163" s="561" t="s">
        <v>705</v>
      </c>
      <c r="C163" s="10"/>
      <c r="D163" s="29"/>
      <c r="E163" s="16" t="s">
        <v>496</v>
      </c>
      <c r="F163" s="615">
        <f>'D-Netzverl. u. KW-Eigenverbr.'!F6</f>
        <v>79.900000000000006</v>
      </c>
      <c r="G163" s="615">
        <f>'D-Netzverl. u. KW-Eigenverbr.'!G6</f>
        <v>70</v>
      </c>
      <c r="H163" s="615">
        <f>'D-Netzverl. u. KW-Eigenverbr.'!H6</f>
        <v>66.8</v>
      </c>
      <c r="I163" s="615">
        <f>'D-Netzverl. u. KW-Eigenverbr.'!I6</f>
        <v>66.8</v>
      </c>
      <c r="J163" s="615">
        <f>'D-Netzverl. u. KW-Eigenverbr.'!J6</f>
        <v>68.099999999999994</v>
      </c>
      <c r="K163" s="615">
        <f>'D-Netzverl. u. KW-Eigenverbr.'!K6</f>
        <v>79</v>
      </c>
      <c r="L163" s="615">
        <f>'D-Netzverl. u. KW-Eigenverbr.'!L6</f>
        <v>86.5</v>
      </c>
      <c r="M163" s="615">
        <f>'D-Netzverl. u. KW-Eigenverbr.'!M6</f>
        <v>77.2</v>
      </c>
      <c r="N163" s="615">
        <f>'D-Netzverl. u. KW-Eigenverbr.'!N6</f>
        <v>70.3</v>
      </c>
      <c r="O163" s="615">
        <f>'D-Netzverl. u. KW-Eigenverbr.'!O6</f>
        <v>62</v>
      </c>
      <c r="P163" s="615">
        <f>'D-Netzverl. u. KW-Eigenverbr.'!P6</f>
        <v>62</v>
      </c>
      <c r="Q163" s="615">
        <f>'D-Netzverl. u. KW-Eigenverbr.'!Q6</f>
        <v>62</v>
      </c>
      <c r="R163" s="615">
        <f>'D-Netzverl. u. KW-Eigenverbr.'!R6</f>
        <v>59.714285714285715</v>
      </c>
      <c r="S163" s="615">
        <f>'D-Netzverl. u. KW-Eigenverbr.'!S6</f>
        <v>57.428571428571431</v>
      </c>
      <c r="T163" s="615">
        <f>'D-Netzverl. u. KW-Eigenverbr.'!T6</f>
        <v>55.142857142857146</v>
      </c>
      <c r="U163" s="615">
        <f>'D-Netzverl. u. KW-Eigenverbr.'!U6</f>
        <v>52.857142857142861</v>
      </c>
      <c r="V163" s="615">
        <f>'D-Netzverl. u. KW-Eigenverbr.'!V6</f>
        <v>50.571428571428577</v>
      </c>
      <c r="W163" s="615">
        <f>'D-Netzverl. u. KW-Eigenverbr.'!W6</f>
        <v>48.285714285714292</v>
      </c>
      <c r="X163" s="615">
        <f>'D-Netzverl. u. KW-Eigenverbr.'!X6</f>
        <v>46.000000000000007</v>
      </c>
      <c r="Y163" s="615">
        <f>'D-Netzverl. u. KW-Eigenverbr.'!Y6</f>
        <v>43.714285714285722</v>
      </c>
      <c r="Z163" s="615">
        <f>'D-Netzverl. u. KW-Eigenverbr.'!Z6</f>
        <v>41.428571428571438</v>
      </c>
      <c r="AA163" s="615">
        <f>'D-Netzverl. u. KW-Eigenverbr.'!AA6</f>
        <v>39.142857142857153</v>
      </c>
      <c r="AB163" s="615">
        <f>'D-Netzverl. u. KW-Eigenverbr.'!AB6</f>
        <v>36.857142857142861</v>
      </c>
      <c r="AC163" s="615">
        <f>'D-Netzverl. u. KW-Eigenverbr.'!AC6</f>
        <v>34.571428571428577</v>
      </c>
      <c r="AD163" s="615">
        <f>'D-Netzverl. u. KW-Eigenverbr.'!AD6</f>
        <v>32.285714285714292</v>
      </c>
      <c r="AE163" s="616">
        <f>'D-Netzverl. u. KW-Eigenverbr.'!AE6</f>
        <v>30</v>
      </c>
      <c r="AF163" s="939"/>
      <c r="AG163" s="939"/>
    </row>
    <row r="164" spans="1:34" s="301" customFormat="1">
      <c r="A164" s="561">
        <v>160</v>
      </c>
      <c r="C164" s="10"/>
      <c r="D164" s="29"/>
      <c r="E164" s="85"/>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939"/>
      <c r="AG164" s="939"/>
    </row>
    <row r="165" spans="1:34" s="301" customFormat="1">
      <c r="A165" s="561">
        <v>161</v>
      </c>
      <c r="C165" s="10"/>
      <c r="D165" s="29"/>
      <c r="E165" s="321" t="s">
        <v>490</v>
      </c>
      <c r="F165" s="1223">
        <f>SUM(F157:F163)</f>
        <v>615.29999999999995</v>
      </c>
      <c r="G165" s="1223">
        <f t="shared" ref="G165:AE165" si="8">SUM(G157:G163)</f>
        <v>606.79999999999995</v>
      </c>
      <c r="H165" s="1223">
        <f t="shared" si="8"/>
        <v>606.5279119999999</v>
      </c>
      <c r="I165" s="1223">
        <f t="shared" si="8"/>
        <v>601.56253900000002</v>
      </c>
      <c r="J165" s="1223">
        <f t="shared" si="8"/>
        <v>595.19067800000005</v>
      </c>
      <c r="K165" s="1223">
        <f t="shared" si="8"/>
        <v>597.59130600000003</v>
      </c>
      <c r="L165" s="603">
        <f t="shared" si="8"/>
        <v>595.84729100000004</v>
      </c>
      <c r="M165" s="603">
        <f t="shared" si="8"/>
        <v>597.44302751999987</v>
      </c>
      <c r="N165" s="603">
        <f t="shared" si="8"/>
        <v>593.13938185160771</v>
      </c>
      <c r="O165" s="603">
        <f t="shared" si="8"/>
        <v>596.20352600000001</v>
      </c>
      <c r="P165" s="603">
        <f t="shared" si="8"/>
        <v>598.04238799999996</v>
      </c>
      <c r="Q165" s="603">
        <f t="shared" si="8"/>
        <v>577.38125300000002</v>
      </c>
      <c r="R165" s="603">
        <f t="shared" si="8"/>
        <v>573.53506071428569</v>
      </c>
      <c r="S165" s="603">
        <f t="shared" si="8"/>
        <v>571.04168333670737</v>
      </c>
      <c r="T165" s="603">
        <f t="shared" si="8"/>
        <v>568.29284793703027</v>
      </c>
      <c r="U165" s="603">
        <f t="shared" si="8"/>
        <v>563.45947965224343</v>
      </c>
      <c r="V165" s="603">
        <f t="shared" si="8"/>
        <v>560.82016671119993</v>
      </c>
      <c r="W165" s="603">
        <f t="shared" si="8"/>
        <v>580.5544122227293</v>
      </c>
      <c r="X165" s="603">
        <f t="shared" si="8"/>
        <v>600.32603200831738</v>
      </c>
      <c r="Y165" s="603">
        <f t="shared" si="8"/>
        <v>620.2350394051723</v>
      </c>
      <c r="Z165" s="603">
        <f t="shared" si="8"/>
        <v>640.30543321077516</v>
      </c>
      <c r="AA165" s="603">
        <f t="shared" si="8"/>
        <v>660.38171662952141</v>
      </c>
      <c r="AB165" s="603">
        <f t="shared" si="8"/>
        <v>680.46455017877281</v>
      </c>
      <c r="AC165" s="603">
        <f t="shared" si="8"/>
        <v>700.31069834002415</v>
      </c>
      <c r="AD165" s="603">
        <f t="shared" si="8"/>
        <v>720.08017144418636</v>
      </c>
      <c r="AE165" s="604">
        <f t="shared" si="8"/>
        <v>739.74445715847196</v>
      </c>
      <c r="AF165" s="939"/>
      <c r="AG165" s="939"/>
    </row>
    <row r="166" spans="1:34" s="301" customFormat="1">
      <c r="A166" s="561">
        <v>162</v>
      </c>
      <c r="C166" s="10"/>
      <c r="D166" s="29"/>
      <c r="E166" s="16" t="s">
        <v>601</v>
      </c>
      <c r="F166" s="607">
        <f>F158/F$165</f>
        <v>0.11032992036405005</v>
      </c>
      <c r="G166" s="607">
        <f t="shared" ref="G166:AE166" si="9">G158/G$165</f>
        <v>0.12315419591298617</v>
      </c>
      <c r="H166" s="607">
        <f t="shared" si="9"/>
        <v>0.13969257526931425</v>
      </c>
      <c r="I166" s="607">
        <f t="shared" si="9"/>
        <v>0.15995924905822634</v>
      </c>
      <c r="J166" s="607">
        <f t="shared" si="9"/>
        <v>0.17897288203159659</v>
      </c>
      <c r="K166" s="607">
        <f t="shared" si="9"/>
        <v>0.18448561565920774</v>
      </c>
      <c r="L166" s="607">
        <f t="shared" si="9"/>
        <v>0.17437353759824345</v>
      </c>
      <c r="M166" s="607">
        <f t="shared" si="9"/>
        <v>0.19105687361323986</v>
      </c>
      <c r="N166" s="607">
        <f t="shared" si="9"/>
        <v>0.19336098817443431</v>
      </c>
      <c r="O166" s="607">
        <f t="shared" si="9"/>
        <v>0.19108690745985288</v>
      </c>
      <c r="P166" s="607">
        <f t="shared" si="9"/>
        <v>0.1942532290871663</v>
      </c>
      <c r="Q166" s="607">
        <f t="shared" si="9"/>
        <v>0.19524360968470864</v>
      </c>
      <c r="R166" s="607">
        <f t="shared" si="9"/>
        <v>0.20682257829585796</v>
      </c>
      <c r="S166" s="607">
        <f t="shared" si="9"/>
        <v>0.20417073464539753</v>
      </c>
      <c r="T166" s="607">
        <f t="shared" si="9"/>
        <v>0.21036689170729586</v>
      </c>
      <c r="U166" s="607">
        <f t="shared" si="9"/>
        <v>0.21263285884185404</v>
      </c>
      <c r="V166" s="607">
        <f t="shared" si="9"/>
        <v>0.21588025393235588</v>
      </c>
      <c r="W166" s="607">
        <f t="shared" si="9"/>
        <v>0.20854203749217493</v>
      </c>
      <c r="X166" s="607">
        <f t="shared" si="9"/>
        <v>0.20167374650566977</v>
      </c>
      <c r="Y166" s="607">
        <f t="shared" si="9"/>
        <v>0.19520019397180538</v>
      </c>
      <c r="Z166" s="607">
        <f t="shared" si="9"/>
        <v>0.1890816377941717</v>
      </c>
      <c r="AA166" s="607">
        <f t="shared" si="9"/>
        <v>0.18333336152599919</v>
      </c>
      <c r="AB166" s="607">
        <f t="shared" si="9"/>
        <v>0.17792256770494844</v>
      </c>
      <c r="AC166" s="607">
        <f t="shared" si="9"/>
        <v>0.1728804090626879</v>
      </c>
      <c r="AD166" s="607">
        <f t="shared" si="9"/>
        <v>0.16813405618041541</v>
      </c>
      <c r="AE166" s="608">
        <f t="shared" si="9"/>
        <v>0.16366462611299262</v>
      </c>
      <c r="AF166" s="939"/>
      <c r="AG166" s="939"/>
    </row>
    <row r="167" spans="1:34" s="301" customFormat="1">
      <c r="A167" s="561">
        <v>163</v>
      </c>
      <c r="C167" s="10"/>
      <c r="D167" s="29"/>
      <c r="E167" s="303" t="s">
        <v>600</v>
      </c>
      <c r="F167" s="609">
        <f>F157/F165</f>
        <v>0.65105639525434755</v>
      </c>
      <c r="G167" s="609">
        <f t="shared" ref="G167:AE167" si="10">G157/G165</f>
        <v>0.63142671766644698</v>
      </c>
      <c r="H167" s="609">
        <f t="shared" si="10"/>
        <v>0.6372474116244794</v>
      </c>
      <c r="I167" s="609">
        <f t="shared" si="10"/>
        <v>0.63710509905936819</v>
      </c>
      <c r="J167" s="609">
        <f t="shared" si="10"/>
        <v>0.62208710701614844</v>
      </c>
      <c r="K167" s="609">
        <f t="shared" si="10"/>
        <v>0.58689899534783396</v>
      </c>
      <c r="L167" s="609">
        <f t="shared" si="10"/>
        <v>0.59723510700663751</v>
      </c>
      <c r="M167" s="609">
        <f t="shared" si="10"/>
        <v>0.57369838851877142</v>
      </c>
      <c r="N167" s="609">
        <f t="shared" si="10"/>
        <v>0.57911837501027141</v>
      </c>
      <c r="O167" s="609">
        <f t="shared" si="10"/>
        <v>0.57743284496207836</v>
      </c>
      <c r="P167" s="609">
        <f t="shared" si="10"/>
        <v>0.57533193554039908</v>
      </c>
      <c r="Q167" s="609">
        <f t="shared" si="10"/>
        <v>0.57436871431572523</v>
      </c>
      <c r="R167" s="609">
        <f t="shared" si="10"/>
        <v>0.58232149434504255</v>
      </c>
      <c r="S167" s="609">
        <f t="shared" si="10"/>
        <v>0.58633938688112353</v>
      </c>
      <c r="T167" s="609">
        <f t="shared" si="10"/>
        <v>0.58128378129866121</v>
      </c>
      <c r="U167" s="609">
        <f t="shared" si="10"/>
        <v>0.57940737371370066</v>
      </c>
      <c r="V167" s="609">
        <f t="shared" si="10"/>
        <v>0.5773997522022738</v>
      </c>
      <c r="W167" s="609">
        <f t="shared" si="10"/>
        <v>0.59493371515114368</v>
      </c>
      <c r="X167" s="609">
        <f t="shared" si="10"/>
        <v>0.61166750240663481</v>
      </c>
      <c r="Y167" s="609">
        <f t="shared" si="10"/>
        <v>0.62741441317709912</v>
      </c>
      <c r="Z167" s="609">
        <f t="shared" si="10"/>
        <v>0.64226977741314595</v>
      </c>
      <c r="AA167" s="609">
        <f t="shared" si="10"/>
        <v>0.65622304687312971</v>
      </c>
      <c r="AB167" s="609">
        <f t="shared" si="10"/>
        <v>0.66935402592483317</v>
      </c>
      <c r="AC167" s="609">
        <f t="shared" si="10"/>
        <v>0.68162252212305818</v>
      </c>
      <c r="AD167" s="609">
        <f t="shared" si="10"/>
        <v>0.69318015860476634</v>
      </c>
      <c r="AE167" s="610">
        <f t="shared" si="10"/>
        <v>0.70407821259685743</v>
      </c>
      <c r="AF167" s="939"/>
      <c r="AG167" s="939"/>
    </row>
    <row r="168" spans="1:34" s="301" customFormat="1">
      <c r="A168" s="561">
        <v>164</v>
      </c>
      <c r="C168" s="10"/>
      <c r="D168" s="29"/>
      <c r="E168" s="199"/>
      <c r="F168" s="331"/>
      <c r="G168" s="331"/>
      <c r="H168" s="331"/>
      <c r="I168" s="331"/>
      <c r="J168" s="331"/>
      <c r="K168" s="331"/>
      <c r="L168" s="331"/>
      <c r="M168" s="331"/>
      <c r="N168" s="331"/>
      <c r="O168" s="331"/>
      <c r="P168" s="331"/>
      <c r="Q168" s="331"/>
      <c r="R168" s="331"/>
      <c r="S168" s="331"/>
      <c r="T168" s="331"/>
      <c r="U168" s="331"/>
      <c r="V168" s="331"/>
      <c r="W168" s="331"/>
      <c r="X168" s="331"/>
      <c r="Y168" s="331"/>
      <c r="Z168" s="331"/>
      <c r="AA168" s="331"/>
      <c r="AB168" s="331"/>
      <c r="AC168" s="331"/>
      <c r="AD168" s="331"/>
      <c r="AE168" s="331"/>
      <c r="AF168" s="939"/>
      <c r="AG168" s="939"/>
    </row>
    <row r="169" spans="1:34" s="301" customFormat="1">
      <c r="A169" s="561">
        <v>165</v>
      </c>
      <c r="C169" s="10"/>
      <c r="D169" s="29"/>
      <c r="E169" s="199" t="s">
        <v>488</v>
      </c>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939"/>
      <c r="AG169" s="939"/>
    </row>
    <row r="170" spans="1:34" s="301" customFormat="1">
      <c r="A170" s="561">
        <v>166</v>
      </c>
      <c r="C170" s="10"/>
      <c r="D170" s="29"/>
      <c r="E170" s="321" t="s">
        <v>502</v>
      </c>
      <c r="F170" s="605">
        <f>100%</f>
        <v>1</v>
      </c>
      <c r="G170" s="605">
        <f>100%</f>
        <v>1</v>
      </c>
      <c r="H170" s="605">
        <f>100%</f>
        <v>1</v>
      </c>
      <c r="I170" s="605">
        <f>100%</f>
        <v>1</v>
      </c>
      <c r="J170" s="605">
        <f>100%</f>
        <v>1</v>
      </c>
      <c r="K170" s="605">
        <f>100%</f>
        <v>1</v>
      </c>
      <c r="L170" s="605">
        <f>100%</f>
        <v>1</v>
      </c>
      <c r="M170" s="605">
        <f>100%</f>
        <v>1</v>
      </c>
      <c r="N170" s="605">
        <f>100%</f>
        <v>1</v>
      </c>
      <c r="O170" s="605">
        <f>100%</f>
        <v>1</v>
      </c>
      <c r="P170" s="605">
        <f>100%</f>
        <v>1</v>
      </c>
      <c r="Q170" s="605">
        <f>100%</f>
        <v>1</v>
      </c>
      <c r="R170" s="605">
        <f>100%</f>
        <v>1</v>
      </c>
      <c r="S170" s="605">
        <f>100%</f>
        <v>1</v>
      </c>
      <c r="T170" s="605">
        <f>100%</f>
        <v>1</v>
      </c>
      <c r="U170" s="605">
        <f>100%</f>
        <v>1</v>
      </c>
      <c r="V170" s="605">
        <f>100%</f>
        <v>1</v>
      </c>
      <c r="W170" s="605">
        <f>100%</f>
        <v>1</v>
      </c>
      <c r="X170" s="605">
        <f>100%</f>
        <v>1</v>
      </c>
      <c r="Y170" s="605">
        <f>100%</f>
        <v>1</v>
      </c>
      <c r="Z170" s="605">
        <f>100%</f>
        <v>1</v>
      </c>
      <c r="AA170" s="605">
        <f>100%</f>
        <v>1</v>
      </c>
      <c r="AB170" s="605">
        <f>100%</f>
        <v>1</v>
      </c>
      <c r="AC170" s="605">
        <f>100%</f>
        <v>1</v>
      </c>
      <c r="AD170" s="605">
        <f>100%</f>
        <v>1</v>
      </c>
      <c r="AE170" s="606">
        <f>100%</f>
        <v>1</v>
      </c>
      <c r="AF170" s="939"/>
      <c r="AG170" s="939"/>
    </row>
    <row r="171" spans="1:34" s="301" customFormat="1">
      <c r="A171" s="561">
        <v>167</v>
      </c>
      <c r="C171" s="10"/>
      <c r="D171" s="29"/>
      <c r="E171" s="16" t="s">
        <v>598</v>
      </c>
      <c r="F171" s="607">
        <f>'MOD-Berechnungen'!F17*(1-'MOD-Berechnungen'!F18)</f>
        <v>2.4421006724375267E-2</v>
      </c>
      <c r="G171" s="607">
        <f>'MOD-Berechnungen'!G17*(1-'MOD-Berechnungen'!G18)</f>
        <v>1.416149742259081E-2</v>
      </c>
      <c r="H171" s="607">
        <f>'MOD-Berechnungen'!H17*(1-'MOD-Berechnungen'!H18)</f>
        <v>1.3920264634567114E-2</v>
      </c>
      <c r="I171" s="607">
        <f>'MOD-Berechnungen'!I17*(1-'MOD-Berechnungen'!I18)</f>
        <v>6.442107437727964E-3</v>
      </c>
      <c r="J171" s="607">
        <f>'MOD-Berechnungen'!J17*(1-'MOD-Berechnungen'!J18)</f>
        <v>2.083534312096447E-2</v>
      </c>
      <c r="K171" s="607">
        <f>'MOD-Berechnungen'!K17*(1-'MOD-Berechnungen'!K18)</f>
        <v>6.989999999999999E-2</v>
      </c>
      <c r="L171" s="607">
        <f>'MOD-Berechnungen'!L17*(1-'MOD-Berechnungen'!L18)</f>
        <v>7.4700000000000003E-2</v>
      </c>
      <c r="M171" s="607">
        <f>'MOD-Berechnungen'!M17*(1-'MOD-Berechnungen'!M18)</f>
        <v>5.7065090026654441E-2</v>
      </c>
      <c r="N171" s="607">
        <f>'MOD-Berechnungen'!N17*(1-'MOD-Berechnungen'!N18)</f>
        <v>6.002631363511287E-2</v>
      </c>
      <c r="O171" s="607">
        <f>'MOD-Berechnungen'!O17*(1-'MOD-Berechnungen'!O18)</f>
        <v>5.730478989927143E-2</v>
      </c>
      <c r="P171" s="607">
        <f>'MOD-Berechnungen'!P17*(1-'MOD-Berechnungen'!P18)</f>
        <v>5.6647126041033113E-2</v>
      </c>
      <c r="Q171" s="607">
        <f>'MOD-Berechnungen'!Q17*(1-'MOD-Berechnungen'!Q18)</f>
        <v>5.7273700895980995E-2</v>
      </c>
      <c r="R171" s="607">
        <f>'MOD-Berechnungen'!R17*(1-'MOD-Berechnungen'!R18)</f>
        <v>5.9111981086833743E-2</v>
      </c>
      <c r="S171" s="607">
        <f>'MOD-Berechnungen'!S17*(1-'MOD-Berechnungen'!S18)</f>
        <v>5.9111981086833743E-2</v>
      </c>
      <c r="T171" s="607">
        <f>'MOD-Berechnungen'!T17*(1-'MOD-Berechnungen'!T18)</f>
        <v>5.9111981086833743E-2</v>
      </c>
      <c r="U171" s="607">
        <f>'MOD-Berechnungen'!U17*(1-'MOD-Berechnungen'!U18)</f>
        <v>5.9111981086833743E-2</v>
      </c>
      <c r="V171" s="607">
        <f>'MOD-Berechnungen'!V17*(1-'MOD-Berechnungen'!V18)</f>
        <v>5.9111981086833743E-2</v>
      </c>
      <c r="W171" s="607">
        <f>'MOD-Berechnungen'!W17*(1-'MOD-Berechnungen'!W18)</f>
        <v>5.9111981086833743E-2</v>
      </c>
      <c r="X171" s="607">
        <f>'MOD-Berechnungen'!X17*(1-'MOD-Berechnungen'!X18)</f>
        <v>5.9111981086833743E-2</v>
      </c>
      <c r="Y171" s="607">
        <f>'MOD-Berechnungen'!Y17*(1-'MOD-Berechnungen'!Y18)</f>
        <v>5.9111981086833743E-2</v>
      </c>
      <c r="Z171" s="607">
        <f>'MOD-Berechnungen'!Z17*(1-'MOD-Berechnungen'!Z18)</f>
        <v>5.9111981086833743E-2</v>
      </c>
      <c r="AA171" s="607">
        <f>'MOD-Berechnungen'!AA17*(1-'MOD-Berechnungen'!AA18)</f>
        <v>5.9111981086833743E-2</v>
      </c>
      <c r="AB171" s="607">
        <f>'MOD-Berechnungen'!AB17*(1-'MOD-Berechnungen'!AB18)</f>
        <v>5.9111981086833743E-2</v>
      </c>
      <c r="AC171" s="607">
        <f>'MOD-Berechnungen'!AC17*(1-'MOD-Berechnungen'!AC18)</f>
        <v>5.9111981086833743E-2</v>
      </c>
      <c r="AD171" s="607">
        <f>'MOD-Berechnungen'!AD17*(1-'MOD-Berechnungen'!AD18)</f>
        <v>5.9111981086833743E-2</v>
      </c>
      <c r="AE171" s="608">
        <f>'MOD-Berechnungen'!AE17*(1-'MOD-Berechnungen'!AE18)</f>
        <v>5.9111981086833743E-2</v>
      </c>
      <c r="AF171" s="939"/>
      <c r="AG171" s="939" t="s">
        <v>599</v>
      </c>
      <c r="AH171" s="10"/>
    </row>
    <row r="172" spans="1:34" s="301" customFormat="1">
      <c r="A172" s="561">
        <v>168</v>
      </c>
      <c r="C172" s="10"/>
      <c r="D172" s="29"/>
      <c r="E172" s="16" t="s">
        <v>504</v>
      </c>
      <c r="F172" s="607">
        <f>'MOD-Berechnungen'!F19</f>
        <v>0</v>
      </c>
      <c r="G172" s="607">
        <f>'MOD-Berechnungen'!G19</f>
        <v>0</v>
      </c>
      <c r="H172" s="607">
        <f>'MOD-Berechnungen'!H19</f>
        <v>0</v>
      </c>
      <c r="I172" s="607">
        <f>'MOD-Berechnungen'!I19</f>
        <v>0</v>
      </c>
      <c r="J172" s="607">
        <f>'MOD-Berechnungen'!J19</f>
        <v>0</v>
      </c>
      <c r="K172" s="607">
        <f>'MOD-Berechnungen'!K19</f>
        <v>0</v>
      </c>
      <c r="L172" s="607">
        <f>'MOD-Berechnungen'!L19</f>
        <v>0</v>
      </c>
      <c r="M172" s="607">
        <f>'MOD-Berechnungen'!M19</f>
        <v>0</v>
      </c>
      <c r="N172" s="607">
        <f>'MOD-Berechnungen'!N19</f>
        <v>0</v>
      </c>
      <c r="O172" s="607">
        <f>'MOD-Berechnungen'!O19</f>
        <v>0</v>
      </c>
      <c r="P172" s="607">
        <f>'MOD-Berechnungen'!P19</f>
        <v>0</v>
      </c>
      <c r="Q172" s="607">
        <f>'MOD-Berechnungen'!Q19</f>
        <v>0</v>
      </c>
      <c r="R172" s="607">
        <f>'MOD-Berechnungen'!R19</f>
        <v>0</v>
      </c>
      <c r="S172" s="607">
        <f>'MOD-Berechnungen'!S19</f>
        <v>0</v>
      </c>
      <c r="T172" s="607">
        <f>'MOD-Berechnungen'!T19</f>
        <v>0</v>
      </c>
      <c r="U172" s="607">
        <f>'MOD-Berechnungen'!U19</f>
        <v>0</v>
      </c>
      <c r="V172" s="607">
        <f>'MOD-Berechnungen'!V19</f>
        <v>0</v>
      </c>
      <c r="W172" s="607">
        <f>'MOD-Berechnungen'!W19</f>
        <v>0</v>
      </c>
      <c r="X172" s="607">
        <f>'MOD-Berechnungen'!X19</f>
        <v>0</v>
      </c>
      <c r="Y172" s="607">
        <f>'MOD-Berechnungen'!Y19</f>
        <v>0</v>
      </c>
      <c r="Z172" s="607">
        <f>'MOD-Berechnungen'!Z19</f>
        <v>0</v>
      </c>
      <c r="AA172" s="607">
        <f>'MOD-Berechnungen'!AA19</f>
        <v>0</v>
      </c>
      <c r="AB172" s="607">
        <f>'MOD-Berechnungen'!AB19</f>
        <v>0</v>
      </c>
      <c r="AC172" s="607">
        <f>'MOD-Berechnungen'!AC19</f>
        <v>0</v>
      </c>
      <c r="AD172" s="607">
        <f>'MOD-Berechnungen'!AD19</f>
        <v>0</v>
      </c>
      <c r="AE172" s="608">
        <f>'MOD-Berechnungen'!AE19</f>
        <v>0</v>
      </c>
      <c r="AF172" s="939"/>
      <c r="AG172" s="939"/>
    </row>
    <row r="173" spans="1:34" s="301" customFormat="1">
      <c r="A173" s="561">
        <v>169</v>
      </c>
      <c r="C173" s="10"/>
      <c r="D173" s="29"/>
      <c r="E173" s="16" t="s">
        <v>261</v>
      </c>
      <c r="F173" s="607">
        <f>'MOD-Berechnungen'!F20</f>
        <v>0</v>
      </c>
      <c r="G173" s="607">
        <f>'MOD-Berechnungen'!G20</f>
        <v>0</v>
      </c>
      <c r="H173" s="607">
        <f>'MOD-Berechnungen'!H20</f>
        <v>0</v>
      </c>
      <c r="I173" s="607">
        <f>'MOD-Berechnungen'!I20</f>
        <v>0</v>
      </c>
      <c r="J173" s="607">
        <f>'MOD-Berechnungen'!J20</f>
        <v>0</v>
      </c>
      <c r="K173" s="607">
        <f>'MOD-Berechnungen'!K20</f>
        <v>0.3</v>
      </c>
      <c r="L173" s="607">
        <f>'MOD-Berechnungen'!L20</f>
        <v>0.35</v>
      </c>
      <c r="M173" s="607">
        <f>'MOD-Berechnungen'!M20</f>
        <v>0.40000062775558548</v>
      </c>
      <c r="N173" s="607">
        <f>'MOD-Berechnungen'!N20</f>
        <v>0.33640703685486462</v>
      </c>
      <c r="O173" s="607">
        <f>'MOD-Berechnungen'!O20</f>
        <v>0.36296708149217022</v>
      </c>
      <c r="P173" s="607">
        <f>'MOD-Berechnungen'!P20</f>
        <v>0.37707011244336597</v>
      </c>
      <c r="Q173" s="607">
        <f>'MOD-Berechnungen'!Q20</f>
        <v>0.37707011244336597</v>
      </c>
      <c r="R173" s="607">
        <f>'MOD-Berechnungen'!R20</f>
        <v>0.51337757596926303</v>
      </c>
      <c r="S173" s="607">
        <f>'MOD-Berechnungen'!S20</f>
        <v>0.51337757596926303</v>
      </c>
      <c r="T173" s="607">
        <f>'MOD-Berechnungen'!T20</f>
        <v>0.51337757596926303</v>
      </c>
      <c r="U173" s="607">
        <f>'MOD-Berechnungen'!U20</f>
        <v>0.51337757596926303</v>
      </c>
      <c r="V173" s="607">
        <f>'MOD-Berechnungen'!V20</f>
        <v>0.51337757596926303</v>
      </c>
      <c r="W173" s="607">
        <f>'MOD-Berechnungen'!W20</f>
        <v>0.51337757596926303</v>
      </c>
      <c r="X173" s="607">
        <f>'MOD-Berechnungen'!X20</f>
        <v>0.51337757596926303</v>
      </c>
      <c r="Y173" s="607">
        <f>'MOD-Berechnungen'!Y20</f>
        <v>0.51337757596926303</v>
      </c>
      <c r="Z173" s="607">
        <f>'MOD-Berechnungen'!Z20</f>
        <v>0.51337757596926303</v>
      </c>
      <c r="AA173" s="607">
        <f>'MOD-Berechnungen'!AA20</f>
        <v>0.51337757596926303</v>
      </c>
      <c r="AB173" s="607">
        <f>'MOD-Berechnungen'!AB20</f>
        <v>0.51337757596926303</v>
      </c>
      <c r="AC173" s="607">
        <f>'MOD-Berechnungen'!AC20</f>
        <v>0.51337757596926303</v>
      </c>
      <c r="AD173" s="607">
        <f>'MOD-Berechnungen'!AD20</f>
        <v>0.51337757596926303</v>
      </c>
      <c r="AE173" s="608">
        <f>'MOD-Berechnungen'!AE20</f>
        <v>0.51337757596926303</v>
      </c>
      <c r="AF173" s="939"/>
      <c r="AG173" s="939"/>
    </row>
    <row r="174" spans="1:34" s="301" customFormat="1">
      <c r="A174" s="561">
        <v>170</v>
      </c>
      <c r="C174" s="10"/>
      <c r="D174" s="29"/>
      <c r="E174" s="16" t="s">
        <v>264</v>
      </c>
      <c r="F174" s="607">
        <f>'MOD-Berechnungen'!F21</f>
        <v>0</v>
      </c>
      <c r="G174" s="607">
        <f>'MOD-Berechnungen'!G21</f>
        <v>0</v>
      </c>
      <c r="H174" s="607">
        <f>'MOD-Berechnungen'!H21</f>
        <v>0</v>
      </c>
      <c r="I174" s="607">
        <f>'MOD-Berechnungen'!I21</f>
        <v>0</v>
      </c>
      <c r="J174" s="607">
        <f>'MOD-Berechnungen'!J21</f>
        <v>0</v>
      </c>
      <c r="K174" s="607">
        <f>'MOD-Berechnungen'!K21</f>
        <v>1</v>
      </c>
      <c r="L174" s="607">
        <f>'MOD-Berechnungen'!L21</f>
        <v>1</v>
      </c>
      <c r="M174" s="607">
        <f>'MOD-Berechnungen'!M21</f>
        <v>1</v>
      </c>
      <c r="N174" s="607">
        <f>'MOD-Berechnungen'!N21</f>
        <v>1</v>
      </c>
      <c r="O174" s="607">
        <f>'MOD-Berechnungen'!O21</f>
        <v>1</v>
      </c>
      <c r="P174" s="607">
        <f>'MOD-Berechnungen'!P21</f>
        <v>1</v>
      </c>
      <c r="Q174" s="607">
        <f>'MOD-Berechnungen'!Q21</f>
        <v>1</v>
      </c>
      <c r="R174" s="607">
        <f>'MOD-Berechnungen'!R21</f>
        <v>1</v>
      </c>
      <c r="S174" s="607">
        <f>'MOD-Berechnungen'!S21</f>
        <v>1</v>
      </c>
      <c r="T174" s="607">
        <f>'MOD-Berechnungen'!T21</f>
        <v>1</v>
      </c>
      <c r="U174" s="607">
        <f>'MOD-Berechnungen'!U21</f>
        <v>1</v>
      </c>
      <c r="V174" s="607">
        <f>'MOD-Berechnungen'!V21</f>
        <v>1</v>
      </c>
      <c r="W174" s="607">
        <f>'MOD-Berechnungen'!W21</f>
        <v>1</v>
      </c>
      <c r="X174" s="607">
        <f>'MOD-Berechnungen'!X21</f>
        <v>1</v>
      </c>
      <c r="Y174" s="607">
        <f>'MOD-Berechnungen'!Y21</f>
        <v>1</v>
      </c>
      <c r="Z174" s="607">
        <f>'MOD-Berechnungen'!Z21</f>
        <v>1</v>
      </c>
      <c r="AA174" s="607">
        <f>'MOD-Berechnungen'!AA21</f>
        <v>1</v>
      </c>
      <c r="AB174" s="607">
        <f>'MOD-Berechnungen'!AB21</f>
        <v>1</v>
      </c>
      <c r="AC174" s="607">
        <f>'MOD-Berechnungen'!AC21</f>
        <v>1</v>
      </c>
      <c r="AD174" s="607">
        <f>'MOD-Berechnungen'!AD21</f>
        <v>1</v>
      </c>
      <c r="AE174" s="608">
        <f>'MOD-Berechnungen'!AE21</f>
        <v>1</v>
      </c>
      <c r="AF174" s="939"/>
      <c r="AG174" s="939" t="s">
        <v>599</v>
      </c>
      <c r="AH174" s="10"/>
    </row>
    <row r="175" spans="1:34" s="301" customFormat="1">
      <c r="A175" s="561">
        <v>171</v>
      </c>
      <c r="C175" s="10"/>
      <c r="D175" s="29"/>
      <c r="E175" s="303" t="s">
        <v>411</v>
      </c>
      <c r="F175" s="102">
        <f>'MOD-Berechnungen'!F22</f>
        <v>20.47</v>
      </c>
      <c r="G175" s="102">
        <f>'MOD-Berechnungen'!G22</f>
        <v>35.31</v>
      </c>
      <c r="H175" s="102">
        <f>'MOD-Berechnungen'!H22</f>
        <v>20</v>
      </c>
      <c r="I175" s="102">
        <f>'MOD-Berechnungen'!I22</f>
        <v>20</v>
      </c>
      <c r="J175" s="102">
        <f>'MOD-Berechnungen'!J22</f>
        <v>20</v>
      </c>
      <c r="K175" s="102">
        <f>'MOD-Berechnungen'!K22</f>
        <v>0</v>
      </c>
      <c r="L175" s="102">
        <f>'MOD-Berechnungen'!L22</f>
        <v>0</v>
      </c>
      <c r="M175" s="102">
        <f>'MOD-Berechnungen'!M22</f>
        <v>0</v>
      </c>
      <c r="N175" s="102">
        <f>'MOD-Berechnungen'!N22</f>
        <v>0</v>
      </c>
      <c r="O175" s="102">
        <f>'MOD-Berechnungen'!O22</f>
        <v>0</v>
      </c>
      <c r="P175" s="102">
        <f>'MOD-Berechnungen'!P22</f>
        <v>0</v>
      </c>
      <c r="Q175" s="102">
        <f>'MOD-Berechnungen'!Q22</f>
        <v>0</v>
      </c>
      <c r="R175" s="102">
        <f>'MOD-Berechnungen'!R22</f>
        <v>0</v>
      </c>
      <c r="S175" s="102">
        <f>'MOD-Berechnungen'!S22</f>
        <v>0</v>
      </c>
      <c r="T175" s="102">
        <f>'MOD-Berechnungen'!T22</f>
        <v>0</v>
      </c>
      <c r="U175" s="102">
        <f>'MOD-Berechnungen'!U22</f>
        <v>0</v>
      </c>
      <c r="V175" s="102">
        <f>'MOD-Berechnungen'!V22</f>
        <v>0</v>
      </c>
      <c r="W175" s="102">
        <f>'MOD-Berechnungen'!W22</f>
        <v>0</v>
      </c>
      <c r="X175" s="102">
        <f>'MOD-Berechnungen'!X22</f>
        <v>0</v>
      </c>
      <c r="Y175" s="102">
        <f>'MOD-Berechnungen'!Y22</f>
        <v>0</v>
      </c>
      <c r="Z175" s="102">
        <f>'MOD-Berechnungen'!Z22</f>
        <v>0</v>
      </c>
      <c r="AA175" s="102">
        <f>'MOD-Berechnungen'!AA22</f>
        <v>0</v>
      </c>
      <c r="AB175" s="102">
        <f>'MOD-Berechnungen'!AB22</f>
        <v>0</v>
      </c>
      <c r="AC175" s="102">
        <f>'MOD-Berechnungen'!AC22</f>
        <v>0</v>
      </c>
      <c r="AD175" s="102">
        <f>'MOD-Berechnungen'!AD22</f>
        <v>0</v>
      </c>
      <c r="AE175" s="593">
        <f>'MOD-Berechnungen'!AE22</f>
        <v>0</v>
      </c>
      <c r="AF175" s="939"/>
      <c r="AG175" s="939" t="s">
        <v>544</v>
      </c>
      <c r="AH175" s="10"/>
    </row>
    <row r="176" spans="1:34" s="301" customFormat="1">
      <c r="A176" s="561">
        <v>172</v>
      </c>
      <c r="C176" s="10"/>
      <c r="D176" s="29"/>
      <c r="E176" s="10"/>
      <c r="F176" s="331"/>
      <c r="G176" s="331"/>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939"/>
      <c r="AG176" s="939"/>
    </row>
    <row r="177" spans="1:33" s="301" customFormat="1">
      <c r="A177" s="561">
        <v>173</v>
      </c>
      <c r="C177" s="10"/>
      <c r="D177" s="29"/>
      <c r="E177" s="215" t="s">
        <v>489</v>
      </c>
      <c r="F177" s="906">
        <f>IF(ControlPanel!$T$5="nominal",F52,F70)</f>
        <v>2.0469999999999997</v>
      </c>
      <c r="G177" s="611">
        <f>IF(ControlPanel!$T$5="nominal",G52,G70)</f>
        <v>3.5300000000000007</v>
      </c>
      <c r="H177" s="611">
        <f>IF(ControlPanel!$T$5="nominal",H52,H70)</f>
        <v>3.5920000000000005</v>
      </c>
      <c r="I177" s="611">
        <f>IF(ControlPanel!$T$5="nominal",I52,I70)</f>
        <v>5.2769999999999992</v>
      </c>
      <c r="J177" s="611">
        <f>IF(ControlPanel!$T$5="nominal",J52,J70)</f>
        <v>6.2399999999999993</v>
      </c>
      <c r="K177" s="611">
        <f>IF(ControlPanel!$T$5="nominal",K52,K70)</f>
        <v>6.1695706877643843</v>
      </c>
      <c r="L177" s="611">
        <f>IF(ControlPanel!$T$5="nominal",L52,L70)</f>
        <v>6.3382686397238945</v>
      </c>
      <c r="M177" s="611">
        <f>IF(ControlPanel!$T$5="nominal",M52,M70)</f>
        <v>6.8602264368703567</v>
      </c>
      <c r="N177" s="611">
        <f>IF(ControlPanel!$T$5="nominal",N52,N70)</f>
        <v>6.7788048363237206</v>
      </c>
      <c r="O177" s="611">
        <f>IF(ControlPanel!$T$5="nominal",O52,O70)</f>
        <v>6.406581826229905</v>
      </c>
      <c r="P177" s="611">
        <f>IF(ControlPanel!$T$5="nominal",P52,P70)</f>
        <v>6.7581163138201807</v>
      </c>
      <c r="Q177" s="611">
        <f>IF(ControlPanel!$T$5="nominal",Q52,Q70)</f>
        <v>6.5036153637169205</v>
      </c>
      <c r="R177" s="611">
        <f>IF(ControlPanel!$T$5="nominal",R52,R70)</f>
        <v>3.7230827721473405</v>
      </c>
      <c r="S177" s="611">
        <f ca="1">IF(ControlPanel!$T$5="nominal",S52,S70)</f>
        <v>2.2272344363967198</v>
      </c>
      <c r="T177" s="611">
        <f ca="1">IF(ControlPanel!$T$5="nominal",T52,T70)</f>
        <v>3.997717348887194</v>
      </c>
      <c r="U177" s="611">
        <f ca="1">IF(ControlPanel!$T$5="nominal",U52,U70)</f>
        <v>3.5327567363462515</v>
      </c>
      <c r="V177" s="611">
        <f ca="1">IF(ControlPanel!$T$5="nominal",V52,V70)</f>
        <v>3.3456608408726511</v>
      </c>
      <c r="W177" s="611">
        <f ca="1">IF(ControlPanel!$T$5="nominal",W52,W70)</f>
        <v>2.7477292039835279</v>
      </c>
      <c r="X177" s="611">
        <f ca="1">IF(ControlPanel!$T$5="nominal",X52,X70)</f>
        <v>2.3631891682261594</v>
      </c>
      <c r="Y177" s="611">
        <f ca="1">IF(ControlPanel!$T$5="nominal",Y52,Y70)</f>
        <v>1.9970413628901464</v>
      </c>
      <c r="Z177" s="611">
        <f ca="1">IF(ControlPanel!$T$5="nominal",Z52,Z70)</f>
        <v>1.5260557430647477</v>
      </c>
      <c r="AA177" s="611">
        <f ca="1">IF(ControlPanel!$T$5="nominal",AA52,AA70)</f>
        <v>0.92732335121019616</v>
      </c>
      <c r="AB177" s="611">
        <f ca="1">IF(ControlPanel!$T$5="nominal",AB52,AB70)</f>
        <v>0.45098491127943902</v>
      </c>
      <c r="AC177" s="611">
        <f ca="1">IF(ControlPanel!$T$5="nominal",AC52,AC70)</f>
        <v>0.26749493423098486</v>
      </c>
      <c r="AD177" s="611">
        <f ca="1">IF(ControlPanel!$T$5="nominal",AD52,AD70)</f>
        <v>0.26273394437983666</v>
      </c>
      <c r="AE177" s="612">
        <f ca="1">IF(ControlPanel!$T$5="nominal",AE52,AE70)</f>
        <v>0.34336969445583421</v>
      </c>
      <c r="AF177" s="939"/>
      <c r="AG177" s="939" t="s">
        <v>637</v>
      </c>
    </row>
    <row r="178" spans="1:33" s="301" customFormat="1">
      <c r="A178" s="561">
        <v>174</v>
      </c>
      <c r="C178" s="10"/>
      <c r="D178" s="29"/>
      <c r="E178" s="85"/>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939"/>
      <c r="AG178" s="939"/>
    </row>
    <row r="179" spans="1:33" s="301" customFormat="1">
      <c r="A179" s="561">
        <v>175</v>
      </c>
      <c r="C179" s="10"/>
      <c r="D179" s="29"/>
      <c r="E179" s="199" t="s">
        <v>489</v>
      </c>
      <c r="F179" s="331"/>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939"/>
      <c r="AG179" s="939"/>
    </row>
    <row r="180" spans="1:33" s="301" customFormat="1">
      <c r="A180" s="561">
        <v>176</v>
      </c>
      <c r="C180" s="10"/>
      <c r="D180" s="29"/>
      <c r="E180" s="321" t="s">
        <v>502</v>
      </c>
      <c r="F180" s="100">
        <f>F$177*F170</f>
        <v>2.0469999999999997</v>
      </c>
      <c r="G180" s="100">
        <f t="shared" ref="G180:AE184" si="11">G$177*G170</f>
        <v>3.5300000000000007</v>
      </c>
      <c r="H180" s="100">
        <f t="shared" si="11"/>
        <v>3.5920000000000005</v>
      </c>
      <c r="I180" s="100">
        <f t="shared" si="11"/>
        <v>5.2769999999999992</v>
      </c>
      <c r="J180" s="100">
        <f t="shared" si="11"/>
        <v>6.2399999999999993</v>
      </c>
      <c r="K180" s="100">
        <f t="shared" si="11"/>
        <v>6.1695706877643843</v>
      </c>
      <c r="L180" s="100">
        <f t="shared" si="11"/>
        <v>6.3382686397238945</v>
      </c>
      <c r="M180" s="100">
        <f t="shared" si="11"/>
        <v>6.8602264368703567</v>
      </c>
      <c r="N180" s="100">
        <f t="shared" si="11"/>
        <v>6.7788048363237206</v>
      </c>
      <c r="O180" s="100">
        <f t="shared" si="11"/>
        <v>6.406581826229905</v>
      </c>
      <c r="P180" s="100">
        <f t="shared" si="11"/>
        <v>6.7581163138201807</v>
      </c>
      <c r="Q180" s="100">
        <f t="shared" si="11"/>
        <v>6.5036153637169205</v>
      </c>
      <c r="R180" s="100">
        <f t="shared" si="11"/>
        <v>3.7230827721473405</v>
      </c>
      <c r="S180" s="100">
        <f t="shared" ca="1" si="11"/>
        <v>2.2272344363967198</v>
      </c>
      <c r="T180" s="100">
        <f t="shared" ca="1" si="11"/>
        <v>3.997717348887194</v>
      </c>
      <c r="U180" s="100">
        <f t="shared" ca="1" si="11"/>
        <v>3.5327567363462515</v>
      </c>
      <c r="V180" s="100">
        <f t="shared" ca="1" si="11"/>
        <v>3.3456608408726511</v>
      </c>
      <c r="W180" s="100">
        <f t="shared" ca="1" si="11"/>
        <v>2.7477292039835279</v>
      </c>
      <c r="X180" s="100">
        <f t="shared" ca="1" si="11"/>
        <v>2.3631891682261594</v>
      </c>
      <c r="Y180" s="100">
        <f t="shared" ca="1" si="11"/>
        <v>1.9970413628901464</v>
      </c>
      <c r="Z180" s="100">
        <f t="shared" ca="1" si="11"/>
        <v>1.5260557430647477</v>
      </c>
      <c r="AA180" s="100">
        <f t="shared" ca="1" si="11"/>
        <v>0.92732335121019616</v>
      </c>
      <c r="AB180" s="100">
        <f t="shared" ca="1" si="11"/>
        <v>0.45098491127943902</v>
      </c>
      <c r="AC180" s="100">
        <f t="shared" ca="1" si="11"/>
        <v>0.26749493423098486</v>
      </c>
      <c r="AD180" s="100">
        <f t="shared" ca="1" si="11"/>
        <v>0.26273394437983666</v>
      </c>
      <c r="AE180" s="591">
        <f t="shared" ca="1" si="11"/>
        <v>0.34336969445583421</v>
      </c>
      <c r="AF180" s="939"/>
      <c r="AG180" s="939"/>
    </row>
    <row r="181" spans="1:33" s="301" customFormat="1">
      <c r="A181" s="561">
        <v>177</v>
      </c>
      <c r="C181" s="10"/>
      <c r="D181" s="29"/>
      <c r="E181" s="16" t="s">
        <v>142</v>
      </c>
      <c r="F181" s="101">
        <f t="shared" ref="F181:U184" si="12">F$177*F171</f>
        <v>4.9989800764796165E-2</v>
      </c>
      <c r="G181" s="101">
        <f t="shared" si="12"/>
        <v>4.9990085901745571E-2</v>
      </c>
      <c r="H181" s="101">
        <f t="shared" si="12"/>
        <v>5.0001590567365084E-2</v>
      </c>
      <c r="I181" s="101">
        <f t="shared" si="12"/>
        <v>3.3995000948890464E-2</v>
      </c>
      <c r="J181" s="101">
        <f t="shared" si="12"/>
        <v>0.13001254107481827</v>
      </c>
      <c r="K181" s="101">
        <f t="shared" si="12"/>
        <v>0.43125299107473042</v>
      </c>
      <c r="L181" s="101">
        <f t="shared" si="12"/>
        <v>0.47346866738737492</v>
      </c>
      <c r="M181" s="101">
        <f t="shared" si="12"/>
        <v>0.39147943922324174</v>
      </c>
      <c r="N181" s="101">
        <f t="shared" si="12"/>
        <v>0.40690666517638763</v>
      </c>
      <c r="O181" s="101">
        <f t="shared" si="12"/>
        <v>0.36712782552459539</v>
      </c>
      <c r="P181" s="101">
        <f t="shared" si="12"/>
        <v>0.38282786662893387</v>
      </c>
      <c r="Q181" s="101">
        <f t="shared" si="12"/>
        <v>0.37248612108402956</v>
      </c>
      <c r="R181" s="101">
        <f t="shared" si="12"/>
        <v>0.22007879841189013</v>
      </c>
      <c r="S181" s="101">
        <f t="shared" ca="1" si="12"/>
        <v>0.1316562398802277</v>
      </c>
      <c r="T181" s="101">
        <f t="shared" ca="1" si="12"/>
        <v>0.23631299231792693</v>
      </c>
      <c r="U181" s="101">
        <f t="shared" ca="1" si="12"/>
        <v>0.20882824938328412</v>
      </c>
      <c r="V181" s="101">
        <f t="shared" ca="1" si="11"/>
        <v>0.19776864034862443</v>
      </c>
      <c r="W181" s="101">
        <f t="shared" ca="1" si="11"/>
        <v>0.16242371673761505</v>
      </c>
      <c r="X181" s="101">
        <f t="shared" ca="1" si="11"/>
        <v>0.13969279341679511</v>
      </c>
      <c r="Y181" s="101">
        <f t="shared" ca="1" si="11"/>
        <v>0.11804907127278702</v>
      </c>
      <c r="Z181" s="101">
        <f t="shared" ca="1" si="11"/>
        <v>9.0208178221497376E-2</v>
      </c>
      <c r="AA181" s="101">
        <f t="shared" ca="1" si="11"/>
        <v>5.4815920398116398E-2</v>
      </c>
      <c r="AB181" s="101">
        <f t="shared" ca="1" si="11"/>
        <v>2.6658611545997593E-2</v>
      </c>
      <c r="AC181" s="101">
        <f t="shared" ca="1" si="11"/>
        <v>1.5812155493085813E-2</v>
      </c>
      <c r="AD181" s="101">
        <f t="shared" ca="1" si="11"/>
        <v>1.5530723951050132E-2</v>
      </c>
      <c r="AE181" s="592">
        <f t="shared" ca="1" si="11"/>
        <v>2.0297262884465154E-2</v>
      </c>
      <c r="AF181" s="939"/>
      <c r="AG181" s="939"/>
    </row>
    <row r="182" spans="1:33" s="301" customFormat="1">
      <c r="A182" s="561">
        <v>178</v>
      </c>
      <c r="C182" s="10"/>
      <c r="D182" s="29"/>
      <c r="E182" s="16" t="s">
        <v>535</v>
      </c>
      <c r="F182" s="101">
        <f t="shared" si="12"/>
        <v>0</v>
      </c>
      <c r="G182" s="101">
        <f t="shared" si="11"/>
        <v>0</v>
      </c>
      <c r="H182" s="101">
        <f t="shared" si="11"/>
        <v>0</v>
      </c>
      <c r="I182" s="101">
        <f t="shared" si="11"/>
        <v>0</v>
      </c>
      <c r="J182" s="101">
        <f t="shared" si="11"/>
        <v>0</v>
      </c>
      <c r="K182" s="101">
        <f t="shared" si="11"/>
        <v>0</v>
      </c>
      <c r="L182" s="101">
        <f t="shared" si="11"/>
        <v>0</v>
      </c>
      <c r="M182" s="101">
        <f t="shared" si="11"/>
        <v>0</v>
      </c>
      <c r="N182" s="101">
        <f t="shared" si="11"/>
        <v>0</v>
      </c>
      <c r="O182" s="101">
        <f t="shared" si="11"/>
        <v>0</v>
      </c>
      <c r="P182" s="101">
        <f t="shared" si="11"/>
        <v>0</v>
      </c>
      <c r="Q182" s="101">
        <f t="shared" si="11"/>
        <v>0</v>
      </c>
      <c r="R182" s="101">
        <f t="shared" si="11"/>
        <v>0</v>
      </c>
      <c r="S182" s="101">
        <f t="shared" ca="1" si="11"/>
        <v>0</v>
      </c>
      <c r="T182" s="101">
        <f t="shared" ca="1" si="11"/>
        <v>0</v>
      </c>
      <c r="U182" s="101">
        <f t="shared" ca="1" si="11"/>
        <v>0</v>
      </c>
      <c r="V182" s="101">
        <f t="shared" ca="1" si="11"/>
        <v>0</v>
      </c>
      <c r="W182" s="101">
        <f t="shared" ca="1" si="11"/>
        <v>0</v>
      </c>
      <c r="X182" s="101">
        <f t="shared" ca="1" si="11"/>
        <v>0</v>
      </c>
      <c r="Y182" s="101">
        <f t="shared" ca="1" si="11"/>
        <v>0</v>
      </c>
      <c r="Z182" s="101">
        <f t="shared" ca="1" si="11"/>
        <v>0</v>
      </c>
      <c r="AA182" s="101">
        <f t="shared" ca="1" si="11"/>
        <v>0</v>
      </c>
      <c r="AB182" s="101">
        <f t="shared" ca="1" si="11"/>
        <v>0</v>
      </c>
      <c r="AC182" s="101">
        <f t="shared" ca="1" si="11"/>
        <v>0</v>
      </c>
      <c r="AD182" s="101">
        <f t="shared" ca="1" si="11"/>
        <v>0</v>
      </c>
      <c r="AE182" s="592">
        <f t="shared" ca="1" si="11"/>
        <v>0</v>
      </c>
      <c r="AF182" s="939"/>
      <c r="AG182" s="939"/>
    </row>
    <row r="183" spans="1:33" s="301" customFormat="1">
      <c r="A183" s="561">
        <v>179</v>
      </c>
      <c r="C183" s="10"/>
      <c r="D183" s="29"/>
      <c r="E183" s="16" t="s">
        <v>534</v>
      </c>
      <c r="F183" s="101">
        <f t="shared" si="12"/>
        <v>0</v>
      </c>
      <c r="G183" s="101">
        <f>G$177*G173</f>
        <v>0</v>
      </c>
      <c r="H183" s="101">
        <f t="shared" si="11"/>
        <v>0</v>
      </c>
      <c r="I183" s="101">
        <f t="shared" si="11"/>
        <v>0</v>
      </c>
      <c r="J183" s="101">
        <f t="shared" si="11"/>
        <v>0</v>
      </c>
      <c r="K183" s="101">
        <f t="shared" si="11"/>
        <v>1.8508712063293151</v>
      </c>
      <c r="L183" s="101">
        <f t="shared" si="11"/>
        <v>2.2183940239033628</v>
      </c>
      <c r="M183" s="101">
        <f t="shared" si="11"/>
        <v>2.7440948812936061</v>
      </c>
      <c r="N183" s="101">
        <f t="shared" si="11"/>
        <v>2.2804376484050883</v>
      </c>
      <c r="O183" s="101">
        <f t="shared" si="11"/>
        <v>2.3253783078074468</v>
      </c>
      <c r="P183" s="101">
        <f t="shared" si="11"/>
        <v>2.5482836783575213</v>
      </c>
      <c r="Q183" s="101">
        <f t="shared" si="11"/>
        <v>2.4523189764851416</v>
      </c>
      <c r="R183" s="101">
        <f t="shared" si="11"/>
        <v>1.9113472086979257</v>
      </c>
      <c r="S183" s="101">
        <f t="shared" ca="1" si="11"/>
        <v>1.1434122160726157</v>
      </c>
      <c r="T183" s="101">
        <f t="shared" ca="1" si="11"/>
        <v>2.0523384419819761</v>
      </c>
      <c r="U183" s="101">
        <f t="shared" ca="1" si="11"/>
        <v>1.8136380897945235</v>
      </c>
      <c r="V183" s="101">
        <f t="shared" ca="1" si="11"/>
        <v>1.717587252502488</v>
      </c>
      <c r="W183" s="101">
        <f t="shared" ca="1" si="11"/>
        <v>1.4106225581610163</v>
      </c>
      <c r="X183" s="101">
        <f t="shared" ca="1" si="11"/>
        <v>1.2132083267407647</v>
      </c>
      <c r="Y183" s="101">
        <f t="shared" ca="1" si="11"/>
        <v>1.0252362539908968</v>
      </c>
      <c r="Z183" s="101">
        <f t="shared" ca="1" si="11"/>
        <v>0.78344279816855267</v>
      </c>
      <c r="AA183" s="101">
        <f t="shared" ca="1" si="11"/>
        <v>0.47606701418398406</v>
      </c>
      <c r="AB183" s="101">
        <f t="shared" ca="1" si="11"/>
        <v>0.23152554055135155</v>
      </c>
      <c r="AC183" s="101">
        <f t="shared" ca="1" si="11"/>
        <v>0.13732590091956046</v>
      </c>
      <c r="AD183" s="101">
        <f t="shared" ca="1" si="11"/>
        <v>0.13488171549056371</v>
      </c>
      <c r="AE183" s="592">
        <f t="shared" ca="1" si="11"/>
        <v>0.17627830140104267</v>
      </c>
      <c r="AF183" s="939"/>
      <c r="AG183" s="939"/>
    </row>
    <row r="184" spans="1:33" s="301" customFormat="1">
      <c r="A184" s="561">
        <v>180</v>
      </c>
      <c r="C184" s="10"/>
      <c r="D184" s="29"/>
      <c r="E184" s="16" t="s">
        <v>533</v>
      </c>
      <c r="F184" s="101">
        <f t="shared" si="12"/>
        <v>0</v>
      </c>
      <c r="G184" s="101">
        <f t="shared" si="11"/>
        <v>0</v>
      </c>
      <c r="H184" s="101">
        <f t="shared" si="11"/>
        <v>0</v>
      </c>
      <c r="I184" s="101">
        <f t="shared" si="11"/>
        <v>0</v>
      </c>
      <c r="J184" s="101">
        <f t="shared" si="11"/>
        <v>0</v>
      </c>
      <c r="K184" s="101">
        <f t="shared" si="11"/>
        <v>6.1695706877643843</v>
      </c>
      <c r="L184" s="101">
        <f t="shared" si="11"/>
        <v>6.3382686397238945</v>
      </c>
      <c r="M184" s="101">
        <f t="shared" si="11"/>
        <v>6.8602264368703567</v>
      </c>
      <c r="N184" s="101">
        <f t="shared" si="11"/>
        <v>6.7788048363237206</v>
      </c>
      <c r="O184" s="101">
        <f t="shared" si="11"/>
        <v>6.406581826229905</v>
      </c>
      <c r="P184" s="101">
        <f t="shared" si="11"/>
        <v>6.7581163138201807</v>
      </c>
      <c r="Q184" s="101">
        <f t="shared" si="11"/>
        <v>6.5036153637169205</v>
      </c>
      <c r="R184" s="101">
        <f t="shared" si="11"/>
        <v>3.7230827721473405</v>
      </c>
      <c r="S184" s="101">
        <f t="shared" ca="1" si="11"/>
        <v>2.2272344363967198</v>
      </c>
      <c r="T184" s="101">
        <f t="shared" ca="1" si="11"/>
        <v>3.997717348887194</v>
      </c>
      <c r="U184" s="101">
        <f t="shared" ca="1" si="11"/>
        <v>3.5327567363462515</v>
      </c>
      <c r="V184" s="101">
        <f t="shared" ca="1" si="11"/>
        <v>3.3456608408726511</v>
      </c>
      <c r="W184" s="101">
        <f t="shared" ca="1" si="11"/>
        <v>2.7477292039835279</v>
      </c>
      <c r="X184" s="101">
        <f t="shared" ca="1" si="11"/>
        <v>2.3631891682261594</v>
      </c>
      <c r="Y184" s="101">
        <f t="shared" ca="1" si="11"/>
        <v>1.9970413628901464</v>
      </c>
      <c r="Z184" s="101">
        <f t="shared" ca="1" si="11"/>
        <v>1.5260557430647477</v>
      </c>
      <c r="AA184" s="101">
        <f t="shared" ca="1" si="11"/>
        <v>0.92732335121019616</v>
      </c>
      <c r="AB184" s="101">
        <f t="shared" ca="1" si="11"/>
        <v>0.45098491127943902</v>
      </c>
      <c r="AC184" s="101">
        <f t="shared" ca="1" si="11"/>
        <v>0.26749493423098486</v>
      </c>
      <c r="AD184" s="101">
        <f t="shared" ca="1" si="11"/>
        <v>0.26273394437983666</v>
      </c>
      <c r="AE184" s="592">
        <f t="shared" ca="1" si="11"/>
        <v>0.34336969445583421</v>
      </c>
      <c r="AF184" s="939"/>
      <c r="AG184" s="939"/>
    </row>
    <row r="185" spans="1:33" s="301" customFormat="1">
      <c r="A185" s="561">
        <v>181</v>
      </c>
      <c r="C185" s="10"/>
      <c r="D185" s="29"/>
      <c r="E185" s="303" t="s">
        <v>503</v>
      </c>
      <c r="F185" s="102">
        <f>IF(ControlPanel!$T$5="nominal",F177-F175/10,F177-F175/10/'MOD-Berechnungen'!F26)</f>
        <v>0</v>
      </c>
      <c r="G185" s="102">
        <f>IF(ControlPanel!$T$5="nominal",G177-G175/10,G177-G175/10/'MOD-Berechnungen'!G26)</f>
        <v>-9.9999999999944578E-4</v>
      </c>
      <c r="H185" s="102">
        <f>IF(ControlPanel!$T$5="nominal",H177-H175/10,H177-H175/10/'MOD-Berechnungen'!H26)</f>
        <v>1.5920000000000005</v>
      </c>
      <c r="I185" s="102">
        <f>IF(ControlPanel!$T$5="nominal",I177-I175/10,I177-I175/10/'MOD-Berechnungen'!I26)</f>
        <v>3.2769999999999992</v>
      </c>
      <c r="J185" s="102">
        <f>IF(ControlPanel!$T$5="nominal",J177-J175/10,J177-J175/10/'MOD-Berechnungen'!J26)</f>
        <v>4.2399999999999993</v>
      </c>
      <c r="K185" s="102">
        <f>IF(ControlPanel!$T$5="nominal",K177-K175/10,K177-K175/10/'MOD-Berechnungen'!K26)</f>
        <v>6.1695706877643843</v>
      </c>
      <c r="L185" s="102">
        <f>IF(ControlPanel!$T$5="nominal",L177-L175/10,L177-L175/10/'MOD-Berechnungen'!L26)</f>
        <v>6.3382686397238945</v>
      </c>
      <c r="M185" s="102">
        <f>IF(ControlPanel!$T$5="nominal",M177-M175/10,M177-M175/10/'MOD-Berechnungen'!M26)</f>
        <v>6.8602264368703567</v>
      </c>
      <c r="N185" s="102">
        <f>IF(ControlPanel!$T$5="nominal",N177-N175/10,N177-N175/10/'MOD-Berechnungen'!N26)</f>
        <v>6.7788048363237206</v>
      </c>
      <c r="O185" s="102">
        <f>IF(ControlPanel!$T$5="nominal",O177-O175/10,O177-O175/10/'MOD-Berechnungen'!O26)</f>
        <v>6.406581826229905</v>
      </c>
      <c r="P185" s="102">
        <f>IF(ControlPanel!$T$5="nominal",P177-P175/10,P177-P175/10/'MOD-Berechnungen'!P26)</f>
        <v>6.7581163138201807</v>
      </c>
      <c r="Q185" s="102">
        <f>IF(ControlPanel!$T$5="nominal",Q177-Q175/10,Q177-Q175/10/'MOD-Berechnungen'!Q26)</f>
        <v>6.5036153637169205</v>
      </c>
      <c r="R185" s="102">
        <f>IF(ControlPanel!$T$5="nominal",R177-R175/10,R177-R175/10/'MOD-Berechnungen'!R26)</f>
        <v>3.7230827721473405</v>
      </c>
      <c r="S185" s="102">
        <f ca="1">IF(ControlPanel!$T$5="nominal",S177-S175/10,S177-S175/10/'MOD-Berechnungen'!S26)</f>
        <v>2.2272344363967198</v>
      </c>
      <c r="T185" s="102">
        <f ca="1">IF(ControlPanel!$T$5="nominal",T177-T175/10,T177-T175/10/'MOD-Berechnungen'!T26)</f>
        <v>3.997717348887194</v>
      </c>
      <c r="U185" s="102">
        <f ca="1">IF(ControlPanel!$T$5="nominal",U177-U175/10,U177-U175/10/'MOD-Berechnungen'!U26)</f>
        <v>3.5327567363462515</v>
      </c>
      <c r="V185" s="102">
        <f ca="1">IF(ControlPanel!$T$5="nominal",V177-V175/10,V177-V175/10/'MOD-Berechnungen'!V26)</f>
        <v>3.3456608408726511</v>
      </c>
      <c r="W185" s="102">
        <f ca="1">IF(ControlPanel!$T$5="nominal",W177-W175/10,W177-W175/10/'MOD-Berechnungen'!W26)</f>
        <v>2.7477292039835279</v>
      </c>
      <c r="X185" s="102">
        <f ca="1">IF(ControlPanel!$T$5="nominal",X177-X175/10,X177-X175/10/'MOD-Berechnungen'!X26)</f>
        <v>2.3631891682261594</v>
      </c>
      <c r="Y185" s="102">
        <f ca="1">IF(ControlPanel!$T$5="nominal",Y177-Y175/10,Y177-Y175/10/'MOD-Berechnungen'!Y26)</f>
        <v>1.9970413628901464</v>
      </c>
      <c r="Z185" s="102">
        <f ca="1">IF(ControlPanel!$T$5="nominal",Z177-Z175/10,Z177-Z175/10/'MOD-Berechnungen'!Z26)</f>
        <v>1.5260557430647477</v>
      </c>
      <c r="AA185" s="102">
        <f ca="1">IF(ControlPanel!$T$5="nominal",AA177-AA175/10,AA177-AA175/10/'MOD-Berechnungen'!AA26)</f>
        <v>0.92732335121019616</v>
      </c>
      <c r="AB185" s="102">
        <f ca="1">IF(ControlPanel!$T$5="nominal",AB177-AB175/10,AB177-AB175/10/'MOD-Berechnungen'!AB26)</f>
        <v>0.45098491127943902</v>
      </c>
      <c r="AC185" s="102">
        <f ca="1">IF(ControlPanel!$T$5="nominal",AC177-AC175/10,AC177-AC175/10/'MOD-Berechnungen'!AC26)</f>
        <v>0.26749493423098486</v>
      </c>
      <c r="AD185" s="102">
        <f ca="1">IF(ControlPanel!$T$5="nominal",AD177-AD175/10,AD177-AD175/10/'MOD-Berechnungen'!AD26)</f>
        <v>0.26273394437983666</v>
      </c>
      <c r="AE185" s="593">
        <f ca="1">IF(ControlPanel!$T$5="nominal",AE177-AE175/10,AE177-AE175/10/'MOD-Berechnungen'!AE26)</f>
        <v>0.34336969445583421</v>
      </c>
      <c r="AF185" s="939"/>
      <c r="AG185" s="939"/>
    </row>
    <row r="186" spans="1:33" s="301" customFormat="1">
      <c r="A186" s="561">
        <v>182</v>
      </c>
      <c r="C186" s="10"/>
      <c r="D186" s="29"/>
      <c r="E186" s="36"/>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939"/>
      <c r="AG186" s="939"/>
    </row>
    <row r="187" spans="1:33" s="301" customFormat="1">
      <c r="A187" s="561">
        <v>183</v>
      </c>
      <c r="C187" s="10"/>
      <c r="D187" s="29"/>
      <c r="E187" s="199" t="s">
        <v>531</v>
      </c>
      <c r="F187" s="596"/>
      <c r="G187" s="596"/>
      <c r="H187" s="596"/>
      <c r="I187" s="596"/>
      <c r="J187" s="596"/>
      <c r="K187" s="596"/>
      <c r="L187" s="331"/>
      <c r="M187" s="331"/>
      <c r="N187" s="331"/>
      <c r="O187" s="331"/>
      <c r="P187" s="331"/>
      <c r="Q187" s="331"/>
      <c r="R187" s="331"/>
      <c r="S187" s="331"/>
      <c r="T187" s="331"/>
      <c r="U187" s="331"/>
      <c r="V187" s="331"/>
      <c r="W187" s="331"/>
      <c r="X187" s="331"/>
      <c r="Y187" s="331"/>
      <c r="Z187" s="331"/>
      <c r="AA187" s="331"/>
      <c r="AB187" s="331"/>
      <c r="AC187" s="331"/>
      <c r="AD187" s="331"/>
      <c r="AE187" s="331"/>
      <c r="AF187" s="939"/>
      <c r="AG187" s="939"/>
    </row>
    <row r="188" spans="1:33" s="301" customFormat="1">
      <c r="A188" s="561">
        <v>184</v>
      </c>
      <c r="C188" s="10"/>
      <c r="D188" s="29"/>
      <c r="E188" s="321" t="s">
        <v>502</v>
      </c>
      <c r="F188" s="100">
        <f>F157*F180*10/1000</f>
        <v>8.200179649999999</v>
      </c>
      <c r="G188" s="100">
        <f t="shared" ref="G188:AE188" si="13">G157*G180*10/1000</f>
        <v>13.525185549484002</v>
      </c>
      <c r="H188" s="100">
        <f t="shared" si="13"/>
        <v>13.883379644640002</v>
      </c>
      <c r="I188" s="100">
        <f t="shared" si="13"/>
        <v>20.224554263969999</v>
      </c>
      <c r="J188" s="100">
        <f t="shared" si="13"/>
        <v>23.104251892800001</v>
      </c>
      <c r="K188" s="100">
        <f t="shared" si="13"/>
        <v>21.638272271801092</v>
      </c>
      <c r="L188" s="100">
        <f t="shared" si="13"/>
        <v>22.555421131422555</v>
      </c>
      <c r="M188" s="100">
        <f t="shared" si="13"/>
        <v>23.513570322565116</v>
      </c>
      <c r="N188" s="100">
        <f t="shared" si="13"/>
        <v>23.285053272826968</v>
      </c>
      <c r="O188" s="100">
        <f t="shared" si="13"/>
        <v>22.055778972951767</v>
      </c>
      <c r="P188" s="100">
        <f t="shared" si="13"/>
        <v>23.252845747155028</v>
      </c>
      <c r="Q188" s="100">
        <f t="shared" si="13"/>
        <v>21.567921937973843</v>
      </c>
      <c r="R188" s="100">
        <f t="shared" si="13"/>
        <v>12.434418620167067</v>
      </c>
      <c r="S188" s="100">
        <f t="shared" ca="1" si="13"/>
        <v>7.4573205629005477</v>
      </c>
      <c r="T188" s="100">
        <f t="shared" ca="1" si="13"/>
        <v>13.206036125008161</v>
      </c>
      <c r="U188" s="100">
        <f t="shared" ca="1" si="13"/>
        <v>11.533481966867592</v>
      </c>
      <c r="V188" s="100">
        <f t="shared" ca="1" si="13"/>
        <v>10.833832793818962</v>
      </c>
      <c r="W188" s="100">
        <f t="shared" ca="1" si="13"/>
        <v>9.4904201820535192</v>
      </c>
      <c r="X188" s="100">
        <f t="shared" ca="1" si="13"/>
        <v>8.6776288445485523</v>
      </c>
      <c r="Y188" s="100">
        <f t="shared" ca="1" si="13"/>
        <v>7.7713746948790545</v>
      </c>
      <c r="Z188" s="100">
        <f t="shared" ca="1" si="13"/>
        <v>6.2758863589680152</v>
      </c>
      <c r="AA188" s="100">
        <f t="shared" ca="1" si="13"/>
        <v>4.0186271666380886</v>
      </c>
      <c r="AB188" s="100">
        <f t="shared" ca="1" si="13"/>
        <v>2.054108579737469</v>
      </c>
      <c r="AC188" s="100">
        <f t="shared" ca="1" si="13"/>
        <v>1.2768805001393664</v>
      </c>
      <c r="AD188" s="100">
        <f t="shared" ca="1" si="13"/>
        <v>1.311424101903008</v>
      </c>
      <c r="AE188" s="591">
        <f t="shared" ca="1" si="13"/>
        <v>1.788399695292934</v>
      </c>
      <c r="AF188" s="939"/>
      <c r="AG188" s="939"/>
    </row>
    <row r="189" spans="1:33" s="301" customFormat="1">
      <c r="A189" s="561">
        <v>185</v>
      </c>
      <c r="C189" s="10"/>
      <c r="D189" s="29"/>
      <c r="E189" s="16" t="s">
        <v>142</v>
      </c>
      <c r="F189" s="101">
        <f t="shared" ref="F189:AE189" si="14">F158*F181*10/1000</f>
        <v>3.3936076147189527E-2</v>
      </c>
      <c r="G189" s="101">
        <f t="shared" si="14"/>
        <v>3.7357574237737327E-2</v>
      </c>
      <c r="H189" s="101">
        <f t="shared" si="14"/>
        <v>4.2365070647105339E-2</v>
      </c>
      <c r="I189" s="101">
        <f t="shared" si="14"/>
        <v>3.2711856918474516E-2</v>
      </c>
      <c r="J189" s="101">
        <f t="shared" si="14"/>
        <v>0.13849324742799995</v>
      </c>
      <c r="K189" s="101">
        <f t="shared" si="14"/>
        <v>0.47544348507015805</v>
      </c>
      <c r="L189" s="101">
        <f t="shared" si="14"/>
        <v>0.49193394541548258</v>
      </c>
      <c r="M189" s="101">
        <f t="shared" si="14"/>
        <v>0.44685654303362138</v>
      </c>
      <c r="N189" s="101">
        <f t="shared" si="14"/>
        <v>0.46668132346493202</v>
      </c>
      <c r="O189" s="101">
        <f t="shared" si="14"/>
        <v>0.41825657234659014</v>
      </c>
      <c r="P189" s="101">
        <f t="shared" si="14"/>
        <v>0.44473750674681178</v>
      </c>
      <c r="Q189" s="101">
        <f t="shared" si="14"/>
        <v>0.41990360429802653</v>
      </c>
      <c r="R189" s="101">
        <f t="shared" si="14"/>
        <v>0.26105747067618401</v>
      </c>
      <c r="S189" s="101">
        <f t="shared" ca="1" si="14"/>
        <v>0.15349801007635749</v>
      </c>
      <c r="T189" s="101">
        <f t="shared" ca="1" si="14"/>
        <v>0.28251218231608166</v>
      </c>
      <c r="U189" s="101">
        <f t="shared" ca="1" si="14"/>
        <v>0.25019712558611273</v>
      </c>
      <c r="V189" s="101">
        <f t="shared" ca="1" si="14"/>
        <v>0.23943849287007959</v>
      </c>
      <c r="W189" s="101">
        <f t="shared" ca="1" si="14"/>
        <v>0.19664639385423049</v>
      </c>
      <c r="X189" s="101">
        <f t="shared" ca="1" si="14"/>
        <v>0.16912606498971383</v>
      </c>
      <c r="Y189" s="101">
        <f t="shared" ca="1" si="14"/>
        <v>0.14292201058996323</v>
      </c>
      <c r="Z189" s="101">
        <f t="shared" ca="1" si="14"/>
        <v>0.10921504137276686</v>
      </c>
      <c r="AA189" s="101">
        <f t="shared" ca="1" si="14"/>
        <v>6.6365634825999525E-2</v>
      </c>
      <c r="AB189" s="101">
        <f t="shared" ca="1" si="14"/>
        <v>3.2275580998739284E-2</v>
      </c>
      <c r="AC189" s="101">
        <f t="shared" ca="1" si="14"/>
        <v>1.9143776655478992E-2</v>
      </c>
      <c r="AD189" s="101">
        <f t="shared" ca="1" si="14"/>
        <v>1.8803047487536396E-2</v>
      </c>
      <c r="AE189" s="592">
        <f t="shared" ca="1" si="14"/>
        <v>2.4573896174221961E-2</v>
      </c>
      <c r="AF189" s="939"/>
      <c r="AG189" s="939"/>
    </row>
    <row r="190" spans="1:33" s="301" customFormat="1">
      <c r="A190" s="561">
        <v>186</v>
      </c>
      <c r="C190" s="10"/>
      <c r="D190" s="29"/>
      <c r="E190" s="16" t="s">
        <v>535</v>
      </c>
      <c r="F190" s="101">
        <f t="shared" ref="F190:AE190" si="15">F159*F182*10/1000</f>
        <v>0</v>
      </c>
      <c r="G190" s="101">
        <f t="shared" si="15"/>
        <v>0</v>
      </c>
      <c r="H190" s="101">
        <f t="shared" si="15"/>
        <v>0</v>
      </c>
      <c r="I190" s="101">
        <f t="shared" si="15"/>
        <v>0</v>
      </c>
      <c r="J190" s="101">
        <f t="shared" si="15"/>
        <v>0</v>
      </c>
      <c r="K190" s="101">
        <f t="shared" si="15"/>
        <v>0</v>
      </c>
      <c r="L190" s="101">
        <f t="shared" si="15"/>
        <v>0</v>
      </c>
      <c r="M190" s="101">
        <f t="shared" si="15"/>
        <v>0</v>
      </c>
      <c r="N190" s="101">
        <f t="shared" si="15"/>
        <v>0</v>
      </c>
      <c r="O190" s="101">
        <f t="shared" si="15"/>
        <v>0</v>
      </c>
      <c r="P190" s="101">
        <f t="shared" si="15"/>
        <v>0</v>
      </c>
      <c r="Q190" s="101">
        <f t="shared" si="15"/>
        <v>0</v>
      </c>
      <c r="R190" s="101">
        <f t="shared" si="15"/>
        <v>0</v>
      </c>
      <c r="S190" s="101">
        <f t="shared" ca="1" si="15"/>
        <v>0</v>
      </c>
      <c r="T190" s="101">
        <f t="shared" ca="1" si="15"/>
        <v>0</v>
      </c>
      <c r="U190" s="101">
        <f t="shared" ca="1" si="15"/>
        <v>0</v>
      </c>
      <c r="V190" s="101">
        <f t="shared" ca="1" si="15"/>
        <v>0</v>
      </c>
      <c r="W190" s="101">
        <f t="shared" ca="1" si="15"/>
        <v>0</v>
      </c>
      <c r="X190" s="101">
        <f t="shared" ca="1" si="15"/>
        <v>0</v>
      </c>
      <c r="Y190" s="101">
        <f t="shared" ca="1" si="15"/>
        <v>0</v>
      </c>
      <c r="Z190" s="101">
        <f t="shared" ca="1" si="15"/>
        <v>0</v>
      </c>
      <c r="AA190" s="101">
        <f t="shared" ca="1" si="15"/>
        <v>0</v>
      </c>
      <c r="AB190" s="101">
        <f t="shared" ca="1" si="15"/>
        <v>0</v>
      </c>
      <c r="AC190" s="101">
        <f t="shared" ca="1" si="15"/>
        <v>0</v>
      </c>
      <c r="AD190" s="101">
        <f t="shared" ca="1" si="15"/>
        <v>0</v>
      </c>
      <c r="AE190" s="592">
        <f t="shared" ca="1" si="15"/>
        <v>0</v>
      </c>
      <c r="AF190" s="939"/>
      <c r="AG190" s="939"/>
    </row>
    <row r="191" spans="1:33" s="301" customFormat="1">
      <c r="A191" s="561">
        <v>187</v>
      </c>
      <c r="C191" s="10"/>
      <c r="D191" s="29"/>
      <c r="E191" s="16" t="s">
        <v>534</v>
      </c>
      <c r="F191" s="101">
        <f t="shared" ref="F191:AE191" si="16">F160*F183*10/1000</f>
        <v>0</v>
      </c>
      <c r="G191" s="101">
        <f t="shared" si="16"/>
        <v>0</v>
      </c>
      <c r="H191" s="101">
        <f t="shared" si="16"/>
        <v>0</v>
      </c>
      <c r="I191" s="101">
        <f t="shared" si="16"/>
        <v>0</v>
      </c>
      <c r="J191" s="101">
        <f t="shared" si="16"/>
        <v>0</v>
      </c>
      <c r="K191" s="101">
        <f t="shared" si="16"/>
        <v>6.0572144149240595E-3</v>
      </c>
      <c r="L191" s="101">
        <f t="shared" si="16"/>
        <v>2.3050875313210917E-2</v>
      </c>
      <c r="M191" s="101">
        <f t="shared" si="16"/>
        <v>3.344538185262718E-2</v>
      </c>
      <c r="N191" s="101">
        <f t="shared" si="16"/>
        <v>4.4102524528450558E-2</v>
      </c>
      <c r="O191" s="101">
        <f t="shared" si="16"/>
        <v>8.7158546249925278E-2</v>
      </c>
      <c r="P191" s="101">
        <f t="shared" si="16"/>
        <v>0.10332735749983345</v>
      </c>
      <c r="Q191" s="101">
        <f t="shared" si="16"/>
        <v>0.15709136125671255</v>
      </c>
      <c r="R191" s="101">
        <f t="shared" si="16"/>
        <v>0.15693526022298993</v>
      </c>
      <c r="S191" s="101">
        <f t="shared" ca="1" si="16"/>
        <v>0.10508660797526576</v>
      </c>
      <c r="T191" s="101">
        <f t="shared" ca="1" si="16"/>
        <v>0.21041206361768014</v>
      </c>
      <c r="U191" s="101">
        <f t="shared" ca="1" si="16"/>
        <v>0.20514953642636982</v>
      </c>
      <c r="V191" s="101">
        <f t="shared" ca="1" si="16"/>
        <v>0.21217434082718034</v>
      </c>
      <c r="W191" s="101">
        <f t="shared" ca="1" si="16"/>
        <v>0.18054611197928222</v>
      </c>
      <c r="X191" s="101">
        <f t="shared" ca="1" si="16"/>
        <v>0.15829748595126975</v>
      </c>
      <c r="Y191" s="101">
        <f t="shared" ca="1" si="16"/>
        <v>0.13633677221157803</v>
      </c>
      <c r="Z191" s="101">
        <f t="shared" ca="1" si="16"/>
        <v>0.10615467151682503</v>
      </c>
      <c r="AA191" s="101">
        <f t="shared" ca="1" si="16"/>
        <v>6.5711007725785905E-2</v>
      </c>
      <c r="AB191" s="101">
        <f t="shared" ca="1" si="16"/>
        <v>3.2546596732480358E-2</v>
      </c>
      <c r="AC191" s="101">
        <f t="shared" ca="1" si="16"/>
        <v>1.9656085558150856E-2</v>
      </c>
      <c r="AD191" s="101">
        <f t="shared" ca="1" si="16"/>
        <v>1.9653483535879531E-2</v>
      </c>
      <c r="AE191" s="592">
        <f t="shared" ca="1" si="16"/>
        <v>2.6138960757378558E-2</v>
      </c>
      <c r="AF191" s="939"/>
      <c r="AG191" s="939"/>
    </row>
    <row r="192" spans="1:33" s="301" customFormat="1">
      <c r="A192" s="561">
        <v>188</v>
      </c>
      <c r="C192" s="10"/>
      <c r="D192" s="29"/>
      <c r="E192" s="16" t="s">
        <v>533</v>
      </c>
      <c r="F192" s="101">
        <f t="shared" ref="F192:AE192" si="17">F161*F184*10/1000</f>
        <v>0</v>
      </c>
      <c r="G192" s="101">
        <f t="shared" si="17"/>
        <v>0</v>
      </c>
      <c r="H192" s="101">
        <f t="shared" si="17"/>
        <v>0</v>
      </c>
      <c r="I192" s="101">
        <f t="shared" si="17"/>
        <v>0</v>
      </c>
      <c r="J192" s="101">
        <f t="shared" si="17"/>
        <v>0</v>
      </c>
      <c r="K192" s="101">
        <f t="shared" si="17"/>
        <v>0</v>
      </c>
      <c r="L192" s="101">
        <f t="shared" si="17"/>
        <v>0</v>
      </c>
      <c r="M192" s="101">
        <f t="shared" si="17"/>
        <v>8.0579465102571135E-2</v>
      </c>
      <c r="N192" s="101">
        <f t="shared" si="17"/>
        <v>0.10466122169432336</v>
      </c>
      <c r="O192" s="101">
        <f t="shared" si="17"/>
        <v>0.16085421418934123</v>
      </c>
      <c r="P192" s="101">
        <f t="shared" si="17"/>
        <v>0.247104711034805</v>
      </c>
      <c r="Q192" s="101">
        <f t="shared" si="17"/>
        <v>0.25251938567933324</v>
      </c>
      <c r="R192" s="101">
        <f t="shared" si="17"/>
        <v>0.19443267376703069</v>
      </c>
      <c r="S192" s="101">
        <f t="shared" ca="1" si="17"/>
        <v>0.11631413349557464</v>
      </c>
      <c r="T192" s="101">
        <f t="shared" ca="1" si="17"/>
        <v>0.2087750718098248</v>
      </c>
      <c r="U192" s="101">
        <f t="shared" ca="1" si="17"/>
        <v>0.18449316871354998</v>
      </c>
      <c r="V192" s="101">
        <f t="shared" ca="1" si="17"/>
        <v>0.17472235311957174</v>
      </c>
      <c r="W192" s="101">
        <f t="shared" ca="1" si="17"/>
        <v>0.14349622842527804</v>
      </c>
      <c r="X192" s="101">
        <f t="shared" ca="1" si="17"/>
        <v>0.12341417495010061</v>
      </c>
      <c r="Y192" s="101">
        <f t="shared" ca="1" si="17"/>
        <v>0.10429262940778897</v>
      </c>
      <c r="Z192" s="101">
        <f t="shared" ca="1" si="17"/>
        <v>7.9696078921843869E-2</v>
      </c>
      <c r="AA192" s="101">
        <f t="shared" ca="1" si="17"/>
        <v>4.842813594456026E-2</v>
      </c>
      <c r="AB192" s="101">
        <f t="shared" ca="1" si="17"/>
        <v>2.3552042083145572E-2</v>
      </c>
      <c r="AC192" s="101">
        <f t="shared" ca="1" si="17"/>
        <v>1.3969540422457233E-2</v>
      </c>
      <c r="AD192" s="101">
        <f t="shared" ca="1" si="17"/>
        <v>1.3720904535696505E-2</v>
      </c>
      <c r="AE192" s="592">
        <f t="shared" ca="1" si="17"/>
        <v>1.7931991274292871E-2</v>
      </c>
      <c r="AF192" s="939"/>
      <c r="AG192" s="939"/>
    </row>
    <row r="193" spans="1:34" s="301" customFormat="1">
      <c r="A193" s="561">
        <v>189</v>
      </c>
      <c r="C193" s="10"/>
      <c r="D193" s="29"/>
      <c r="E193" s="303" t="s">
        <v>503</v>
      </c>
      <c r="F193" s="102">
        <f t="shared" ref="F193:AE193" si="18">F162*F185*10/1000</f>
        <v>0</v>
      </c>
      <c r="G193" s="102">
        <f t="shared" si="18"/>
        <v>-2.4664059639986332E-4</v>
      </c>
      <c r="H193" s="102">
        <f t="shared" si="18"/>
        <v>0.10059610792000002</v>
      </c>
      <c r="I193" s="102">
        <f t="shared" si="18"/>
        <v>8.5147700109999974E-2</v>
      </c>
      <c r="J193" s="102">
        <f t="shared" si="18"/>
        <v>0.25343497599999992</v>
      </c>
      <c r="K193" s="102">
        <f t="shared" si="18"/>
        <v>0</v>
      </c>
      <c r="L193" s="102">
        <f t="shared" si="18"/>
        <v>0</v>
      </c>
      <c r="M193" s="102">
        <f t="shared" si="18"/>
        <v>0</v>
      </c>
      <c r="N193" s="102">
        <f t="shared" si="18"/>
        <v>0</v>
      </c>
      <c r="O193" s="102">
        <f t="shared" si="18"/>
        <v>0</v>
      </c>
      <c r="P193" s="102">
        <f t="shared" si="18"/>
        <v>0</v>
      </c>
      <c r="Q193" s="102">
        <f t="shared" si="18"/>
        <v>0</v>
      </c>
      <c r="R193" s="102">
        <f t="shared" si="18"/>
        <v>0</v>
      </c>
      <c r="S193" s="102">
        <f t="shared" ca="1" si="18"/>
        <v>0</v>
      </c>
      <c r="T193" s="102">
        <f t="shared" ca="1" si="18"/>
        <v>0</v>
      </c>
      <c r="U193" s="102">
        <f t="shared" ca="1" si="18"/>
        <v>0</v>
      </c>
      <c r="V193" s="102">
        <f t="shared" ca="1" si="18"/>
        <v>0</v>
      </c>
      <c r="W193" s="102">
        <f t="shared" ca="1" si="18"/>
        <v>0</v>
      </c>
      <c r="X193" s="102">
        <f t="shared" ca="1" si="18"/>
        <v>0</v>
      </c>
      <c r="Y193" s="102">
        <f t="shared" ca="1" si="18"/>
        <v>0</v>
      </c>
      <c r="Z193" s="102">
        <f t="shared" ca="1" si="18"/>
        <v>0</v>
      </c>
      <c r="AA193" s="102">
        <f t="shared" ca="1" si="18"/>
        <v>0</v>
      </c>
      <c r="AB193" s="102">
        <f t="shared" ca="1" si="18"/>
        <v>0</v>
      </c>
      <c r="AC193" s="102">
        <f t="shared" ca="1" si="18"/>
        <v>0</v>
      </c>
      <c r="AD193" s="102">
        <f t="shared" ca="1" si="18"/>
        <v>0</v>
      </c>
      <c r="AE193" s="593">
        <f t="shared" ca="1" si="18"/>
        <v>0</v>
      </c>
      <c r="AF193" s="939"/>
      <c r="AG193" s="939"/>
    </row>
    <row r="194" spans="1:34" s="301" customFormat="1">
      <c r="A194" s="561">
        <v>190</v>
      </c>
      <c r="C194" s="10"/>
      <c r="D194" s="29"/>
      <c r="E194" s="36"/>
      <c r="F194" s="596"/>
      <c r="G194" s="596"/>
      <c r="H194" s="596"/>
      <c r="I194" s="596"/>
      <c r="J194" s="596"/>
      <c r="K194" s="596"/>
      <c r="L194" s="331"/>
      <c r="M194" s="331"/>
      <c r="N194" s="331"/>
      <c r="O194" s="331"/>
      <c r="P194" s="331"/>
      <c r="Q194" s="331"/>
      <c r="R194" s="331"/>
      <c r="S194" s="331"/>
      <c r="T194" s="331"/>
      <c r="U194" s="331"/>
      <c r="V194" s="331"/>
      <c r="W194" s="331"/>
      <c r="X194" s="331"/>
      <c r="Y194" s="331"/>
      <c r="Z194" s="331"/>
      <c r="AA194" s="331"/>
      <c r="AB194" s="331"/>
      <c r="AC194" s="331"/>
      <c r="AD194" s="331"/>
      <c r="AE194" s="331"/>
      <c r="AF194" s="939"/>
      <c r="AG194" s="939"/>
    </row>
    <row r="195" spans="1:34" s="301" customFormat="1">
      <c r="A195" s="561">
        <v>191</v>
      </c>
      <c r="C195" s="10"/>
      <c r="D195" s="29"/>
      <c r="E195" s="321" t="s">
        <v>490</v>
      </c>
      <c r="F195" s="603">
        <f>SUM(F188:F193)</f>
        <v>8.2341157261471878</v>
      </c>
      <c r="G195" s="603">
        <f t="shared" ref="G195:AE195" si="19">SUM(G188:G193)</f>
        <v>13.562296483125339</v>
      </c>
      <c r="H195" s="603">
        <f t="shared" si="19"/>
        <v>14.026340823207107</v>
      </c>
      <c r="I195" s="603">
        <f t="shared" si="19"/>
        <v>20.342413820998473</v>
      </c>
      <c r="J195" s="603">
        <f t="shared" si="19"/>
        <v>23.496180116228</v>
      </c>
      <c r="K195" s="603">
        <f t="shared" si="19"/>
        <v>22.119772971286174</v>
      </c>
      <c r="L195" s="603">
        <f t="shared" si="19"/>
        <v>23.070405952151248</v>
      </c>
      <c r="M195" s="603">
        <f t="shared" si="19"/>
        <v>24.074451712553934</v>
      </c>
      <c r="N195" s="603">
        <f t="shared" si="19"/>
        <v>23.900498342514673</v>
      </c>
      <c r="O195" s="603">
        <f t="shared" si="19"/>
        <v>22.722048305737623</v>
      </c>
      <c r="P195" s="603">
        <f t="shared" si="19"/>
        <v>24.048015322436477</v>
      </c>
      <c r="Q195" s="603">
        <f t="shared" si="19"/>
        <v>22.397436289207914</v>
      </c>
      <c r="R195" s="603">
        <f t="shared" si="19"/>
        <v>13.046844024833272</v>
      </c>
      <c r="S195" s="603">
        <f t="shared" ca="1" si="19"/>
        <v>7.8322193144477454</v>
      </c>
      <c r="T195" s="603">
        <f t="shared" ca="1" si="19"/>
        <v>13.907735442751747</v>
      </c>
      <c r="U195" s="603">
        <f t="shared" ca="1" si="19"/>
        <v>12.173321797593625</v>
      </c>
      <c r="V195" s="603">
        <f t="shared" ca="1" si="19"/>
        <v>11.460167980635793</v>
      </c>
      <c r="W195" s="603">
        <f t="shared" ca="1" si="19"/>
        <v>10.01110891631231</v>
      </c>
      <c r="X195" s="603">
        <f t="shared" ca="1" si="19"/>
        <v>9.1284665704396364</v>
      </c>
      <c r="Y195" s="603">
        <f t="shared" ca="1" si="19"/>
        <v>8.1549261070883841</v>
      </c>
      <c r="Z195" s="603">
        <f t="shared" ca="1" si="19"/>
        <v>6.5709521507794513</v>
      </c>
      <c r="AA195" s="603">
        <f t="shared" ca="1" si="19"/>
        <v>4.1991319451344333</v>
      </c>
      <c r="AB195" s="603">
        <f t="shared" ca="1" si="19"/>
        <v>2.1424827995518338</v>
      </c>
      <c r="AC195" s="603">
        <f t="shared" ca="1" si="19"/>
        <v>1.3296499027754534</v>
      </c>
      <c r="AD195" s="603">
        <f t="shared" ca="1" si="19"/>
        <v>1.3636015374621204</v>
      </c>
      <c r="AE195" s="604">
        <f t="shared" ca="1" si="19"/>
        <v>1.8570445434988272</v>
      </c>
      <c r="AF195" s="939"/>
      <c r="AG195" s="939"/>
    </row>
    <row r="196" spans="1:34" s="597" customFormat="1">
      <c r="A196" s="561">
        <v>192</v>
      </c>
      <c r="C196" s="598"/>
      <c r="D196" s="599"/>
      <c r="E196" s="303" t="s">
        <v>505</v>
      </c>
      <c r="F196" s="609">
        <f>F189/F$195</f>
        <v>4.1213989790581315E-3</v>
      </c>
      <c r="G196" s="609">
        <f t="shared" ref="G196:AE196" si="20">G189/G$195</f>
        <v>2.7545168537068091E-3</v>
      </c>
      <c r="H196" s="609">
        <f t="shared" si="20"/>
        <v>3.0203936422969805E-3</v>
      </c>
      <c r="I196" s="609">
        <f t="shared" si="20"/>
        <v>1.6080617180596177E-3</v>
      </c>
      <c r="J196" s="609">
        <f t="shared" si="20"/>
        <v>5.8942877839256707E-3</v>
      </c>
      <c r="K196" s="609">
        <f t="shared" si="20"/>
        <v>2.149404904323993E-2</v>
      </c>
      <c r="L196" s="609">
        <f t="shared" si="20"/>
        <v>2.132315948127524E-2</v>
      </c>
      <c r="M196" s="609">
        <f t="shared" si="20"/>
        <v>1.8561442161550964E-2</v>
      </c>
      <c r="N196" s="609">
        <f t="shared" si="20"/>
        <v>1.9526008067990371E-2</v>
      </c>
      <c r="O196" s="609">
        <f t="shared" si="20"/>
        <v>1.8407520603720164E-2</v>
      </c>
      <c r="P196" s="609">
        <f t="shared" si="20"/>
        <v>1.8493730180381147E-2</v>
      </c>
      <c r="Q196" s="609">
        <f t="shared" si="20"/>
        <v>1.8747842336774716E-2</v>
      </c>
      <c r="R196" s="609">
        <f t="shared" si="20"/>
        <v>2.0009242862050705E-2</v>
      </c>
      <c r="S196" s="609">
        <f t="shared" ca="1" si="20"/>
        <v>1.9598277820592508E-2</v>
      </c>
      <c r="T196" s="609">
        <f t="shared" ca="1" si="20"/>
        <v>2.031331293861487E-2</v>
      </c>
      <c r="U196" s="609">
        <f t="shared" ca="1" si="20"/>
        <v>2.0552904929825377E-2</v>
      </c>
      <c r="V196" s="609">
        <f t="shared" ca="1" si="20"/>
        <v>2.0893104994155233E-2</v>
      </c>
      <c r="W196" s="609">
        <f t="shared" ca="1" si="20"/>
        <v>1.9642818342912118E-2</v>
      </c>
      <c r="X196" s="609">
        <f t="shared" ca="1" si="20"/>
        <v>1.8527324790495295E-2</v>
      </c>
      <c r="Y196" s="609">
        <f t="shared" ca="1" si="20"/>
        <v>1.7525849862175119E-2</v>
      </c>
      <c r="Z196" s="609">
        <f t="shared" ca="1" si="20"/>
        <v>1.6620885203038907E-2</v>
      </c>
      <c r="AA196" s="609">
        <f t="shared" ca="1" si="20"/>
        <v>1.5804608117374806E-2</v>
      </c>
      <c r="AB196" s="609">
        <f t="shared" ca="1" si="20"/>
        <v>1.5064569482420449E-2</v>
      </c>
      <c r="AC196" s="609">
        <f t="shared" ca="1" si="20"/>
        <v>1.4397606930605647E-2</v>
      </c>
      <c r="AD196" s="609">
        <f t="shared" ca="1" si="20"/>
        <v>1.378925365729043E-2</v>
      </c>
      <c r="AE196" s="610">
        <f t="shared" ca="1" si="20"/>
        <v>1.3232798459385733E-2</v>
      </c>
      <c r="AF196" s="958"/>
      <c r="AG196" s="958"/>
    </row>
    <row r="197" spans="1:34" s="597" customFormat="1">
      <c r="A197" s="561" t="s">
        <v>718</v>
      </c>
      <c r="B197" s="301"/>
      <c r="C197" s="10"/>
      <c r="D197" s="29"/>
      <c r="E197" s="36"/>
      <c r="F197" s="331"/>
      <c r="G197" s="331"/>
      <c r="H197" s="331"/>
      <c r="I197" s="331"/>
      <c r="J197" s="331"/>
      <c r="K197" s="331"/>
      <c r="L197" s="331">
        <f>-'MOD-Berechnungen'!L69</f>
        <v>-37.164569479999997</v>
      </c>
      <c r="M197" s="331">
        <f>-'MOD-Berechnungen'!M69</f>
        <v>-36.764569479999999</v>
      </c>
      <c r="N197" s="331">
        <f>-'MOD-Berechnungen'!N69</f>
        <v>-36.264569479999999</v>
      </c>
      <c r="O197" s="331">
        <f>-'MOD-Berechnungen'!O69</f>
        <v>-35.664569479999997</v>
      </c>
      <c r="P197" s="331">
        <f>-'MOD-Berechnungen'!P69</f>
        <v>-34.964569480000002</v>
      </c>
      <c r="Q197" s="331">
        <f>-'MOD-Berechnungen'!Q69</f>
        <v>-33.158776369999998</v>
      </c>
      <c r="R197" s="331">
        <f>-'MOD-Berechnungen'!R69</f>
        <v>-30.565102570000001</v>
      </c>
      <c r="S197" s="331">
        <f>-'MOD-Berechnungen'!S69</f>
        <v>-27.51489948</v>
      </c>
      <c r="T197" s="331">
        <f>-'MOD-Berechnungen'!T69</f>
        <v>-24.797031480000001</v>
      </c>
      <c r="U197" s="331">
        <f>-'MOD-Berechnungen'!U69</f>
        <v>-22.74326048</v>
      </c>
      <c r="V197" s="331">
        <f>-'MOD-Berechnungen'!V69</f>
        <v>-20.92921698</v>
      </c>
      <c r="W197" s="331">
        <f>-'MOD-Berechnungen'!W69</f>
        <v>-18.699378980000002</v>
      </c>
      <c r="X197" s="331">
        <f>-'MOD-Berechnungen'!X69</f>
        <v>-17.013132779999999</v>
      </c>
      <c r="Y197" s="331"/>
      <c r="Z197" s="331"/>
      <c r="AA197" s="331"/>
      <c r="AB197" s="331"/>
      <c r="AC197" s="331"/>
      <c r="AD197" s="331"/>
      <c r="AE197" s="331"/>
      <c r="AF197" s="939"/>
      <c r="AG197" s="939"/>
      <c r="AH197" s="301"/>
    </row>
    <row r="198" spans="1:34" s="597" customFormat="1" ht="51">
      <c r="A198" s="561" t="s">
        <v>719</v>
      </c>
      <c r="B198" s="301"/>
      <c r="C198" s="10"/>
      <c r="D198" s="29"/>
      <c r="E198" s="322" t="s">
        <v>898</v>
      </c>
      <c r="F198" s="331"/>
      <c r="G198" s="331"/>
      <c r="H198" s="331"/>
      <c r="I198" s="331"/>
      <c r="J198" s="331"/>
      <c r="K198" s="331"/>
      <c r="L198" s="331">
        <f ca="1">OFFSET('MOD-Berechnungen'!L69,0,-MIN('D-Dauer Goldenes Ende'!M10,L$5-$K$5))</f>
        <v>37.164569479999997</v>
      </c>
      <c r="M198" s="331">
        <f ca="1">OFFSET('MOD-Berechnungen'!M69,0,-MIN('D-Dauer Goldenes Ende'!N10,M$5-$K$5))</f>
        <v>36.764569479999999</v>
      </c>
      <c r="N198" s="331">
        <f ca="1">OFFSET('MOD-Berechnungen'!N69,0,-MIN('D-Dauer Goldenes Ende'!O10,N$5-$K$5))</f>
        <v>36.264569479999999</v>
      </c>
      <c r="O198" s="331">
        <f ca="1">OFFSET('MOD-Berechnungen'!O69,0,-MIN('D-Dauer Goldenes Ende'!P10,O$5-$K$5))</f>
        <v>35.664569479999997</v>
      </c>
      <c r="P198" s="331">
        <f ca="1">OFFSET('MOD-Berechnungen'!P69,0,-MIN('D-Dauer Goldenes Ende'!Q10,P$5-$K$5))</f>
        <v>35.664569479999997</v>
      </c>
      <c r="Q198" s="331">
        <f ca="1">OFFSET('MOD-Berechnungen'!Q69,0,-MIN('D-Dauer Goldenes Ende'!R10,Q$5-$K$5))</f>
        <v>34.964569480000002</v>
      </c>
      <c r="R198" s="331">
        <f ca="1">OFFSET('MOD-Berechnungen'!R69,0,-MIN('D-Dauer Goldenes Ende'!S10,R$5-$K$5))</f>
        <v>36.764569479999999</v>
      </c>
      <c r="S198" s="331">
        <f ca="1">OFFSET('MOD-Berechnungen'!S69,0,-MIN('D-Dauer Goldenes Ende'!T10,S$5-$K$5))</f>
        <v>36.264569479999999</v>
      </c>
      <c r="T198" s="331">
        <f ca="1">OFFSET('MOD-Berechnungen'!T69,0,-MIN('D-Dauer Goldenes Ende'!U10,T$5-$K$5))</f>
        <v>35.664569479999997</v>
      </c>
      <c r="U198" s="331">
        <f ca="1">OFFSET('MOD-Berechnungen'!U69,0,-MIN('D-Dauer Goldenes Ende'!V10,U$5-$K$5))</f>
        <v>34.964569480000002</v>
      </c>
      <c r="V198" s="331">
        <f ca="1">OFFSET('MOD-Berechnungen'!V69,0,-MIN('D-Dauer Goldenes Ende'!W10,V$5-$K$5))</f>
        <v>33.158776369999998</v>
      </c>
      <c r="W198" s="331">
        <f ca="1">OFFSET('MOD-Berechnungen'!W69,0,-MIN('D-Dauer Goldenes Ende'!X10,W$5-$K$5))</f>
        <v>30.565102570000001</v>
      </c>
      <c r="X198" s="331">
        <f ca="1">OFFSET('MOD-Berechnungen'!X69,0,-MIN('D-Dauer Goldenes Ende'!Y10,X$5-$K$5))</f>
        <v>27.51489948</v>
      </c>
      <c r="Y198" s="331"/>
      <c r="Z198" s="331"/>
      <c r="AA198" s="331"/>
      <c r="AB198" s="331"/>
      <c r="AC198" s="331"/>
      <c r="AD198" s="331"/>
      <c r="AE198" s="331"/>
      <c r="AF198" s="939"/>
      <c r="AG198" s="939"/>
      <c r="AH198" s="345" t="s">
        <v>730</v>
      </c>
    </row>
    <row r="199" spans="1:34" s="597" customFormat="1">
      <c r="A199" s="561" t="s">
        <v>720</v>
      </c>
      <c r="B199" s="301"/>
      <c r="C199" s="10"/>
      <c r="D199" s="29"/>
      <c r="E199" s="302" t="s">
        <v>25</v>
      </c>
      <c r="F199" s="642">
        <v>0</v>
      </c>
      <c r="G199" s="1078">
        <v>0</v>
      </c>
      <c r="H199" s="1078">
        <v>0</v>
      </c>
      <c r="I199" s="1078">
        <v>0</v>
      </c>
      <c r="J199" s="642">
        <v>0</v>
      </c>
      <c r="K199" s="1079">
        <f ca="1">OFFSET('MOD-Berechnungen'!K65,0,-MIN('D-Dauer Goldenes Ende'!L6,K$5-$K$5))-'MOD-Berechnungen'!K65</f>
        <v>0</v>
      </c>
      <c r="L199" s="1079">
        <f ca="1">OFFSET('MOD-Berechnungen'!L65,0,-MIN('D-Dauer Goldenes Ende'!M6,L$5-$K$5))-'MOD-Berechnungen'!L65</f>
        <v>0</v>
      </c>
      <c r="M199" s="1079">
        <f ca="1">OFFSET('MOD-Berechnungen'!M65,0,-MIN('D-Dauer Goldenes Ende'!N6,M$5-$K$5))-'MOD-Berechnungen'!M65</f>
        <v>0</v>
      </c>
      <c r="N199" s="1079">
        <f ca="1">OFFSET('MOD-Berechnungen'!N65,0,-MIN('D-Dauer Goldenes Ende'!O6,N$5-$K$5))-'MOD-Berechnungen'!N65</f>
        <v>0</v>
      </c>
      <c r="O199" s="1079">
        <f ca="1">OFFSET('MOD-Berechnungen'!O65,0,-MIN('D-Dauer Goldenes Ende'!P6,O$5-$K$5))-'MOD-Berechnungen'!O65</f>
        <v>0</v>
      </c>
      <c r="P199" s="1079">
        <f ca="1">OFFSET('MOD-Berechnungen'!P65,0,-MIN('D-Dauer Goldenes Ende'!Q6,P$5-$K$5))-'MOD-Berechnungen'!P65</f>
        <v>0</v>
      </c>
      <c r="Q199" s="1079">
        <f ca="1">OFFSET('MOD-Berechnungen'!Q65,0,-MIN('D-Dauer Goldenes Ende'!R6,Q$5-$K$5))-'MOD-Berechnungen'!Q65</f>
        <v>0</v>
      </c>
      <c r="R199" s="1079">
        <f ca="1">OFFSET('MOD-Berechnungen'!R65,0,-MIN('D-Dauer Goldenes Ende'!S6,R$5-$K$5))-'MOD-Berechnungen'!R65</f>
        <v>0</v>
      </c>
      <c r="S199" s="1079">
        <f ca="1">OFFSET('MOD-Berechnungen'!S65,0,-MIN('D-Dauer Goldenes Ende'!T6,S$5-$K$5))-'MOD-Berechnungen'!S65</f>
        <v>0</v>
      </c>
      <c r="T199" s="1079">
        <f ca="1">OFFSET('MOD-Berechnungen'!T65,0,-MIN('D-Dauer Goldenes Ende'!U6,T$5-$K$5))-'MOD-Berechnungen'!T65</f>
        <v>0</v>
      </c>
      <c r="U199" s="1079">
        <f ca="1">OFFSET('MOD-Berechnungen'!U65,0,-MIN('D-Dauer Goldenes Ende'!V6,U$5-$K$5))-'MOD-Berechnungen'!U65</f>
        <v>0</v>
      </c>
      <c r="V199" s="1079">
        <f ca="1">OFFSET('MOD-Berechnungen'!V65,0,-MIN('D-Dauer Goldenes Ende'!W6,V$5-$K$5))-'MOD-Berechnungen'!V65</f>
        <v>0</v>
      </c>
      <c r="W199" s="1079">
        <f ca="1">OFFSET('MOD-Berechnungen'!W65,0,-MIN('D-Dauer Goldenes Ende'!X6,W$5-$K$5))-'MOD-Berechnungen'!W65</f>
        <v>0</v>
      </c>
      <c r="X199" s="1079">
        <f ca="1">OFFSET('MOD-Berechnungen'!X65,0,-MIN('D-Dauer Goldenes Ende'!Y6,X$5-$K$5))-'MOD-Berechnungen'!X65</f>
        <v>0</v>
      </c>
      <c r="Y199" s="1079">
        <f ca="1">OFFSET('MOD-Berechnungen'!Y65,0,-MIN('D-Dauer Goldenes Ende'!Z6,Y$5-$K$5))-'MOD-Berechnungen'!Y65</f>
        <v>0</v>
      </c>
      <c r="Z199" s="1079">
        <f ca="1">OFFSET('MOD-Berechnungen'!Z65,0,-MIN('D-Dauer Goldenes Ende'!AA6,Z$5-$K$5))-'MOD-Berechnungen'!Z65</f>
        <v>0</v>
      </c>
      <c r="AA199" s="1079">
        <f ca="1">OFFSET('MOD-Berechnungen'!AA65,0,-MIN('D-Dauer Goldenes Ende'!AB6,AA$5-$K$5))-'MOD-Berechnungen'!AA65</f>
        <v>0</v>
      </c>
      <c r="AB199" s="1079">
        <f ca="1">OFFSET('MOD-Berechnungen'!AB65,0,-MIN('D-Dauer Goldenes Ende'!AC6,AB$5-$K$5))-'MOD-Berechnungen'!AB65</f>
        <v>0</v>
      </c>
      <c r="AC199" s="1079">
        <f ca="1">OFFSET('MOD-Berechnungen'!AC65,0,-MIN('D-Dauer Goldenes Ende'!AD6,AC$5-$K$5))-'MOD-Berechnungen'!AC65</f>
        <v>0</v>
      </c>
      <c r="AD199" s="1079">
        <f ca="1">OFFSET('MOD-Berechnungen'!AD65,0,-MIN('D-Dauer Goldenes Ende'!AE6,AD$5-$K$5))-'MOD-Berechnungen'!AD65</f>
        <v>0</v>
      </c>
      <c r="AE199" s="591">
        <f ca="1">OFFSET('MOD-Berechnungen'!AE65,0,-MIN('D-Dauer Goldenes Ende'!AF6,AE$5-$K$5))-'MOD-Berechnungen'!AE65</f>
        <v>0</v>
      </c>
      <c r="AF199" s="939"/>
      <c r="AG199" s="939"/>
      <c r="AH199" s="301"/>
    </row>
    <row r="200" spans="1:34" s="597" customFormat="1">
      <c r="A200" s="561" t="s">
        <v>721</v>
      </c>
      <c r="B200" s="301"/>
      <c r="C200" s="10"/>
      <c r="D200" s="29"/>
      <c r="E200" s="304" t="s">
        <v>50</v>
      </c>
      <c r="F200" s="643">
        <v>0</v>
      </c>
      <c r="G200" s="57">
        <v>0</v>
      </c>
      <c r="H200" s="57">
        <v>0</v>
      </c>
      <c r="I200" s="57">
        <v>0</v>
      </c>
      <c r="J200" s="643">
        <v>0</v>
      </c>
      <c r="K200" s="101">
        <f ca="1">OFFSET('MOD-Berechnungen'!K66,0,-MIN('D-Dauer Goldenes Ende'!L7,K$5-$K$5))-'MOD-Berechnungen'!K66</f>
        <v>0</v>
      </c>
      <c r="L200" s="101">
        <f ca="1">OFFSET('MOD-Berechnungen'!L66,0,-MIN('D-Dauer Goldenes Ende'!M7,L$5-$K$5))-'MOD-Berechnungen'!L66</f>
        <v>0</v>
      </c>
      <c r="M200" s="101">
        <f ca="1">OFFSET('MOD-Berechnungen'!M66,0,-MIN('D-Dauer Goldenes Ende'!N7,M$5-$K$5))-'MOD-Berechnungen'!M66</f>
        <v>0</v>
      </c>
      <c r="N200" s="101">
        <f ca="1">OFFSET('MOD-Berechnungen'!N66,0,-MIN('D-Dauer Goldenes Ende'!O7,N$5-$K$5))-'MOD-Berechnungen'!N66</f>
        <v>0</v>
      </c>
      <c r="O200" s="101">
        <f ca="1">OFFSET('MOD-Berechnungen'!O66,0,-MIN('D-Dauer Goldenes Ende'!P7,O$5-$K$5))-'MOD-Berechnungen'!O66</f>
        <v>0</v>
      </c>
      <c r="P200" s="101">
        <f ca="1">OFFSET('MOD-Berechnungen'!P66,0,-MIN('D-Dauer Goldenes Ende'!Q7,P$5-$K$5))-'MOD-Berechnungen'!P66</f>
        <v>0</v>
      </c>
      <c r="Q200" s="101">
        <f ca="1">OFFSET('MOD-Berechnungen'!Q66,0,-MIN('D-Dauer Goldenes Ende'!R7,Q$5-$K$5))-'MOD-Berechnungen'!Q66</f>
        <v>0</v>
      </c>
      <c r="R200" s="101">
        <f ca="1">OFFSET('MOD-Berechnungen'!R66,0,-MIN('D-Dauer Goldenes Ende'!S7,R$5-$K$5))-'MOD-Berechnungen'!R66</f>
        <v>0</v>
      </c>
      <c r="S200" s="101">
        <f ca="1">OFFSET('MOD-Berechnungen'!S66,0,-MIN('D-Dauer Goldenes Ende'!T7,S$5-$K$5))-'MOD-Berechnungen'!S66</f>
        <v>0</v>
      </c>
      <c r="T200" s="101">
        <f ca="1">OFFSET('MOD-Berechnungen'!T66,0,-MIN('D-Dauer Goldenes Ende'!U7,T$5-$K$5))-'MOD-Berechnungen'!T66</f>
        <v>0</v>
      </c>
      <c r="U200" s="101">
        <f ca="1">OFFSET('MOD-Berechnungen'!U66,0,-MIN('D-Dauer Goldenes Ende'!V7,U$5-$K$5))-'MOD-Berechnungen'!U66</f>
        <v>0</v>
      </c>
      <c r="V200" s="101">
        <f ca="1">OFFSET('MOD-Berechnungen'!V66,0,-MIN('D-Dauer Goldenes Ende'!W7,V$5-$K$5))-'MOD-Berechnungen'!V66</f>
        <v>0</v>
      </c>
      <c r="W200" s="101">
        <f ca="1">OFFSET('MOD-Berechnungen'!W66,0,-MIN('D-Dauer Goldenes Ende'!X7,W$5-$K$5))-'MOD-Berechnungen'!W66</f>
        <v>0</v>
      </c>
      <c r="X200" s="101">
        <f ca="1">OFFSET('MOD-Berechnungen'!X66,0,-MIN('D-Dauer Goldenes Ende'!Y7,X$5-$K$5))-'MOD-Berechnungen'!X66</f>
        <v>0</v>
      </c>
      <c r="Y200" s="101">
        <f ca="1">OFFSET('MOD-Berechnungen'!Y66,0,-MIN('D-Dauer Goldenes Ende'!Z7,Y$5-$K$5))-'MOD-Berechnungen'!Y66</f>
        <v>0</v>
      </c>
      <c r="Z200" s="101">
        <f ca="1">OFFSET('MOD-Berechnungen'!Z66,0,-MIN('D-Dauer Goldenes Ende'!AA7,Z$5-$K$5))-'MOD-Berechnungen'!Z66</f>
        <v>0</v>
      </c>
      <c r="AA200" s="101">
        <f ca="1">OFFSET('MOD-Berechnungen'!AA66,0,-MIN('D-Dauer Goldenes Ende'!AB7,AA$5-$K$5))-'MOD-Berechnungen'!AA66</f>
        <v>0</v>
      </c>
      <c r="AB200" s="101">
        <f ca="1">OFFSET('MOD-Berechnungen'!AB66,0,-MIN('D-Dauer Goldenes Ende'!AC7,AB$5-$K$5))-'MOD-Berechnungen'!AB66</f>
        <v>0</v>
      </c>
      <c r="AC200" s="101">
        <f ca="1">OFFSET('MOD-Berechnungen'!AC66,0,-MIN('D-Dauer Goldenes Ende'!AD7,AC$5-$K$5))-'MOD-Berechnungen'!AC66</f>
        <v>0</v>
      </c>
      <c r="AD200" s="101">
        <f ca="1">OFFSET('MOD-Berechnungen'!AD66,0,-MIN('D-Dauer Goldenes Ende'!AE7,AD$5-$K$5))-'MOD-Berechnungen'!AD66</f>
        <v>0</v>
      </c>
      <c r="AE200" s="592">
        <f ca="1">OFFSET('MOD-Berechnungen'!AE66,0,-MIN('D-Dauer Goldenes Ende'!AF7,AE$5-$K$5))-'MOD-Berechnungen'!AE66</f>
        <v>0</v>
      </c>
      <c r="AF200" s="939"/>
      <c r="AG200" s="939"/>
      <c r="AH200" s="301"/>
    </row>
    <row r="201" spans="1:34" s="597" customFormat="1">
      <c r="A201" s="561" t="s">
        <v>722</v>
      </c>
      <c r="B201" s="301"/>
      <c r="C201" s="10"/>
      <c r="D201" s="29"/>
      <c r="E201" s="304" t="s">
        <v>13</v>
      </c>
      <c r="F201" s="643">
        <v>0</v>
      </c>
      <c r="G201" s="57">
        <v>0</v>
      </c>
      <c r="H201" s="57">
        <v>0</v>
      </c>
      <c r="I201" s="57">
        <v>0</v>
      </c>
      <c r="J201" s="643">
        <v>0</v>
      </c>
      <c r="K201" s="101">
        <f ca="1">OFFSET('MOD-Berechnungen'!K67,0,-MIN('D-Dauer Goldenes Ende'!L8,K$5-$K$5))-'MOD-Berechnungen'!K67</f>
        <v>0</v>
      </c>
      <c r="L201" s="101">
        <f ca="1">OFFSET('MOD-Berechnungen'!L67,0,-MIN('D-Dauer Goldenes Ende'!M8,L$5-$K$5))-'MOD-Berechnungen'!L67</f>
        <v>0</v>
      </c>
      <c r="M201" s="101">
        <f ca="1">OFFSET('MOD-Berechnungen'!M67,0,-MIN('D-Dauer Goldenes Ende'!N8,M$5-$K$5))-'MOD-Berechnungen'!M67</f>
        <v>0</v>
      </c>
      <c r="N201" s="101">
        <f ca="1">OFFSET('MOD-Berechnungen'!N67,0,-MIN('D-Dauer Goldenes Ende'!O8,N$5-$K$5))-'MOD-Berechnungen'!N67</f>
        <v>0</v>
      </c>
      <c r="O201" s="101">
        <f ca="1">OFFSET('MOD-Berechnungen'!O67,0,-MIN('D-Dauer Goldenes Ende'!P8,O$5-$K$5))-'MOD-Berechnungen'!O67</f>
        <v>0</v>
      </c>
      <c r="P201" s="101">
        <f ca="1">OFFSET('MOD-Berechnungen'!P67,0,-MIN('D-Dauer Goldenes Ende'!Q8,P$5-$K$5))-'MOD-Berechnungen'!P67</f>
        <v>0</v>
      </c>
      <c r="Q201" s="101">
        <f ca="1">OFFSET('MOD-Berechnungen'!Q67,0,-MIN('D-Dauer Goldenes Ende'!R8,Q$5-$K$5))-'MOD-Berechnungen'!Q67</f>
        <v>0</v>
      </c>
      <c r="R201" s="101">
        <f ca="1">OFFSET('MOD-Berechnungen'!R67,0,-MIN('D-Dauer Goldenes Ende'!S8,R$5-$K$5))-'MOD-Berechnungen'!R67</f>
        <v>0</v>
      </c>
      <c r="S201" s="101">
        <f ca="1">OFFSET('MOD-Berechnungen'!S67,0,-MIN('D-Dauer Goldenes Ende'!T8,S$5-$K$5))-'MOD-Berechnungen'!S67</f>
        <v>0</v>
      </c>
      <c r="T201" s="101">
        <f ca="1">OFFSET('MOD-Berechnungen'!T67,0,-MIN('D-Dauer Goldenes Ende'!U8,T$5-$K$5))-'MOD-Berechnungen'!T67</f>
        <v>0</v>
      </c>
      <c r="U201" s="101">
        <f ca="1">OFFSET('MOD-Berechnungen'!U67,0,-MIN('D-Dauer Goldenes Ende'!V8,U$5-$K$5))-'MOD-Berechnungen'!U67</f>
        <v>0</v>
      </c>
      <c r="V201" s="101">
        <f ca="1">OFFSET('MOD-Berechnungen'!V67,0,-MIN('D-Dauer Goldenes Ende'!W8,V$5-$K$5))-'MOD-Berechnungen'!V67</f>
        <v>0</v>
      </c>
      <c r="W201" s="101">
        <f ca="1">OFFSET('MOD-Berechnungen'!W67,0,-MIN('D-Dauer Goldenes Ende'!X8,W$5-$K$5))-'MOD-Berechnungen'!W67</f>
        <v>0</v>
      </c>
      <c r="X201" s="101">
        <f ca="1">OFFSET('MOD-Berechnungen'!X67,0,-MIN('D-Dauer Goldenes Ende'!Y8,X$5-$K$5))-'MOD-Berechnungen'!X67</f>
        <v>0</v>
      </c>
      <c r="Y201" s="101">
        <f ca="1">OFFSET('MOD-Berechnungen'!Y67,0,-MIN('D-Dauer Goldenes Ende'!Z8,Y$5-$K$5))-'MOD-Berechnungen'!Y67</f>
        <v>0</v>
      </c>
      <c r="Z201" s="101">
        <f ca="1">OFFSET('MOD-Berechnungen'!Z67,0,-MIN('D-Dauer Goldenes Ende'!AA8,Z$5-$K$5))-'MOD-Berechnungen'!Z67</f>
        <v>0</v>
      </c>
      <c r="AA201" s="101">
        <f ca="1">OFFSET('MOD-Berechnungen'!AA67,0,-MIN('D-Dauer Goldenes Ende'!AB8,AA$5-$K$5))-'MOD-Berechnungen'!AA67</f>
        <v>0</v>
      </c>
      <c r="AB201" s="101">
        <f ca="1">OFFSET('MOD-Berechnungen'!AB67,0,-MIN('D-Dauer Goldenes Ende'!AC8,AB$5-$K$5))-'MOD-Berechnungen'!AB67</f>
        <v>0</v>
      </c>
      <c r="AC201" s="101">
        <f ca="1">OFFSET('MOD-Berechnungen'!AC67,0,-MIN('D-Dauer Goldenes Ende'!AD8,AC$5-$K$5))-'MOD-Berechnungen'!AC67</f>
        <v>0</v>
      </c>
      <c r="AD201" s="101">
        <f ca="1">OFFSET('MOD-Berechnungen'!AD67,0,-MIN('D-Dauer Goldenes Ende'!AE8,AD$5-$K$5))-'MOD-Berechnungen'!AD67</f>
        <v>0</v>
      </c>
      <c r="AE201" s="592">
        <f ca="1">OFFSET('MOD-Berechnungen'!AE67,0,-MIN('D-Dauer Goldenes Ende'!AF8,AE$5-$K$5))-'MOD-Berechnungen'!AE67</f>
        <v>0</v>
      </c>
      <c r="AF201" s="939"/>
      <c r="AG201" s="939"/>
      <c r="AH201" s="301"/>
    </row>
    <row r="202" spans="1:34" s="597" customFormat="1">
      <c r="A202" s="561" t="s">
        <v>723</v>
      </c>
      <c r="B202" s="301"/>
      <c r="C202" s="10"/>
      <c r="D202" s="29"/>
      <c r="E202" s="304" t="s">
        <v>12</v>
      </c>
      <c r="F202" s="643">
        <v>0</v>
      </c>
      <c r="G202" s="57">
        <v>0</v>
      </c>
      <c r="H202" s="57">
        <v>0</v>
      </c>
      <c r="I202" s="57">
        <v>0</v>
      </c>
      <c r="J202" s="643">
        <v>0</v>
      </c>
      <c r="K202" s="101">
        <f ca="1">OFFSET('MOD-Berechnungen'!K68,0,-MIN('D-Dauer Goldenes Ende'!L9,K$5-$K$5))-'MOD-Berechnungen'!K68</f>
        <v>0</v>
      </c>
      <c r="L202" s="101">
        <f ca="1">OFFSET('MOD-Berechnungen'!L68,0,-MIN('D-Dauer Goldenes Ende'!M9,L$5-$K$5))-'MOD-Berechnungen'!L68</f>
        <v>0</v>
      </c>
      <c r="M202" s="101">
        <f ca="1">OFFSET('MOD-Berechnungen'!M68,0,-MIN('D-Dauer Goldenes Ende'!N9,M$5-$K$5))-'MOD-Berechnungen'!M68</f>
        <v>0</v>
      </c>
      <c r="N202" s="101">
        <f ca="1">OFFSET('MOD-Berechnungen'!N68,0,-MIN('D-Dauer Goldenes Ende'!O9,N$5-$K$5))-'MOD-Berechnungen'!N68</f>
        <v>0</v>
      </c>
      <c r="O202" s="101">
        <f ca="1">OFFSET('MOD-Berechnungen'!O68,0,-MIN('D-Dauer Goldenes Ende'!P9,O$5-$K$5))-'MOD-Berechnungen'!O68</f>
        <v>0</v>
      </c>
      <c r="P202" s="101">
        <f ca="1">OFFSET('MOD-Berechnungen'!P68,0,-MIN('D-Dauer Goldenes Ende'!Q9,P$5-$K$5))-'MOD-Berechnungen'!P68</f>
        <v>0</v>
      </c>
      <c r="Q202" s="101">
        <f ca="1">OFFSET('MOD-Berechnungen'!Q68,0,-MIN('D-Dauer Goldenes Ende'!R9,Q$5-$K$5))-'MOD-Berechnungen'!Q68</f>
        <v>0</v>
      </c>
      <c r="R202" s="101">
        <f ca="1">OFFSET('MOD-Berechnungen'!R68,0,-MIN('D-Dauer Goldenes Ende'!S9,R$5-$K$5))-'MOD-Berechnungen'!R68</f>
        <v>0</v>
      </c>
      <c r="S202" s="101">
        <f ca="1">OFFSET('MOD-Berechnungen'!S68,0,-MIN('D-Dauer Goldenes Ende'!T9,S$5-$K$5))-'MOD-Berechnungen'!S68</f>
        <v>0</v>
      </c>
      <c r="T202" s="101">
        <f ca="1">OFFSET('MOD-Berechnungen'!T68,0,-MIN('D-Dauer Goldenes Ende'!U9,T$5-$K$5))-'MOD-Berechnungen'!T68</f>
        <v>0</v>
      </c>
      <c r="U202" s="101">
        <f ca="1">OFFSET('MOD-Berechnungen'!U68,0,-MIN('D-Dauer Goldenes Ende'!V9,U$5-$K$5))-'MOD-Berechnungen'!U68</f>
        <v>0</v>
      </c>
      <c r="V202" s="101">
        <f ca="1">OFFSET('MOD-Berechnungen'!V68,0,-MIN('D-Dauer Goldenes Ende'!W9,V$5-$K$5))-'MOD-Berechnungen'!V68</f>
        <v>0</v>
      </c>
      <c r="W202" s="101">
        <f ca="1">OFFSET('MOD-Berechnungen'!W68,0,-MIN('D-Dauer Goldenes Ende'!X9,W$5-$K$5))-'MOD-Berechnungen'!W68</f>
        <v>0</v>
      </c>
      <c r="X202" s="101">
        <f ca="1">OFFSET('MOD-Berechnungen'!X68,0,-MIN('D-Dauer Goldenes Ende'!Y9,X$5-$K$5))-'MOD-Berechnungen'!X68</f>
        <v>0</v>
      </c>
      <c r="Y202" s="101">
        <f ca="1">OFFSET('MOD-Berechnungen'!Y68,0,-MIN('D-Dauer Goldenes Ende'!Z9,Y$5-$K$5))-'MOD-Berechnungen'!Y68</f>
        <v>0</v>
      </c>
      <c r="Z202" s="101">
        <f ca="1">OFFSET('MOD-Berechnungen'!Z68,0,-MIN('D-Dauer Goldenes Ende'!AA9,Z$5-$K$5))-'MOD-Berechnungen'!Z68</f>
        <v>0</v>
      </c>
      <c r="AA202" s="101">
        <f ca="1">OFFSET('MOD-Berechnungen'!AA68,0,-MIN('D-Dauer Goldenes Ende'!AB9,AA$5-$K$5))-'MOD-Berechnungen'!AA68</f>
        <v>0</v>
      </c>
      <c r="AB202" s="101">
        <f ca="1">OFFSET('MOD-Berechnungen'!AB68,0,-MIN('D-Dauer Goldenes Ende'!AC9,AB$5-$K$5))-'MOD-Berechnungen'!AB68</f>
        <v>0</v>
      </c>
      <c r="AC202" s="101">
        <f ca="1">OFFSET('MOD-Berechnungen'!AC68,0,-MIN('D-Dauer Goldenes Ende'!AD9,AC$5-$K$5))-'MOD-Berechnungen'!AC68</f>
        <v>0</v>
      </c>
      <c r="AD202" s="101">
        <f ca="1">OFFSET('MOD-Berechnungen'!AD68,0,-MIN('D-Dauer Goldenes Ende'!AE9,AD$5-$K$5))-'MOD-Berechnungen'!AD68</f>
        <v>0</v>
      </c>
      <c r="AE202" s="592">
        <f ca="1">OFFSET('MOD-Berechnungen'!AE68,0,-MIN('D-Dauer Goldenes Ende'!AF9,AE$5-$K$5))-'MOD-Berechnungen'!AE68</f>
        <v>0</v>
      </c>
      <c r="AF202" s="939"/>
      <c r="AG202" s="939"/>
      <c r="AH202" s="301"/>
    </row>
    <row r="203" spans="1:34" s="597" customFormat="1">
      <c r="A203" s="561" t="s">
        <v>724</v>
      </c>
      <c r="B203" s="301"/>
      <c r="C203" s="10"/>
      <c r="D203" s="29"/>
      <c r="E203" s="304" t="s">
        <v>24</v>
      </c>
      <c r="F203" s="643">
        <v>0</v>
      </c>
      <c r="G203" s="57">
        <v>0</v>
      </c>
      <c r="H203" s="57">
        <v>0</v>
      </c>
      <c r="I203" s="57">
        <v>0</v>
      </c>
      <c r="J203" s="643">
        <v>0</v>
      </c>
      <c r="K203" s="101">
        <f ca="1">OFFSET('MOD-Berechnungen'!K69,0,-MIN('D-Dauer Goldenes Ende'!L10,K$5-$K$5))-'MOD-Berechnungen'!K69</f>
        <v>0</v>
      </c>
      <c r="L203" s="101">
        <f ca="1">OFFSET('MOD-Berechnungen'!L69,0,-MIN('D-Dauer Goldenes Ende'!M10,L$5-$K$5))-'MOD-Berechnungen'!L69</f>
        <v>0</v>
      </c>
      <c r="M203" s="101">
        <f ca="1">OFFSET('MOD-Berechnungen'!M69,0,-MIN('D-Dauer Goldenes Ende'!N10,M$5-$K$5))-'MOD-Berechnungen'!M69</f>
        <v>0</v>
      </c>
      <c r="N203" s="101">
        <f ca="1">OFFSET('MOD-Berechnungen'!N69,0,-MIN('D-Dauer Goldenes Ende'!O10,N$5-$K$5))-'MOD-Berechnungen'!N69</f>
        <v>0</v>
      </c>
      <c r="O203" s="101">
        <f ca="1">OFFSET('MOD-Berechnungen'!O69,0,-MIN('D-Dauer Goldenes Ende'!P10,O$5-$K$5))-'MOD-Berechnungen'!O69</f>
        <v>0</v>
      </c>
      <c r="P203" s="101">
        <f ca="1">OFFSET('MOD-Berechnungen'!P69,0,-MIN('D-Dauer Goldenes Ende'!Q10,P$5-$K$5))-'MOD-Berechnungen'!P69</f>
        <v>0.69999999999999574</v>
      </c>
      <c r="Q203" s="101">
        <f ca="1">OFFSET('MOD-Berechnungen'!Q69,0,-MIN('D-Dauer Goldenes Ende'!R10,Q$5-$K$5))-'MOD-Berechnungen'!Q69</f>
        <v>1.8057931100000033</v>
      </c>
      <c r="R203" s="101">
        <f ca="1">OFFSET('MOD-Berechnungen'!R69,0,-MIN('D-Dauer Goldenes Ende'!S10,R$5-$K$5))-'MOD-Berechnungen'!R69</f>
        <v>6.1994669099999982</v>
      </c>
      <c r="S203" s="101">
        <f ca="1">OFFSET('MOD-Berechnungen'!S69,0,-MIN('D-Dauer Goldenes Ende'!T10,S$5-$K$5))-'MOD-Berechnungen'!S69</f>
        <v>8.7496699999999983</v>
      </c>
      <c r="T203" s="101">
        <f ca="1">OFFSET('MOD-Berechnungen'!T69,0,-MIN('D-Dauer Goldenes Ende'!U10,T$5-$K$5))-'MOD-Berechnungen'!T69</f>
        <v>10.867537999999996</v>
      </c>
      <c r="U203" s="101">
        <f ca="1">OFFSET('MOD-Berechnungen'!U69,0,-MIN('D-Dauer Goldenes Ende'!V10,U$5-$K$5))-'MOD-Berechnungen'!U69</f>
        <v>12.221309000000002</v>
      </c>
      <c r="V203" s="101">
        <f ca="1">OFFSET('MOD-Berechnungen'!V69,0,-MIN('D-Dauer Goldenes Ende'!W10,V$5-$K$5))-'MOD-Berechnungen'!V69</f>
        <v>12.229559389999999</v>
      </c>
      <c r="W203" s="101">
        <f ca="1">OFFSET('MOD-Berechnungen'!W69,0,-MIN('D-Dauer Goldenes Ende'!X10,W$5-$K$5))-'MOD-Berechnungen'!W69</f>
        <v>11.865723589999998</v>
      </c>
      <c r="X203" s="101">
        <f ca="1">OFFSET('MOD-Berechnungen'!X69,0,-MIN('D-Dauer Goldenes Ende'!Y10,X$5-$K$5))-'MOD-Berechnungen'!X69</f>
        <v>10.501766700000001</v>
      </c>
      <c r="Y203" s="101">
        <f ca="1">OFFSET('MOD-Berechnungen'!Y69,0,-MIN('D-Dauer Goldenes Ende'!Z10,Y$5-$K$5))-'MOD-Berechnungen'!Y69</f>
        <v>8.5557627000000025</v>
      </c>
      <c r="Z203" s="101">
        <f ca="1">OFFSET('MOD-Berechnungen'!Z69,0,-MIN('D-Dauer Goldenes Ende'!AA10,Z$5-$K$5))-'MOD-Berechnungen'!Z69</f>
        <v>9.2013316200000013</v>
      </c>
      <c r="AA203" s="101">
        <f ca="1">OFFSET('MOD-Berechnungen'!AA69,0,-MIN('D-Dauer Goldenes Ende'!AB10,AA$5-$K$5))-'MOD-Berechnungen'!AA69</f>
        <v>8.8139477700000004</v>
      </c>
      <c r="AB203" s="101">
        <f ca="1">OFFSET('MOD-Berechnungen'!AB69,0,-MIN('D-Dauer Goldenes Ende'!AC10,AB$5-$K$5))-'MOD-Berechnungen'!AB69</f>
        <v>8.4605920300000044</v>
      </c>
      <c r="AC203" s="101">
        <f ca="1">OFFSET('MOD-Berechnungen'!AC69,0,-MIN('D-Dauer Goldenes Ende'!AD10,AC$5-$K$5))-'MOD-Berechnungen'!AC69</f>
        <v>9.1954703600000016</v>
      </c>
      <c r="AD203" s="101">
        <f ca="1">OFFSET('MOD-Berechnungen'!AD69,0,-MIN('D-Dauer Goldenes Ende'!AE10,AD$5-$K$5))-'MOD-Berechnungen'!AD69</f>
        <v>11.456038149999999</v>
      </c>
      <c r="AE203" s="592">
        <f ca="1">OFFSET('MOD-Berechnungen'!AE69,0,-MIN('D-Dauer Goldenes Ende'!AF10,AE$5-$K$5))-'MOD-Berechnungen'!AE69</f>
        <v>13.541928859999999</v>
      </c>
      <c r="AF203" s="939"/>
      <c r="AG203" s="939"/>
      <c r="AH203" s="75"/>
    </row>
    <row r="204" spans="1:34" s="597" customFormat="1">
      <c r="A204" s="561" t="s">
        <v>725</v>
      </c>
      <c r="B204" s="301"/>
      <c r="C204" s="10"/>
      <c r="D204" s="29"/>
      <c r="E204" s="304" t="s">
        <v>26</v>
      </c>
      <c r="F204" s="643">
        <v>0</v>
      </c>
      <c r="G204" s="57">
        <v>0</v>
      </c>
      <c r="H204" s="57">
        <v>0</v>
      </c>
      <c r="I204" s="57">
        <v>0</v>
      </c>
      <c r="J204" s="643">
        <v>0</v>
      </c>
      <c r="K204" s="101">
        <f ca="1">OFFSET('MOD-Berechnungen'!K70,0,-MIN('D-Dauer Goldenes Ende'!L11,K$5-$K$5))-'MOD-Berechnungen'!K70</f>
        <v>0</v>
      </c>
      <c r="L204" s="101">
        <f ca="1">OFFSET('MOD-Berechnungen'!L70,0,-MIN('D-Dauer Goldenes Ende'!M11,L$5-$K$5))-'MOD-Berechnungen'!L70</f>
        <v>0</v>
      </c>
      <c r="M204" s="101">
        <f ca="1">OFFSET('MOD-Berechnungen'!M70,0,-MIN('D-Dauer Goldenes Ende'!N11,M$5-$K$5))-'MOD-Berechnungen'!M70</f>
        <v>0</v>
      </c>
      <c r="N204" s="101">
        <f ca="1">OFFSET('MOD-Berechnungen'!N70,0,-MIN('D-Dauer Goldenes Ende'!O11,N$5-$K$5))-'MOD-Berechnungen'!N70</f>
        <v>0</v>
      </c>
      <c r="O204" s="101">
        <f ca="1">OFFSET('MOD-Berechnungen'!O70,0,-MIN('D-Dauer Goldenes Ende'!P11,O$5-$K$5))-'MOD-Berechnungen'!O70</f>
        <v>0</v>
      </c>
      <c r="P204" s="101">
        <f ca="1">OFFSET('MOD-Berechnungen'!P70,0,-MIN('D-Dauer Goldenes Ende'!Q11,P$5-$K$5))-'MOD-Berechnungen'!P70</f>
        <v>0</v>
      </c>
      <c r="Q204" s="101">
        <f ca="1">OFFSET('MOD-Berechnungen'!Q70,0,-MIN('D-Dauer Goldenes Ende'!R11,Q$5-$K$5))-'MOD-Berechnungen'!Q70</f>
        <v>0</v>
      </c>
      <c r="R204" s="101">
        <f ca="1">OFFSET('MOD-Berechnungen'!R70,0,-MIN('D-Dauer Goldenes Ende'!S11,R$5-$K$5))-'MOD-Berechnungen'!R70</f>
        <v>0</v>
      </c>
      <c r="S204" s="101">
        <f ca="1">OFFSET('MOD-Berechnungen'!S70,0,-MIN('D-Dauer Goldenes Ende'!T11,S$5-$K$5))-'MOD-Berechnungen'!S70</f>
        <v>0</v>
      </c>
      <c r="T204" s="101">
        <f ca="1">OFFSET('MOD-Berechnungen'!T70,0,-MIN('D-Dauer Goldenes Ende'!U11,T$5-$K$5))-'MOD-Berechnungen'!T70</f>
        <v>0</v>
      </c>
      <c r="U204" s="101">
        <f ca="1">OFFSET('MOD-Berechnungen'!U70,0,-MIN('D-Dauer Goldenes Ende'!V11,U$5-$K$5))-'MOD-Berechnungen'!U70</f>
        <v>0</v>
      </c>
      <c r="V204" s="101">
        <f ca="1">OFFSET('MOD-Berechnungen'!V70,0,-MIN('D-Dauer Goldenes Ende'!W11,V$5-$K$5))-'MOD-Berechnungen'!V70</f>
        <v>0</v>
      </c>
      <c r="W204" s="101">
        <f ca="1">OFFSET('MOD-Berechnungen'!W70,0,-MIN('D-Dauer Goldenes Ende'!X11,W$5-$K$5))-'MOD-Berechnungen'!W70</f>
        <v>0</v>
      </c>
      <c r="X204" s="101">
        <f ca="1">OFFSET('MOD-Berechnungen'!X70,0,-MIN('D-Dauer Goldenes Ende'!Y11,X$5-$K$5))-'MOD-Berechnungen'!X70</f>
        <v>0</v>
      </c>
      <c r="Y204" s="101">
        <f ca="1">OFFSET('MOD-Berechnungen'!Y70,0,-MIN('D-Dauer Goldenes Ende'!Z11,Y$5-$K$5))-'MOD-Berechnungen'!Y70</f>
        <v>0</v>
      </c>
      <c r="Z204" s="101">
        <f ca="1">OFFSET('MOD-Berechnungen'!Z70,0,-MIN('D-Dauer Goldenes Ende'!AA11,Z$5-$K$5))-'MOD-Berechnungen'!Z70</f>
        <v>0</v>
      </c>
      <c r="AA204" s="101">
        <f ca="1">OFFSET('MOD-Berechnungen'!AA70,0,-MIN('D-Dauer Goldenes Ende'!AB11,AA$5-$K$5))-'MOD-Berechnungen'!AA70</f>
        <v>0</v>
      </c>
      <c r="AB204" s="101">
        <f ca="1">OFFSET('MOD-Berechnungen'!AB70,0,-MIN('D-Dauer Goldenes Ende'!AC11,AB$5-$K$5))-'MOD-Berechnungen'!AB70</f>
        <v>0</v>
      </c>
      <c r="AC204" s="101">
        <f ca="1">OFFSET('MOD-Berechnungen'!AC70,0,-MIN('D-Dauer Goldenes Ende'!AD11,AC$5-$K$5))-'MOD-Berechnungen'!AC70</f>
        <v>0</v>
      </c>
      <c r="AD204" s="101">
        <f ca="1">OFFSET('MOD-Berechnungen'!AD70,0,-MIN('D-Dauer Goldenes Ende'!AE11,AD$5-$K$5))-'MOD-Berechnungen'!AD70</f>
        <v>0</v>
      </c>
      <c r="AE204" s="592">
        <f ca="1">OFFSET('MOD-Berechnungen'!AE70,0,-MIN('D-Dauer Goldenes Ende'!AF11,AE$5-$K$5))-'MOD-Berechnungen'!AE70</f>
        <v>0</v>
      </c>
      <c r="AF204" s="939"/>
      <c r="AG204" s="939"/>
      <c r="AH204" s="301"/>
    </row>
    <row r="205" spans="1:34" s="597" customFormat="1">
      <c r="A205" s="561" t="s">
        <v>726</v>
      </c>
      <c r="B205" s="301"/>
      <c r="C205" s="10"/>
      <c r="D205" s="29"/>
      <c r="E205" s="305" t="s">
        <v>74</v>
      </c>
      <c r="F205" s="645">
        <v>0</v>
      </c>
      <c r="G205" s="58">
        <v>0</v>
      </c>
      <c r="H205" s="58">
        <v>0</v>
      </c>
      <c r="I205" s="58">
        <v>0</v>
      </c>
      <c r="J205" s="645">
        <v>0</v>
      </c>
      <c r="K205" s="102">
        <f ca="1">OFFSET('MOD-Berechnungen'!K71,0,-MIN('D-Dauer Goldenes Ende'!L12,K$5-$K$5))-'MOD-Berechnungen'!K71</f>
        <v>0</v>
      </c>
      <c r="L205" s="102">
        <f ca="1">OFFSET('MOD-Berechnungen'!L71,0,-MIN('D-Dauer Goldenes Ende'!M12,L$5-$K$5))-'MOD-Berechnungen'!L71</f>
        <v>0</v>
      </c>
      <c r="M205" s="102">
        <f ca="1">OFFSET('MOD-Berechnungen'!M71,0,-MIN('D-Dauer Goldenes Ende'!N12,M$5-$K$5))-'MOD-Berechnungen'!M71</f>
        <v>0</v>
      </c>
      <c r="N205" s="102">
        <f ca="1">OFFSET('MOD-Berechnungen'!N71,0,-MIN('D-Dauer Goldenes Ende'!O12,N$5-$K$5))-'MOD-Berechnungen'!N71</f>
        <v>0</v>
      </c>
      <c r="O205" s="102">
        <f ca="1">OFFSET('MOD-Berechnungen'!O71,0,-MIN('D-Dauer Goldenes Ende'!P12,O$5-$K$5))-'MOD-Berechnungen'!O71</f>
        <v>0</v>
      </c>
      <c r="P205" s="102">
        <f ca="1">OFFSET('MOD-Berechnungen'!P71,0,-MIN('D-Dauer Goldenes Ende'!Q12,P$5-$K$5))-'MOD-Berechnungen'!P71</f>
        <v>0</v>
      </c>
      <c r="Q205" s="102">
        <f ca="1">OFFSET('MOD-Berechnungen'!Q71,0,-MIN('D-Dauer Goldenes Ende'!R12,Q$5-$K$5))-'MOD-Berechnungen'!Q71</f>
        <v>0.12397249399993626</v>
      </c>
      <c r="R205" s="102">
        <f ca="1">OFFSET('MOD-Berechnungen'!R71,0,-MIN('D-Dauer Goldenes Ende'!S12,R$5-$K$5))-'MOD-Berechnungen'!R71</f>
        <v>0.23261118399993563</v>
      </c>
      <c r="S205" s="102">
        <f ca="1">OFFSET('MOD-Berechnungen'!S71,0,-MIN('D-Dauer Goldenes Ende'!T12,S$5-$K$5))-'MOD-Berechnungen'!S71</f>
        <v>0.34283273399993419</v>
      </c>
      <c r="T205" s="102">
        <f ca="1">OFFSET('MOD-Berechnungen'!T71,0,-MIN('D-Dauer Goldenes Ende'!U12,T$5-$K$5))-'MOD-Berechnungen'!T71</f>
        <v>0.48527928399993669</v>
      </c>
      <c r="U205" s="102">
        <f ca="1">OFFSET('MOD-Berechnungen'!U71,0,-MIN('D-Dauer Goldenes Ende'!V12,U$5-$K$5))-'MOD-Berechnungen'!U71</f>
        <v>1.1413085839999368</v>
      </c>
      <c r="V205" s="102">
        <f ca="1">OFFSET('MOD-Berechnungen'!V71,0,-MIN('D-Dauer Goldenes Ende'!W12,V$5-$K$5))-'MOD-Berechnungen'!V71</f>
        <v>1.9419381499999986</v>
      </c>
      <c r="W205" s="102">
        <f ca="1">OFFSET('MOD-Berechnungen'!W71,0,-MIN('D-Dauer Goldenes Ende'!X12,W$5-$K$5))-'MOD-Berechnungen'!W71</f>
        <v>2.6778944100000004</v>
      </c>
      <c r="X205" s="102">
        <f ca="1">OFFSET('MOD-Berechnungen'!X71,0,-MIN('D-Dauer Goldenes Ende'!Y12,X$5-$K$5))-'MOD-Berechnungen'!X71</f>
        <v>3.8214239860000063</v>
      </c>
      <c r="Y205" s="102">
        <f ca="1">OFFSET('MOD-Berechnungen'!Y71,0,-MIN('D-Dauer Goldenes Ende'!Z12,Y$5-$K$5))-'MOD-Berechnungen'!Y71</f>
        <v>5.6585205460000019</v>
      </c>
      <c r="Z205" s="102">
        <f ca="1">OFFSET('MOD-Berechnungen'!Z71,0,-MIN('D-Dauer Goldenes Ende'!AA12,Z$5-$K$5))-'MOD-Berechnungen'!Z71</f>
        <v>9.4409510860000161</v>
      </c>
      <c r="AA205" s="102">
        <f ca="1">OFFSET('MOD-Berechnungen'!AA71,0,-MIN('D-Dauer Goldenes Ende'!AB12,AA$5-$K$5))-'MOD-Berechnungen'!AA71</f>
        <v>16.110225366000051</v>
      </c>
      <c r="AB205" s="102">
        <f ca="1">OFFSET('MOD-Berechnungen'!AB71,0,-MIN('D-Dauer Goldenes Ende'!AC12,AB$5-$K$5))-'MOD-Berechnungen'!AB71</f>
        <v>23.266020476000055</v>
      </c>
      <c r="AC205" s="102">
        <f ca="1">OFFSET('MOD-Berechnungen'!AC71,0,-MIN('D-Dauer Goldenes Ende'!AD12,AC$5-$K$5))-'MOD-Berechnungen'!AC71</f>
        <v>28.854563230000075</v>
      </c>
      <c r="AD205" s="102">
        <f ca="1">OFFSET('MOD-Berechnungen'!AD71,0,-MIN('D-Dauer Goldenes Ende'!AE12,AD$5-$K$5))-'MOD-Berechnungen'!AD71</f>
        <v>30.010640880000061</v>
      </c>
      <c r="AE205" s="593">
        <f ca="1">OFFSET('MOD-Berechnungen'!AE71,0,-MIN('D-Dauer Goldenes Ende'!AF12,AE$5-$K$5))-'MOD-Berechnungen'!AE71</f>
        <v>27.317740330000046</v>
      </c>
      <c r="AF205" s="939"/>
      <c r="AG205" s="939"/>
      <c r="AH205" s="301"/>
    </row>
    <row r="206" spans="1:34" s="597" customFormat="1">
      <c r="A206" s="561" t="s">
        <v>727</v>
      </c>
      <c r="B206" s="301"/>
      <c r="C206" s="10"/>
      <c r="D206" s="29"/>
      <c r="E206" s="36"/>
      <c r="F206" s="596"/>
      <c r="G206" s="596"/>
      <c r="H206" s="596"/>
      <c r="I206" s="596"/>
      <c r="J206" s="596"/>
      <c r="K206" s="596"/>
      <c r="L206" s="331"/>
      <c r="M206" s="331"/>
      <c r="N206" s="331"/>
      <c r="O206" s="331"/>
      <c r="P206" s="331"/>
      <c r="Q206" s="331"/>
      <c r="R206" s="331"/>
      <c r="S206" s="331"/>
      <c r="T206" s="331"/>
      <c r="U206" s="331"/>
      <c r="V206" s="331"/>
      <c r="W206" s="331"/>
      <c r="X206" s="331"/>
      <c r="Y206" s="331"/>
      <c r="Z206" s="331"/>
      <c r="AA206" s="331"/>
      <c r="AB206" s="331"/>
      <c r="AC206" s="331"/>
      <c r="AD206" s="331"/>
      <c r="AE206" s="331"/>
      <c r="AF206" s="939"/>
      <c r="AG206" s="939"/>
      <c r="AH206" s="301"/>
    </row>
    <row r="207" spans="1:34" s="597" customFormat="1" ht="38.25">
      <c r="A207" s="561" t="s">
        <v>728</v>
      </c>
      <c r="B207" s="301"/>
      <c r="C207" s="10"/>
      <c r="D207" s="29"/>
      <c r="E207" s="1080" t="s">
        <v>731</v>
      </c>
      <c r="F207" s="611">
        <f>SUM(F199:F205)+SUM('D-EE-Kapazitäten nicht EEG'!G6:G12)</f>
        <v>4.840091199999998</v>
      </c>
      <c r="G207" s="611">
        <f>SUM(G199:G205)+SUM('D-EE-Kapazitäten nicht EEG'!H6:H12)</f>
        <v>4.840091199999998</v>
      </c>
      <c r="H207" s="611">
        <f>SUM(H199:H205)+SUM('D-EE-Kapazitäten nicht EEG'!I6:I12)</f>
        <v>4.7665611999999973</v>
      </c>
      <c r="I207" s="611">
        <f>SUM(I199:I205)+SUM('D-EE-Kapazitäten nicht EEG'!J6:J12)</f>
        <v>5.2694293699999983</v>
      </c>
      <c r="J207" s="611">
        <f>SUM(J199:J205)+SUM('D-EE-Kapazitäten nicht EEG'!K6:K12)</f>
        <v>5.5089811999999982</v>
      </c>
      <c r="K207" s="611">
        <f ca="1">SUM(K199:K205)+SUM('D-EE-Kapazitäten nicht EEG'!L6:L12)</f>
        <v>5.5479792599999973</v>
      </c>
      <c r="L207" s="611">
        <f ca="1">SUM(L199:L205)+SUM('D-EE-Kapazitäten nicht EEG'!M6:M12)</f>
        <v>5.5479792599999973</v>
      </c>
      <c r="M207" s="611">
        <f ca="1">SUM(M199:M205)+SUM('D-EE-Kapazitäten nicht EEG'!N6:N12)</f>
        <v>5.5479792599999973</v>
      </c>
      <c r="N207" s="611">
        <f ca="1">SUM(N199:N205)+SUM('D-EE-Kapazitäten nicht EEG'!O6:O12)</f>
        <v>5.5479792599999973</v>
      </c>
      <c r="O207" s="611">
        <f ca="1">SUM(O199:O205)+SUM('D-EE-Kapazitäten nicht EEG'!P6:P12)</f>
        <v>5.5479792599999973</v>
      </c>
      <c r="P207" s="611">
        <f ca="1">SUM(P199:P205)+SUM('D-EE-Kapazitäten nicht EEG'!Q6:Q12)</f>
        <v>6.247979259999993</v>
      </c>
      <c r="Q207" s="611">
        <f ca="1">SUM(Q199:Q205)+SUM('D-EE-Kapazitäten nicht EEG'!R6:R12)</f>
        <v>7.4777448639999369</v>
      </c>
      <c r="R207" s="611">
        <f ca="1">SUM(R199:R205)+SUM('D-EE-Kapazitäten nicht EEG'!S6:S12)</f>
        <v>11.980057353999932</v>
      </c>
      <c r="S207" s="611">
        <f ca="1">SUM(S199:S205)+SUM('D-EE-Kapazitäten nicht EEG'!T6:T12)</f>
        <v>14.640481993999931</v>
      </c>
      <c r="T207" s="611">
        <f ca="1">SUM(T199:T205)+SUM('D-EE-Kapazitäten nicht EEG'!U6:U12)</f>
        <v>16.900796543999931</v>
      </c>
      <c r="U207" s="611">
        <f ca="1">SUM(U199:U205)+SUM('D-EE-Kapazitäten nicht EEG'!V6:V12)</f>
        <v>18.910596843999937</v>
      </c>
      <c r="V207" s="611">
        <f ca="1">SUM(V199:V205)+SUM('D-EE-Kapazitäten nicht EEG'!W6:W12)</f>
        <v>19.719476799999995</v>
      </c>
      <c r="W207" s="611">
        <f ca="1">SUM(W199:W205)+SUM('D-EE-Kapazitäten nicht EEG'!X6:X12)</f>
        <v>20.091597259999997</v>
      </c>
      <c r="X207" s="611">
        <f ca="1">SUM(X199:X205)+SUM('D-EE-Kapazitäten nicht EEG'!Y6:Y12)</f>
        <v>19.871169946000006</v>
      </c>
      <c r="Y207" s="611">
        <f ca="1">SUM(Y199:Y205)+SUM('D-EE-Kapazitäten nicht EEG'!Z6:Z12)</f>
        <v>19.762262506000003</v>
      </c>
      <c r="Z207" s="611">
        <f ca="1">SUM(Z199:Z205)+SUM('D-EE-Kapazitäten nicht EEG'!AA6:AA12)</f>
        <v>24.190261966000016</v>
      </c>
      <c r="AA207" s="611">
        <f ca="1">SUM(AA199:AA205)+SUM('D-EE-Kapazitäten nicht EEG'!AB6:AB12)</f>
        <v>30.472152396000048</v>
      </c>
      <c r="AB207" s="611">
        <f ca="1">SUM(AB199:AB205)+SUM('D-EE-Kapazitäten nicht EEG'!AC6:AC12)</f>
        <v>37.274591766000057</v>
      </c>
      <c r="AC207" s="611">
        <f ca="1">SUM(AC199:AC205)+SUM('D-EE-Kapazitäten nicht EEG'!AD6:AD12)</f>
        <v>43.598012850000075</v>
      </c>
      <c r="AD207" s="611">
        <f ca="1">SUM(AD199:AD205)+SUM('D-EE-Kapazitäten nicht EEG'!AE6:AE12)</f>
        <v>47.014658290000057</v>
      </c>
      <c r="AE207" s="612">
        <f ca="1">SUM(AE199:AE205)+SUM('D-EE-Kapazitäten nicht EEG'!AF6:AF12)</f>
        <v>46.407648450000046</v>
      </c>
      <c r="AF207" s="939"/>
      <c r="AG207" s="939"/>
      <c r="AH207" s="345" t="s">
        <v>729</v>
      </c>
    </row>
    <row r="208" spans="1:34" s="301" customFormat="1">
      <c r="A208" s="561">
        <v>193</v>
      </c>
      <c r="C208" s="10"/>
      <c r="D208" s="29"/>
      <c r="E208" s="36"/>
      <c r="F208" s="331"/>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939"/>
      <c r="AG208" s="939"/>
    </row>
    <row r="209" spans="1:34" s="301" customFormat="1" ht="51">
      <c r="A209" s="561">
        <v>194</v>
      </c>
      <c r="C209" s="10"/>
      <c r="D209" s="29"/>
      <c r="E209" s="322" t="s">
        <v>556</v>
      </c>
      <c r="F209" s="331"/>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939" t="s">
        <v>569</v>
      </c>
      <c r="AG209" s="939"/>
      <c r="AH209" s="345" t="s">
        <v>570</v>
      </c>
    </row>
    <row r="210" spans="1:34" s="301" customFormat="1">
      <c r="A210" s="561">
        <v>195</v>
      </c>
      <c r="C210" s="10"/>
      <c r="D210" s="29"/>
      <c r="E210" s="302" t="s">
        <v>25</v>
      </c>
      <c r="F210" s="642">
        <v>0</v>
      </c>
      <c r="G210" s="1078">
        <v>0</v>
      </c>
      <c r="H210" s="1078">
        <v>0</v>
      </c>
      <c r="I210" s="1078">
        <v>0</v>
      </c>
      <c r="J210" s="642">
        <v>0</v>
      </c>
      <c r="K210" s="1079">
        <f ca="1">OFFSET('MOD-Berechnungen'!K74,0,-MIN('D-Dauer Goldenes Ende'!L6,K$5-$K$5))-'MOD-Berechnungen'!K74</f>
        <v>0</v>
      </c>
      <c r="L210" s="1079">
        <f ca="1">OFFSET('MOD-Berechnungen'!L74,0,-MIN('D-Dauer Goldenes Ende'!M6,L$5-$K$5))-'MOD-Berechnungen'!L74</f>
        <v>0</v>
      </c>
      <c r="M210" s="1079">
        <f ca="1">OFFSET('MOD-Berechnungen'!M74,0,-MIN('D-Dauer Goldenes Ende'!N6,M$5-$K$5))-'MOD-Berechnungen'!M74</f>
        <v>0</v>
      </c>
      <c r="N210" s="1079">
        <f ca="1">OFFSET('MOD-Berechnungen'!N74,0,-MIN('D-Dauer Goldenes Ende'!O6,N$5-$K$5))-'MOD-Berechnungen'!N74</f>
        <v>0</v>
      </c>
      <c r="O210" s="1079">
        <f ca="1">OFFSET('MOD-Berechnungen'!O74,0,-MIN('D-Dauer Goldenes Ende'!P6,O$5-$K$5))-'MOD-Berechnungen'!O74</f>
        <v>0</v>
      </c>
      <c r="P210" s="1079">
        <f ca="1">OFFSET('MOD-Berechnungen'!P74,0,-MIN('D-Dauer Goldenes Ende'!Q6,P$5-$K$5))-'MOD-Berechnungen'!P74</f>
        <v>0</v>
      </c>
      <c r="Q210" s="1079">
        <f ca="1">OFFSET('MOD-Berechnungen'!Q74,0,-MIN('D-Dauer Goldenes Ende'!R6,Q$5-$K$5))-'MOD-Berechnungen'!Q74</f>
        <v>0</v>
      </c>
      <c r="R210" s="1079">
        <f ca="1">OFFSET('MOD-Berechnungen'!R74,0,-MIN('D-Dauer Goldenes Ende'!S6,R$5-$K$5))-'MOD-Berechnungen'!R74</f>
        <v>0</v>
      </c>
      <c r="S210" s="1079">
        <f ca="1">OFFSET('MOD-Berechnungen'!S74,0,-MIN('D-Dauer Goldenes Ende'!T6,S$5-$K$5))-'MOD-Berechnungen'!S74</f>
        <v>0</v>
      </c>
      <c r="T210" s="1079">
        <f ca="1">OFFSET('MOD-Berechnungen'!T74,0,-MIN('D-Dauer Goldenes Ende'!U6,T$5-$K$5))-'MOD-Berechnungen'!T74</f>
        <v>0</v>
      </c>
      <c r="U210" s="1079">
        <f ca="1">OFFSET('MOD-Berechnungen'!U74,0,-MIN('D-Dauer Goldenes Ende'!V6,U$5-$K$5))-'MOD-Berechnungen'!U74</f>
        <v>0</v>
      </c>
      <c r="V210" s="1079">
        <f ca="1">OFFSET('MOD-Berechnungen'!V74,0,-MIN('D-Dauer Goldenes Ende'!W6,V$5-$K$5))-'MOD-Berechnungen'!V74</f>
        <v>0</v>
      </c>
      <c r="W210" s="1079">
        <f ca="1">OFFSET('MOD-Berechnungen'!W74,0,-MIN('D-Dauer Goldenes Ende'!X6,W$5-$K$5))-'MOD-Berechnungen'!W74</f>
        <v>0</v>
      </c>
      <c r="X210" s="1079">
        <f ca="1">OFFSET('MOD-Berechnungen'!X74,0,-MIN('D-Dauer Goldenes Ende'!Y6,X$5-$K$5))-'MOD-Berechnungen'!X74</f>
        <v>0</v>
      </c>
      <c r="Y210" s="1079">
        <f ca="1">OFFSET('MOD-Berechnungen'!Y74,0,-MIN('D-Dauer Goldenes Ende'!Z6,Y$5-$K$5))-'MOD-Berechnungen'!Y74</f>
        <v>0</v>
      </c>
      <c r="Z210" s="1079">
        <f ca="1">OFFSET('MOD-Berechnungen'!Z74,0,-MIN('D-Dauer Goldenes Ende'!AA6,Z$5-$K$5))-'MOD-Berechnungen'!Z74</f>
        <v>0</v>
      </c>
      <c r="AA210" s="1079">
        <f ca="1">OFFSET('MOD-Berechnungen'!AA74,0,-MIN('D-Dauer Goldenes Ende'!AB6,AA$5-$K$5))-'MOD-Berechnungen'!AA74</f>
        <v>0</v>
      </c>
      <c r="AB210" s="1079">
        <f ca="1">OFFSET('MOD-Berechnungen'!AB74,0,-MIN('D-Dauer Goldenes Ende'!AC6,AB$5-$K$5))-'MOD-Berechnungen'!AB74</f>
        <v>0</v>
      </c>
      <c r="AC210" s="1079">
        <f ca="1">OFFSET('MOD-Berechnungen'!AC74,0,-MIN('D-Dauer Goldenes Ende'!AD6,AC$5-$K$5))-'MOD-Berechnungen'!AC74</f>
        <v>0</v>
      </c>
      <c r="AD210" s="1079">
        <f ca="1">OFFSET('MOD-Berechnungen'!AD74,0,-MIN('D-Dauer Goldenes Ende'!AE6,AD$5-$K$5))-'MOD-Berechnungen'!AD74</f>
        <v>0</v>
      </c>
      <c r="AE210" s="591">
        <f ca="1">OFFSET('MOD-Berechnungen'!AE74,0,-MIN('D-Dauer Goldenes Ende'!AF6,AE$5-$K$5))-'MOD-Berechnungen'!AE74</f>
        <v>0</v>
      </c>
      <c r="AF210" s="939" t="s">
        <v>569</v>
      </c>
      <c r="AG210" s="939" t="s">
        <v>580</v>
      </c>
    </row>
    <row r="211" spans="1:34" s="301" customFormat="1">
      <c r="A211" s="561">
        <v>196</v>
      </c>
      <c r="C211" s="10"/>
      <c r="D211" s="29"/>
      <c r="E211" s="304" t="s">
        <v>50</v>
      </c>
      <c r="F211" s="643">
        <v>0</v>
      </c>
      <c r="G211" s="57">
        <v>0</v>
      </c>
      <c r="H211" s="57">
        <v>0</v>
      </c>
      <c r="I211" s="57">
        <v>0</v>
      </c>
      <c r="J211" s="643">
        <v>0</v>
      </c>
      <c r="K211" s="101">
        <f ca="1">OFFSET('MOD-Berechnungen'!K75,0,-MIN('D-Dauer Goldenes Ende'!L7,K$5-$K$5))-'MOD-Berechnungen'!K75</f>
        <v>0</v>
      </c>
      <c r="L211" s="101">
        <f ca="1">OFFSET('MOD-Berechnungen'!L75,0,-MIN('D-Dauer Goldenes Ende'!M7,L$5-$K$5))-'MOD-Berechnungen'!L75</f>
        <v>0</v>
      </c>
      <c r="M211" s="101">
        <f ca="1">OFFSET('MOD-Berechnungen'!M75,0,-MIN('D-Dauer Goldenes Ende'!N7,M$5-$K$5))-'MOD-Berechnungen'!M75</f>
        <v>0</v>
      </c>
      <c r="N211" s="101">
        <f ca="1">OFFSET('MOD-Berechnungen'!N75,0,-MIN('D-Dauer Goldenes Ende'!O7,N$5-$K$5))-'MOD-Berechnungen'!N75</f>
        <v>0</v>
      </c>
      <c r="O211" s="101">
        <f ca="1">OFFSET('MOD-Berechnungen'!O75,0,-MIN('D-Dauer Goldenes Ende'!P7,O$5-$K$5))-'MOD-Berechnungen'!O75</f>
        <v>0</v>
      </c>
      <c r="P211" s="101">
        <f ca="1">OFFSET('MOD-Berechnungen'!P75,0,-MIN('D-Dauer Goldenes Ende'!Q7,P$5-$K$5))-'MOD-Berechnungen'!P75</f>
        <v>0</v>
      </c>
      <c r="Q211" s="101">
        <f ca="1">OFFSET('MOD-Berechnungen'!Q75,0,-MIN('D-Dauer Goldenes Ende'!R7,Q$5-$K$5))-'MOD-Berechnungen'!Q75</f>
        <v>0</v>
      </c>
      <c r="R211" s="101">
        <f ca="1">OFFSET('MOD-Berechnungen'!R75,0,-MIN('D-Dauer Goldenes Ende'!S7,R$5-$K$5))-'MOD-Berechnungen'!R75</f>
        <v>0</v>
      </c>
      <c r="S211" s="101">
        <f ca="1">OFFSET('MOD-Berechnungen'!S75,0,-MIN('D-Dauer Goldenes Ende'!T7,S$5-$K$5))-'MOD-Berechnungen'!S75</f>
        <v>0</v>
      </c>
      <c r="T211" s="101">
        <f ca="1">OFFSET('MOD-Berechnungen'!T75,0,-MIN('D-Dauer Goldenes Ende'!U7,T$5-$K$5))-'MOD-Berechnungen'!T75</f>
        <v>0</v>
      </c>
      <c r="U211" s="101">
        <f ca="1">OFFSET('MOD-Berechnungen'!U75,0,-MIN('D-Dauer Goldenes Ende'!V7,U$5-$K$5))-'MOD-Berechnungen'!U75</f>
        <v>0</v>
      </c>
      <c r="V211" s="101">
        <f ca="1">OFFSET('MOD-Berechnungen'!V75,0,-MIN('D-Dauer Goldenes Ende'!W7,V$5-$K$5))-'MOD-Berechnungen'!V75</f>
        <v>0</v>
      </c>
      <c r="W211" s="101">
        <f ca="1">OFFSET('MOD-Berechnungen'!W75,0,-MIN('D-Dauer Goldenes Ende'!X7,W$5-$K$5))-'MOD-Berechnungen'!W75</f>
        <v>0</v>
      </c>
      <c r="X211" s="101">
        <f ca="1">OFFSET('MOD-Berechnungen'!X75,0,-MIN('D-Dauer Goldenes Ende'!Y7,X$5-$K$5))-'MOD-Berechnungen'!X75</f>
        <v>0</v>
      </c>
      <c r="Y211" s="101">
        <f ca="1">OFFSET('MOD-Berechnungen'!Y75,0,-MIN('D-Dauer Goldenes Ende'!Z7,Y$5-$K$5))-'MOD-Berechnungen'!Y75</f>
        <v>0</v>
      </c>
      <c r="Z211" s="101">
        <f ca="1">OFFSET('MOD-Berechnungen'!Z75,0,-MIN('D-Dauer Goldenes Ende'!AA7,Z$5-$K$5))-'MOD-Berechnungen'!Z75</f>
        <v>0</v>
      </c>
      <c r="AA211" s="101">
        <f ca="1">OFFSET('MOD-Berechnungen'!AA75,0,-MIN('D-Dauer Goldenes Ende'!AB7,AA$5-$K$5))-'MOD-Berechnungen'!AA75</f>
        <v>0</v>
      </c>
      <c r="AB211" s="101">
        <f ca="1">OFFSET('MOD-Berechnungen'!AB75,0,-MIN('D-Dauer Goldenes Ende'!AC7,AB$5-$K$5))-'MOD-Berechnungen'!AB75</f>
        <v>0</v>
      </c>
      <c r="AC211" s="101">
        <f ca="1">OFFSET('MOD-Berechnungen'!AC75,0,-MIN('D-Dauer Goldenes Ende'!AD7,AC$5-$K$5))-'MOD-Berechnungen'!AC75</f>
        <v>0</v>
      </c>
      <c r="AD211" s="101">
        <f ca="1">OFFSET('MOD-Berechnungen'!AD75,0,-MIN('D-Dauer Goldenes Ende'!AE7,AD$5-$K$5))-'MOD-Berechnungen'!AD75</f>
        <v>0</v>
      </c>
      <c r="AE211" s="592">
        <f ca="1">OFFSET('MOD-Berechnungen'!AE75,0,-MIN('D-Dauer Goldenes Ende'!AF7,AE$5-$K$5))-'MOD-Berechnungen'!AE75</f>
        <v>0</v>
      </c>
      <c r="AF211" s="939" t="s">
        <v>569</v>
      </c>
      <c r="AG211" s="939" t="s">
        <v>580</v>
      </c>
    </row>
    <row r="212" spans="1:34" s="301" customFormat="1">
      <c r="A212" s="561">
        <v>197</v>
      </c>
      <c r="C212" s="10"/>
      <c r="D212" s="29"/>
      <c r="E212" s="304" t="s">
        <v>13</v>
      </c>
      <c r="F212" s="643">
        <v>0</v>
      </c>
      <c r="G212" s="57">
        <v>0</v>
      </c>
      <c r="H212" s="57">
        <v>0</v>
      </c>
      <c r="I212" s="57">
        <v>0</v>
      </c>
      <c r="J212" s="643">
        <v>0</v>
      </c>
      <c r="K212" s="101">
        <f ca="1">OFFSET('MOD-Berechnungen'!K76,0,-MIN('D-Dauer Goldenes Ende'!L8,K$5-$K$5))-'MOD-Berechnungen'!K76</f>
        <v>0</v>
      </c>
      <c r="L212" s="101">
        <f ca="1">OFFSET('MOD-Berechnungen'!L76,0,-MIN('D-Dauer Goldenes Ende'!M8,L$5-$K$5))-'MOD-Berechnungen'!L76</f>
        <v>0</v>
      </c>
      <c r="M212" s="101">
        <f ca="1">OFFSET('MOD-Berechnungen'!M76,0,-MIN('D-Dauer Goldenes Ende'!N8,M$5-$K$5))-'MOD-Berechnungen'!M76</f>
        <v>0</v>
      </c>
      <c r="N212" s="101">
        <f ca="1">OFFSET('MOD-Berechnungen'!N76,0,-MIN('D-Dauer Goldenes Ende'!O8,N$5-$K$5))-'MOD-Berechnungen'!N76</f>
        <v>0</v>
      </c>
      <c r="O212" s="101">
        <f ca="1">OFFSET('MOD-Berechnungen'!O76,0,-MIN('D-Dauer Goldenes Ende'!P8,O$5-$K$5))-'MOD-Berechnungen'!O76</f>
        <v>0</v>
      </c>
      <c r="P212" s="101">
        <f ca="1">OFFSET('MOD-Berechnungen'!P76,0,-MIN('D-Dauer Goldenes Ende'!Q8,P$5-$K$5))-'MOD-Berechnungen'!P76</f>
        <v>0</v>
      </c>
      <c r="Q212" s="101">
        <f ca="1">OFFSET('MOD-Berechnungen'!Q76,0,-MIN('D-Dauer Goldenes Ende'!R8,Q$5-$K$5))-'MOD-Berechnungen'!Q76</f>
        <v>0</v>
      </c>
      <c r="R212" s="101">
        <f ca="1">OFFSET('MOD-Berechnungen'!R76,0,-MIN('D-Dauer Goldenes Ende'!S8,R$5-$K$5))-'MOD-Berechnungen'!R76</f>
        <v>0</v>
      </c>
      <c r="S212" s="101">
        <f ca="1">OFFSET('MOD-Berechnungen'!S76,0,-MIN('D-Dauer Goldenes Ende'!T8,S$5-$K$5))-'MOD-Berechnungen'!S76</f>
        <v>0</v>
      </c>
      <c r="T212" s="101">
        <f ca="1">OFFSET('MOD-Berechnungen'!T76,0,-MIN('D-Dauer Goldenes Ende'!U8,T$5-$K$5))-'MOD-Berechnungen'!T76</f>
        <v>0</v>
      </c>
      <c r="U212" s="101">
        <f ca="1">OFFSET('MOD-Berechnungen'!U76,0,-MIN('D-Dauer Goldenes Ende'!V8,U$5-$K$5))-'MOD-Berechnungen'!U76</f>
        <v>0</v>
      </c>
      <c r="V212" s="101">
        <f ca="1">OFFSET('MOD-Berechnungen'!V76,0,-MIN('D-Dauer Goldenes Ende'!W8,V$5-$K$5))-'MOD-Berechnungen'!V76</f>
        <v>0</v>
      </c>
      <c r="W212" s="101">
        <f ca="1">OFFSET('MOD-Berechnungen'!W76,0,-MIN('D-Dauer Goldenes Ende'!X8,W$5-$K$5))-'MOD-Berechnungen'!W76</f>
        <v>0</v>
      </c>
      <c r="X212" s="101">
        <f ca="1">OFFSET('MOD-Berechnungen'!X76,0,-MIN('D-Dauer Goldenes Ende'!Y8,X$5-$K$5))-'MOD-Berechnungen'!X76</f>
        <v>0</v>
      </c>
      <c r="Y212" s="101">
        <f ca="1">OFFSET('MOD-Berechnungen'!Y76,0,-MIN('D-Dauer Goldenes Ende'!Z8,Y$5-$K$5))-'MOD-Berechnungen'!Y76</f>
        <v>0</v>
      </c>
      <c r="Z212" s="101">
        <f ca="1">OFFSET('MOD-Berechnungen'!Z76,0,-MIN('D-Dauer Goldenes Ende'!AA8,Z$5-$K$5))-'MOD-Berechnungen'!Z76</f>
        <v>0</v>
      </c>
      <c r="AA212" s="101">
        <f ca="1">OFFSET('MOD-Berechnungen'!AA76,0,-MIN('D-Dauer Goldenes Ende'!AB8,AA$5-$K$5))-'MOD-Berechnungen'!AA76</f>
        <v>0</v>
      </c>
      <c r="AB212" s="101">
        <f ca="1">OFFSET('MOD-Berechnungen'!AB76,0,-MIN('D-Dauer Goldenes Ende'!AC8,AB$5-$K$5))-'MOD-Berechnungen'!AB76</f>
        <v>0</v>
      </c>
      <c r="AC212" s="101">
        <f ca="1">OFFSET('MOD-Berechnungen'!AC76,0,-MIN('D-Dauer Goldenes Ende'!AD8,AC$5-$K$5))-'MOD-Berechnungen'!AC76</f>
        <v>0</v>
      </c>
      <c r="AD212" s="101">
        <f ca="1">OFFSET('MOD-Berechnungen'!AD76,0,-MIN('D-Dauer Goldenes Ende'!AE8,AD$5-$K$5))-'MOD-Berechnungen'!AD76</f>
        <v>0</v>
      </c>
      <c r="AE212" s="592">
        <f ca="1">OFFSET('MOD-Berechnungen'!AE76,0,-MIN('D-Dauer Goldenes Ende'!AF8,AE$5-$K$5))-'MOD-Berechnungen'!AE76</f>
        <v>0</v>
      </c>
      <c r="AF212" s="939" t="s">
        <v>569</v>
      </c>
      <c r="AG212" s="939" t="s">
        <v>580</v>
      </c>
    </row>
    <row r="213" spans="1:34" s="301" customFormat="1">
      <c r="A213" s="561">
        <v>198</v>
      </c>
      <c r="C213" s="10"/>
      <c r="D213" s="29"/>
      <c r="E213" s="304" t="s">
        <v>12</v>
      </c>
      <c r="F213" s="643">
        <v>0</v>
      </c>
      <c r="G213" s="57">
        <v>0</v>
      </c>
      <c r="H213" s="57">
        <v>0</v>
      </c>
      <c r="I213" s="57">
        <v>0</v>
      </c>
      <c r="J213" s="643">
        <v>0</v>
      </c>
      <c r="K213" s="101">
        <f ca="1">OFFSET('MOD-Berechnungen'!K77,0,-MIN('D-Dauer Goldenes Ende'!L9,K$5-$K$5))-'MOD-Berechnungen'!K77</f>
        <v>0</v>
      </c>
      <c r="L213" s="101">
        <f ca="1">OFFSET('MOD-Berechnungen'!L77,0,-MIN('D-Dauer Goldenes Ende'!M9,L$5-$K$5))-'MOD-Berechnungen'!L77</f>
        <v>0</v>
      </c>
      <c r="M213" s="101">
        <f ca="1">OFFSET('MOD-Berechnungen'!M77,0,-MIN('D-Dauer Goldenes Ende'!N9,M$5-$K$5))-'MOD-Berechnungen'!M77</f>
        <v>0</v>
      </c>
      <c r="N213" s="101">
        <f ca="1">OFFSET('MOD-Berechnungen'!N77,0,-MIN('D-Dauer Goldenes Ende'!O9,N$5-$K$5))-'MOD-Berechnungen'!N77</f>
        <v>0</v>
      </c>
      <c r="O213" s="101">
        <f ca="1">OFFSET('MOD-Berechnungen'!O77,0,-MIN('D-Dauer Goldenes Ende'!P9,O$5-$K$5))-'MOD-Berechnungen'!O77</f>
        <v>0</v>
      </c>
      <c r="P213" s="101">
        <f ca="1">OFFSET('MOD-Berechnungen'!P77,0,-MIN('D-Dauer Goldenes Ende'!Q9,P$5-$K$5))-'MOD-Berechnungen'!P77</f>
        <v>0</v>
      </c>
      <c r="Q213" s="101">
        <f ca="1">OFFSET('MOD-Berechnungen'!Q77,0,-MIN('D-Dauer Goldenes Ende'!R9,Q$5-$K$5))-'MOD-Berechnungen'!Q77</f>
        <v>0</v>
      </c>
      <c r="R213" s="101">
        <f ca="1">OFFSET('MOD-Berechnungen'!R77,0,-MIN('D-Dauer Goldenes Ende'!S9,R$5-$K$5))-'MOD-Berechnungen'!R77</f>
        <v>0</v>
      </c>
      <c r="S213" s="101">
        <f ca="1">OFFSET('MOD-Berechnungen'!S77,0,-MIN('D-Dauer Goldenes Ende'!T9,S$5-$K$5))-'MOD-Berechnungen'!S77</f>
        <v>0</v>
      </c>
      <c r="T213" s="101">
        <f ca="1">OFFSET('MOD-Berechnungen'!T77,0,-MIN('D-Dauer Goldenes Ende'!U9,T$5-$K$5))-'MOD-Berechnungen'!T77</f>
        <v>0</v>
      </c>
      <c r="U213" s="101">
        <f ca="1">OFFSET('MOD-Berechnungen'!U77,0,-MIN('D-Dauer Goldenes Ende'!V9,U$5-$K$5))-'MOD-Berechnungen'!U77</f>
        <v>0</v>
      </c>
      <c r="V213" s="101">
        <f ca="1">OFFSET('MOD-Berechnungen'!V77,0,-MIN('D-Dauer Goldenes Ende'!W9,V$5-$K$5))-'MOD-Berechnungen'!V77</f>
        <v>0</v>
      </c>
      <c r="W213" s="101">
        <f ca="1">OFFSET('MOD-Berechnungen'!W77,0,-MIN('D-Dauer Goldenes Ende'!X9,W$5-$K$5))-'MOD-Berechnungen'!W77</f>
        <v>0</v>
      </c>
      <c r="X213" s="101">
        <f ca="1">OFFSET('MOD-Berechnungen'!X77,0,-MIN('D-Dauer Goldenes Ende'!Y9,X$5-$K$5))-'MOD-Berechnungen'!X77</f>
        <v>0</v>
      </c>
      <c r="Y213" s="101">
        <f ca="1">OFFSET('MOD-Berechnungen'!Y77,0,-MIN('D-Dauer Goldenes Ende'!Z9,Y$5-$K$5))-'MOD-Berechnungen'!Y77</f>
        <v>0</v>
      </c>
      <c r="Z213" s="101">
        <f ca="1">OFFSET('MOD-Berechnungen'!Z77,0,-MIN('D-Dauer Goldenes Ende'!AA9,Z$5-$K$5))-'MOD-Berechnungen'!Z77</f>
        <v>0</v>
      </c>
      <c r="AA213" s="101">
        <f ca="1">OFFSET('MOD-Berechnungen'!AA77,0,-MIN('D-Dauer Goldenes Ende'!AB9,AA$5-$K$5))-'MOD-Berechnungen'!AA77</f>
        <v>0</v>
      </c>
      <c r="AB213" s="101">
        <f ca="1">OFFSET('MOD-Berechnungen'!AB77,0,-MIN('D-Dauer Goldenes Ende'!AC9,AB$5-$K$5))-'MOD-Berechnungen'!AB77</f>
        <v>0</v>
      </c>
      <c r="AC213" s="101">
        <f ca="1">OFFSET('MOD-Berechnungen'!AC77,0,-MIN('D-Dauer Goldenes Ende'!AD9,AC$5-$K$5))-'MOD-Berechnungen'!AC77</f>
        <v>0</v>
      </c>
      <c r="AD213" s="101">
        <f ca="1">OFFSET('MOD-Berechnungen'!AD77,0,-MIN('D-Dauer Goldenes Ende'!AE9,AD$5-$K$5))-'MOD-Berechnungen'!AD77</f>
        <v>0</v>
      </c>
      <c r="AE213" s="592">
        <f ca="1">OFFSET('MOD-Berechnungen'!AE77,0,-MIN('D-Dauer Goldenes Ende'!AF9,AE$5-$K$5))-'MOD-Berechnungen'!AE77</f>
        <v>0</v>
      </c>
      <c r="AF213" s="939" t="s">
        <v>569</v>
      </c>
      <c r="AG213" s="939" t="s">
        <v>580</v>
      </c>
    </row>
    <row r="214" spans="1:34" s="301" customFormat="1">
      <c r="A214" s="561">
        <v>199</v>
      </c>
      <c r="C214" s="10"/>
      <c r="D214" s="29"/>
      <c r="E214" s="304" t="s">
        <v>24</v>
      </c>
      <c r="F214" s="643">
        <v>0</v>
      </c>
      <c r="G214" s="57">
        <v>0</v>
      </c>
      <c r="H214" s="57">
        <v>0</v>
      </c>
      <c r="I214" s="57">
        <v>0</v>
      </c>
      <c r="J214" s="643">
        <v>0</v>
      </c>
      <c r="K214" s="101">
        <f ca="1">OFFSET('MOD-Berechnungen'!K78,0,-MIN('D-Dauer Goldenes Ende'!L10,K$5-$K$5))-'MOD-Berechnungen'!K78</f>
        <v>0</v>
      </c>
      <c r="L214" s="101">
        <f ca="1">OFFSET('MOD-Berechnungen'!L78,0,-MIN('D-Dauer Goldenes Ende'!M10,L$5-$K$5))-'MOD-Berechnungen'!L78</f>
        <v>0</v>
      </c>
      <c r="M214" s="101">
        <f ca="1">OFFSET('MOD-Berechnungen'!M78,0,-MIN('D-Dauer Goldenes Ende'!N10,M$5-$K$5))-'MOD-Berechnungen'!M78</f>
        <v>0</v>
      </c>
      <c r="N214" s="101">
        <f ca="1">OFFSET('MOD-Berechnungen'!N78,0,-MIN('D-Dauer Goldenes Ende'!O10,N$5-$K$5))-'MOD-Berechnungen'!N78</f>
        <v>0</v>
      </c>
      <c r="O214" s="101">
        <f ca="1">OFFSET('MOD-Berechnungen'!O78,0,-MIN('D-Dauer Goldenes Ende'!P10,O$5-$K$5))-'MOD-Berechnungen'!O78</f>
        <v>0</v>
      </c>
      <c r="P214" s="101">
        <f ca="1">OFFSET('MOD-Berechnungen'!P78,0,-MIN('D-Dauer Goldenes Ende'!Q10,P$5-$K$5))-'MOD-Berechnungen'!P78</f>
        <v>1.1458999999999904</v>
      </c>
      <c r="Q214" s="101">
        <f ca="1">OFFSET('MOD-Berechnungen'!Q78,0,-MIN('D-Dauer Goldenes Ende'!R10,Q$5-$K$5))-'MOD-Berechnungen'!Q78</f>
        <v>2.956083321070011</v>
      </c>
      <c r="R214" s="101">
        <f ca="1">OFFSET('MOD-Berechnungen'!R78,0,-MIN('D-Dauer Goldenes Ende'!S10,R$5-$K$5))-'MOD-Berechnungen'!R78</f>
        <v>10.148527331669996</v>
      </c>
      <c r="S214" s="101">
        <f ca="1">OFFSET('MOD-Berechnungen'!S78,0,-MIN('D-Dauer Goldenes Ende'!T10,S$5-$K$5))-'MOD-Berechnungen'!S78</f>
        <v>14.323209789999993</v>
      </c>
      <c r="T214" s="101">
        <f ca="1">OFFSET('MOD-Berechnungen'!T78,0,-MIN('D-Dauer Goldenes Ende'!U10,T$5-$K$5))-'MOD-Berechnungen'!T78</f>
        <v>17.790159705999997</v>
      </c>
      <c r="U214" s="101">
        <f ca="1">OFFSET('MOD-Berechnungen'!U78,0,-MIN('D-Dauer Goldenes Ende'!V10,U$5-$K$5))-'MOD-Berechnungen'!U78</f>
        <v>20.006282833000007</v>
      </c>
      <c r="V214" s="101">
        <f ca="1">OFFSET('MOD-Berechnungen'!V78,0,-MIN('D-Dauer Goldenes Ende'!W10,V$5-$K$5))-'MOD-Berechnungen'!V78</f>
        <v>20.019788721429997</v>
      </c>
      <c r="W214" s="101">
        <f ca="1">OFFSET('MOD-Berechnungen'!W78,0,-MIN('D-Dauer Goldenes Ende'!X10,W$5-$K$5))-'MOD-Berechnungen'!W78</f>
        <v>19.424189516829991</v>
      </c>
      <c r="X214" s="101">
        <f ca="1">OFFSET('MOD-Berechnungen'!X78,0,-MIN('D-Dauer Goldenes Ende'!Y10,X$5-$K$5))-'MOD-Berechnungen'!X78</f>
        <v>17.191392087900002</v>
      </c>
      <c r="Y214" s="101">
        <f ca="1">OFFSET('MOD-Berechnungen'!Y78,0,-MIN('D-Dauer Goldenes Ende'!Z10,Y$5-$K$5))-'MOD-Berechnungen'!Y78</f>
        <v>14.005783539899998</v>
      </c>
      <c r="Z214" s="101">
        <f ca="1">OFFSET('MOD-Berechnungen'!Z78,0,-MIN('D-Dauer Goldenes Ende'!AA10,Z$5-$K$5))-'MOD-Berechnungen'!Z78</f>
        <v>15.062579861939998</v>
      </c>
      <c r="AA214" s="101">
        <f ca="1">OFFSET('MOD-Berechnungen'!AA78,0,-MIN('D-Dauer Goldenes Ende'!AB10,AA$5-$K$5))-'MOD-Berechnungen'!AA78</f>
        <v>14.428432499489997</v>
      </c>
      <c r="AB214" s="101">
        <f ca="1">OFFSET('MOD-Berechnungen'!AB78,0,-MIN('D-Dauer Goldenes Ende'!AC10,AB$5-$K$5))-'MOD-Berechnungen'!AB78</f>
        <v>13.849989153110009</v>
      </c>
      <c r="AC214" s="101">
        <f ca="1">OFFSET('MOD-Berechnungen'!AC78,0,-MIN('D-Dauer Goldenes Ende'!AD10,AC$5-$K$5))-'MOD-Berechnungen'!AC78</f>
        <v>15.05298497932</v>
      </c>
      <c r="AD214" s="101">
        <f ca="1">OFFSET('MOD-Berechnungen'!AD78,0,-MIN('D-Dauer Goldenes Ende'!AE10,AD$5-$K$5))-'MOD-Berechnungen'!AD78</f>
        <v>18.753534451550003</v>
      </c>
      <c r="AE214" s="592">
        <f ca="1">OFFSET('MOD-Berechnungen'!AE78,0,-MIN('D-Dauer Goldenes Ende'!AF10,AE$5-$K$5))-'MOD-Berechnungen'!AE78</f>
        <v>22.168137543819999</v>
      </c>
      <c r="AF214" s="939" t="s">
        <v>569</v>
      </c>
      <c r="AG214" s="939" t="s">
        <v>580</v>
      </c>
      <c r="AH214" s="75"/>
    </row>
    <row r="215" spans="1:34" s="301" customFormat="1">
      <c r="A215" s="561">
        <v>200</v>
      </c>
      <c r="C215" s="10"/>
      <c r="D215" s="29"/>
      <c r="E215" s="304" t="s">
        <v>26</v>
      </c>
      <c r="F215" s="643">
        <v>0</v>
      </c>
      <c r="G215" s="57">
        <v>0</v>
      </c>
      <c r="H215" s="57">
        <v>0</v>
      </c>
      <c r="I215" s="57">
        <v>0</v>
      </c>
      <c r="J215" s="643">
        <v>0</v>
      </c>
      <c r="K215" s="101">
        <f ca="1">OFFSET('MOD-Berechnungen'!K79,0,-MIN('D-Dauer Goldenes Ende'!L11,K$5-$K$5))-'MOD-Berechnungen'!K79</f>
        <v>0</v>
      </c>
      <c r="L215" s="101">
        <f ca="1">OFFSET('MOD-Berechnungen'!L79,0,-MIN('D-Dauer Goldenes Ende'!M11,L$5-$K$5))-'MOD-Berechnungen'!L79</f>
        <v>0</v>
      </c>
      <c r="M215" s="101">
        <f ca="1">OFFSET('MOD-Berechnungen'!M79,0,-MIN('D-Dauer Goldenes Ende'!N11,M$5-$K$5))-'MOD-Berechnungen'!M79</f>
        <v>0</v>
      </c>
      <c r="N215" s="101">
        <f ca="1">OFFSET('MOD-Berechnungen'!N79,0,-MIN('D-Dauer Goldenes Ende'!O11,N$5-$K$5))-'MOD-Berechnungen'!N79</f>
        <v>0</v>
      </c>
      <c r="O215" s="101">
        <f ca="1">OFFSET('MOD-Berechnungen'!O79,0,-MIN('D-Dauer Goldenes Ende'!P11,O$5-$K$5))-'MOD-Berechnungen'!O79</f>
        <v>0</v>
      </c>
      <c r="P215" s="101">
        <f ca="1">OFFSET('MOD-Berechnungen'!P79,0,-MIN('D-Dauer Goldenes Ende'!Q11,P$5-$K$5))-'MOD-Berechnungen'!P79</f>
        <v>0</v>
      </c>
      <c r="Q215" s="101">
        <f ca="1">OFFSET('MOD-Berechnungen'!Q79,0,-MIN('D-Dauer Goldenes Ende'!R11,Q$5-$K$5))-'MOD-Berechnungen'!Q79</f>
        <v>0</v>
      </c>
      <c r="R215" s="101">
        <f ca="1">OFFSET('MOD-Berechnungen'!R79,0,-MIN('D-Dauer Goldenes Ende'!S11,R$5-$K$5))-'MOD-Berechnungen'!R79</f>
        <v>0</v>
      </c>
      <c r="S215" s="101">
        <f ca="1">OFFSET('MOD-Berechnungen'!S79,0,-MIN('D-Dauer Goldenes Ende'!T11,S$5-$K$5))-'MOD-Berechnungen'!S79</f>
        <v>0</v>
      </c>
      <c r="T215" s="101">
        <f ca="1">OFFSET('MOD-Berechnungen'!T79,0,-MIN('D-Dauer Goldenes Ende'!U11,T$5-$K$5))-'MOD-Berechnungen'!T79</f>
        <v>0</v>
      </c>
      <c r="U215" s="101">
        <f ca="1">OFFSET('MOD-Berechnungen'!U79,0,-MIN('D-Dauer Goldenes Ende'!V11,U$5-$K$5))-'MOD-Berechnungen'!U79</f>
        <v>0</v>
      </c>
      <c r="V215" s="101">
        <f ca="1">OFFSET('MOD-Berechnungen'!V79,0,-MIN('D-Dauer Goldenes Ende'!W11,V$5-$K$5))-'MOD-Berechnungen'!V79</f>
        <v>0</v>
      </c>
      <c r="W215" s="101">
        <f ca="1">OFFSET('MOD-Berechnungen'!W79,0,-MIN('D-Dauer Goldenes Ende'!X11,W$5-$K$5))-'MOD-Berechnungen'!W79</f>
        <v>0</v>
      </c>
      <c r="X215" s="101">
        <f ca="1">OFFSET('MOD-Berechnungen'!X79,0,-MIN('D-Dauer Goldenes Ende'!Y11,X$5-$K$5))-'MOD-Berechnungen'!X79</f>
        <v>0</v>
      </c>
      <c r="Y215" s="101">
        <f ca="1">OFFSET('MOD-Berechnungen'!Y79,0,-MIN('D-Dauer Goldenes Ende'!Z11,Y$5-$K$5))-'MOD-Berechnungen'!Y79</f>
        <v>0</v>
      </c>
      <c r="Z215" s="101">
        <f ca="1">OFFSET('MOD-Berechnungen'!Z79,0,-MIN('D-Dauer Goldenes Ende'!AA11,Z$5-$K$5))-'MOD-Berechnungen'!Z79</f>
        <v>0</v>
      </c>
      <c r="AA215" s="101">
        <f ca="1">OFFSET('MOD-Berechnungen'!AA79,0,-MIN('D-Dauer Goldenes Ende'!AB11,AA$5-$K$5))-'MOD-Berechnungen'!AA79</f>
        <v>0</v>
      </c>
      <c r="AB215" s="101">
        <f ca="1">OFFSET('MOD-Berechnungen'!AB79,0,-MIN('D-Dauer Goldenes Ende'!AC11,AB$5-$K$5))-'MOD-Berechnungen'!AB79</f>
        <v>0</v>
      </c>
      <c r="AC215" s="101">
        <f ca="1">OFFSET('MOD-Berechnungen'!AC79,0,-MIN('D-Dauer Goldenes Ende'!AD11,AC$5-$K$5))-'MOD-Berechnungen'!AC79</f>
        <v>0</v>
      </c>
      <c r="AD215" s="101">
        <f ca="1">OFFSET('MOD-Berechnungen'!AD79,0,-MIN('D-Dauer Goldenes Ende'!AE11,AD$5-$K$5))-'MOD-Berechnungen'!AD79</f>
        <v>0</v>
      </c>
      <c r="AE215" s="592">
        <f ca="1">OFFSET('MOD-Berechnungen'!AE79,0,-MIN('D-Dauer Goldenes Ende'!AF11,AE$5-$K$5))-'MOD-Berechnungen'!AE79</f>
        <v>0</v>
      </c>
      <c r="AF215" s="939" t="s">
        <v>569</v>
      </c>
      <c r="AG215" s="939" t="s">
        <v>580</v>
      </c>
    </row>
    <row r="216" spans="1:34" s="301" customFormat="1">
      <c r="A216" s="561">
        <v>201</v>
      </c>
      <c r="C216" s="10"/>
      <c r="D216" s="29"/>
      <c r="E216" s="305" t="s">
        <v>74</v>
      </c>
      <c r="F216" s="645">
        <v>0</v>
      </c>
      <c r="G216" s="58">
        <v>0</v>
      </c>
      <c r="H216" s="58">
        <v>0</v>
      </c>
      <c r="I216" s="58">
        <v>0</v>
      </c>
      <c r="J216" s="645">
        <v>0</v>
      </c>
      <c r="K216" s="102">
        <f ca="1">OFFSET('MOD-Berechnungen'!K80,0,-MIN('D-Dauer Goldenes Ende'!L12,K$5-$K$5))-'MOD-Berechnungen'!K80</f>
        <v>0</v>
      </c>
      <c r="L216" s="102">
        <f ca="1">OFFSET('MOD-Berechnungen'!L80,0,-MIN('D-Dauer Goldenes Ende'!M12,L$5-$K$5))-'MOD-Berechnungen'!L80</f>
        <v>0</v>
      </c>
      <c r="M216" s="102">
        <f ca="1">OFFSET('MOD-Berechnungen'!M80,0,-MIN('D-Dauer Goldenes Ende'!N12,M$5-$K$5))-'MOD-Berechnungen'!M80</f>
        <v>0</v>
      </c>
      <c r="N216" s="102">
        <f ca="1">OFFSET('MOD-Berechnungen'!N80,0,-MIN('D-Dauer Goldenes Ende'!O12,N$5-$K$5))-'MOD-Berechnungen'!N80</f>
        <v>0</v>
      </c>
      <c r="O216" s="102">
        <f ca="1">OFFSET('MOD-Berechnungen'!O80,0,-MIN('D-Dauer Goldenes Ende'!P12,O$5-$K$5))-'MOD-Berechnungen'!O80</f>
        <v>0</v>
      </c>
      <c r="P216" s="102">
        <f ca="1">OFFSET('MOD-Berechnungen'!P80,0,-MIN('D-Dauer Goldenes Ende'!Q12,P$5-$K$5))-'MOD-Berechnungen'!P80</f>
        <v>0</v>
      </c>
      <c r="Q216" s="102">
        <f ca="1">OFFSET('MOD-Berechnungen'!Q80,0,-MIN('D-Dauer Goldenes Ende'!R12,Q$5-$K$5))-'MOD-Berechnungen'!Q80</f>
        <v>0.11901359423994506</v>
      </c>
      <c r="R216" s="102">
        <f ca="1">OFFSET('MOD-Berechnungen'!R80,0,-MIN('D-Dauer Goldenes Ende'!S12,R$5-$K$5))-'MOD-Berechnungen'!R80</f>
        <v>0.22330673663994105</v>
      </c>
      <c r="S216" s="102">
        <f ca="1">OFFSET('MOD-Berechnungen'!S80,0,-MIN('D-Dauer Goldenes Ende'!T12,S$5-$K$5))-'MOD-Berechnungen'!S80</f>
        <v>0.32911942463994137</v>
      </c>
      <c r="T216" s="102">
        <f ca="1">OFFSET('MOD-Berechnungen'!T80,0,-MIN('D-Dauer Goldenes Ende'!U12,T$5-$K$5))-'MOD-Berechnungen'!T80</f>
        <v>0.46586811263993866</v>
      </c>
      <c r="U216" s="102">
        <f ca="1">OFFSET('MOD-Berechnungen'!U80,0,-MIN('D-Dauer Goldenes Ende'!V12,U$5-$K$5))-'MOD-Berechnungen'!U80</f>
        <v>1.0956562406399399</v>
      </c>
      <c r="V216" s="102">
        <f ca="1">OFFSET('MOD-Berechnungen'!V80,0,-MIN('D-Dauer Goldenes Ende'!W12,V$5-$K$5))-'MOD-Berechnungen'!V80</f>
        <v>1.8642606239999964</v>
      </c>
      <c r="W216" s="102">
        <f ca="1">OFFSET('MOD-Berechnungen'!W80,0,-MIN('D-Dauer Goldenes Ende'!X12,W$5-$K$5))-'MOD-Berechnungen'!W80</f>
        <v>2.5707786335999998</v>
      </c>
      <c r="X216" s="102">
        <f ca="1">OFFSET('MOD-Berechnungen'!X80,0,-MIN('D-Dauer Goldenes Ende'!Y12,X$5-$K$5))-'MOD-Berechnungen'!X80</f>
        <v>3.6685670265600052</v>
      </c>
      <c r="Y216" s="102">
        <f ca="1">OFFSET('MOD-Berechnungen'!Y80,0,-MIN('D-Dauer Goldenes Ende'!Z12,Y$5-$K$5))-'MOD-Berechnungen'!Y80</f>
        <v>5.4321797241600045</v>
      </c>
      <c r="Z216" s="102">
        <f ca="1">OFFSET('MOD-Berechnungen'!Z80,0,-MIN('D-Dauer Goldenes Ende'!AA12,Z$5-$K$5))-'MOD-Berechnungen'!Z80</f>
        <v>9.0633130425600186</v>
      </c>
      <c r="AA216" s="102">
        <f ca="1">OFFSET('MOD-Berechnungen'!AA80,0,-MIN('D-Dauer Goldenes Ende'!AB12,AA$5-$K$5))-'MOD-Berechnungen'!AA80</f>
        <v>15.465816351360051</v>
      </c>
      <c r="AB216" s="102">
        <f ca="1">OFFSET('MOD-Berechnungen'!AB80,0,-MIN('D-Dauer Goldenes Ende'!AC12,AB$5-$K$5))-'MOD-Berechnungen'!AB80</f>
        <v>22.33537965696005</v>
      </c>
      <c r="AC216" s="102">
        <f ca="1">OFFSET('MOD-Berechnungen'!AC80,0,-MIN('D-Dauer Goldenes Ende'!AD12,AC$5-$K$5))-'MOD-Berechnungen'!AC80</f>
        <v>27.700380700800068</v>
      </c>
      <c r="AD216" s="102">
        <f ca="1">OFFSET('MOD-Berechnungen'!AD80,0,-MIN('D-Dauer Goldenes Ende'!AE12,AD$5-$K$5))-'MOD-Berechnungen'!AD80</f>
        <v>28.810215244800059</v>
      </c>
      <c r="AE216" s="593">
        <f ca="1">OFFSET('MOD-Berechnungen'!AE80,0,-MIN('D-Dauer Goldenes Ende'!AF12,AE$5-$K$5))-'MOD-Berechnungen'!AE80</f>
        <v>26.225030716800042</v>
      </c>
      <c r="AF216" s="939" t="s">
        <v>569</v>
      </c>
      <c r="AG216" s="939" t="s">
        <v>580</v>
      </c>
    </row>
    <row r="217" spans="1:34" s="301" customFormat="1">
      <c r="A217" s="561">
        <v>202</v>
      </c>
      <c r="C217" s="10"/>
      <c r="D217" s="29"/>
      <c r="E217" s="36"/>
      <c r="F217" s="331"/>
      <c r="G217" s="331"/>
      <c r="H217" s="331"/>
      <c r="I217" s="331"/>
      <c r="J217" s="331"/>
      <c r="K217" s="331"/>
      <c r="L217" s="331"/>
      <c r="M217" s="331"/>
      <c r="N217" s="331"/>
      <c r="O217" s="331"/>
      <c r="P217" s="331"/>
      <c r="Q217" s="331"/>
      <c r="R217" s="331"/>
      <c r="S217" s="331"/>
      <c r="T217" s="331"/>
      <c r="U217" s="331"/>
      <c r="V217" s="331"/>
      <c r="W217" s="331"/>
      <c r="X217" s="331"/>
      <c r="Y217" s="331"/>
      <c r="Z217" s="331"/>
      <c r="AA217" s="331"/>
      <c r="AB217" s="331"/>
      <c r="AC217" s="331"/>
      <c r="AD217" s="331"/>
      <c r="AE217" s="331"/>
      <c r="AF217" s="939"/>
      <c r="AG217" s="939"/>
    </row>
    <row r="218" spans="1:34" s="301" customFormat="1">
      <c r="A218" s="561">
        <v>203</v>
      </c>
      <c r="C218" s="10"/>
      <c r="D218" s="29"/>
      <c r="E218" s="199" t="s">
        <v>633</v>
      </c>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1"/>
      <c r="AD218" s="331"/>
      <c r="AE218" s="331"/>
      <c r="AF218" s="939"/>
      <c r="AG218" s="939"/>
    </row>
    <row r="219" spans="1:34" s="301" customFormat="1">
      <c r="A219" s="561">
        <v>204</v>
      </c>
      <c r="C219" s="10"/>
      <c r="D219" s="29"/>
      <c r="E219" s="321" t="s">
        <v>495</v>
      </c>
      <c r="F219" s="613">
        <f>'MOD-Berechnungen'!F11</f>
        <v>535.4</v>
      </c>
      <c r="G219" s="613">
        <f>'MOD-Berechnungen'!G11</f>
        <v>536.79999999999995</v>
      </c>
      <c r="H219" s="613">
        <f>'MOD-Berechnungen'!H11</f>
        <v>540.29999999999995</v>
      </c>
      <c r="I219" s="613">
        <f>'MOD-Berechnungen'!I11</f>
        <v>537.10000000000014</v>
      </c>
      <c r="J219" s="613">
        <f>'MOD-Berechnungen'!J11</f>
        <v>529.87864653548297</v>
      </c>
      <c r="K219" s="613">
        <f>'MOD-Berechnungen'!K11</f>
        <v>520.6</v>
      </c>
      <c r="L219" s="613">
        <f>'MOD-Berechnungen'!L11</f>
        <v>511.6</v>
      </c>
      <c r="M219" s="613">
        <f>'MOD-Berechnungen'!M11</f>
        <v>521.90464399999996</v>
      </c>
      <c r="N219" s="613">
        <f>'MOD-Berechnungen'!N11</f>
        <v>524.64</v>
      </c>
      <c r="O219" s="613">
        <f>'MOD-Berechnungen'!O11</f>
        <v>536.23646499999995</v>
      </c>
      <c r="P219" s="613">
        <f>'MOD-Berechnungen'!P11</f>
        <v>538.51776999999993</v>
      </c>
      <c r="Q219" s="613">
        <f>'MOD-Berechnungen'!Q11</f>
        <v>518.52683000000002</v>
      </c>
      <c r="R219" s="613">
        <f>'MOD-Berechnungen'!R11</f>
        <v>518</v>
      </c>
      <c r="S219" s="613">
        <f>'MOD-Berechnungen'!S11</f>
        <v>515.70000000000005</v>
      </c>
      <c r="T219" s="613">
        <f>'MOD-Berechnungen'!T11</f>
        <v>515.20000000000005</v>
      </c>
      <c r="U219" s="613">
        <f>'MOD-Berechnungen'!U11</f>
        <v>512.6</v>
      </c>
      <c r="V219" s="613">
        <f>'MOD-Berechnungen'!V11</f>
        <v>512.20000000000005</v>
      </c>
      <c r="W219" s="613">
        <f>'MOD-Berechnungen'!W11</f>
        <v>534.15000000000009</v>
      </c>
      <c r="X219" s="613">
        <f>'MOD-Berechnungen'!X11</f>
        <v>556.1</v>
      </c>
      <c r="Y219" s="613">
        <f>'MOD-Berechnungen'!Y11</f>
        <v>578.04999999999995</v>
      </c>
      <c r="Z219" s="613">
        <f>'MOD-Berechnungen'!Z11</f>
        <v>600</v>
      </c>
      <c r="AA219" s="613">
        <f>'MOD-Berechnungen'!AA11</f>
        <v>621.95000000000005</v>
      </c>
      <c r="AB219" s="613">
        <f>'MOD-Berechnungen'!AB11</f>
        <v>643.90000000000009</v>
      </c>
      <c r="AC219" s="613">
        <f>'MOD-Berechnungen'!AC11</f>
        <v>665.85000000000014</v>
      </c>
      <c r="AD219" s="613">
        <f>'MOD-Berechnungen'!AD11</f>
        <v>687.80000000000018</v>
      </c>
      <c r="AE219" s="614">
        <f>'MOD-Berechnungen'!AE11</f>
        <v>709.75000000000023</v>
      </c>
      <c r="AF219" s="939"/>
      <c r="AG219" s="939"/>
    </row>
    <row r="220" spans="1:34" s="301" customFormat="1">
      <c r="A220" s="561">
        <v>205</v>
      </c>
      <c r="C220" s="10"/>
      <c r="D220" s="29"/>
      <c r="E220" s="16" t="s">
        <v>496</v>
      </c>
      <c r="F220" s="615">
        <f>'D-Netzverl. u. KW-Eigenverbr.'!F6</f>
        <v>79.900000000000006</v>
      </c>
      <c r="G220" s="615">
        <f>'D-Netzverl. u. KW-Eigenverbr.'!G6</f>
        <v>70</v>
      </c>
      <c r="H220" s="615">
        <f>'D-Netzverl. u. KW-Eigenverbr.'!H6</f>
        <v>66.8</v>
      </c>
      <c r="I220" s="615">
        <f>'D-Netzverl. u. KW-Eigenverbr.'!I6</f>
        <v>66.8</v>
      </c>
      <c r="J220" s="615">
        <f>'D-Netzverl. u. KW-Eigenverbr.'!J6</f>
        <v>68.099999999999994</v>
      </c>
      <c r="K220" s="615">
        <f>'D-Netzverl. u. KW-Eigenverbr.'!K6</f>
        <v>79</v>
      </c>
      <c r="L220" s="615">
        <f>'D-Netzverl. u. KW-Eigenverbr.'!L6</f>
        <v>86.5</v>
      </c>
      <c r="M220" s="615">
        <f>'D-Netzverl. u. KW-Eigenverbr.'!M6</f>
        <v>77.2</v>
      </c>
      <c r="N220" s="615">
        <f>'D-Netzverl. u. KW-Eigenverbr.'!N6</f>
        <v>70.3</v>
      </c>
      <c r="O220" s="615">
        <f>'D-Netzverl. u. KW-Eigenverbr.'!O6</f>
        <v>62</v>
      </c>
      <c r="P220" s="615">
        <f>'D-Netzverl. u. KW-Eigenverbr.'!P6</f>
        <v>62</v>
      </c>
      <c r="Q220" s="615">
        <f>'D-Netzverl. u. KW-Eigenverbr.'!Q6</f>
        <v>62</v>
      </c>
      <c r="R220" s="615">
        <f>'D-Netzverl. u. KW-Eigenverbr.'!R6</f>
        <v>59.714285714285715</v>
      </c>
      <c r="S220" s="615">
        <f>'D-Netzverl. u. KW-Eigenverbr.'!S6</f>
        <v>57.428571428571431</v>
      </c>
      <c r="T220" s="615">
        <f>'D-Netzverl. u. KW-Eigenverbr.'!T6</f>
        <v>55.142857142857146</v>
      </c>
      <c r="U220" s="615">
        <f>'D-Netzverl. u. KW-Eigenverbr.'!U6</f>
        <v>52.857142857142861</v>
      </c>
      <c r="V220" s="615">
        <f>'D-Netzverl. u. KW-Eigenverbr.'!V6</f>
        <v>50.571428571428577</v>
      </c>
      <c r="W220" s="615">
        <f>'D-Netzverl. u. KW-Eigenverbr.'!W6</f>
        <v>48.285714285714292</v>
      </c>
      <c r="X220" s="615">
        <f>'D-Netzverl. u. KW-Eigenverbr.'!X6</f>
        <v>46.000000000000007</v>
      </c>
      <c r="Y220" s="615">
        <f>'D-Netzverl. u. KW-Eigenverbr.'!Y6</f>
        <v>43.714285714285722</v>
      </c>
      <c r="Z220" s="615">
        <f>'D-Netzverl. u. KW-Eigenverbr.'!Z6</f>
        <v>41.428571428571438</v>
      </c>
      <c r="AA220" s="615">
        <f>'D-Netzverl. u. KW-Eigenverbr.'!AA6</f>
        <v>39.142857142857153</v>
      </c>
      <c r="AB220" s="615">
        <f>'D-Netzverl. u. KW-Eigenverbr.'!AB6</f>
        <v>36.857142857142861</v>
      </c>
      <c r="AC220" s="615">
        <f>'D-Netzverl. u. KW-Eigenverbr.'!AC6</f>
        <v>34.571428571428577</v>
      </c>
      <c r="AD220" s="615">
        <f>'D-Netzverl. u. KW-Eigenverbr.'!AD6</f>
        <v>32.285714285714292</v>
      </c>
      <c r="AE220" s="616">
        <f>'D-Netzverl. u. KW-Eigenverbr.'!AE6</f>
        <v>30</v>
      </c>
      <c r="AF220" s="939"/>
      <c r="AG220" s="939"/>
    </row>
    <row r="221" spans="1:34" s="301" customFormat="1">
      <c r="A221" s="561">
        <v>206</v>
      </c>
      <c r="C221" s="10"/>
      <c r="D221" s="29"/>
      <c r="E221" s="16" t="s">
        <v>497</v>
      </c>
      <c r="F221" s="615">
        <f>F219+F220</f>
        <v>615.29999999999995</v>
      </c>
      <c r="G221" s="615">
        <f t="shared" ref="G221:AD221" si="21">G219+G220</f>
        <v>606.79999999999995</v>
      </c>
      <c r="H221" s="615">
        <f t="shared" si="21"/>
        <v>607.09999999999991</v>
      </c>
      <c r="I221" s="615">
        <f t="shared" si="21"/>
        <v>603.90000000000009</v>
      </c>
      <c r="J221" s="615">
        <f t="shared" si="21"/>
        <v>597.97864653548299</v>
      </c>
      <c r="K221" s="615">
        <f>K219+K220</f>
        <v>599.6</v>
      </c>
      <c r="L221" s="615">
        <f t="shared" si="21"/>
        <v>598.1</v>
      </c>
      <c r="M221" s="615">
        <f>M219+M220</f>
        <v>599.10464400000001</v>
      </c>
      <c r="N221" s="615">
        <f>N219+N220</f>
        <v>594.93999999999994</v>
      </c>
      <c r="O221" s="615">
        <f t="shared" si="21"/>
        <v>598.23646499999995</v>
      </c>
      <c r="P221" s="615">
        <f t="shared" si="21"/>
        <v>600.51776999999993</v>
      </c>
      <c r="Q221" s="615">
        <f t="shared" si="21"/>
        <v>580.52683000000002</v>
      </c>
      <c r="R221" s="615">
        <f t="shared" si="21"/>
        <v>577.71428571428567</v>
      </c>
      <c r="S221" s="615">
        <f t="shared" si="21"/>
        <v>573.12857142857149</v>
      </c>
      <c r="T221" s="615">
        <f t="shared" si="21"/>
        <v>570.34285714285716</v>
      </c>
      <c r="U221" s="615">
        <f t="shared" si="21"/>
        <v>565.45714285714291</v>
      </c>
      <c r="V221" s="615">
        <f t="shared" si="21"/>
        <v>562.7714285714286</v>
      </c>
      <c r="W221" s="615">
        <f t="shared" si="21"/>
        <v>582.43571428571443</v>
      </c>
      <c r="X221" s="615">
        <f t="shared" si="21"/>
        <v>602.1</v>
      </c>
      <c r="Y221" s="615">
        <f t="shared" si="21"/>
        <v>621.76428571428573</v>
      </c>
      <c r="Z221" s="615">
        <f t="shared" si="21"/>
        <v>641.42857142857144</v>
      </c>
      <c r="AA221" s="615">
        <f t="shared" si="21"/>
        <v>661.09285714285716</v>
      </c>
      <c r="AB221" s="615">
        <f t="shared" si="21"/>
        <v>680.75714285714298</v>
      </c>
      <c r="AC221" s="615">
        <f t="shared" si="21"/>
        <v>700.42142857142869</v>
      </c>
      <c r="AD221" s="615">
        <f t="shared" si="21"/>
        <v>720.08571428571452</v>
      </c>
      <c r="AE221" s="616">
        <f>AE219+AE220</f>
        <v>739.75000000000023</v>
      </c>
      <c r="AF221" s="939"/>
      <c r="AG221" s="939"/>
    </row>
    <row r="222" spans="1:34" s="301" customFormat="1">
      <c r="A222" s="561">
        <v>207</v>
      </c>
      <c r="C222" s="10"/>
      <c r="D222" s="29"/>
      <c r="E222" s="16" t="s">
        <v>498</v>
      </c>
      <c r="F222" s="101">
        <f>'MOD-Berechnungen'!F245</f>
        <v>90.230999999999995</v>
      </c>
      <c r="G222" s="101">
        <f>'MOD-Berechnungen'!G245</f>
        <v>110.32713299999998</v>
      </c>
      <c r="H222" s="101">
        <f>'MOD-Berechnungen'!H245</f>
        <v>113.51865999999998</v>
      </c>
      <c r="I222" s="101">
        <f>'MOD-Berechnungen'!I245</f>
        <v>134.44289299999997</v>
      </c>
      <c r="J222" s="101">
        <f>'MOD-Berechnungen'!J245</f>
        <v>149.23655299999999</v>
      </c>
      <c r="K222" s="101">
        <f>'MOD-Berechnungen'!K245</f>
        <v>160.48758199999997</v>
      </c>
      <c r="L222" s="101">
        <f>'MOD-Berechnungen'!L245</f>
        <v>176.427021</v>
      </c>
      <c r="M222" s="101">
        <f>'MOD-Berechnungen'!M245</f>
        <v>187.22620899999998</v>
      </c>
      <c r="N222" s="101">
        <f>'MOD-Berechnungen'!N245</f>
        <v>203.875407</v>
      </c>
      <c r="O222" s="101">
        <f>'MOD-Berechnungen'!O245</f>
        <v>217.00349199999999</v>
      </c>
      <c r="P222" s="101">
        <f>'MOD-Berechnungen'!P245</f>
        <v>225.61901599999999</v>
      </c>
      <c r="Q222" s="101">
        <f>'MOD-Berechnungen'!Q245</f>
        <v>228.27263399999998</v>
      </c>
      <c r="R222" s="101">
        <f>'MOD-Berechnungen'!R245</f>
        <v>238.93027999999998</v>
      </c>
      <c r="S222" s="101">
        <f>'MOD-Berechnungen'!S245</f>
        <v>252.97721200260429</v>
      </c>
      <c r="T222" s="101">
        <f>'MOD-Berechnungen'!T245</f>
        <v>265.49750687467122</v>
      </c>
      <c r="U222" s="101">
        <f>'MOD-Berechnungen'!U245</f>
        <v>276.95342139815239</v>
      </c>
      <c r="V222" s="101">
        <f>'MOD-Berechnungen'!V245</f>
        <v>287.74774050143287</v>
      </c>
      <c r="W222" s="101">
        <f>'MOD-Berechnungen'!W245</f>
        <v>294.87935144714982</v>
      </c>
      <c r="X222" s="101">
        <f>'MOD-Berechnungen'!X245</f>
        <v>301.33447422099277</v>
      </c>
      <c r="Y222" s="101">
        <f>'MOD-Berechnungen'!Y245</f>
        <v>310.30062985258121</v>
      </c>
      <c r="Z222" s="101">
        <f>'MOD-Berechnungen'!Z245</f>
        <v>312.60211807348219</v>
      </c>
      <c r="AA222" s="101">
        <f>'MOD-Berechnungen'!AA245</f>
        <v>313.08251296215519</v>
      </c>
      <c r="AB222" s="101">
        <f>'MOD-Berechnungen'!AB245</f>
        <v>310.04924820016259</v>
      </c>
      <c r="AC222" s="101">
        <f>'MOD-Berechnungen'!AC245</f>
        <v>311.54185909279659</v>
      </c>
      <c r="AD222" s="101">
        <f>'MOD-Berechnungen'!AD245</f>
        <v>315.10032807021025</v>
      </c>
      <c r="AE222" s="592">
        <f>'MOD-Berechnungen'!AE245</f>
        <v>317.28362421996241</v>
      </c>
      <c r="AF222" s="939"/>
      <c r="AG222" s="939"/>
    </row>
    <row r="223" spans="1:34" s="301" customFormat="1">
      <c r="A223" s="561">
        <v>208</v>
      </c>
      <c r="C223" s="10"/>
      <c r="D223" s="29"/>
      <c r="E223" s="303" t="s">
        <v>550</v>
      </c>
      <c r="F223" s="102">
        <f>SUM('D-EE-Strommengen nicht EEG'!G6:G12) + SUM(F210:F216)</f>
        <v>20.256</v>
      </c>
      <c r="G223" s="102">
        <f>SUM('D-EE-Strommengen nicht EEG'!H6:H12) + SUM(G210:G216)</f>
        <v>16.433254000000002</v>
      </c>
      <c r="H223" s="102">
        <f>SUM('D-EE-Strommengen nicht EEG'!I6:I12) + SUM(H210:H216)</f>
        <v>21.270144000000002</v>
      </c>
      <c r="I223" s="102">
        <f>SUM('D-EE-Strommengen nicht EEG'!J6:J12) + SUM(I210:I216)</f>
        <v>22.104711999999999</v>
      </c>
      <c r="J223" s="102">
        <f>SUM('D-EE-Strommengen nicht EEG'!K6:K12) + SUM(J210:J216)</f>
        <v>20.049999999999997</v>
      </c>
      <c r="K223" s="102">
        <f ca="1">SUM('D-EE-Strommengen nicht EEG'!L6:L12) + SUM(K210:K216)</f>
        <v>19.75</v>
      </c>
      <c r="L223" s="102">
        <f ca="1">SUM('D-EE-Strommengen nicht EEG'!M6:M12) + SUM(L210:L216)</f>
        <v>19.75</v>
      </c>
      <c r="M223" s="102">
        <f ca="1">SUM('D-EE-Strommengen nicht EEG'!N6:N12) + SUM(M210:M216)</f>
        <v>19.75</v>
      </c>
      <c r="N223" s="102">
        <f ca="1">SUM('D-EE-Strommengen nicht EEG'!O6:O12) + SUM(N210:N216)</f>
        <v>19.75</v>
      </c>
      <c r="O223" s="102">
        <f ca="1">SUM('D-EE-Strommengen nicht EEG'!P6:P12) + SUM(O210:O216)</f>
        <v>19.75</v>
      </c>
      <c r="P223" s="102">
        <f ca="1">SUM('D-EE-Strommengen nicht EEG'!Q6:Q12) + SUM(P210:P216)</f>
        <v>20.89589999999999</v>
      </c>
      <c r="Q223" s="102">
        <f ca="1">SUM('D-EE-Strommengen nicht EEG'!R6:R12) + SUM(Q210:Q216)</f>
        <v>22.825096915309956</v>
      </c>
      <c r="R223" s="102">
        <f ca="1">SUM('D-EE-Strommengen nicht EEG'!S6:S12) + SUM(R210:R216)</f>
        <v>30.121834068309937</v>
      </c>
      <c r="S223" s="102">
        <f ca="1">SUM('D-EE-Strommengen nicht EEG'!T6:T12) + SUM(S210:S216)</f>
        <v>34.402329214639934</v>
      </c>
      <c r="T223" s="102">
        <f ca="1">SUM('D-EE-Strommengen nicht EEG'!U6:U12) + SUM(T210:T216)</f>
        <v>38.006027818639936</v>
      </c>
      <c r="U223" s="102">
        <f ca="1">SUM('D-EE-Strommengen nicht EEG'!V6:V12) + SUM(U210:U216)</f>
        <v>40.851939073639947</v>
      </c>
      <c r="V223" s="102">
        <f ca="1">SUM('D-EE-Strommengen nicht EEG'!W6:W12) + SUM(V210:V216)</f>
        <v>41.634049345429993</v>
      </c>
      <c r="W223" s="102">
        <f ca="1">SUM('D-EE-Strommengen nicht EEG'!X6:X12) + SUM(W210:W216)</f>
        <v>41.74496815042999</v>
      </c>
      <c r="X223" s="102">
        <f ca="1">SUM('D-EE-Strommengen nicht EEG'!Y6:Y12) + SUM(X210:X216)</f>
        <v>40.609959114460011</v>
      </c>
      <c r="Y223" s="102">
        <f ca="1">SUM('D-EE-Strommengen nicht EEG'!Z6:Z12) + SUM(Y210:Y216)</f>
        <v>39.187963264060002</v>
      </c>
      <c r="Z223" s="1275">
        <f ca="1">SUM('D-EE-Strommengen nicht EEG'!AA6:AA12) + SUM(Z210:Z216)</f>
        <v>43.87589290450002</v>
      </c>
      <c r="AA223" s="102">
        <f ca="1">SUM('D-EE-Strommengen nicht EEG'!AB6:AB12) + SUM(AA210:AA216)</f>
        <v>49.644248850850047</v>
      </c>
      <c r="AB223" s="102">
        <f ca="1">SUM('D-EE-Strommengen nicht EEG'!AC6:AC12) + SUM(AB210:AB216)</f>
        <v>55.935368810070059</v>
      </c>
      <c r="AC223" s="102">
        <f ca="1">SUM('D-EE-Strommengen nicht EEG'!AD6:AD12) + SUM(AC210:AC216)</f>
        <v>62.503365680120069</v>
      </c>
      <c r="AD223" s="102">
        <f ca="1">SUM('D-EE-Strommengen nicht EEG'!AE6:AE12) + SUM(AD210:AD216)</f>
        <v>67.313749696350058</v>
      </c>
      <c r="AE223" s="593">
        <f ca="1">SUM('D-EE-Strommengen nicht EEG'!AF6:AF12) + SUM(AE210:AE216)</f>
        <v>68.143168260620044</v>
      </c>
      <c r="AF223" s="939" t="s">
        <v>544</v>
      </c>
      <c r="AG223" s="939" t="s">
        <v>569</v>
      </c>
    </row>
    <row r="224" spans="1:34" s="301" customFormat="1">
      <c r="A224" s="561">
        <v>209</v>
      </c>
      <c r="C224" s="10"/>
      <c r="D224" s="29"/>
      <c r="E224" s="36"/>
      <c r="F224" s="596"/>
      <c r="G224" s="596"/>
      <c r="H224" s="596"/>
      <c r="I224" s="596"/>
      <c r="J224" s="596"/>
      <c r="K224" s="596"/>
      <c r="L224" s="331"/>
      <c r="M224" s="331"/>
      <c r="N224" s="331"/>
      <c r="O224" s="331"/>
      <c r="P224" s="331"/>
      <c r="Q224" s="331"/>
      <c r="R224" s="331"/>
      <c r="S224" s="331"/>
      <c r="T224" s="331"/>
      <c r="U224" s="331"/>
      <c r="V224" s="331"/>
      <c r="W224" s="331"/>
      <c r="X224" s="331"/>
      <c r="Y224" s="331"/>
      <c r="Z224" s="331"/>
      <c r="AA224" s="331"/>
      <c r="AB224" s="331"/>
      <c r="AC224" s="331"/>
      <c r="AD224" s="331"/>
      <c r="AE224" s="331"/>
      <c r="AF224" s="939"/>
      <c r="AG224" s="939"/>
    </row>
    <row r="225" spans="1:34" s="301" customFormat="1">
      <c r="A225" s="561">
        <v>210</v>
      </c>
      <c r="C225" s="10"/>
      <c r="D225" s="29"/>
      <c r="E225" s="321" t="s">
        <v>499</v>
      </c>
      <c r="F225" s="605">
        <f t="shared" ref="F225:K225" si="22">(F222+F223)/F221</f>
        <v>0.17956606533398342</v>
      </c>
      <c r="G225" s="605">
        <f t="shared" si="22"/>
        <v>0.20889978081740276</v>
      </c>
      <c r="H225" s="605">
        <f t="shared" si="22"/>
        <v>0.22202076099489373</v>
      </c>
      <c r="I225" s="605">
        <f t="shared" si="22"/>
        <v>0.25922769498261294</v>
      </c>
      <c r="J225" s="605">
        <f t="shared" si="22"/>
        <v>0.28309799017205339</v>
      </c>
      <c r="K225" s="605">
        <f t="shared" ca="1" si="22"/>
        <v>0.30059636757838554</v>
      </c>
      <c r="L225" s="605">
        <f ca="1">(L222+L223)/L221</f>
        <v>0.32800036950342748</v>
      </c>
      <c r="M225" s="605">
        <f t="shared" ref="M225:AD225" ca="1" si="23">(M222+M223)/M221</f>
        <v>0.34547588818223213</v>
      </c>
      <c r="N225" s="605">
        <f t="shared" ca="1" si="23"/>
        <v>0.37587892392510169</v>
      </c>
      <c r="O225" s="605">
        <f t="shared" ca="1" si="23"/>
        <v>0.39575235855942015</v>
      </c>
      <c r="P225" s="605">
        <f t="shared" ca="1" si="23"/>
        <v>0.41050394895058645</v>
      </c>
      <c r="Q225" s="605">
        <f t="shared" ca="1" si="23"/>
        <v>0.4325342394860715</v>
      </c>
      <c r="R225" s="605">
        <f t="shared" ca="1" si="23"/>
        <v>0.46571829833782635</v>
      </c>
      <c r="S225" s="605">
        <f t="shared" ca="1" si="23"/>
        <v>0.50142246529592194</v>
      </c>
      <c r="T225" s="605">
        <f t="shared" ca="1" si="23"/>
        <v>0.532142255999694</v>
      </c>
      <c r="U225" s="605">
        <f t="shared" ca="1" si="23"/>
        <v>0.56203262172263801</v>
      </c>
      <c r="V225" s="605">
        <f t="shared" ca="1" si="23"/>
        <v>0.58528520305834397</v>
      </c>
      <c r="W225" s="605">
        <f t="shared" ca="1" si="23"/>
        <v>0.5779596122645192</v>
      </c>
      <c r="X225" s="605">
        <f t="shared" ca="1" si="23"/>
        <v>0.56791967004725596</v>
      </c>
      <c r="Y225" s="605">
        <f t="shared" ca="1" si="23"/>
        <v>0.56209177842234381</v>
      </c>
      <c r="Z225" s="605">
        <f ca="1">(Z222+Z223)/Z221</f>
        <v>0.55575636455364708</v>
      </c>
      <c r="AA225" s="605">
        <f t="shared" ca="1" si="23"/>
        <v>0.54867747835100678</v>
      </c>
      <c r="AB225" s="605">
        <f t="shared" ca="1" si="23"/>
        <v>0.53761406817443358</v>
      </c>
      <c r="AC225" s="605">
        <f t="shared" ca="1" si="23"/>
        <v>0.53402881396106749</v>
      </c>
      <c r="AD225" s="605">
        <f t="shared" ca="1" si="23"/>
        <v>0.53106744125023231</v>
      </c>
      <c r="AE225" s="606">
        <f ca="1">(AE222+AE223)/AE221</f>
        <v>0.5210230381623282</v>
      </c>
      <c r="AF225" s="939"/>
      <c r="AG225" s="939" t="s">
        <v>544</v>
      </c>
    </row>
    <row r="226" spans="1:34" s="301" customFormat="1" ht="38.25">
      <c r="A226" s="561">
        <v>211</v>
      </c>
      <c r="C226" s="10"/>
      <c r="D226" s="29"/>
      <c r="E226" s="664" t="s">
        <v>636</v>
      </c>
      <c r="F226" s="607"/>
      <c r="G226" s="607"/>
      <c r="H226" s="607"/>
      <c r="I226" s="607"/>
      <c r="J226" s="628"/>
      <c r="K226" s="628"/>
      <c r="L226" s="628"/>
      <c r="M226" s="628"/>
      <c r="N226" s="628"/>
      <c r="O226" s="628"/>
      <c r="P226" s="628"/>
      <c r="Q226" s="628"/>
      <c r="R226" s="628"/>
      <c r="S226" s="628"/>
      <c r="T226" s="628"/>
      <c r="U226" s="628">
        <f>U228-U227</f>
        <v>4.9999999999999989E-2</v>
      </c>
      <c r="V226" s="628"/>
      <c r="W226" s="628"/>
      <c r="X226" s="628"/>
      <c r="Y226" s="628"/>
      <c r="Z226" s="628"/>
      <c r="AA226" s="628"/>
      <c r="AB226" s="628"/>
      <c r="AC226" s="628"/>
      <c r="AD226" s="628"/>
      <c r="AE226" s="630">
        <f>AE228-AE227</f>
        <v>4.9999999999999933E-2</v>
      </c>
      <c r="AF226" s="939"/>
      <c r="AG226" s="939" t="s">
        <v>605</v>
      </c>
      <c r="AH226" s="10"/>
    </row>
    <row r="227" spans="1:34" s="301" customFormat="1">
      <c r="A227" s="561">
        <v>212</v>
      </c>
      <c r="C227" s="10"/>
      <c r="D227" s="29"/>
      <c r="E227" s="303" t="s">
        <v>634</v>
      </c>
      <c r="F227" s="609"/>
      <c r="G227" s="609"/>
      <c r="H227" s="609"/>
      <c r="I227" s="609"/>
      <c r="J227" s="609"/>
      <c r="K227" s="609"/>
      <c r="L227" s="609"/>
      <c r="M227" s="609"/>
      <c r="N227" s="609"/>
      <c r="O227" s="609"/>
      <c r="P227" s="609"/>
      <c r="Q227" s="609"/>
      <c r="R227" s="609"/>
      <c r="S227" s="609"/>
      <c r="T227" s="609"/>
      <c r="U227" s="629">
        <v>0.4</v>
      </c>
      <c r="V227" s="609"/>
      <c r="W227" s="609"/>
      <c r="X227" s="609"/>
      <c r="Y227" s="609"/>
      <c r="Z227" s="609"/>
      <c r="AA227" s="609"/>
      <c r="AB227" s="609"/>
      <c r="AC227" s="609"/>
      <c r="AD227" s="609"/>
      <c r="AE227" s="631">
        <v>0.55000000000000004</v>
      </c>
      <c r="AF227" s="939"/>
      <c r="AG227" s="939" t="s">
        <v>605</v>
      </c>
    </row>
    <row r="228" spans="1:34" s="301" customFormat="1">
      <c r="A228" s="561">
        <v>213</v>
      </c>
      <c r="C228" s="10"/>
      <c r="D228" s="29"/>
      <c r="E228" s="16" t="s">
        <v>635</v>
      </c>
      <c r="F228" s="607"/>
      <c r="G228" s="607"/>
      <c r="H228" s="607"/>
      <c r="I228" s="607"/>
      <c r="J228" s="607"/>
      <c r="K228" s="607"/>
      <c r="L228" s="607"/>
      <c r="M228" s="607"/>
      <c r="N228" s="607"/>
      <c r="O228" s="607"/>
      <c r="P228" s="607"/>
      <c r="Q228" s="607"/>
      <c r="R228" s="607"/>
      <c r="S228" s="607"/>
      <c r="T228" s="607"/>
      <c r="U228" s="628">
        <v>0.45</v>
      </c>
      <c r="V228" s="607"/>
      <c r="W228" s="607"/>
      <c r="X228" s="607"/>
      <c r="Y228" s="607"/>
      <c r="Z228" s="607"/>
      <c r="AA228" s="607"/>
      <c r="AB228" s="607"/>
      <c r="AC228" s="607"/>
      <c r="AD228" s="607"/>
      <c r="AE228" s="630">
        <v>0.6</v>
      </c>
      <c r="AF228" s="939"/>
      <c r="AG228" s="939" t="s">
        <v>605</v>
      </c>
    </row>
    <row r="229" spans="1:34" s="301" customFormat="1">
      <c r="A229" s="561">
        <v>214</v>
      </c>
      <c r="C229" s="10"/>
      <c r="D229" s="29"/>
      <c r="E229" s="85" t="s">
        <v>841</v>
      </c>
      <c r="F229" s="957"/>
      <c r="G229" s="957"/>
      <c r="H229" s="957"/>
      <c r="I229" s="957"/>
      <c r="J229" s="957"/>
      <c r="K229" s="957"/>
      <c r="L229" s="957"/>
      <c r="M229" s="957"/>
      <c r="N229" s="957"/>
      <c r="O229" s="957"/>
      <c r="P229" s="957"/>
      <c r="Q229" s="957"/>
      <c r="R229" s="957"/>
      <c r="S229" s="957"/>
      <c r="T229" s="957"/>
      <c r="U229" s="957"/>
      <c r="V229" s="957"/>
      <c r="W229" s="957"/>
      <c r="X229" s="957"/>
      <c r="Y229" s="957"/>
      <c r="Z229" s="957">
        <v>0.65</v>
      </c>
      <c r="AA229" s="957"/>
      <c r="AB229" s="957"/>
      <c r="AC229" s="957"/>
      <c r="AD229" s="957"/>
      <c r="AE229" s="957"/>
    </row>
    <row r="230" spans="1:34" s="301" customFormat="1">
      <c r="C230" s="10"/>
      <c r="D230" s="29"/>
      <c r="E230" s="199" t="s">
        <v>681</v>
      </c>
      <c r="F230" s="70">
        <v>2010</v>
      </c>
      <c r="G230" s="70">
        <v>2011</v>
      </c>
      <c r="H230" s="70">
        <v>2012</v>
      </c>
      <c r="I230" s="70">
        <v>2013</v>
      </c>
      <c r="J230" s="70">
        <v>2014</v>
      </c>
      <c r="K230" s="70">
        <v>2015</v>
      </c>
      <c r="L230" s="70">
        <v>2016</v>
      </c>
      <c r="M230" s="70">
        <v>2017</v>
      </c>
      <c r="N230" s="70">
        <v>2018</v>
      </c>
      <c r="O230" s="70">
        <v>2019</v>
      </c>
      <c r="P230" s="70">
        <v>2020</v>
      </c>
      <c r="Q230" s="70">
        <v>2021</v>
      </c>
      <c r="R230" s="70">
        <v>2022</v>
      </c>
      <c r="S230" s="70">
        <v>2023</v>
      </c>
      <c r="T230" s="70">
        <v>2024</v>
      </c>
      <c r="U230" s="70">
        <v>2025</v>
      </c>
      <c r="V230" s="70">
        <v>2026</v>
      </c>
      <c r="W230" s="70">
        <v>2027</v>
      </c>
      <c r="X230" s="70">
        <v>2028</v>
      </c>
      <c r="Y230" s="70">
        <v>2029</v>
      </c>
      <c r="Z230" s="70">
        <v>2030</v>
      </c>
      <c r="AA230" s="70">
        <v>2031</v>
      </c>
      <c r="AB230" s="70">
        <v>2032</v>
      </c>
      <c r="AC230" s="70">
        <v>2033</v>
      </c>
      <c r="AD230" s="70">
        <v>2034</v>
      </c>
      <c r="AE230" s="70">
        <v>2035</v>
      </c>
    </row>
    <row r="231" spans="1:34" s="301" customFormat="1">
      <c r="C231" s="10"/>
      <c r="D231" s="29"/>
      <c r="E231" s="521" t="s">
        <v>518</v>
      </c>
      <c r="F231" s="100"/>
      <c r="G231" s="100">
        <f t="shared" ref="G231:AE231" si="24">G118-F118</f>
        <v>0</v>
      </c>
      <c r="H231" s="100">
        <f t="shared" si="24"/>
        <v>0</v>
      </c>
      <c r="I231" s="100">
        <f t="shared" si="24"/>
        <v>0</v>
      </c>
      <c r="J231" s="100">
        <f t="shared" si="24"/>
        <v>0</v>
      </c>
      <c r="K231" s="100">
        <f t="shared" si="24"/>
        <v>0.34674016946025665</v>
      </c>
      <c r="L231" s="100">
        <f t="shared" si="24"/>
        <v>0.55845288073825239</v>
      </c>
      <c r="M231" s="100">
        <f t="shared" si="24"/>
        <v>0.57554368477217488</v>
      </c>
      <c r="N231" s="100">
        <f t="shared" si="24"/>
        <v>0.49417097399997578</v>
      </c>
      <c r="O231" s="100">
        <f t="shared" si="24"/>
        <v>0.39279574801291317</v>
      </c>
      <c r="P231" s="100">
        <f t="shared" si="24"/>
        <v>0.30913270985495167</v>
      </c>
      <c r="Q231" s="100">
        <f t="shared" si="24"/>
        <v>0.30362793803745758</v>
      </c>
      <c r="R231" s="100">
        <f t="shared" si="24"/>
        <v>0.17283885105775454</v>
      </c>
      <c r="S231" s="100">
        <f t="shared" si="24"/>
        <v>0.41774552126455067</v>
      </c>
      <c r="T231" s="100">
        <f t="shared" si="24"/>
        <v>0.19616420501480247</v>
      </c>
      <c r="U231" s="100">
        <f t="shared" si="24"/>
        <v>0.34961129254302081</v>
      </c>
      <c r="V231" s="100">
        <f t="shared" si="24"/>
        <v>0.27174815917879691</v>
      </c>
      <c r="W231" s="100">
        <f t="shared" si="24"/>
        <v>-0.23457352100877049</v>
      </c>
      <c r="X231" s="100">
        <f t="shared" si="24"/>
        <v>-0.10355169875119685</v>
      </c>
      <c r="Y231" s="100">
        <f t="shared" si="24"/>
        <v>-0.12157276150875473</v>
      </c>
      <c r="Z231" s="100">
        <f t="shared" si="24"/>
        <v>-2.191205970264587E-2</v>
      </c>
      <c r="AA231" s="100">
        <f t="shared" si="24"/>
        <v>-3.5007195099385768E-3</v>
      </c>
      <c r="AB231" s="100">
        <f t="shared" si="24"/>
        <v>-6.088750804846832E-4</v>
      </c>
      <c r="AC231" s="100">
        <f t="shared" si="24"/>
        <v>-1.3343522240631955E-3</v>
      </c>
      <c r="AD231" s="100">
        <f t="shared" si="24"/>
        <v>-6.5338881089882506E-2</v>
      </c>
      <c r="AE231" s="100">
        <f t="shared" si="24"/>
        <v>-4.9102471020896932E-2</v>
      </c>
    </row>
    <row r="232" spans="1:34" s="301" customFormat="1">
      <c r="C232" s="10"/>
      <c r="D232" s="29"/>
      <c r="E232" s="495" t="s">
        <v>516</v>
      </c>
      <c r="F232" s="101"/>
      <c r="G232" s="101">
        <f t="shared" ref="G232:AE232" si="25">G119-F119</f>
        <v>-3.3849593859787142E-2</v>
      </c>
      <c r="H232" s="101">
        <f t="shared" si="25"/>
        <v>-0.32675804925327934</v>
      </c>
      <c r="I232" s="101">
        <f t="shared" si="25"/>
        <v>-0.15876774422843365</v>
      </c>
      <c r="J232" s="101">
        <f t="shared" si="25"/>
        <v>0.16793347085595567</v>
      </c>
      <c r="K232" s="101">
        <f t="shared" si="25"/>
        <v>3.3007682520408643E-2</v>
      </c>
      <c r="L232" s="101">
        <f t="shared" si="25"/>
        <v>2.3303966512110863E-2</v>
      </c>
      <c r="M232" s="101">
        <f t="shared" si="25"/>
        <v>8.2490651336367238E-2</v>
      </c>
      <c r="N232" s="101">
        <f t="shared" si="25"/>
        <v>-0.28332416323024412</v>
      </c>
      <c r="O232" s="101">
        <f t="shared" si="25"/>
        <v>-0.59004044212675488</v>
      </c>
      <c r="P232" s="101">
        <f t="shared" si="25"/>
        <v>-0.33914640731158974</v>
      </c>
      <c r="Q232" s="101">
        <f t="shared" si="25"/>
        <v>0.4471126178477034</v>
      </c>
      <c r="R232" s="101">
        <f t="shared" si="25"/>
        <v>-1.7903823446296578</v>
      </c>
      <c r="S232" s="101">
        <f t="shared" si="25"/>
        <v>-1.7807073849372839</v>
      </c>
      <c r="T232" s="101">
        <f t="shared" si="25"/>
        <v>0.74146005665048964</v>
      </c>
      <c r="U232" s="101">
        <f t="shared" si="25"/>
        <v>3.947936943775332E-2</v>
      </c>
      <c r="V232" s="101">
        <f t="shared" si="25"/>
        <v>-0.11442280910318825</v>
      </c>
      <c r="W232" s="101">
        <f t="shared" si="25"/>
        <v>0.32376053353663359</v>
      </c>
      <c r="X232" s="101">
        <f t="shared" si="25"/>
        <v>0.32654044554764106</v>
      </c>
      <c r="Y232" s="101">
        <f t="shared" si="25"/>
        <v>0.25411363162371092</v>
      </c>
      <c r="Z232" s="101">
        <f t="shared" si="25"/>
        <v>0.29820580974674638</v>
      </c>
      <c r="AA232" s="101">
        <f t="shared" si="25"/>
        <v>0.29469178450700584</v>
      </c>
      <c r="AB232" s="101">
        <f t="shared" si="25"/>
        <v>0.33051810779739732</v>
      </c>
      <c r="AC232" s="101">
        <f t="shared" si="25"/>
        <v>0.24150360477525901</v>
      </c>
      <c r="AD232" s="101">
        <f t="shared" si="25"/>
        <v>0.20707638212156088</v>
      </c>
      <c r="AE232" s="101">
        <f t="shared" si="25"/>
        <v>0.24387095433559125</v>
      </c>
    </row>
    <row r="233" spans="1:34" s="301" customFormat="1">
      <c r="C233" s="10"/>
      <c r="D233" s="29"/>
      <c r="E233" s="16" t="s">
        <v>75</v>
      </c>
      <c r="F233" s="101"/>
      <c r="G233" s="101">
        <f t="shared" ref="G233:AE233" si="26">G120-F120</f>
        <v>0</v>
      </c>
      <c r="H233" s="101">
        <f t="shared" si="26"/>
        <v>9.9363640268897269E-2</v>
      </c>
      <c r="I233" s="101">
        <f t="shared" si="26"/>
        <v>0.31946584740793482</v>
      </c>
      <c r="J233" s="101">
        <f t="shared" si="26"/>
        <v>9.5670959943539302E-2</v>
      </c>
      <c r="K233" s="101">
        <f t="shared" si="26"/>
        <v>8.1379852136567954E-2</v>
      </c>
      <c r="L233" s="101">
        <f t="shared" si="26"/>
        <v>4.3295157715706689E-2</v>
      </c>
      <c r="M233" s="101">
        <f t="shared" si="26"/>
        <v>-0.21944307759966697</v>
      </c>
      <c r="N233" s="101">
        <f t="shared" si="26"/>
        <v>1.7422036531960838E-2</v>
      </c>
      <c r="O233" s="101">
        <f t="shared" si="26"/>
        <v>-1.6235571564664486E-2</v>
      </c>
      <c r="P233" s="101">
        <f t="shared" si="26"/>
        <v>0.12527945691299291</v>
      </c>
      <c r="Q233" s="101">
        <f t="shared" si="26"/>
        <v>0.22242068144829785</v>
      </c>
      <c r="R233" s="101">
        <f t="shared" si="26"/>
        <v>-0.48537885957324295</v>
      </c>
      <c r="S233" s="101">
        <f t="shared" si="26"/>
        <v>-1.1866265491010997E-2</v>
      </c>
      <c r="T233" s="101">
        <f t="shared" si="26"/>
        <v>4.8537471250357844E-2</v>
      </c>
      <c r="U233" s="101">
        <f t="shared" si="26"/>
        <v>5.1115180942174487E-3</v>
      </c>
      <c r="V233" s="101">
        <f t="shared" si="26"/>
        <v>-1.7989588284552771E-2</v>
      </c>
      <c r="W233" s="101">
        <f t="shared" si="26"/>
        <v>-4.1946633473556538E-2</v>
      </c>
      <c r="X233" s="101">
        <f t="shared" si="26"/>
        <v>-2.9246463032230607E-2</v>
      </c>
      <c r="Y233" s="101">
        <f t="shared" si="26"/>
        <v>-2.7002813816936949E-2</v>
      </c>
      <c r="Z233" s="101">
        <f t="shared" si="26"/>
        <v>-3.2371358177900017E-2</v>
      </c>
      <c r="AA233" s="101">
        <f t="shared" si="26"/>
        <v>-3.9476689170738266E-2</v>
      </c>
      <c r="AB233" s="101">
        <f t="shared" si="26"/>
        <v>-3.2581480031309631E-2</v>
      </c>
      <c r="AC233" s="101">
        <f t="shared" si="26"/>
        <v>-1.5294120717165835E-2</v>
      </c>
      <c r="AD233" s="101">
        <f t="shared" si="26"/>
        <v>-3.9736365437445242E-3</v>
      </c>
      <c r="AE233" s="101">
        <f t="shared" si="26"/>
        <v>1.7173490213443221E-3</v>
      </c>
    </row>
    <row r="234" spans="1:34" s="301" customFormat="1">
      <c r="C234" s="10"/>
      <c r="D234" s="29"/>
      <c r="E234" s="16" t="s">
        <v>604</v>
      </c>
      <c r="F234" s="101"/>
      <c r="G234" s="101">
        <f t="shared" ref="G234:AE234" si="27">G121-F121</f>
        <v>0.27301911687690317</v>
      </c>
      <c r="H234" s="101">
        <f t="shared" si="27"/>
        <v>-9.2504099442375559E-2</v>
      </c>
      <c r="I234" s="101">
        <f t="shared" si="27"/>
        <v>0.48936061812031861</v>
      </c>
      <c r="J234" s="101">
        <f t="shared" si="27"/>
        <v>-8.9380559378932189E-2</v>
      </c>
      <c r="K234" s="101">
        <f t="shared" si="27"/>
        <v>-0.96560768573786337</v>
      </c>
      <c r="L234" s="101">
        <f t="shared" si="27"/>
        <v>-0.30754878291326182</v>
      </c>
      <c r="M234" s="101">
        <f t="shared" si="27"/>
        <v>0.13761578492293824</v>
      </c>
      <c r="N234" s="101">
        <f t="shared" si="27"/>
        <v>-0.38921091261127827</v>
      </c>
      <c r="O234" s="101">
        <f t="shared" si="27"/>
        <v>-8.5394579118076686E-2</v>
      </c>
      <c r="P234" s="101">
        <f t="shared" si="27"/>
        <v>0.41409033943268692</v>
      </c>
      <c r="Q234" s="101">
        <f t="shared" si="27"/>
        <v>1.800397924584257</v>
      </c>
      <c r="R234" s="101">
        <f t="shared" si="27"/>
        <v>-2.4823681802181961</v>
      </c>
      <c r="S234" s="101">
        <f t="shared" ca="1" si="27"/>
        <v>-0.38796449207982886</v>
      </c>
      <c r="T234" s="101">
        <f t="shared" ca="1" si="27"/>
        <v>1.411184913783335</v>
      </c>
      <c r="U234" s="101">
        <f t="shared" ca="1" si="27"/>
        <v>-4.8671605195087009E-2</v>
      </c>
      <c r="V234" s="101">
        <f t="shared" ca="1" si="27"/>
        <v>-3.9819908375052226E-3</v>
      </c>
      <c r="W234" s="101">
        <f t="shared" ca="1" si="27"/>
        <v>3.830443639893194E-2</v>
      </c>
      <c r="X234" s="101">
        <f t="shared" ca="1" si="27"/>
        <v>3.862709889973226E-2</v>
      </c>
      <c r="Y234" s="101">
        <f t="shared" ca="1" si="27"/>
        <v>2.6940582153052728E-2</v>
      </c>
      <c r="Z234" s="101">
        <f t="shared" ca="1" si="27"/>
        <v>2.5038247350413351E-2</v>
      </c>
      <c r="AA234" s="101">
        <f t="shared" ca="1" si="27"/>
        <v>3.0254348932840375E-2</v>
      </c>
      <c r="AB234" s="101">
        <f t="shared" ca="1" si="27"/>
        <v>3.72245933681013E-2</v>
      </c>
      <c r="AC234" s="101">
        <f t="shared" ca="1" si="27"/>
        <v>3.0789570150498838E-2</v>
      </c>
      <c r="AD234" s="101">
        <f t="shared" ca="1" si="27"/>
        <v>1.4437002225749701E-2</v>
      </c>
      <c r="AE234" s="101">
        <f t="shared" ca="1" si="27"/>
        <v>3.6440108233871116E-3</v>
      </c>
    </row>
    <row r="235" spans="1:34" s="301" customFormat="1" ht="25.5">
      <c r="C235" s="10"/>
      <c r="D235" s="29"/>
      <c r="E235" s="495" t="s">
        <v>475</v>
      </c>
      <c r="F235" s="101"/>
      <c r="G235" s="101">
        <f t="shared" ref="G235:AE235" si="28">G123-F123</f>
        <v>0.2044365729849198</v>
      </c>
      <c r="H235" s="101">
        <f t="shared" si="28"/>
        <v>-0.23736167483289211</v>
      </c>
      <c r="I235" s="101">
        <f t="shared" si="28"/>
        <v>-5.5892797263081051E-2</v>
      </c>
      <c r="J235" s="101">
        <f t="shared" si="28"/>
        <v>3.5504435661769251E-3</v>
      </c>
      <c r="K235" s="101">
        <f t="shared" si="28"/>
        <v>-8.1436241322596525E-2</v>
      </c>
      <c r="L235" s="101">
        <f t="shared" si="28"/>
        <v>-4.1295126791799586E-2</v>
      </c>
      <c r="M235" s="101">
        <f t="shared" si="28"/>
        <v>-3.7234356230366139E-2</v>
      </c>
      <c r="N235" s="101">
        <f t="shared" si="28"/>
        <v>6.0258558204650509E-2</v>
      </c>
      <c r="O235" s="101">
        <f t="shared" si="28"/>
        <v>3.8225747517463882E-2</v>
      </c>
      <c r="P235" s="101">
        <f t="shared" si="28"/>
        <v>5.3684243752281896E-2</v>
      </c>
      <c r="Q235" s="101">
        <f t="shared" si="28"/>
        <v>-2.345673513361804E-3</v>
      </c>
      <c r="R235" s="101">
        <f t="shared" si="28"/>
        <v>2.9682694802565607E-2</v>
      </c>
      <c r="S235" s="101">
        <f t="shared" si="28"/>
        <v>-1.7022539090432096E-2</v>
      </c>
      <c r="T235" s="101">
        <f t="shared" si="28"/>
        <v>-2.0441930056862706E-3</v>
      </c>
      <c r="U235" s="101">
        <f t="shared" si="28"/>
        <v>1.6973428738698837E-3</v>
      </c>
      <c r="V235" s="101">
        <f t="shared" si="28"/>
        <v>3.0338510190150714E-3</v>
      </c>
      <c r="W235" s="101">
        <f t="shared" si="28"/>
        <v>9.6172479460497132E-3</v>
      </c>
      <c r="X235" s="101">
        <f t="shared" si="28"/>
        <v>7.1904556981420217E-3</v>
      </c>
      <c r="Y235" s="101">
        <f t="shared" si="28"/>
        <v>3.8485620274959914E-3</v>
      </c>
      <c r="Z235" s="101">
        <f t="shared" si="28"/>
        <v>5.3700618711457898E-3</v>
      </c>
      <c r="AA235" s="101">
        <f t="shared" si="28"/>
        <v>6.3697832104652463E-3</v>
      </c>
      <c r="AB235" s="101">
        <f t="shared" si="28"/>
        <v>9.3232275575525596E-3</v>
      </c>
      <c r="AC235" s="101">
        <f t="shared" si="28"/>
        <v>2.5358334748384337E-3</v>
      </c>
      <c r="AD235" s="101">
        <f t="shared" si="28"/>
        <v>2.3416285663342279E-3</v>
      </c>
      <c r="AE235" s="101">
        <f t="shared" si="28"/>
        <v>9.9261634479759844E-4</v>
      </c>
    </row>
    <row r="236" spans="1:34" s="301" customFormat="1">
      <c r="C236" s="10"/>
      <c r="D236" s="29"/>
      <c r="E236" s="305" t="s">
        <v>517</v>
      </c>
      <c r="F236" s="102"/>
      <c r="G236" s="102">
        <f t="shared" ref="G236:AE236" si="29">G124-F124</f>
        <v>1.0396763362650057</v>
      </c>
      <c r="H236" s="102">
        <f t="shared" si="29"/>
        <v>0.61763287882386564</v>
      </c>
      <c r="I236" s="102">
        <f t="shared" si="29"/>
        <v>1.0922110520527628</v>
      </c>
      <c r="J236" s="102">
        <f t="shared" si="29"/>
        <v>0.78456804456258311</v>
      </c>
      <c r="K236" s="102">
        <f t="shared" si="29"/>
        <v>0.50544495803063327</v>
      </c>
      <c r="L236" s="102">
        <f t="shared" si="29"/>
        <v>-9.304240454960766E-2</v>
      </c>
      <c r="M236" s="102">
        <f t="shared" si="29"/>
        <v>-2.2913293369914101E-2</v>
      </c>
      <c r="N236" s="102">
        <f t="shared" si="29"/>
        <v>1.734775743940542E-2</v>
      </c>
      <c r="O236" s="102">
        <f t="shared" si="29"/>
        <v>-0.10797925180766921</v>
      </c>
      <c r="P236" s="102">
        <f t="shared" si="29"/>
        <v>-0.2055424040946745</v>
      </c>
      <c r="Q236" s="102">
        <f t="shared" si="29"/>
        <v>0.10261048754039237</v>
      </c>
      <c r="R236" s="102">
        <f t="shared" si="29"/>
        <v>-0.38783846405817091</v>
      </c>
      <c r="S236" s="102">
        <f t="shared" si="29"/>
        <v>0.19413370842812672</v>
      </c>
      <c r="T236" s="102">
        <f t="shared" si="29"/>
        <v>-0.12662221448697419</v>
      </c>
      <c r="U236" s="102">
        <f t="shared" si="29"/>
        <v>-0.3055960366176862</v>
      </c>
      <c r="V236" s="102">
        <f t="shared" si="29"/>
        <v>-0.46018567250383757</v>
      </c>
      <c r="W236" s="102">
        <f t="shared" si="29"/>
        <v>-0.79791481836652256</v>
      </c>
      <c r="X236" s="102">
        <f t="shared" si="29"/>
        <v>-0.71762025303176369</v>
      </c>
      <c r="Y236" s="102">
        <f t="shared" si="29"/>
        <v>-0.58643632909140031</v>
      </c>
      <c r="Z236" s="102">
        <f t="shared" si="29"/>
        <v>-0.82118644821358</v>
      </c>
      <c r="AA236" s="102">
        <f t="shared" si="29"/>
        <v>-0.95550566771983636</v>
      </c>
      <c r="AB236" s="102">
        <f t="shared" si="29"/>
        <v>-0.8822571274629587</v>
      </c>
      <c r="AC236" s="102">
        <f t="shared" si="29"/>
        <v>-0.49760709797879887</v>
      </c>
      <c r="AD236" s="102">
        <f t="shared" si="29"/>
        <v>-0.21030640532708778</v>
      </c>
      <c r="AE236" s="102">
        <f t="shared" si="29"/>
        <v>-0.16713861597042032</v>
      </c>
    </row>
    <row r="237" spans="1:34" s="301" customFormat="1">
      <c r="C237" s="10"/>
      <c r="D237" s="29"/>
      <c r="E237" s="203" t="s">
        <v>168</v>
      </c>
      <c r="F237" s="103"/>
      <c r="G237" s="103">
        <f t="shared" ref="G237:AE237" si="30">G125-F125</f>
        <v>1.483000000000001</v>
      </c>
      <c r="H237" s="103">
        <f t="shared" si="30"/>
        <v>6.1999999999999833E-2</v>
      </c>
      <c r="I237" s="103">
        <f t="shared" si="30"/>
        <v>1.6849999999999987</v>
      </c>
      <c r="J237" s="103">
        <f t="shared" si="30"/>
        <v>0.96300000000000008</v>
      </c>
      <c r="K237" s="103">
        <f t="shared" si="30"/>
        <v>-7.0429312235614994E-2</v>
      </c>
      <c r="L237" s="103">
        <f t="shared" si="30"/>
        <v>0.16869795195951021</v>
      </c>
      <c r="M237" s="103">
        <f t="shared" si="30"/>
        <v>0.52195779714646218</v>
      </c>
      <c r="N237" s="103">
        <f t="shared" si="30"/>
        <v>-8.1421600546636164E-2</v>
      </c>
      <c r="O237" s="103">
        <f t="shared" si="30"/>
        <v>-0.37222301009381553</v>
      </c>
      <c r="P237" s="103">
        <f t="shared" si="30"/>
        <v>0.35153448759027572</v>
      </c>
      <c r="Q237" s="103">
        <f t="shared" si="30"/>
        <v>-0.25450095010326024</v>
      </c>
      <c r="R237" s="103">
        <f t="shared" si="30"/>
        <v>-2.78053259156958</v>
      </c>
      <c r="S237" s="103">
        <f t="shared" si="30"/>
        <v>-1.4958483357506207</v>
      </c>
      <c r="T237" s="103">
        <f t="shared" si="30"/>
        <v>1.7704829124904742</v>
      </c>
      <c r="U237" s="103">
        <f t="shared" si="30"/>
        <v>-0.46496061254094245</v>
      </c>
      <c r="V237" s="103">
        <f t="shared" si="30"/>
        <v>-0.18709589547360039</v>
      </c>
      <c r="W237" s="103">
        <f t="shared" si="30"/>
        <v>-0.59793163688912321</v>
      </c>
      <c r="X237" s="103">
        <f t="shared" si="30"/>
        <v>-0.3845400357573685</v>
      </c>
      <c r="Y237" s="103">
        <f t="shared" si="30"/>
        <v>-0.36614780533601299</v>
      </c>
      <c r="Z237" s="103">
        <f t="shared" si="30"/>
        <v>-0.47098561982539877</v>
      </c>
      <c r="AA237" s="103">
        <f t="shared" si="30"/>
        <v>-0.59873239185455152</v>
      </c>
      <c r="AB237" s="103">
        <f t="shared" si="30"/>
        <v>-0.47633843993075714</v>
      </c>
      <c r="AC237" s="103">
        <f t="shared" si="30"/>
        <v>-0.18348997704845416</v>
      </c>
      <c r="AD237" s="103">
        <f t="shared" si="30"/>
        <v>-4.7609898511482007E-3</v>
      </c>
      <c r="AE237" s="103">
        <f t="shared" si="30"/>
        <v>8.0635750075997548E-2</v>
      </c>
    </row>
    <row r="238" spans="1:34" s="301" customFormat="1">
      <c r="C238" s="10"/>
      <c r="D238" s="29"/>
      <c r="E238" s="203" t="s">
        <v>167</v>
      </c>
      <c r="F238" s="103"/>
      <c r="G238" s="103">
        <f t="shared" ref="G238:AE238" si="31">G126-F126</f>
        <v>1.483000000000001</v>
      </c>
      <c r="H238" s="103">
        <f t="shared" si="31"/>
        <v>6.1999999999999833E-2</v>
      </c>
      <c r="I238" s="103">
        <f t="shared" si="31"/>
        <v>1.6849999999999987</v>
      </c>
      <c r="J238" s="103">
        <f t="shared" si="31"/>
        <v>0.96300000000000008</v>
      </c>
      <c r="K238" s="103">
        <f t="shared" si="31"/>
        <v>-7.0429312235614994E-2</v>
      </c>
      <c r="L238" s="103">
        <f t="shared" si="31"/>
        <v>0.16869795195951021</v>
      </c>
      <c r="M238" s="103">
        <f t="shared" si="31"/>
        <v>0.52195779714646218</v>
      </c>
      <c r="N238" s="103">
        <f t="shared" si="31"/>
        <v>-8.1421600546636164E-2</v>
      </c>
      <c r="O238" s="103">
        <f t="shared" si="31"/>
        <v>-0.37222301009381553</v>
      </c>
      <c r="P238" s="103">
        <f t="shared" si="31"/>
        <v>0.35153448759027572</v>
      </c>
      <c r="Q238" s="103">
        <f t="shared" si="31"/>
        <v>-0.25450095010326024</v>
      </c>
      <c r="R238" s="103">
        <f t="shared" si="31"/>
        <v>-2.78053259156958</v>
      </c>
      <c r="S238" s="103">
        <f t="shared" ca="1" si="31"/>
        <v>-1.4958483357506207</v>
      </c>
      <c r="T238" s="103">
        <f t="shared" ca="1" si="31"/>
        <v>1.7704829124904742</v>
      </c>
      <c r="U238" s="103">
        <f t="shared" ca="1" si="31"/>
        <v>-0.46496061254094245</v>
      </c>
      <c r="V238" s="103">
        <f t="shared" ca="1" si="31"/>
        <v>-0.18709589547360039</v>
      </c>
      <c r="W238" s="103">
        <f t="shared" ca="1" si="31"/>
        <v>-0.59793163688912321</v>
      </c>
      <c r="X238" s="103">
        <f t="shared" ca="1" si="31"/>
        <v>-0.3845400357573685</v>
      </c>
      <c r="Y238" s="103">
        <f t="shared" ca="1" si="31"/>
        <v>-0.36614780533601299</v>
      </c>
      <c r="Z238" s="103">
        <f t="shared" ca="1" si="31"/>
        <v>-0.47098561982539877</v>
      </c>
      <c r="AA238" s="103">
        <f t="shared" ca="1" si="31"/>
        <v>-0.59873239185455152</v>
      </c>
      <c r="AB238" s="103">
        <f t="shared" ca="1" si="31"/>
        <v>-0.47633843993075714</v>
      </c>
      <c r="AC238" s="103">
        <f t="shared" ca="1" si="31"/>
        <v>-0.18348997704845416</v>
      </c>
      <c r="AD238" s="103">
        <f t="shared" ca="1" si="31"/>
        <v>-4.7609898511482007E-3</v>
      </c>
      <c r="AE238" s="103">
        <f t="shared" ca="1" si="31"/>
        <v>8.0635750075997548E-2</v>
      </c>
    </row>
    <row r="239" spans="1:34" s="301" customFormat="1">
      <c r="C239" s="10"/>
      <c r="D239" s="29"/>
      <c r="E239" s="36"/>
      <c r="F239" s="331"/>
      <c r="G239" s="331"/>
      <c r="H239" s="331"/>
      <c r="I239" s="331"/>
      <c r="J239" s="331"/>
      <c r="K239" s="331"/>
      <c r="L239" s="331"/>
      <c r="M239" s="331"/>
      <c r="N239" s="331"/>
      <c r="O239" s="331"/>
      <c r="P239" s="331"/>
      <c r="Q239" s="331"/>
      <c r="R239" s="331"/>
      <c r="S239" s="331"/>
      <c r="T239" s="331"/>
      <c r="U239" s="331"/>
      <c r="V239" s="331"/>
      <c r="W239" s="331"/>
      <c r="X239" s="331"/>
      <c r="Y239" s="331"/>
      <c r="Z239" s="331"/>
      <c r="AA239" s="331"/>
      <c r="AB239" s="331"/>
      <c r="AC239" s="331"/>
      <c r="AD239" s="331"/>
      <c r="AE239" s="331"/>
    </row>
    <row r="240" spans="1:34" s="301" customFormat="1">
      <c r="C240" s="10"/>
      <c r="D240" s="29"/>
      <c r="E240" s="36"/>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1"/>
      <c r="AD240" s="331"/>
      <c r="AE240" s="331"/>
    </row>
    <row r="241" spans="3:31" s="301" customFormat="1">
      <c r="C241" s="10"/>
      <c r="D241" s="29"/>
      <c r="E241" s="36" t="s">
        <v>703</v>
      </c>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331"/>
    </row>
    <row r="242" spans="3:31" s="301" customFormat="1">
      <c r="C242" s="10"/>
      <c r="D242" s="29"/>
      <c r="E242" s="36" t="s">
        <v>497</v>
      </c>
      <c r="F242" s="331">
        <v>600</v>
      </c>
      <c r="G242" s="331">
        <v>600</v>
      </c>
      <c r="H242" s="331">
        <v>600</v>
      </c>
      <c r="I242" s="331">
        <v>600</v>
      </c>
      <c r="J242" s="331">
        <v>600</v>
      </c>
      <c r="K242" s="331">
        <v>600</v>
      </c>
      <c r="L242" s="331">
        <v>600</v>
      </c>
      <c r="M242" s="331">
        <v>600</v>
      </c>
      <c r="N242" s="331">
        <v>600</v>
      </c>
      <c r="O242" s="331">
        <v>600</v>
      </c>
      <c r="P242" s="331">
        <v>600</v>
      </c>
      <c r="Q242" s="331">
        <v>600</v>
      </c>
      <c r="R242" s="331">
        <v>600</v>
      </c>
      <c r="S242" s="331">
        <v>600</v>
      </c>
      <c r="T242" s="331">
        <v>600</v>
      </c>
      <c r="U242" s="331">
        <v>600</v>
      </c>
      <c r="V242" s="331">
        <v>600</v>
      </c>
      <c r="W242" s="331">
        <v>600</v>
      </c>
      <c r="X242" s="331">
        <v>600</v>
      </c>
      <c r="Y242" s="331">
        <v>600</v>
      </c>
      <c r="Z242" s="331">
        <v>600</v>
      </c>
      <c r="AA242" s="331">
        <v>600</v>
      </c>
      <c r="AB242" s="331">
        <v>600</v>
      </c>
      <c r="AC242" s="331">
        <v>600</v>
      </c>
      <c r="AD242" s="331">
        <v>600</v>
      </c>
      <c r="AE242" s="331">
        <v>600</v>
      </c>
    </row>
    <row r="243" spans="3:31" s="301" customFormat="1">
      <c r="C243" s="10"/>
      <c r="D243" s="29"/>
      <c r="E243" s="36" t="s">
        <v>498</v>
      </c>
      <c r="F243" s="331">
        <f>F222</f>
        <v>90.230999999999995</v>
      </c>
      <c r="G243" s="331">
        <f t="shared" ref="G243:AE243" si="32">G222</f>
        <v>110.32713299999998</v>
      </c>
      <c r="H243" s="331">
        <f t="shared" si="32"/>
        <v>113.51865999999998</v>
      </c>
      <c r="I243" s="331">
        <f t="shared" si="32"/>
        <v>134.44289299999997</v>
      </c>
      <c r="J243" s="331">
        <f t="shared" si="32"/>
        <v>149.23655299999999</v>
      </c>
      <c r="K243" s="331">
        <f t="shared" si="32"/>
        <v>160.48758199999997</v>
      </c>
      <c r="L243" s="331">
        <f t="shared" si="32"/>
        <v>176.427021</v>
      </c>
      <c r="M243" s="331">
        <f t="shared" si="32"/>
        <v>187.22620899999998</v>
      </c>
      <c r="N243" s="331">
        <f t="shared" si="32"/>
        <v>203.875407</v>
      </c>
      <c r="O243" s="331">
        <f t="shared" si="32"/>
        <v>217.00349199999999</v>
      </c>
      <c r="P243" s="331">
        <f t="shared" si="32"/>
        <v>225.61901599999999</v>
      </c>
      <c r="Q243" s="331">
        <f t="shared" si="32"/>
        <v>228.27263399999998</v>
      </c>
      <c r="R243" s="331">
        <f t="shared" si="32"/>
        <v>238.93027999999998</v>
      </c>
      <c r="S243" s="331">
        <f t="shared" si="32"/>
        <v>252.97721200260429</v>
      </c>
      <c r="T243" s="331">
        <f t="shared" si="32"/>
        <v>265.49750687467122</v>
      </c>
      <c r="U243" s="331">
        <f t="shared" si="32"/>
        <v>276.95342139815239</v>
      </c>
      <c r="V243" s="331">
        <f t="shared" si="32"/>
        <v>287.74774050143287</v>
      </c>
      <c r="W243" s="331">
        <f t="shared" si="32"/>
        <v>294.87935144714982</v>
      </c>
      <c r="X243" s="331">
        <f t="shared" si="32"/>
        <v>301.33447422099277</v>
      </c>
      <c r="Y243" s="331">
        <f t="shared" si="32"/>
        <v>310.30062985258121</v>
      </c>
      <c r="Z243" s="331">
        <f t="shared" si="32"/>
        <v>312.60211807348219</v>
      </c>
      <c r="AA243" s="331">
        <f t="shared" si="32"/>
        <v>313.08251296215519</v>
      </c>
      <c r="AB243" s="331">
        <f t="shared" si="32"/>
        <v>310.04924820016259</v>
      </c>
      <c r="AC243" s="331">
        <f t="shared" si="32"/>
        <v>311.54185909279659</v>
      </c>
      <c r="AD243" s="331">
        <f t="shared" si="32"/>
        <v>315.10032807021025</v>
      </c>
      <c r="AE243" s="331">
        <f t="shared" si="32"/>
        <v>317.28362421996241</v>
      </c>
    </row>
    <row r="244" spans="3:31" s="301" customFormat="1">
      <c r="C244" s="10"/>
      <c r="D244" s="29"/>
      <c r="E244" s="36" t="s">
        <v>704</v>
      </c>
      <c r="F244" s="1057">
        <f>F243/F242</f>
        <v>0.15038499999999999</v>
      </c>
      <c r="G244" s="1057">
        <f t="shared" ref="G244:AE244" si="33">G243/G242</f>
        <v>0.18387855499999997</v>
      </c>
      <c r="H244" s="1057">
        <f t="shared" si="33"/>
        <v>0.18919776666666663</v>
      </c>
      <c r="I244" s="1057">
        <f t="shared" si="33"/>
        <v>0.22407148833333329</v>
      </c>
      <c r="J244" s="1057">
        <f t="shared" si="33"/>
        <v>0.2487275883333333</v>
      </c>
      <c r="K244" s="1057">
        <f t="shared" si="33"/>
        <v>0.26747930333333331</v>
      </c>
      <c r="L244" s="1057">
        <f t="shared" si="33"/>
        <v>0.29404503500000001</v>
      </c>
      <c r="M244" s="1057">
        <f t="shared" si="33"/>
        <v>0.31204368166666663</v>
      </c>
      <c r="N244" s="1057">
        <f t="shared" si="33"/>
        <v>0.339792345</v>
      </c>
      <c r="O244" s="1057">
        <f t="shared" si="33"/>
        <v>0.36167248666666668</v>
      </c>
      <c r="P244" s="1057">
        <f t="shared" si="33"/>
        <v>0.37603169333333331</v>
      </c>
      <c r="Q244" s="1057">
        <f t="shared" si="33"/>
        <v>0.38045438999999998</v>
      </c>
      <c r="R244" s="1057">
        <f t="shared" si="33"/>
        <v>0.39821713333333331</v>
      </c>
      <c r="S244" s="1057">
        <f t="shared" si="33"/>
        <v>0.42162868667100717</v>
      </c>
      <c r="T244" s="1057">
        <f t="shared" si="33"/>
        <v>0.4424958447911187</v>
      </c>
      <c r="U244" s="1057">
        <f t="shared" si="33"/>
        <v>0.46158903566358733</v>
      </c>
      <c r="V244" s="1057">
        <f t="shared" si="33"/>
        <v>0.47957956750238812</v>
      </c>
      <c r="W244" s="1057">
        <f t="shared" si="33"/>
        <v>0.49146558574524968</v>
      </c>
      <c r="X244" s="1057">
        <f t="shared" si="33"/>
        <v>0.50222412370165459</v>
      </c>
      <c r="Y244" s="1057">
        <f t="shared" si="33"/>
        <v>0.5171677164209687</v>
      </c>
      <c r="Z244" s="1057">
        <f t="shared" si="33"/>
        <v>0.52100353012247036</v>
      </c>
      <c r="AA244" s="1057">
        <f t="shared" si="33"/>
        <v>0.52180418827025865</v>
      </c>
      <c r="AB244" s="1057">
        <f t="shared" si="33"/>
        <v>0.51674874700027096</v>
      </c>
      <c r="AC244" s="1057">
        <f t="shared" si="33"/>
        <v>0.51923643182132762</v>
      </c>
      <c r="AD244" s="1057">
        <f t="shared" si="33"/>
        <v>0.52516721345035045</v>
      </c>
      <c r="AE244" s="1057">
        <f t="shared" si="33"/>
        <v>0.52880604036660406</v>
      </c>
    </row>
    <row r="245" spans="3:31" s="301" customFormat="1">
      <c r="C245" s="10"/>
      <c r="D245" s="29"/>
      <c r="E245" s="36"/>
      <c r="F245" s="331"/>
      <c r="G245" s="331"/>
      <c r="H245" s="331"/>
      <c r="I245" s="331"/>
      <c r="J245" s="331"/>
      <c r="K245" s="331"/>
      <c r="L245" s="331"/>
      <c r="M245" s="331"/>
      <c r="N245" s="331"/>
      <c r="O245" s="331"/>
      <c r="P245" s="331"/>
      <c r="Q245" s="331"/>
      <c r="R245" s="331"/>
      <c r="S245" s="331"/>
      <c r="T245" s="331"/>
      <c r="U245" s="331"/>
      <c r="V245" s="331"/>
      <c r="W245" s="331"/>
      <c r="X245" s="331"/>
      <c r="Y245" s="331"/>
      <c r="Z245" s="331"/>
      <c r="AA245" s="331"/>
      <c r="AB245" s="331"/>
      <c r="AC245" s="331"/>
      <c r="AD245" s="331"/>
      <c r="AE245" s="331"/>
    </row>
    <row r="246" spans="3:31" s="301" customFormat="1">
      <c r="C246" s="10"/>
      <c r="D246" s="29"/>
      <c r="E246" s="36"/>
      <c r="F246" s="331"/>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row>
    <row r="247" spans="3:31" s="301" customFormat="1">
      <c r="C247" s="10"/>
      <c r="D247" s="29"/>
      <c r="E247" s="36"/>
      <c r="F247" s="331"/>
      <c r="G247" s="331"/>
      <c r="H247" s="331"/>
      <c r="I247" s="331"/>
      <c r="J247" s="331"/>
      <c r="K247" s="331"/>
      <c r="L247" s="355">
        <f t="shared" ref="L247:AD247" si="34">L220/K220</f>
        <v>1.0949367088607596</v>
      </c>
      <c r="M247" s="355">
        <f t="shared" si="34"/>
        <v>0.89248554913294798</v>
      </c>
      <c r="N247" s="355">
        <f t="shared" si="34"/>
        <v>0.91062176165803099</v>
      </c>
      <c r="O247" s="355">
        <f t="shared" si="34"/>
        <v>0.88193456614509247</v>
      </c>
      <c r="P247" s="355">
        <f t="shared" si="34"/>
        <v>1</v>
      </c>
      <c r="Q247" s="355">
        <f t="shared" si="34"/>
        <v>1</v>
      </c>
      <c r="R247" s="355">
        <f t="shared" si="34"/>
        <v>0.96313364055299544</v>
      </c>
      <c r="S247" s="355">
        <f t="shared" si="34"/>
        <v>0.96172248803827753</v>
      </c>
      <c r="T247" s="355">
        <f t="shared" si="34"/>
        <v>0.96019900497512445</v>
      </c>
      <c r="U247" s="355">
        <f t="shared" si="34"/>
        <v>0.95854922279792754</v>
      </c>
      <c r="V247" s="355">
        <f t="shared" si="34"/>
        <v>0.95675675675675675</v>
      </c>
      <c r="W247" s="355">
        <f t="shared" si="34"/>
        <v>0.95480225988700562</v>
      </c>
      <c r="X247" s="355">
        <f t="shared" si="34"/>
        <v>0.9526627218934911</v>
      </c>
      <c r="Y247" s="355">
        <f t="shared" si="34"/>
        <v>0.9503105590062112</v>
      </c>
      <c r="Z247" s="355">
        <f t="shared" si="34"/>
        <v>0.94771241830065367</v>
      </c>
      <c r="AA247" s="355">
        <f t="shared" si="34"/>
        <v>0.94482758620689655</v>
      </c>
      <c r="AB247" s="355">
        <f t="shared" si="34"/>
        <v>0.94160583941605824</v>
      </c>
      <c r="AC247" s="355">
        <f t="shared" si="34"/>
        <v>0.93798449612403101</v>
      </c>
      <c r="AD247" s="355">
        <f t="shared" si="34"/>
        <v>0.93388429752066116</v>
      </c>
      <c r="AE247" s="355">
        <f>AE220/AD220</f>
        <v>0.92920353982300863</v>
      </c>
    </row>
    <row r="248" spans="3:31" s="301" customFormat="1">
      <c r="C248" s="10"/>
      <c r="D248" s="29"/>
      <c r="E248" s="36"/>
      <c r="F248" s="331"/>
      <c r="G248" s="331"/>
      <c r="H248" s="331"/>
      <c r="I248" s="331"/>
      <c r="J248" s="331"/>
      <c r="K248" s="331"/>
      <c r="L248" s="1058">
        <f>1-L247</f>
        <v>-9.4936708860759556E-2</v>
      </c>
      <c r="M248" s="1058">
        <f t="shared" ref="M248:AE248" si="35">1-M247</f>
        <v>0.10751445086705202</v>
      </c>
      <c r="N248" s="1058">
        <f t="shared" si="35"/>
        <v>8.9378238341969007E-2</v>
      </c>
      <c r="O248" s="1058">
        <f t="shared" si="35"/>
        <v>0.11806543385490753</v>
      </c>
      <c r="P248" s="1058">
        <f t="shared" si="35"/>
        <v>0</v>
      </c>
      <c r="Q248" s="1058">
        <f t="shared" si="35"/>
        <v>0</v>
      </c>
      <c r="R248" s="1058">
        <f t="shared" si="35"/>
        <v>3.686635944700456E-2</v>
      </c>
      <c r="S248" s="1058">
        <f t="shared" si="35"/>
        <v>3.8277511961722466E-2</v>
      </c>
      <c r="T248" s="1058">
        <f t="shared" si="35"/>
        <v>3.9800995024875552E-2</v>
      </c>
      <c r="U248" s="1058">
        <f t="shared" si="35"/>
        <v>4.1450777202072464E-2</v>
      </c>
      <c r="V248" s="1058">
        <f t="shared" si="35"/>
        <v>4.3243243243243246E-2</v>
      </c>
      <c r="W248" s="1058">
        <f t="shared" si="35"/>
        <v>4.5197740112994378E-2</v>
      </c>
      <c r="X248" s="1058">
        <f t="shared" si="35"/>
        <v>4.7337278106508895E-2</v>
      </c>
      <c r="Y248" s="1058">
        <f t="shared" si="35"/>
        <v>4.9689440993788803E-2</v>
      </c>
      <c r="Z248" s="1058">
        <f t="shared" si="35"/>
        <v>5.228758169934633E-2</v>
      </c>
      <c r="AA248" s="1058">
        <f t="shared" si="35"/>
        <v>5.5172413793103448E-2</v>
      </c>
      <c r="AB248" s="1058">
        <f t="shared" si="35"/>
        <v>5.8394160583941757E-2</v>
      </c>
      <c r="AC248" s="1058">
        <f t="shared" si="35"/>
        <v>6.2015503875968991E-2</v>
      </c>
      <c r="AD248" s="1058">
        <f t="shared" si="35"/>
        <v>6.6115702479338845E-2</v>
      </c>
      <c r="AE248" s="1058">
        <f t="shared" si="35"/>
        <v>7.0796460176991372E-2</v>
      </c>
    </row>
    <row r="249" spans="3:31" s="301" customFormat="1">
      <c r="C249" s="10"/>
      <c r="D249" s="29"/>
      <c r="E249" s="36"/>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331"/>
    </row>
    <row r="250" spans="3:31" s="301" customFormat="1">
      <c r="C250" s="10"/>
      <c r="D250" s="29"/>
      <c r="E250" s="36"/>
      <c r="F250" s="1058">
        <f>1-F219/F219</f>
        <v>0</v>
      </c>
      <c r="G250" s="1058">
        <f>1-G219/F219</f>
        <v>-2.6148673888681806E-3</v>
      </c>
      <c r="H250" s="1058">
        <f t="shared" ref="H250:O250" si="36">1-H219/G219</f>
        <v>-6.5201192250372575E-3</v>
      </c>
      <c r="I250" s="1058">
        <f t="shared" si="36"/>
        <v>5.922635572829571E-3</v>
      </c>
      <c r="J250" s="1058">
        <f t="shared" si="36"/>
        <v>1.3445081855366192E-2</v>
      </c>
      <c r="K250" s="1058">
        <f t="shared" si="36"/>
        <v>1.7510889703047483E-2</v>
      </c>
      <c r="L250" s="1058">
        <f t="shared" si="36"/>
        <v>1.7287744909719516E-2</v>
      </c>
      <c r="M250" s="1058">
        <f t="shared" si="36"/>
        <v>-2.0141993745113274E-2</v>
      </c>
      <c r="N250" s="1058">
        <f t="shared" si="36"/>
        <v>-5.2411030088477251E-3</v>
      </c>
      <c r="O250" s="1058">
        <f t="shared" si="36"/>
        <v>-2.2103661558401821E-2</v>
      </c>
      <c r="P250" s="1058">
        <f>1-P219/O219</f>
        <v>-4.2542891968377905E-3</v>
      </c>
      <c r="Q250" s="331"/>
      <c r="R250" s="331"/>
      <c r="S250" s="331"/>
      <c r="T250" s="331"/>
      <c r="U250" s="331"/>
      <c r="V250" s="331"/>
      <c r="W250" s="331"/>
      <c r="X250" s="331"/>
      <c r="Y250" s="331"/>
      <c r="Z250" s="331"/>
      <c r="AA250" s="331"/>
      <c r="AB250" s="331"/>
      <c r="AC250" s="331"/>
      <c r="AD250" s="331"/>
      <c r="AE250" s="331"/>
    </row>
    <row r="251" spans="3:31" s="301" customFormat="1">
      <c r="C251" s="10"/>
      <c r="D251" s="29"/>
      <c r="E251" s="36"/>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row>
    <row r="252" spans="3:31" s="301" customFormat="1">
      <c r="C252" s="10"/>
      <c r="D252" s="29"/>
      <c r="E252" s="36"/>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row>
    <row r="253" spans="3:31" s="301" customFormat="1">
      <c r="C253" s="10"/>
      <c r="D253" s="29"/>
      <c r="E253" s="36"/>
      <c r="F253" s="331"/>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331"/>
    </row>
    <row r="254" spans="3:31" s="301" customFormat="1">
      <c r="C254" s="10"/>
      <c r="D254" s="29"/>
      <c r="E254" s="36"/>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row>
    <row r="255" spans="3:31" s="301" customFormat="1">
      <c r="C255" s="10"/>
      <c r="D255" s="29"/>
      <c r="E255" s="36"/>
      <c r="F255" s="331"/>
      <c r="G255" s="331"/>
      <c r="H255" s="331"/>
      <c r="I255" s="331"/>
      <c r="J255" s="331"/>
      <c r="K255" s="331"/>
      <c r="L255" s="331"/>
      <c r="M255" s="331"/>
      <c r="N255" s="331"/>
      <c r="O255" s="331"/>
      <c r="P255" s="331"/>
      <c r="Q255" s="331"/>
      <c r="R255" s="331"/>
      <c r="S255" s="331"/>
      <c r="T255" s="331"/>
      <c r="U255" s="331"/>
      <c r="V255" s="331"/>
      <c r="W255" s="331"/>
      <c r="X255" s="331"/>
      <c r="Y255" s="331"/>
      <c r="Z255" s="331"/>
      <c r="AA255" s="331"/>
      <c r="AB255" s="331"/>
      <c r="AC255" s="331"/>
      <c r="AD255" s="331"/>
      <c r="AE255" s="331"/>
    </row>
    <row r="256" spans="3:31" s="301" customFormat="1">
      <c r="C256" s="10"/>
      <c r="D256" s="29"/>
      <c r="E256" s="36"/>
      <c r="F256" s="331"/>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row>
    <row r="257" spans="3:31" s="301" customFormat="1">
      <c r="C257" s="10"/>
      <c r="D257" s="29"/>
      <c r="E257" s="36"/>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row>
    <row r="258" spans="3:31" s="301" customFormat="1">
      <c r="C258" s="10"/>
      <c r="D258" s="29"/>
      <c r="E258" s="36"/>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row>
    <row r="259" spans="3:31" s="301" customFormat="1">
      <c r="C259" s="10"/>
      <c r="D259" s="29"/>
      <c r="E259" s="36"/>
      <c r="F259" s="331"/>
      <c r="G259" s="331"/>
      <c r="H259" s="331"/>
      <c r="I259" s="331"/>
      <c r="J259" s="331"/>
      <c r="K259" s="331"/>
      <c r="L259" s="331"/>
      <c r="M259" s="331"/>
      <c r="N259" s="331"/>
      <c r="O259" s="331"/>
      <c r="P259" s="331"/>
      <c r="Q259" s="331"/>
      <c r="R259" s="331"/>
      <c r="S259" s="331"/>
      <c r="T259" s="331"/>
      <c r="U259" s="331"/>
      <c r="V259" s="331"/>
      <c r="W259" s="331"/>
      <c r="X259" s="331"/>
      <c r="Y259" s="331"/>
      <c r="Z259" s="331"/>
      <c r="AA259" s="331"/>
      <c r="AB259" s="331"/>
      <c r="AC259" s="331"/>
      <c r="AD259" s="331"/>
      <c r="AE259" s="331"/>
    </row>
    <row r="260" spans="3:31" s="301" customFormat="1">
      <c r="C260" s="10"/>
      <c r="D260" s="29"/>
      <c r="E260" s="36"/>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row>
    <row r="261" spans="3:31" s="301" customFormat="1">
      <c r="C261" s="10"/>
      <c r="D261" s="29"/>
      <c r="E261" s="36"/>
      <c r="F261" s="331"/>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331"/>
    </row>
    <row r="262" spans="3:31" s="301" customFormat="1">
      <c r="C262" s="10"/>
      <c r="D262" s="29"/>
      <c r="E262" s="36"/>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row>
    <row r="263" spans="3:31" s="301" customFormat="1">
      <c r="C263" s="10"/>
      <c r="D263" s="29"/>
      <c r="E263" s="36"/>
      <c r="F263" s="331"/>
      <c r="G263" s="331"/>
      <c r="H263" s="331"/>
      <c r="I263" s="331"/>
      <c r="J263" s="331"/>
      <c r="K263" s="331"/>
      <c r="L263" s="331"/>
      <c r="M263" s="331"/>
      <c r="N263" s="331"/>
      <c r="O263" s="331"/>
      <c r="P263" s="331"/>
      <c r="Q263" s="331"/>
      <c r="R263" s="331"/>
      <c r="S263" s="331"/>
      <c r="T263" s="331"/>
      <c r="U263" s="331"/>
      <c r="V263" s="331"/>
      <c r="W263" s="331"/>
      <c r="X263" s="331"/>
      <c r="Y263" s="331"/>
      <c r="Z263" s="331"/>
      <c r="AA263" s="331"/>
      <c r="AB263" s="331"/>
      <c r="AC263" s="331"/>
      <c r="AD263" s="331"/>
      <c r="AE263" s="331"/>
    </row>
    <row r="264" spans="3:31" s="301" customFormat="1">
      <c r="C264" s="10"/>
      <c r="D264" s="29"/>
      <c r="E264" s="36"/>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row>
    <row r="265" spans="3:31" s="301" customFormat="1">
      <c r="C265" s="10"/>
      <c r="D265" s="29"/>
      <c r="E265" s="36"/>
      <c r="F265" s="331"/>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331"/>
      <c r="AE265" s="331"/>
    </row>
    <row r="266" spans="3:31" s="301" customFormat="1">
      <c r="C266" s="10"/>
      <c r="D266" s="29"/>
      <c r="E266" s="36"/>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1"/>
      <c r="AD266" s="331"/>
      <c r="AE266" s="331"/>
    </row>
    <row r="267" spans="3:31" s="301" customFormat="1">
      <c r="C267" s="10"/>
      <c r="D267" s="29"/>
      <c r="E267" s="36"/>
      <c r="F267" s="331"/>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1"/>
    </row>
    <row r="268" spans="3:31" s="301" customFormat="1">
      <c r="C268" s="10"/>
      <c r="D268" s="29"/>
      <c r="E268" s="36"/>
      <c r="F268" s="331"/>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row>
    <row r="269" spans="3:31" s="301" customFormat="1">
      <c r="C269" s="10"/>
      <c r="D269" s="29"/>
      <c r="E269" s="36"/>
      <c r="F269" s="331"/>
      <c r="G269" s="331"/>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row>
    <row r="270" spans="3:31" s="301" customFormat="1">
      <c r="C270" s="10"/>
      <c r="D270" s="29"/>
      <c r="E270" s="36"/>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1"/>
      <c r="AD270" s="331"/>
      <c r="AE270" s="331"/>
    </row>
    <row r="271" spans="3:31" s="301" customFormat="1">
      <c r="C271" s="10"/>
      <c r="D271" s="29"/>
      <c r="E271" s="36"/>
      <c r="F271" s="331"/>
      <c r="G271" s="331"/>
      <c r="H271" s="331"/>
      <c r="I271" s="331"/>
      <c r="J271" s="331"/>
      <c r="K271" s="331"/>
      <c r="L271" s="331"/>
      <c r="M271" s="331"/>
      <c r="N271" s="331"/>
      <c r="O271" s="331"/>
      <c r="P271" s="331"/>
      <c r="Q271" s="331"/>
      <c r="R271" s="331"/>
      <c r="S271" s="331"/>
      <c r="T271" s="331"/>
      <c r="U271" s="331"/>
      <c r="V271" s="331"/>
      <c r="W271" s="331"/>
      <c r="X271" s="331"/>
      <c r="Y271" s="331"/>
      <c r="Z271" s="331"/>
      <c r="AA271" s="331"/>
      <c r="AB271" s="331"/>
      <c r="AC271" s="331"/>
      <c r="AD271" s="331"/>
      <c r="AE271" s="331"/>
    </row>
    <row r="272" spans="3:31" s="301" customFormat="1">
      <c r="C272" s="10"/>
      <c r="D272" s="29"/>
      <c r="E272" s="36"/>
      <c r="F272" s="331"/>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row>
    <row r="273" spans="3:31" s="301" customFormat="1">
      <c r="C273" s="10"/>
      <c r="D273" s="29"/>
      <c r="E273" s="36"/>
      <c r="F273" s="331"/>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row>
    <row r="274" spans="3:31" s="301" customFormat="1">
      <c r="C274" s="10"/>
      <c r="D274" s="29"/>
      <c r="E274" s="36"/>
      <c r="F274" s="331"/>
      <c r="G274" s="331"/>
      <c r="H274" s="331"/>
      <c r="I274" s="331"/>
      <c r="J274" s="331"/>
      <c r="K274" s="331"/>
      <c r="L274" s="331"/>
      <c r="M274" s="331"/>
      <c r="N274" s="331"/>
      <c r="O274" s="331"/>
      <c r="P274" s="331"/>
      <c r="Q274" s="331"/>
      <c r="R274" s="331"/>
      <c r="S274" s="331"/>
      <c r="T274" s="331"/>
      <c r="U274" s="331"/>
      <c r="V274" s="331"/>
      <c r="W274" s="331"/>
      <c r="X274" s="331"/>
      <c r="Y274" s="331"/>
      <c r="Z274" s="331"/>
      <c r="AA274" s="331"/>
      <c r="AB274" s="331"/>
      <c r="AC274" s="331"/>
      <c r="AD274" s="331"/>
      <c r="AE274" s="331"/>
    </row>
    <row r="275" spans="3:31" s="301" customFormat="1">
      <c r="C275" s="10"/>
      <c r="D275" s="29"/>
      <c r="E275" s="36"/>
      <c r="F275" s="331"/>
      <c r="G275" s="331"/>
      <c r="H275" s="331"/>
      <c r="I275" s="331"/>
      <c r="J275" s="331"/>
      <c r="K275" s="331"/>
      <c r="L275" s="331"/>
      <c r="M275" s="331"/>
      <c r="N275" s="331"/>
      <c r="O275" s="331"/>
      <c r="P275" s="331"/>
      <c r="Q275" s="331"/>
      <c r="R275" s="331"/>
      <c r="S275" s="331"/>
      <c r="T275" s="331"/>
      <c r="U275" s="331"/>
      <c r="V275" s="331"/>
      <c r="W275" s="331"/>
      <c r="X275" s="331"/>
      <c r="Y275" s="331"/>
      <c r="Z275" s="331"/>
      <c r="AA275" s="331"/>
      <c r="AB275" s="331"/>
      <c r="AC275" s="331"/>
      <c r="AD275" s="331"/>
      <c r="AE275" s="331"/>
    </row>
    <row r="276" spans="3:31" s="301" customFormat="1">
      <c r="C276" s="10"/>
      <c r="D276" s="29"/>
      <c r="E276" s="36"/>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row>
    <row r="277" spans="3:31" s="301" customFormat="1">
      <c r="C277" s="10"/>
      <c r="D277" s="29"/>
      <c r="E277" s="36"/>
      <c r="F277" s="331"/>
      <c r="G277" s="331"/>
      <c r="H277" s="331"/>
      <c r="I277" s="331"/>
      <c r="J277" s="331"/>
      <c r="K277" s="331"/>
      <c r="L277" s="331"/>
      <c r="M277" s="331"/>
      <c r="N277" s="331"/>
      <c r="O277" s="331"/>
      <c r="P277" s="331"/>
      <c r="Q277" s="331"/>
      <c r="R277" s="331"/>
      <c r="S277" s="331"/>
      <c r="T277" s="331"/>
      <c r="U277" s="331"/>
      <c r="V277" s="331"/>
      <c r="W277" s="331"/>
      <c r="X277" s="331"/>
      <c r="Y277" s="331"/>
      <c r="Z277" s="331"/>
      <c r="AA277" s="331"/>
      <c r="AB277" s="331"/>
      <c r="AC277" s="331"/>
      <c r="AD277" s="331"/>
      <c r="AE277" s="331"/>
    </row>
    <row r="278" spans="3:31" s="301" customFormat="1">
      <c r="C278" s="10"/>
      <c r="D278" s="29"/>
      <c r="E278" s="36"/>
      <c r="F278" s="331"/>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row>
    <row r="279" spans="3:31" s="301" customFormat="1">
      <c r="C279" s="10"/>
      <c r="D279" s="29"/>
      <c r="E279" s="36"/>
      <c r="F279" s="331"/>
      <c r="G279" s="331"/>
      <c r="H279" s="331"/>
      <c r="I279" s="331"/>
      <c r="J279" s="331"/>
      <c r="K279" s="331"/>
      <c r="L279" s="331"/>
      <c r="M279" s="331"/>
      <c r="N279" s="331"/>
      <c r="O279" s="331"/>
      <c r="P279" s="331"/>
      <c r="Q279" s="331"/>
      <c r="R279" s="331"/>
      <c r="S279" s="331"/>
      <c r="T279" s="331"/>
      <c r="U279" s="331"/>
      <c r="V279" s="331"/>
      <c r="W279" s="331"/>
      <c r="X279" s="331"/>
      <c r="Y279" s="331"/>
      <c r="Z279" s="331"/>
      <c r="AA279" s="331"/>
      <c r="AB279" s="331"/>
      <c r="AC279" s="331"/>
      <c r="AD279" s="331"/>
      <c r="AE279" s="331"/>
    </row>
    <row r="280" spans="3:31" s="301" customFormat="1">
      <c r="C280" s="10"/>
      <c r="D280" s="29"/>
      <c r="E280" s="36"/>
      <c r="F280" s="331"/>
      <c r="G280" s="331"/>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row>
    <row r="281" spans="3:31" s="301" customFormat="1">
      <c r="C281" s="10"/>
      <c r="D281" s="29"/>
      <c r="E281" s="36"/>
      <c r="F281" s="331"/>
      <c r="G281" s="331"/>
      <c r="H281" s="331"/>
      <c r="I281" s="331"/>
      <c r="J281" s="331"/>
      <c r="K281" s="331"/>
      <c r="L281" s="331"/>
      <c r="M281" s="331"/>
      <c r="N281" s="331"/>
      <c r="O281" s="331"/>
      <c r="P281" s="331"/>
      <c r="Q281" s="331"/>
      <c r="R281" s="331"/>
      <c r="S281" s="331"/>
      <c r="T281" s="331"/>
      <c r="U281" s="331"/>
      <c r="V281" s="331"/>
      <c r="W281" s="331"/>
      <c r="X281" s="331"/>
      <c r="Y281" s="331"/>
      <c r="Z281" s="331"/>
      <c r="AA281" s="331"/>
      <c r="AB281" s="331"/>
      <c r="AC281" s="331"/>
      <c r="AD281" s="331"/>
      <c r="AE281" s="331"/>
    </row>
    <row r="282" spans="3:31" s="301" customFormat="1">
      <c r="C282" s="10"/>
      <c r="D282" s="29"/>
      <c r="E282" s="36"/>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1"/>
      <c r="AD282" s="331"/>
      <c r="AE282" s="331"/>
    </row>
    <row r="283" spans="3:31" s="301" customFormat="1">
      <c r="C283" s="10"/>
      <c r="D283" s="29"/>
      <c r="E283" s="36"/>
      <c r="F283" s="331"/>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row>
    <row r="284" spans="3:31" s="301" customFormat="1">
      <c r="C284" s="10"/>
      <c r="D284" s="29"/>
      <c r="E284" s="36"/>
      <c r="F284" s="331"/>
      <c r="G284" s="331"/>
      <c r="H284" s="331"/>
      <c r="I284" s="331"/>
      <c r="J284" s="331"/>
      <c r="K284" s="331"/>
      <c r="L284" s="331"/>
      <c r="M284" s="331"/>
      <c r="N284" s="331"/>
      <c r="O284" s="331"/>
      <c r="P284" s="331"/>
      <c r="Q284" s="331"/>
      <c r="R284" s="331"/>
      <c r="S284" s="331"/>
      <c r="T284" s="331"/>
      <c r="U284" s="331"/>
      <c r="V284" s="331"/>
      <c r="W284" s="331"/>
      <c r="X284" s="331"/>
      <c r="Y284" s="331"/>
      <c r="Z284" s="331"/>
      <c r="AA284" s="331"/>
      <c r="AB284" s="331"/>
      <c r="AC284" s="331"/>
      <c r="AD284" s="331"/>
      <c r="AE284" s="331"/>
    </row>
    <row r="285" spans="3:31" s="301" customFormat="1">
      <c r="C285" s="10"/>
      <c r="D285" s="29"/>
      <c r="E285" s="36"/>
      <c r="F285" s="331"/>
      <c r="G285" s="331"/>
      <c r="H285" s="331"/>
      <c r="I285" s="331"/>
      <c r="J285" s="331"/>
      <c r="K285" s="331"/>
      <c r="L285" s="331"/>
      <c r="M285" s="331"/>
      <c r="N285" s="331"/>
      <c r="O285" s="331"/>
      <c r="P285" s="331"/>
      <c r="Q285" s="331"/>
      <c r="R285" s="331"/>
      <c r="S285" s="331"/>
      <c r="T285" s="331"/>
      <c r="U285" s="331"/>
      <c r="V285" s="331"/>
      <c r="W285" s="331"/>
      <c r="X285" s="331"/>
      <c r="Y285" s="331"/>
      <c r="Z285" s="331"/>
      <c r="AA285" s="331"/>
      <c r="AB285" s="331"/>
      <c r="AC285" s="331"/>
      <c r="AD285" s="331"/>
      <c r="AE285" s="331"/>
    </row>
    <row r="286" spans="3:31" s="301" customFormat="1">
      <c r="C286" s="10"/>
      <c r="D286" s="29"/>
      <c r="E286" s="36"/>
      <c r="F286" s="331"/>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row>
    <row r="287" spans="3:31" s="301" customFormat="1">
      <c r="C287" s="10"/>
      <c r="D287" s="29"/>
      <c r="E287" s="36"/>
      <c r="F287" s="331"/>
      <c r="G287" s="331"/>
      <c r="H287" s="331"/>
      <c r="I287" s="331"/>
      <c r="J287" s="331"/>
      <c r="K287" s="331"/>
      <c r="L287" s="331"/>
      <c r="M287" s="331"/>
      <c r="N287" s="331"/>
      <c r="O287" s="331"/>
      <c r="P287" s="331"/>
      <c r="Q287" s="331"/>
      <c r="R287" s="331"/>
      <c r="S287" s="331"/>
      <c r="T287" s="331"/>
      <c r="U287" s="331"/>
      <c r="V287" s="331"/>
      <c r="W287" s="331"/>
      <c r="X287" s="331"/>
      <c r="Y287" s="331"/>
      <c r="Z287" s="331"/>
      <c r="AA287" s="331"/>
      <c r="AB287" s="331"/>
      <c r="AC287" s="331"/>
      <c r="AD287" s="331"/>
      <c r="AE287" s="331"/>
    </row>
    <row r="288" spans="3:31" s="301" customFormat="1">
      <c r="C288" s="10"/>
      <c r="D288" s="29"/>
      <c r="E288" s="36"/>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row>
    <row r="289" spans="3:31" s="301" customFormat="1">
      <c r="C289" s="10"/>
      <c r="D289" s="29"/>
      <c r="E289" s="36"/>
      <c r="F289" s="331"/>
      <c r="G289" s="331"/>
      <c r="H289" s="331"/>
      <c r="I289" s="331"/>
      <c r="J289" s="331"/>
      <c r="K289" s="331"/>
      <c r="L289" s="331"/>
      <c r="M289" s="331"/>
      <c r="N289" s="331"/>
      <c r="O289" s="331"/>
      <c r="P289" s="331"/>
      <c r="Q289" s="331"/>
      <c r="R289" s="331"/>
      <c r="S289" s="331"/>
      <c r="T289" s="331"/>
      <c r="U289" s="331"/>
      <c r="V289" s="331"/>
      <c r="W289" s="331"/>
      <c r="X289" s="331"/>
      <c r="Y289" s="331"/>
      <c r="Z289" s="331"/>
      <c r="AA289" s="331"/>
      <c r="AB289" s="331"/>
      <c r="AC289" s="331"/>
      <c r="AD289" s="331"/>
      <c r="AE289" s="331"/>
    </row>
    <row r="290" spans="3:31" s="301" customFormat="1">
      <c r="C290" s="10"/>
      <c r="D290" s="29"/>
      <c r="E290" s="36"/>
      <c r="F290" s="331"/>
      <c r="G290" s="331"/>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c r="AE290" s="331"/>
    </row>
    <row r="291" spans="3:31" s="301" customFormat="1">
      <c r="C291" s="10"/>
      <c r="D291" s="29"/>
      <c r="E291" s="36"/>
      <c r="F291" s="331"/>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331"/>
      <c r="AE291" s="331"/>
    </row>
    <row r="292" spans="3:31" s="301" customFormat="1">
      <c r="C292" s="10"/>
      <c r="D292" s="29"/>
      <c r="E292" s="36"/>
      <c r="F292" s="331"/>
      <c r="G292" s="331"/>
      <c r="H292" s="331"/>
      <c r="I292" s="331"/>
      <c r="J292" s="331"/>
      <c r="K292" s="331"/>
      <c r="L292" s="331"/>
      <c r="M292" s="331"/>
      <c r="N292" s="331"/>
      <c r="O292" s="331"/>
      <c r="P292" s="331"/>
      <c r="Q292" s="331"/>
      <c r="R292" s="331"/>
      <c r="S292" s="331"/>
      <c r="T292" s="331"/>
      <c r="U292" s="331"/>
      <c r="V292" s="331"/>
      <c r="W292" s="331"/>
      <c r="X292" s="331"/>
      <c r="Y292" s="331"/>
      <c r="Z292" s="331"/>
      <c r="AA292" s="331"/>
      <c r="AB292" s="331"/>
      <c r="AC292" s="331"/>
      <c r="AD292" s="331"/>
      <c r="AE292" s="331"/>
    </row>
    <row r="293" spans="3:31" s="301" customFormat="1">
      <c r="C293" s="10"/>
      <c r="D293" s="29"/>
      <c r="E293" s="36"/>
      <c r="F293" s="331"/>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row>
    <row r="294" spans="3:31" s="301" customFormat="1">
      <c r="C294" s="10"/>
      <c r="D294" s="29"/>
      <c r="E294" s="36"/>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row>
    <row r="295" spans="3:31" s="301" customFormat="1">
      <c r="C295" s="10"/>
      <c r="D295" s="29"/>
      <c r="E295" s="36"/>
      <c r="F295" s="331"/>
      <c r="G295" s="331"/>
      <c r="H295" s="331"/>
      <c r="I295" s="331"/>
      <c r="J295" s="331"/>
      <c r="K295" s="331"/>
      <c r="L295" s="331"/>
      <c r="M295" s="331"/>
      <c r="N295" s="331"/>
      <c r="O295" s="331"/>
      <c r="P295" s="331"/>
      <c r="Q295" s="331"/>
      <c r="R295" s="331"/>
      <c r="S295" s="331"/>
      <c r="T295" s="331"/>
      <c r="U295" s="331"/>
      <c r="V295" s="331"/>
      <c r="W295" s="331"/>
      <c r="X295" s="331"/>
      <c r="Y295" s="331"/>
      <c r="Z295" s="331"/>
      <c r="AA295" s="331"/>
      <c r="AB295" s="331"/>
      <c r="AC295" s="331"/>
      <c r="AD295" s="331"/>
      <c r="AE295" s="331"/>
    </row>
    <row r="296" spans="3:31" s="301" customFormat="1">
      <c r="C296" s="10"/>
      <c r="D296" s="29"/>
      <c r="E296" s="36"/>
      <c r="F296" s="331"/>
      <c r="G296" s="331"/>
      <c r="H296" s="331"/>
      <c r="I296" s="331"/>
      <c r="J296" s="331"/>
      <c r="K296" s="331"/>
      <c r="L296" s="331"/>
      <c r="M296" s="331"/>
      <c r="N296" s="331"/>
      <c r="O296" s="331"/>
      <c r="P296" s="331"/>
      <c r="Q296" s="331"/>
      <c r="R296" s="331"/>
      <c r="S296" s="331"/>
      <c r="T296" s="331"/>
      <c r="U296" s="331"/>
      <c r="V296" s="331"/>
      <c r="W296" s="331"/>
      <c r="X296" s="331"/>
      <c r="Y296" s="331"/>
      <c r="Z296" s="331"/>
      <c r="AA296" s="331"/>
      <c r="AB296" s="331"/>
      <c r="AC296" s="331"/>
      <c r="AD296" s="331"/>
      <c r="AE296" s="331"/>
    </row>
    <row r="297" spans="3:31" s="301" customFormat="1">
      <c r="C297" s="10"/>
      <c r="D297" s="29"/>
      <c r="E297" s="36"/>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row>
    <row r="298" spans="3:31" s="301" customFormat="1">
      <c r="C298" s="10"/>
      <c r="D298" s="29"/>
      <c r="E298" s="36"/>
      <c r="F298" s="331"/>
      <c r="G298" s="331"/>
      <c r="H298" s="331"/>
      <c r="I298" s="331"/>
      <c r="J298" s="331"/>
      <c r="K298" s="331"/>
      <c r="L298" s="331"/>
      <c r="M298" s="331"/>
      <c r="N298" s="331"/>
      <c r="O298" s="331"/>
      <c r="P298" s="331"/>
      <c r="Q298" s="331"/>
      <c r="R298" s="331"/>
      <c r="S298" s="331"/>
      <c r="T298" s="331"/>
      <c r="U298" s="331"/>
      <c r="V298" s="331"/>
      <c r="W298" s="331"/>
      <c r="X298" s="331"/>
      <c r="Y298" s="331"/>
      <c r="Z298" s="331"/>
      <c r="AA298" s="331"/>
      <c r="AB298" s="331"/>
      <c r="AC298" s="331"/>
      <c r="AD298" s="331"/>
      <c r="AE298" s="331"/>
    </row>
    <row r="299" spans="3:31" s="301" customFormat="1">
      <c r="C299" s="10"/>
      <c r="D299" s="29"/>
      <c r="E299" s="36"/>
      <c r="F299" s="331"/>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row>
    <row r="300" spans="3:31" s="301" customFormat="1">
      <c r="C300" s="10"/>
      <c r="D300" s="29"/>
      <c r="E300" s="36"/>
      <c r="F300" s="331"/>
      <c r="G300" s="331"/>
      <c r="H300" s="331"/>
      <c r="I300" s="331"/>
      <c r="J300" s="331"/>
      <c r="K300" s="331"/>
      <c r="L300" s="331"/>
      <c r="M300" s="331"/>
      <c r="N300" s="331"/>
      <c r="O300" s="331"/>
      <c r="P300" s="331"/>
      <c r="Q300" s="331"/>
      <c r="R300" s="331"/>
      <c r="S300" s="331"/>
      <c r="T300" s="331"/>
      <c r="U300" s="331"/>
      <c r="V300" s="331"/>
      <c r="W300" s="331"/>
      <c r="X300" s="331"/>
      <c r="Y300" s="331"/>
      <c r="Z300" s="331"/>
      <c r="AA300" s="331"/>
      <c r="AB300" s="331"/>
      <c r="AC300" s="331"/>
      <c r="AD300" s="331"/>
      <c r="AE300" s="331"/>
    </row>
    <row r="301" spans="3:31" s="301" customFormat="1">
      <c r="C301" s="10"/>
      <c r="D301" s="29"/>
      <c r="E301" s="36"/>
      <c r="F301" s="331"/>
      <c r="G301" s="331"/>
      <c r="H301" s="331"/>
      <c r="I301" s="331"/>
      <c r="J301" s="331"/>
      <c r="K301" s="331"/>
      <c r="L301" s="331"/>
      <c r="M301" s="331"/>
      <c r="N301" s="331"/>
      <c r="O301" s="331"/>
      <c r="P301" s="331"/>
      <c r="Q301" s="331"/>
      <c r="R301" s="331"/>
      <c r="S301" s="331"/>
      <c r="T301" s="331"/>
      <c r="U301" s="331"/>
      <c r="V301" s="331"/>
      <c r="W301" s="331"/>
      <c r="X301" s="331"/>
      <c r="Y301" s="331"/>
      <c r="Z301" s="331"/>
      <c r="AA301" s="331"/>
      <c r="AB301" s="331"/>
      <c r="AC301" s="331"/>
      <c r="AD301" s="331"/>
      <c r="AE301" s="331"/>
    </row>
    <row r="302" spans="3:31" s="301" customFormat="1">
      <c r="C302" s="10"/>
      <c r="D302" s="29"/>
      <c r="E302" s="36"/>
      <c r="F302" s="331"/>
      <c r="G302" s="331"/>
      <c r="H302" s="331"/>
      <c r="I302" s="331"/>
      <c r="J302" s="331"/>
      <c r="K302" s="331"/>
      <c r="L302" s="331"/>
      <c r="M302" s="331"/>
      <c r="N302" s="331"/>
      <c r="O302" s="331"/>
      <c r="P302" s="331"/>
      <c r="Q302" s="331"/>
      <c r="R302" s="331"/>
      <c r="S302" s="331"/>
      <c r="T302" s="331"/>
      <c r="U302" s="331"/>
      <c r="V302" s="331"/>
      <c r="W302" s="331"/>
      <c r="X302" s="331"/>
      <c r="Y302" s="331"/>
      <c r="Z302" s="331"/>
      <c r="AA302" s="331"/>
      <c r="AB302" s="331"/>
      <c r="AC302" s="331"/>
      <c r="AD302" s="331"/>
      <c r="AE302" s="331"/>
    </row>
    <row r="303" spans="3:31" s="301" customFormat="1">
      <c r="C303" s="10"/>
      <c r="D303" s="29"/>
      <c r="E303" s="36"/>
      <c r="F303" s="331"/>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row>
    <row r="304" spans="3:31" s="301" customFormat="1">
      <c r="C304" s="10"/>
      <c r="D304" s="29"/>
      <c r="E304" s="36"/>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row>
    <row r="305" spans="3:31" s="301" customFormat="1">
      <c r="C305" s="10"/>
      <c r="D305" s="29"/>
      <c r="E305" s="36"/>
      <c r="F305" s="331"/>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row>
    <row r="306" spans="3:31" s="301" customFormat="1">
      <c r="C306" s="10"/>
      <c r="D306" s="29"/>
      <c r="E306" s="36"/>
      <c r="F306" s="331"/>
      <c r="G306" s="331"/>
      <c r="H306" s="331"/>
      <c r="I306" s="331"/>
      <c r="J306" s="331"/>
      <c r="K306" s="331"/>
      <c r="L306" s="331"/>
      <c r="M306" s="331"/>
      <c r="N306" s="331"/>
      <c r="O306" s="331"/>
      <c r="P306" s="331"/>
      <c r="Q306" s="331"/>
      <c r="R306" s="331"/>
      <c r="S306" s="331"/>
      <c r="T306" s="331"/>
      <c r="U306" s="331"/>
      <c r="V306" s="331"/>
      <c r="W306" s="331"/>
      <c r="X306" s="331"/>
      <c r="Y306" s="331"/>
      <c r="Z306" s="331"/>
      <c r="AA306" s="331"/>
      <c r="AB306" s="331"/>
      <c r="AC306" s="331"/>
      <c r="AD306" s="331"/>
      <c r="AE306" s="331"/>
    </row>
    <row r="307" spans="3:31" s="301" customFormat="1">
      <c r="C307" s="10"/>
      <c r="D307" s="29"/>
      <c r="E307" s="36"/>
      <c r="F307" s="331"/>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row>
    <row r="308" spans="3:31" s="301" customFormat="1">
      <c r="C308" s="10"/>
      <c r="D308" s="29"/>
      <c r="E308" s="36"/>
      <c r="F308" s="331"/>
      <c r="G308" s="331"/>
      <c r="H308" s="331"/>
      <c r="I308" s="331"/>
      <c r="J308" s="331"/>
      <c r="K308" s="331"/>
      <c r="L308" s="331"/>
      <c r="M308" s="331"/>
      <c r="N308" s="331"/>
      <c r="O308" s="331"/>
      <c r="P308" s="331"/>
      <c r="Q308" s="331"/>
      <c r="R308" s="331"/>
      <c r="S308" s="331"/>
      <c r="T308" s="331"/>
      <c r="U308" s="331"/>
      <c r="V308" s="331"/>
      <c r="W308" s="331"/>
      <c r="X308" s="331"/>
      <c r="Y308" s="331"/>
      <c r="Z308" s="331"/>
      <c r="AA308" s="331"/>
      <c r="AB308" s="331"/>
      <c r="AC308" s="331"/>
      <c r="AD308" s="331"/>
      <c r="AE308" s="331"/>
    </row>
    <row r="309" spans="3:31" s="301" customFormat="1">
      <c r="C309" s="10"/>
      <c r="D309" s="29"/>
      <c r="E309" s="36"/>
      <c r="F309" s="331"/>
      <c r="G309" s="331"/>
      <c r="H309" s="331"/>
      <c r="I309" s="331"/>
      <c r="J309" s="331"/>
      <c r="K309" s="331"/>
      <c r="L309" s="331"/>
      <c r="M309" s="331"/>
      <c r="N309" s="331"/>
      <c r="O309" s="331"/>
      <c r="P309" s="331"/>
      <c r="Q309" s="331"/>
      <c r="R309" s="331"/>
      <c r="S309" s="331"/>
      <c r="T309" s="331"/>
      <c r="U309" s="331"/>
      <c r="V309" s="331"/>
      <c r="W309" s="331"/>
      <c r="X309" s="331"/>
      <c r="Y309" s="331"/>
      <c r="Z309" s="331"/>
      <c r="AA309" s="331"/>
      <c r="AB309" s="331"/>
      <c r="AC309" s="331"/>
      <c r="AD309" s="331"/>
      <c r="AE309" s="331"/>
    </row>
    <row r="310" spans="3:31" s="301" customFormat="1">
      <c r="C310" s="10"/>
      <c r="D310" s="29"/>
      <c r="E310" s="36"/>
      <c r="F310" s="331"/>
      <c r="G310" s="331"/>
      <c r="H310" s="331"/>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row>
    <row r="311" spans="3:31" s="301" customFormat="1">
      <c r="C311" s="10"/>
      <c r="D311" s="29"/>
      <c r="E311" s="36"/>
      <c r="F311" s="331"/>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row>
    <row r="312" spans="3:31" s="301" customFormat="1">
      <c r="C312" s="10"/>
      <c r="D312" s="29"/>
      <c r="E312" s="36"/>
      <c r="F312" s="331"/>
      <c r="G312" s="331"/>
      <c r="H312" s="331"/>
      <c r="I312" s="331"/>
      <c r="J312" s="331"/>
      <c r="K312" s="331"/>
      <c r="L312" s="331"/>
      <c r="M312" s="331"/>
      <c r="N312" s="331"/>
      <c r="O312" s="331"/>
      <c r="P312" s="331"/>
      <c r="Q312" s="331"/>
      <c r="R312" s="331"/>
      <c r="S312" s="331"/>
      <c r="T312" s="331"/>
      <c r="U312" s="331"/>
      <c r="V312" s="331"/>
      <c r="W312" s="331"/>
      <c r="X312" s="331"/>
      <c r="Y312" s="331"/>
      <c r="Z312" s="331"/>
      <c r="AA312" s="331"/>
      <c r="AB312" s="331"/>
      <c r="AC312" s="331"/>
      <c r="AD312" s="331"/>
      <c r="AE312" s="331"/>
    </row>
    <row r="313" spans="3:31" s="301" customFormat="1">
      <c r="C313" s="10"/>
      <c r="D313" s="29"/>
      <c r="E313" s="36"/>
      <c r="F313" s="331"/>
      <c r="G313" s="331"/>
      <c r="H313" s="331"/>
      <c r="I313" s="331"/>
      <c r="J313" s="331"/>
      <c r="K313" s="331"/>
      <c r="L313" s="331"/>
      <c r="M313" s="331"/>
      <c r="N313" s="331"/>
      <c r="O313" s="331"/>
      <c r="P313" s="331"/>
      <c r="Q313" s="331"/>
      <c r="R313" s="331"/>
      <c r="S313" s="331"/>
      <c r="T313" s="331"/>
      <c r="U313" s="331"/>
      <c r="V313" s="331"/>
      <c r="W313" s="331"/>
      <c r="X313" s="331"/>
      <c r="Y313" s="331"/>
      <c r="Z313" s="331"/>
      <c r="AA313" s="331"/>
      <c r="AB313" s="331"/>
      <c r="AC313" s="331"/>
      <c r="AD313" s="331"/>
      <c r="AE313" s="331"/>
    </row>
    <row r="314" spans="3:31" s="301" customFormat="1">
      <c r="C314" s="10"/>
      <c r="D314" s="29"/>
      <c r="E314" s="36"/>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331"/>
    </row>
    <row r="315" spans="3:31" s="301" customFormat="1">
      <c r="C315" s="10"/>
      <c r="D315" s="29"/>
      <c r="E315" s="36"/>
      <c r="F315" s="331"/>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row>
    <row r="316" spans="3:31" s="301" customFormat="1">
      <c r="C316" s="10"/>
      <c r="D316" s="29"/>
      <c r="E316" s="36"/>
      <c r="F316" s="331"/>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331"/>
    </row>
    <row r="317" spans="3:31" s="301" customFormat="1">
      <c r="C317" s="10"/>
      <c r="D317" s="29"/>
      <c r="E317" s="36"/>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331"/>
    </row>
    <row r="318" spans="3:31" s="301" customFormat="1">
      <c r="C318" s="10"/>
      <c r="D318" s="29"/>
      <c r="E318" s="36"/>
      <c r="F318" s="331"/>
      <c r="G318" s="331"/>
      <c r="H318" s="331"/>
      <c r="I318" s="331"/>
      <c r="J318" s="331"/>
      <c r="K318" s="331"/>
      <c r="L318" s="331"/>
      <c r="M318" s="331"/>
      <c r="N318" s="331"/>
      <c r="O318" s="331"/>
      <c r="P318" s="331"/>
      <c r="Q318" s="331"/>
      <c r="R318" s="331"/>
      <c r="S318" s="331"/>
      <c r="T318" s="331"/>
      <c r="U318" s="331"/>
      <c r="V318" s="331"/>
      <c r="W318" s="331"/>
      <c r="X318" s="331"/>
      <c r="Y318" s="331"/>
      <c r="Z318" s="331"/>
      <c r="AA318" s="331"/>
      <c r="AB318" s="331"/>
      <c r="AC318" s="331"/>
      <c r="AD318" s="331"/>
      <c r="AE318" s="331"/>
    </row>
    <row r="319" spans="3:31" s="301" customFormat="1">
      <c r="C319" s="10"/>
      <c r="D319" s="29"/>
      <c r="E319" s="36"/>
      <c r="F319" s="331"/>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row>
    <row r="320" spans="3:31" s="301" customFormat="1">
      <c r="C320" s="10"/>
      <c r="D320" s="29"/>
      <c r="E320" s="36"/>
      <c r="F320" s="331"/>
      <c r="G320" s="331"/>
      <c r="H320" s="331"/>
      <c r="I320" s="331"/>
      <c r="J320" s="331"/>
      <c r="K320" s="331"/>
      <c r="L320" s="331"/>
      <c r="M320" s="331"/>
      <c r="N320" s="331"/>
      <c r="O320" s="331"/>
      <c r="P320" s="331"/>
      <c r="Q320" s="331"/>
      <c r="R320" s="331"/>
      <c r="S320" s="331"/>
      <c r="T320" s="331"/>
      <c r="U320" s="331"/>
      <c r="V320" s="331"/>
      <c r="W320" s="331"/>
      <c r="X320" s="331"/>
      <c r="Y320" s="331"/>
      <c r="Z320" s="331"/>
      <c r="AA320" s="331"/>
      <c r="AB320" s="331"/>
      <c r="AC320" s="331"/>
      <c r="AD320" s="331"/>
      <c r="AE320" s="331"/>
    </row>
    <row r="321" spans="3:31" s="301" customFormat="1">
      <c r="C321" s="10"/>
      <c r="D321" s="29"/>
      <c r="E321" s="36"/>
      <c r="F321" s="331"/>
      <c r="G321" s="331"/>
      <c r="H321" s="331"/>
      <c r="I321" s="331"/>
      <c r="J321" s="331"/>
      <c r="K321" s="331"/>
      <c r="L321" s="331"/>
      <c r="M321" s="331"/>
      <c r="N321" s="331"/>
      <c r="O321" s="331"/>
      <c r="P321" s="331"/>
      <c r="Q321" s="331"/>
      <c r="R321" s="331"/>
      <c r="S321" s="331"/>
      <c r="T321" s="331"/>
      <c r="U321" s="331"/>
      <c r="V321" s="331"/>
      <c r="W321" s="331"/>
      <c r="X321" s="331"/>
      <c r="Y321" s="331"/>
      <c r="Z321" s="331"/>
      <c r="AA321" s="331"/>
      <c r="AB321" s="331"/>
      <c r="AC321" s="331"/>
      <c r="AD321" s="331"/>
      <c r="AE321" s="331"/>
    </row>
    <row r="322" spans="3:31" s="301" customFormat="1">
      <c r="C322" s="10"/>
      <c r="D322" s="29"/>
      <c r="E322" s="36"/>
      <c r="F322" s="331"/>
      <c r="G322" s="331"/>
      <c r="H322" s="331"/>
      <c r="I322" s="331"/>
      <c r="J322" s="331"/>
      <c r="K322" s="331"/>
      <c r="L322" s="331"/>
      <c r="M322" s="331"/>
      <c r="N322" s="331"/>
      <c r="O322" s="331"/>
      <c r="P322" s="331"/>
      <c r="Q322" s="331"/>
      <c r="R322" s="331"/>
      <c r="S322" s="331"/>
      <c r="T322" s="331"/>
      <c r="U322" s="331"/>
      <c r="V322" s="331"/>
      <c r="W322" s="331"/>
      <c r="X322" s="331"/>
      <c r="Y322" s="331"/>
      <c r="Z322" s="331"/>
      <c r="AA322" s="331"/>
      <c r="AB322" s="331"/>
      <c r="AC322" s="331"/>
      <c r="AD322" s="331"/>
      <c r="AE322" s="331"/>
    </row>
    <row r="323" spans="3:31" s="301" customFormat="1">
      <c r="C323" s="10"/>
      <c r="D323" s="29"/>
      <c r="E323" s="36"/>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row>
    <row r="324" spans="3:31" s="301" customFormat="1">
      <c r="C324" s="10"/>
      <c r="D324" s="29"/>
      <c r="E324" s="36"/>
      <c r="F324" s="331"/>
      <c r="G324" s="331"/>
      <c r="H324" s="331"/>
      <c r="I324" s="331"/>
      <c r="J324" s="331"/>
      <c r="K324" s="331"/>
      <c r="L324" s="331"/>
      <c r="M324" s="331"/>
      <c r="N324" s="331"/>
      <c r="O324" s="331"/>
      <c r="P324" s="331"/>
      <c r="Q324" s="331"/>
      <c r="R324" s="331"/>
      <c r="S324" s="331"/>
      <c r="T324" s="331"/>
      <c r="U324" s="331"/>
      <c r="V324" s="331"/>
      <c r="W324" s="331"/>
      <c r="X324" s="331"/>
      <c r="Y324" s="331"/>
      <c r="Z324" s="331"/>
      <c r="AA324" s="331"/>
      <c r="AB324" s="331"/>
      <c r="AC324" s="331"/>
      <c r="AD324" s="331"/>
      <c r="AE324" s="331"/>
    </row>
    <row r="325" spans="3:31" s="301" customFormat="1">
      <c r="C325" s="10"/>
      <c r="D325" s="29"/>
      <c r="E325" s="36"/>
      <c r="F325" s="331"/>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331"/>
    </row>
    <row r="326" spans="3:31" s="301" customFormat="1">
      <c r="C326" s="10"/>
      <c r="D326" s="29"/>
      <c r="E326" s="36"/>
      <c r="F326" s="331"/>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331"/>
    </row>
    <row r="327" spans="3:31" s="301" customFormat="1">
      <c r="C327" s="10"/>
      <c r="D327" s="29"/>
      <c r="E327" s="36"/>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row>
    <row r="328" spans="3:31" s="301" customFormat="1">
      <c r="C328" s="10"/>
      <c r="D328" s="29"/>
      <c r="E328" s="36"/>
      <c r="F328" s="331"/>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row>
    <row r="329" spans="3:31" s="301" customFormat="1">
      <c r="C329" s="10"/>
      <c r="D329" s="29"/>
      <c r="E329" s="36"/>
      <c r="F329" s="331"/>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row>
    <row r="330" spans="3:31" s="301" customFormat="1">
      <c r="C330" s="10"/>
      <c r="D330" s="29"/>
      <c r="E330" s="36"/>
      <c r="F330" s="331"/>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331"/>
      <c r="AE330" s="331"/>
    </row>
    <row r="331" spans="3:31" s="301" customFormat="1">
      <c r="C331" s="10"/>
      <c r="D331" s="29"/>
      <c r="E331" s="36"/>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row>
    <row r="332" spans="3:31" s="301" customFormat="1">
      <c r="C332" s="10"/>
      <c r="D332" s="29"/>
      <c r="E332" s="36"/>
      <c r="F332" s="331"/>
      <c r="G332" s="331"/>
      <c r="H332" s="331"/>
      <c r="I332" s="331"/>
      <c r="J332" s="331"/>
      <c r="K332" s="331"/>
      <c r="L332" s="331"/>
      <c r="M332" s="331"/>
      <c r="N332" s="331"/>
      <c r="O332" s="331"/>
      <c r="P332" s="331"/>
      <c r="Q332" s="331"/>
      <c r="R332" s="331"/>
      <c r="S332" s="331"/>
      <c r="T332" s="331"/>
      <c r="U332" s="331"/>
      <c r="V332" s="331"/>
      <c r="W332" s="331"/>
      <c r="X332" s="331"/>
      <c r="Y332" s="331"/>
      <c r="Z332" s="331"/>
      <c r="AA332" s="331"/>
      <c r="AB332" s="331"/>
      <c r="AC332" s="331"/>
      <c r="AD332" s="331"/>
      <c r="AE332" s="331"/>
    </row>
    <row r="333" spans="3:31" s="301" customFormat="1">
      <c r="C333" s="10"/>
      <c r="D333" s="29"/>
      <c r="E333" s="36"/>
      <c r="F333" s="331"/>
      <c r="G333" s="331"/>
      <c r="H333" s="331"/>
      <c r="I333" s="331"/>
      <c r="J333" s="331"/>
      <c r="K333" s="331"/>
      <c r="L333" s="331"/>
      <c r="M333" s="331"/>
      <c r="N333" s="331"/>
      <c r="O333" s="331"/>
      <c r="P333" s="331"/>
      <c r="Q333" s="331"/>
      <c r="R333" s="331"/>
      <c r="S333" s="331"/>
      <c r="T333" s="331"/>
      <c r="U333" s="331"/>
      <c r="V333" s="331"/>
      <c r="W333" s="331"/>
      <c r="X333" s="331"/>
      <c r="Y333" s="331"/>
      <c r="Z333" s="331"/>
      <c r="AA333" s="331"/>
      <c r="AB333" s="331"/>
      <c r="AC333" s="331"/>
      <c r="AD333" s="331"/>
      <c r="AE333" s="331"/>
    </row>
    <row r="334" spans="3:31" s="301" customFormat="1">
      <c r="C334" s="10"/>
      <c r="D334" s="29"/>
      <c r="E334" s="36"/>
      <c r="F334" s="331"/>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331"/>
    </row>
    <row r="335" spans="3:31" s="301" customFormat="1">
      <c r="C335" s="10"/>
      <c r="D335" s="29"/>
      <c r="E335" s="36"/>
      <c r="F335" s="331"/>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row>
    <row r="336" spans="3:31" s="301" customFormat="1">
      <c r="C336" s="10"/>
      <c r="D336" s="29"/>
      <c r="E336" s="36"/>
      <c r="F336" s="331"/>
      <c r="G336" s="331"/>
      <c r="H336" s="331"/>
      <c r="I336" s="331"/>
      <c r="J336" s="331"/>
      <c r="K336" s="331"/>
      <c r="L336" s="331"/>
      <c r="M336" s="331"/>
      <c r="N336" s="331"/>
      <c r="O336" s="331"/>
      <c r="P336" s="331"/>
      <c r="Q336" s="331"/>
      <c r="R336" s="331"/>
      <c r="S336" s="331"/>
      <c r="T336" s="331"/>
      <c r="U336" s="331"/>
      <c r="V336" s="331"/>
      <c r="W336" s="331"/>
      <c r="X336" s="331"/>
      <c r="Y336" s="331"/>
      <c r="Z336" s="331"/>
      <c r="AA336" s="331"/>
      <c r="AB336" s="331"/>
      <c r="AC336" s="331"/>
      <c r="AD336" s="331"/>
      <c r="AE336" s="331"/>
    </row>
    <row r="337" spans="3:31" s="301" customFormat="1">
      <c r="C337" s="10"/>
      <c r="D337" s="29"/>
      <c r="E337" s="36"/>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331"/>
      <c r="AE337" s="331"/>
    </row>
    <row r="338" spans="3:31" s="301" customFormat="1">
      <c r="C338" s="10"/>
      <c r="D338" s="29"/>
      <c r="E338" s="36"/>
      <c r="F338" s="331"/>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331"/>
    </row>
    <row r="339" spans="3:31" s="301" customFormat="1">
      <c r="C339" s="10"/>
      <c r="D339" s="29"/>
      <c r="E339" s="36"/>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row>
    <row r="340" spans="3:31" s="301" customFormat="1">
      <c r="C340" s="10"/>
      <c r="D340" s="29"/>
      <c r="E340" s="36"/>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331"/>
    </row>
    <row r="341" spans="3:31" s="301" customFormat="1">
      <c r="C341" s="10"/>
      <c r="D341" s="29"/>
      <c r="E341" s="36"/>
      <c r="F341" s="331"/>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331"/>
    </row>
    <row r="342" spans="3:31" s="301" customFormat="1">
      <c r="C342" s="10"/>
      <c r="D342" s="29"/>
      <c r="E342" s="36"/>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331"/>
    </row>
    <row r="343" spans="3:31" s="301" customFormat="1">
      <c r="C343" s="10"/>
      <c r="D343" s="29"/>
      <c r="E343" s="36"/>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row>
    <row r="344" spans="3:31" s="301" customFormat="1">
      <c r="C344" s="10"/>
      <c r="D344" s="29"/>
      <c r="E344" s="36"/>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row>
    <row r="345" spans="3:31" s="301" customFormat="1">
      <c r="C345" s="10"/>
      <c r="D345" s="29"/>
      <c r="E345" s="36"/>
      <c r="F345" s="331"/>
      <c r="G345" s="331"/>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row>
    <row r="346" spans="3:31" s="301" customFormat="1">
      <c r="C346" s="10"/>
      <c r="D346" s="29"/>
      <c r="E346" s="36"/>
      <c r="F346" s="331"/>
      <c r="G346" s="331"/>
      <c r="H346" s="331"/>
      <c r="I346" s="331"/>
      <c r="J346" s="331"/>
      <c r="K346" s="331"/>
      <c r="L346" s="331"/>
      <c r="M346" s="331"/>
      <c r="N346" s="331"/>
      <c r="O346" s="331"/>
      <c r="P346" s="331"/>
      <c r="Q346" s="331"/>
      <c r="R346" s="331"/>
      <c r="S346" s="331"/>
      <c r="T346" s="331"/>
      <c r="U346" s="331"/>
      <c r="V346" s="331"/>
      <c r="W346" s="331"/>
      <c r="X346" s="331"/>
      <c r="Y346" s="331"/>
      <c r="Z346" s="331"/>
      <c r="AA346" s="331"/>
      <c r="AB346" s="331"/>
      <c r="AC346" s="331"/>
      <c r="AD346" s="331"/>
      <c r="AE346" s="331"/>
    </row>
    <row r="347" spans="3:31" s="301" customFormat="1">
      <c r="C347" s="10"/>
      <c r="D347" s="29"/>
      <c r="E347" s="36"/>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331"/>
    </row>
    <row r="348" spans="3:31" s="301" customFormat="1">
      <c r="C348" s="10"/>
      <c r="D348" s="29"/>
      <c r="E348" s="36"/>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331"/>
    </row>
    <row r="349" spans="3:31" s="301" customFormat="1">
      <c r="C349" s="10"/>
      <c r="D349" s="29"/>
      <c r="E349" s="36"/>
      <c r="F349" s="331"/>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331"/>
      <c r="AE349" s="331"/>
    </row>
    <row r="350" spans="3:31" s="301" customFormat="1">
      <c r="C350" s="10"/>
      <c r="D350" s="29"/>
      <c r="E350" s="36"/>
      <c r="F350" s="331"/>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331"/>
    </row>
    <row r="351" spans="3:31" s="301" customFormat="1">
      <c r="C351" s="10"/>
      <c r="D351" s="29"/>
      <c r="E351" s="36"/>
      <c r="F351" s="331"/>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331"/>
    </row>
    <row r="352" spans="3:31" s="301" customFormat="1">
      <c r="C352" s="10"/>
      <c r="D352" s="29"/>
      <c r="E352" s="36"/>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row>
    <row r="353" spans="3:31" s="301" customFormat="1">
      <c r="C353" s="10"/>
      <c r="D353" s="29"/>
      <c r="E353" s="36"/>
      <c r="F353" s="331"/>
      <c r="G353" s="331"/>
      <c r="H353" s="331"/>
      <c r="I353" s="331"/>
      <c r="J353" s="331"/>
      <c r="K353" s="331"/>
      <c r="L353" s="331"/>
      <c r="M353" s="331"/>
      <c r="N353" s="331"/>
      <c r="O353" s="331"/>
      <c r="P353" s="331"/>
      <c r="Q353" s="331"/>
      <c r="R353" s="331"/>
      <c r="S353" s="331"/>
      <c r="T353" s="331"/>
      <c r="U353" s="331"/>
      <c r="V353" s="331"/>
      <c r="W353" s="331"/>
      <c r="X353" s="331"/>
      <c r="Y353" s="331"/>
      <c r="Z353" s="331"/>
      <c r="AA353" s="331"/>
      <c r="AB353" s="331"/>
      <c r="AC353" s="331"/>
      <c r="AD353" s="331"/>
      <c r="AE353" s="331"/>
    </row>
    <row r="354" spans="3:31" s="301" customFormat="1">
      <c r="C354" s="10"/>
      <c r="D354" s="29"/>
      <c r="E354" s="36"/>
      <c r="F354" s="331"/>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331"/>
      <c r="AE354" s="331"/>
    </row>
    <row r="355" spans="3:31" s="301" customFormat="1">
      <c r="C355" s="10"/>
      <c r="D355" s="29"/>
      <c r="E355" s="36"/>
      <c r="F355" s="331"/>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331"/>
      <c r="AE355" s="331"/>
    </row>
    <row r="356" spans="3:31" s="301" customFormat="1">
      <c r="C356" s="10"/>
      <c r="D356" s="29"/>
      <c r="E356" s="36"/>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1"/>
      <c r="AD356" s="331"/>
      <c r="AE356" s="331"/>
    </row>
    <row r="357" spans="3:31" s="301" customFormat="1">
      <c r="C357" s="10"/>
      <c r="D357" s="29"/>
      <c r="E357" s="36"/>
      <c r="F357" s="331"/>
      <c r="G357" s="331"/>
      <c r="H357" s="331"/>
      <c r="I357" s="331"/>
      <c r="J357" s="331"/>
      <c r="K357" s="331"/>
      <c r="L357" s="331"/>
      <c r="M357" s="331"/>
      <c r="N357" s="331"/>
      <c r="O357" s="331"/>
      <c r="P357" s="331"/>
      <c r="Q357" s="331"/>
      <c r="R357" s="331"/>
      <c r="S357" s="331"/>
      <c r="T357" s="331"/>
      <c r="U357" s="331"/>
      <c r="V357" s="331"/>
      <c r="W357" s="331"/>
      <c r="X357" s="331"/>
      <c r="Y357" s="331"/>
      <c r="Z357" s="331"/>
      <c r="AA357" s="331"/>
      <c r="AB357" s="331"/>
      <c r="AC357" s="331"/>
      <c r="AD357" s="331"/>
      <c r="AE357" s="331"/>
    </row>
    <row r="358" spans="3:31" s="301" customFormat="1">
      <c r="C358" s="10"/>
      <c r="D358" s="29"/>
      <c r="E358" s="36"/>
      <c r="F358" s="331"/>
      <c r="G358" s="331"/>
      <c r="H358" s="331"/>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row>
    <row r="359" spans="3:31" s="301" customFormat="1">
      <c r="C359" s="10"/>
      <c r="D359" s="29"/>
      <c r="E359" s="36"/>
      <c r="F359" s="331"/>
      <c r="G359" s="331"/>
      <c r="H359" s="331"/>
      <c r="I359" s="331"/>
      <c r="J359" s="331"/>
      <c r="K359" s="331"/>
      <c r="L359" s="331"/>
      <c r="M359" s="331"/>
      <c r="N359" s="331"/>
      <c r="O359" s="331"/>
      <c r="P359" s="331"/>
      <c r="Q359" s="331"/>
      <c r="R359" s="331"/>
      <c r="S359" s="331"/>
      <c r="T359" s="331"/>
      <c r="U359" s="331"/>
      <c r="V359" s="331"/>
      <c r="W359" s="331"/>
      <c r="X359" s="331"/>
      <c r="Y359" s="331"/>
      <c r="Z359" s="331"/>
      <c r="AA359" s="331"/>
      <c r="AB359" s="331"/>
      <c r="AC359" s="331"/>
      <c r="AD359" s="331"/>
      <c r="AE359" s="331"/>
    </row>
    <row r="360" spans="3:31" s="301" customFormat="1">
      <c r="C360" s="10"/>
      <c r="D360" s="29"/>
      <c r="E360" s="36"/>
      <c r="F360" s="331"/>
      <c r="G360" s="331"/>
      <c r="H360" s="331"/>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row>
    <row r="361" spans="3:31" s="301" customFormat="1">
      <c r="C361" s="10"/>
      <c r="D361" s="29"/>
      <c r="E361" s="36"/>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1"/>
      <c r="AD361" s="331"/>
      <c r="AE361" s="331"/>
    </row>
    <row r="362" spans="3:31" s="301" customFormat="1">
      <c r="C362" s="10"/>
      <c r="D362" s="29"/>
      <c r="E362" s="36"/>
      <c r="F362" s="331"/>
      <c r="G362" s="331"/>
      <c r="H362" s="331"/>
      <c r="I362" s="331"/>
      <c r="J362" s="331"/>
      <c r="K362" s="331"/>
      <c r="L362" s="331"/>
      <c r="M362" s="331"/>
      <c r="N362" s="331"/>
      <c r="O362" s="331"/>
      <c r="P362" s="331"/>
      <c r="Q362" s="331"/>
      <c r="R362" s="331"/>
      <c r="S362" s="331"/>
      <c r="T362" s="331"/>
      <c r="U362" s="331"/>
      <c r="V362" s="331"/>
      <c r="W362" s="331"/>
      <c r="X362" s="331"/>
      <c r="Y362" s="331"/>
      <c r="Z362" s="331"/>
      <c r="AA362" s="331"/>
      <c r="AB362" s="331"/>
      <c r="AC362" s="331"/>
      <c r="AD362" s="331"/>
      <c r="AE362" s="331"/>
    </row>
    <row r="363" spans="3:31" s="301" customFormat="1">
      <c r="C363" s="10"/>
      <c r="D363" s="29"/>
      <c r="E363" s="36"/>
      <c r="F363" s="331"/>
      <c r="G363" s="331"/>
      <c r="H363" s="331"/>
      <c r="I363" s="331"/>
      <c r="J363" s="331"/>
      <c r="K363" s="331"/>
      <c r="L363" s="331"/>
      <c r="M363" s="331"/>
      <c r="N363" s="331"/>
      <c r="O363" s="331"/>
      <c r="P363" s="331"/>
      <c r="Q363" s="331"/>
      <c r="R363" s="331"/>
      <c r="S363" s="331"/>
      <c r="T363" s="331"/>
      <c r="U363" s="331"/>
      <c r="V363" s="331"/>
      <c r="W363" s="331"/>
      <c r="X363" s="331"/>
      <c r="Y363" s="331"/>
      <c r="Z363" s="331"/>
      <c r="AA363" s="331"/>
      <c r="AB363" s="331"/>
      <c r="AC363" s="331"/>
      <c r="AD363" s="331"/>
      <c r="AE363" s="331"/>
    </row>
    <row r="364" spans="3:31" s="301" customFormat="1">
      <c r="C364" s="10"/>
      <c r="D364" s="29"/>
      <c r="E364" s="36"/>
      <c r="F364" s="331"/>
      <c r="G364" s="331"/>
      <c r="H364" s="331"/>
      <c r="I364" s="331"/>
      <c r="J364" s="331"/>
      <c r="K364" s="331"/>
      <c r="L364" s="331"/>
      <c r="M364" s="331"/>
      <c r="N364" s="331"/>
      <c r="O364" s="331"/>
      <c r="P364" s="331"/>
      <c r="Q364" s="331"/>
      <c r="R364" s="331"/>
      <c r="S364" s="331"/>
      <c r="T364" s="331"/>
      <c r="U364" s="331"/>
      <c r="V364" s="331"/>
      <c r="W364" s="331"/>
      <c r="X364" s="331"/>
      <c r="Y364" s="331"/>
      <c r="Z364" s="331"/>
      <c r="AA364" s="331"/>
      <c r="AB364" s="331"/>
      <c r="AC364" s="331"/>
      <c r="AD364" s="331"/>
      <c r="AE364" s="331"/>
    </row>
    <row r="365" spans="3:31" s="301" customFormat="1">
      <c r="C365" s="10"/>
      <c r="D365" s="29"/>
      <c r="E365" s="36"/>
      <c r="F365" s="331"/>
      <c r="G365" s="331"/>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c r="AE365" s="331"/>
    </row>
    <row r="366" spans="3:31" s="301" customFormat="1">
      <c r="C366" s="10"/>
      <c r="D366" s="29"/>
      <c r="E366" s="36"/>
      <c r="F366" s="331"/>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row>
    <row r="367" spans="3:31" s="301" customFormat="1">
      <c r="C367" s="10"/>
      <c r="D367" s="29"/>
      <c r="E367" s="36"/>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1"/>
      <c r="AD367" s="331"/>
      <c r="AE367" s="331"/>
    </row>
    <row r="368" spans="3:31" s="301" customFormat="1">
      <c r="C368" s="10"/>
      <c r="D368" s="29"/>
      <c r="E368" s="36"/>
      <c r="F368" s="331"/>
      <c r="G368" s="331"/>
      <c r="H368" s="331"/>
      <c r="I368" s="331"/>
      <c r="J368" s="331"/>
      <c r="K368" s="331"/>
      <c r="L368" s="331"/>
      <c r="M368" s="331"/>
      <c r="N368" s="331"/>
      <c r="O368" s="331"/>
      <c r="P368" s="331"/>
      <c r="Q368" s="331"/>
      <c r="R368" s="331"/>
      <c r="S368" s="331"/>
      <c r="T368" s="331"/>
      <c r="U368" s="331"/>
      <c r="V368" s="331"/>
      <c r="W368" s="331"/>
      <c r="X368" s="331"/>
      <c r="Y368" s="331"/>
      <c r="Z368" s="331"/>
      <c r="AA368" s="331"/>
      <c r="AB368" s="331"/>
      <c r="AC368" s="331"/>
      <c r="AD368" s="331"/>
      <c r="AE368" s="331"/>
    </row>
    <row r="369" spans="3:31" s="301" customFormat="1">
      <c r="C369" s="10"/>
      <c r="D369" s="29"/>
      <c r="E369" s="36"/>
      <c r="F369" s="331"/>
      <c r="G369" s="331"/>
      <c r="H369" s="331"/>
      <c r="I369" s="331"/>
      <c r="J369" s="331"/>
      <c r="K369" s="331"/>
      <c r="L369" s="331"/>
      <c r="M369" s="331"/>
      <c r="N369" s="331"/>
      <c r="O369" s="331"/>
      <c r="P369" s="331"/>
      <c r="Q369" s="331"/>
      <c r="R369" s="331"/>
      <c r="S369" s="331"/>
      <c r="T369" s="331"/>
      <c r="U369" s="331"/>
      <c r="V369" s="331"/>
      <c r="W369" s="331"/>
      <c r="X369" s="331"/>
      <c r="Y369" s="331"/>
      <c r="Z369" s="331"/>
      <c r="AA369" s="331"/>
      <c r="AB369" s="331"/>
      <c r="AC369" s="331"/>
      <c r="AD369" s="331"/>
      <c r="AE369" s="331"/>
    </row>
    <row r="370" spans="3:31" s="301" customFormat="1">
      <c r="C370" s="10"/>
      <c r="D370" s="29"/>
      <c r="E370" s="36"/>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row>
    <row r="371" spans="3:31" s="301" customFormat="1">
      <c r="C371" s="10"/>
      <c r="D371" s="29"/>
      <c r="E371" s="36"/>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row>
    <row r="372" spans="3:31" s="301" customFormat="1">
      <c r="C372" s="10"/>
      <c r="D372" s="29"/>
      <c r="E372" s="36"/>
      <c r="F372" s="331"/>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row>
    <row r="373" spans="3:31" s="301" customFormat="1">
      <c r="C373" s="10"/>
      <c r="D373" s="29"/>
      <c r="E373" s="36"/>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row>
    <row r="374" spans="3:31" s="301" customFormat="1">
      <c r="C374" s="10"/>
      <c r="D374" s="29"/>
      <c r="E374" s="36"/>
      <c r="F374" s="331"/>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row>
    <row r="375" spans="3:31" s="301" customFormat="1">
      <c r="C375" s="10"/>
      <c r="D375" s="29"/>
      <c r="E375" s="36"/>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row>
    <row r="376" spans="3:31" s="301" customFormat="1">
      <c r="C376" s="10"/>
      <c r="D376" s="29"/>
      <c r="E376" s="36"/>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row>
    <row r="377" spans="3:31" s="301" customFormat="1">
      <c r="C377" s="10"/>
      <c r="D377" s="29"/>
      <c r="E377" s="36"/>
      <c r="F377" s="331"/>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row>
    <row r="378" spans="3:31" s="301" customFormat="1">
      <c r="C378" s="10"/>
      <c r="D378" s="29"/>
      <c r="E378" s="36"/>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row>
    <row r="379" spans="3:31" s="301" customFormat="1">
      <c r="C379" s="10"/>
      <c r="D379" s="29"/>
      <c r="E379" s="36"/>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row>
    <row r="380" spans="3:31" s="301" customFormat="1">
      <c r="C380" s="10"/>
      <c r="D380" s="29"/>
      <c r="E380" s="36"/>
      <c r="F380" s="331"/>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row>
    <row r="381" spans="3:31" s="301" customFormat="1">
      <c r="C381" s="10"/>
      <c r="D381" s="29"/>
      <c r="E381" s="36"/>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row>
    <row r="382" spans="3:31" s="301" customFormat="1">
      <c r="C382" s="10"/>
      <c r="D382" s="29"/>
      <c r="E382" s="36"/>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row>
    <row r="383" spans="3:31" s="301" customFormat="1">
      <c r="C383" s="10"/>
      <c r="D383" s="29"/>
      <c r="E383" s="36"/>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row>
    <row r="384" spans="3:31" s="301" customFormat="1">
      <c r="C384" s="10"/>
      <c r="D384" s="29"/>
      <c r="E384" s="36"/>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row>
    <row r="385" spans="3:31" s="301" customFormat="1">
      <c r="C385" s="10"/>
      <c r="D385" s="29"/>
      <c r="E385" s="36"/>
      <c r="F385" s="331"/>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row>
    <row r="386" spans="3:31" s="301" customFormat="1">
      <c r="C386" s="10"/>
      <c r="D386" s="29"/>
      <c r="E386" s="36"/>
      <c r="F386" s="331"/>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row>
    <row r="387" spans="3:31" s="301" customFormat="1">
      <c r="C387" s="10"/>
      <c r="D387" s="29"/>
      <c r="E387" s="36"/>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row>
    <row r="388" spans="3:31" s="301" customFormat="1">
      <c r="C388" s="10"/>
      <c r="D388" s="29"/>
      <c r="E388" s="36"/>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row>
    <row r="389" spans="3:31" s="301" customFormat="1">
      <c r="C389" s="10"/>
      <c r="D389" s="29"/>
      <c r="E389" s="36"/>
      <c r="F389" s="331"/>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row>
    <row r="390" spans="3:31" s="301" customFormat="1">
      <c r="C390" s="10"/>
      <c r="D390" s="29"/>
      <c r="E390" s="36"/>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row>
    <row r="391" spans="3:31" s="301" customFormat="1">
      <c r="C391" s="10"/>
      <c r="D391" s="29"/>
      <c r="E391" s="36"/>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row>
    <row r="392" spans="3:31" s="301" customFormat="1">
      <c r="C392" s="10"/>
      <c r="D392" s="29"/>
      <c r="E392" s="36"/>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row>
    <row r="393" spans="3:31" s="301" customFormat="1">
      <c r="C393" s="10"/>
      <c r="D393" s="29"/>
      <c r="E393" s="36"/>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row>
    <row r="394" spans="3:31" s="301" customFormat="1">
      <c r="C394" s="10"/>
      <c r="D394" s="29"/>
      <c r="E394" s="36"/>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row>
    <row r="395" spans="3:31" s="301" customFormat="1">
      <c r="C395" s="10"/>
      <c r="D395" s="29"/>
      <c r="E395" s="36"/>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row>
    <row r="396" spans="3:31" s="301" customFormat="1">
      <c r="C396" s="10"/>
      <c r="D396" s="29"/>
      <c r="E396" s="36"/>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row>
    <row r="397" spans="3:31" s="301" customFormat="1">
      <c r="C397" s="10"/>
      <c r="D397" s="29"/>
      <c r="E397" s="36"/>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row>
    <row r="398" spans="3:31" s="301" customFormat="1">
      <c r="C398" s="10"/>
      <c r="D398" s="29"/>
      <c r="E398" s="36"/>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row>
    <row r="399" spans="3:31" s="301" customFormat="1">
      <c r="C399" s="10"/>
      <c r="D399" s="29"/>
      <c r="E399" s="36"/>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row>
    <row r="400" spans="3:31" s="301" customFormat="1">
      <c r="C400" s="10"/>
      <c r="D400" s="29"/>
      <c r="E400" s="36"/>
      <c r="F400" s="331"/>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row>
    <row r="401" spans="3:31" s="301" customFormat="1">
      <c r="C401" s="10"/>
      <c r="D401" s="29"/>
      <c r="E401" s="36"/>
      <c r="F401" s="331"/>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row>
    <row r="402" spans="3:31" s="301" customFormat="1">
      <c r="C402" s="10"/>
      <c r="D402" s="29"/>
      <c r="E402" s="36"/>
      <c r="F402" s="331"/>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row>
    <row r="403" spans="3:31" s="301" customFormat="1">
      <c r="C403" s="10"/>
      <c r="D403" s="29"/>
      <c r="E403" s="36"/>
      <c r="F403" s="331"/>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row>
    <row r="404" spans="3:31" s="301" customFormat="1">
      <c r="C404" s="10"/>
      <c r="D404" s="29"/>
      <c r="E404" s="36"/>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row>
    <row r="405" spans="3:31" s="301" customFormat="1">
      <c r="C405" s="10"/>
      <c r="D405" s="29"/>
      <c r="E405" s="36"/>
      <c r="F405" s="331"/>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row>
    <row r="406" spans="3:31" s="301" customFormat="1">
      <c r="C406" s="10"/>
      <c r="D406" s="29"/>
      <c r="E406" s="36"/>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row>
    <row r="407" spans="3:31" s="301" customFormat="1">
      <c r="C407" s="10"/>
      <c r="D407" s="29"/>
      <c r="E407" s="36"/>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row>
    <row r="408" spans="3:31" s="301" customFormat="1">
      <c r="C408" s="10"/>
      <c r="D408" s="29"/>
      <c r="E408" s="36"/>
      <c r="F408" s="331"/>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row>
    <row r="409" spans="3:31" s="301" customFormat="1">
      <c r="C409" s="10"/>
      <c r="D409" s="29"/>
      <c r="E409" s="36"/>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row>
    <row r="410" spans="3:31" s="301" customFormat="1">
      <c r="C410" s="10"/>
      <c r="D410" s="29"/>
      <c r="E410" s="36"/>
      <c r="F410" s="331"/>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row>
    <row r="411" spans="3:31" s="301" customFormat="1">
      <c r="C411" s="10"/>
      <c r="D411" s="29"/>
      <c r="E411" s="36"/>
      <c r="F411" s="331"/>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row>
    <row r="412" spans="3:31" s="301" customFormat="1">
      <c r="C412" s="10"/>
      <c r="D412" s="29"/>
      <c r="E412" s="36"/>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row>
    <row r="413" spans="3:31" s="301" customFormat="1">
      <c r="C413" s="10"/>
      <c r="D413" s="29"/>
      <c r="E413" s="36"/>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row>
    <row r="414" spans="3:31" s="301" customFormat="1">
      <c r="C414" s="10"/>
      <c r="D414" s="29"/>
      <c r="E414" s="36"/>
      <c r="F414" s="331"/>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row>
    <row r="415" spans="3:31" s="301" customFormat="1">
      <c r="C415" s="10"/>
      <c r="D415" s="29"/>
      <c r="E415" s="36"/>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row>
    <row r="416" spans="3:31" s="301" customFormat="1">
      <c r="C416" s="10"/>
      <c r="D416" s="29"/>
      <c r="E416" s="36"/>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row>
    <row r="417" spans="3:31" s="301" customFormat="1">
      <c r="C417" s="10"/>
      <c r="D417" s="29"/>
      <c r="E417" s="36"/>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row>
    <row r="418" spans="3:31" s="301" customFormat="1">
      <c r="C418" s="10"/>
      <c r="D418" s="29"/>
      <c r="E418" s="36"/>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row>
    <row r="419" spans="3:31" s="301" customFormat="1">
      <c r="C419" s="10"/>
      <c r="D419" s="29"/>
      <c r="E419" s="36"/>
      <c r="F419" s="331"/>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row>
    <row r="420" spans="3:31" s="301" customFormat="1">
      <c r="C420" s="10"/>
      <c r="D420" s="29"/>
      <c r="E420" s="36"/>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row>
    <row r="421" spans="3:31" s="301" customFormat="1">
      <c r="C421" s="10"/>
      <c r="D421" s="29"/>
      <c r="E421" s="36"/>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row>
    <row r="422" spans="3:31" s="301" customFormat="1">
      <c r="C422" s="10"/>
      <c r="D422" s="29"/>
      <c r="E422" s="36"/>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row>
    <row r="423" spans="3:31" s="301" customFormat="1">
      <c r="C423" s="10"/>
      <c r="D423" s="29"/>
      <c r="E423" s="36"/>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row>
    <row r="424" spans="3:31" s="301" customFormat="1">
      <c r="C424" s="10"/>
      <c r="D424" s="29"/>
      <c r="E424" s="36"/>
      <c r="F424" s="331"/>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row>
    <row r="425" spans="3:31" s="301" customFormat="1">
      <c r="C425" s="10"/>
      <c r="D425" s="29"/>
      <c r="E425" s="36"/>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row>
    <row r="426" spans="3:31" s="301" customFormat="1">
      <c r="C426" s="10"/>
      <c r="D426" s="29"/>
      <c r="E426" s="36"/>
      <c r="F426" s="331"/>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row>
    <row r="427" spans="3:31" s="301" customFormat="1">
      <c r="C427" s="10"/>
      <c r="D427" s="29"/>
      <c r="E427" s="36"/>
      <c r="F427" s="331"/>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row>
    <row r="428" spans="3:31" s="301" customFormat="1">
      <c r="C428" s="10"/>
      <c r="D428" s="29"/>
      <c r="E428" s="36"/>
      <c r="F428" s="331"/>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row>
    <row r="429" spans="3:31" s="301" customFormat="1">
      <c r="C429" s="10"/>
      <c r="D429" s="29"/>
      <c r="E429" s="36"/>
      <c r="F429" s="331"/>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row>
    <row r="430" spans="3:31" s="301" customFormat="1">
      <c r="C430" s="10"/>
      <c r="D430" s="29"/>
      <c r="E430" s="36"/>
      <c r="F430" s="331"/>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row>
    <row r="431" spans="3:31" s="301" customFormat="1">
      <c r="C431" s="10"/>
      <c r="D431" s="29"/>
      <c r="E431" s="36"/>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row>
    <row r="432" spans="3:31" s="301" customFormat="1">
      <c r="C432" s="10"/>
      <c r="D432" s="29"/>
      <c r="E432" s="36"/>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row>
    <row r="433" spans="3:31" s="301" customFormat="1">
      <c r="C433" s="10"/>
      <c r="D433" s="29"/>
      <c r="E433" s="36"/>
      <c r="F433" s="331"/>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row>
    <row r="434" spans="3:31" s="301" customFormat="1">
      <c r="C434" s="10"/>
      <c r="D434" s="29"/>
      <c r="E434" s="36"/>
      <c r="F434" s="331"/>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row>
    <row r="435" spans="3:31" s="301" customFormat="1">
      <c r="C435" s="10"/>
      <c r="D435" s="29"/>
      <c r="E435" s="36"/>
      <c r="F435" s="331"/>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row>
    <row r="436" spans="3:31" s="301" customFormat="1">
      <c r="C436" s="10"/>
      <c r="D436" s="29"/>
      <c r="E436" s="36"/>
      <c r="F436" s="331"/>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row>
    <row r="437" spans="3:31" s="301" customFormat="1">
      <c r="C437" s="10"/>
      <c r="D437" s="29"/>
      <c r="E437" s="36"/>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row>
    <row r="438" spans="3:31" s="301" customFormat="1">
      <c r="C438" s="10"/>
      <c r="D438" s="29"/>
      <c r="E438" s="36"/>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row>
    <row r="439" spans="3:31" s="301" customFormat="1">
      <c r="C439" s="10"/>
      <c r="D439" s="29"/>
      <c r="E439" s="36"/>
      <c r="F439" s="331"/>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row>
    <row r="440" spans="3:31" s="301" customFormat="1">
      <c r="C440" s="10"/>
      <c r="D440" s="29"/>
      <c r="E440" s="36"/>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row>
    <row r="441" spans="3:31" s="301" customFormat="1">
      <c r="C441" s="10"/>
      <c r="D441" s="29"/>
      <c r="E441" s="36"/>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row>
    <row r="442" spans="3:31" s="301" customFormat="1">
      <c r="C442" s="10"/>
      <c r="D442" s="29"/>
      <c r="E442" s="36"/>
      <c r="F442" s="331"/>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row>
    <row r="443" spans="3:31" s="301" customFormat="1">
      <c r="C443" s="10"/>
      <c r="D443" s="29"/>
      <c r="E443" s="36"/>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row>
    <row r="444" spans="3:31" s="301" customFormat="1">
      <c r="C444" s="10"/>
      <c r="D444" s="29"/>
      <c r="E444" s="36"/>
      <c r="F444" s="331"/>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row>
    <row r="445" spans="3:31" s="301" customFormat="1">
      <c r="C445" s="10"/>
      <c r="D445" s="29"/>
      <c r="E445" s="36"/>
      <c r="F445" s="331"/>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row>
    <row r="446" spans="3:31" s="301" customFormat="1">
      <c r="C446" s="10"/>
      <c r="D446" s="29"/>
      <c r="E446" s="36"/>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row>
    <row r="447" spans="3:31" s="301" customFormat="1">
      <c r="C447" s="10"/>
      <c r="D447" s="29"/>
      <c r="E447" s="36"/>
      <c r="F447" s="331"/>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row>
    <row r="448" spans="3:31" s="301" customFormat="1">
      <c r="C448" s="10"/>
      <c r="D448" s="29"/>
      <c r="E448" s="36"/>
      <c r="F448" s="331"/>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row>
    <row r="449" spans="3:31" s="301" customFormat="1">
      <c r="C449" s="10"/>
      <c r="D449" s="29"/>
      <c r="E449" s="36"/>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row>
    <row r="450" spans="3:31" s="301" customFormat="1">
      <c r="C450" s="10"/>
      <c r="D450" s="29"/>
      <c r="E450" s="36"/>
      <c r="F450" s="331"/>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row>
    <row r="451" spans="3:31" s="301" customFormat="1">
      <c r="C451" s="10"/>
      <c r="D451" s="29"/>
      <c r="E451" s="36"/>
      <c r="F451" s="331"/>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row>
    <row r="452" spans="3:31" s="301" customFormat="1">
      <c r="C452" s="10"/>
      <c r="D452" s="29"/>
      <c r="E452" s="36"/>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row>
    <row r="453" spans="3:31" s="301" customFormat="1">
      <c r="C453" s="10"/>
      <c r="D453" s="29"/>
      <c r="E453" s="36"/>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row>
    <row r="454" spans="3:31" s="301" customFormat="1">
      <c r="C454" s="10"/>
      <c r="D454" s="29"/>
      <c r="E454" s="36"/>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row>
    <row r="455" spans="3:31" s="301" customFormat="1">
      <c r="C455" s="10"/>
      <c r="D455" s="29"/>
      <c r="E455" s="36"/>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row>
    <row r="456" spans="3:31" s="301" customFormat="1">
      <c r="C456" s="10"/>
      <c r="D456" s="29"/>
      <c r="E456" s="36"/>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row>
    <row r="457" spans="3:31" s="301" customFormat="1">
      <c r="C457" s="10"/>
      <c r="D457" s="29"/>
      <c r="E457" s="36"/>
      <c r="F457" s="331"/>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row>
    <row r="458" spans="3:31" s="301" customFormat="1">
      <c r="C458" s="10"/>
      <c r="D458" s="29"/>
      <c r="E458" s="36"/>
      <c r="F458" s="331"/>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row>
    <row r="459" spans="3:31" s="301" customFormat="1">
      <c r="C459" s="10"/>
      <c r="D459" s="29"/>
      <c r="E459" s="36"/>
      <c r="F459" s="331"/>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row>
    <row r="460" spans="3:31" s="301" customFormat="1">
      <c r="C460" s="10"/>
      <c r="D460" s="29"/>
      <c r="E460" s="36"/>
      <c r="F460" s="331"/>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row>
    <row r="461" spans="3:31" s="301" customFormat="1">
      <c r="C461" s="10"/>
      <c r="D461" s="29"/>
      <c r="E461" s="36"/>
      <c r="F461" s="331"/>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row>
    <row r="462" spans="3:31" s="301" customFormat="1">
      <c r="C462" s="10"/>
      <c r="D462" s="29"/>
      <c r="E462" s="36"/>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row>
    <row r="463" spans="3:31" s="301" customFormat="1">
      <c r="C463" s="10"/>
      <c r="D463" s="29"/>
      <c r="E463" s="36"/>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row>
    <row r="464" spans="3:31" s="301" customFormat="1">
      <c r="C464" s="10"/>
      <c r="D464" s="29"/>
      <c r="E464" s="36"/>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row>
    <row r="465" spans="3:31" s="301" customFormat="1">
      <c r="C465" s="10"/>
      <c r="D465" s="29"/>
      <c r="E465" s="36"/>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row>
    <row r="466" spans="3:31" s="301" customFormat="1">
      <c r="C466" s="10"/>
      <c r="D466" s="29"/>
      <c r="E466" s="36"/>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row>
    <row r="467" spans="3:31" s="301" customFormat="1">
      <c r="C467" s="10"/>
      <c r="D467" s="29"/>
      <c r="E467" s="36"/>
      <c r="F467" s="331"/>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row>
    <row r="468" spans="3:31" s="301" customFormat="1">
      <c r="C468" s="10"/>
      <c r="D468" s="29"/>
      <c r="E468" s="36"/>
      <c r="F468" s="331"/>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row>
    <row r="469" spans="3:31" s="301" customFormat="1">
      <c r="C469" s="10"/>
      <c r="D469" s="29"/>
      <c r="E469" s="36"/>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row>
    <row r="470" spans="3:31" s="301" customFormat="1">
      <c r="C470" s="10"/>
      <c r="D470" s="29"/>
      <c r="E470" s="36"/>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row>
    <row r="471" spans="3:31" s="301" customFormat="1">
      <c r="C471" s="10"/>
      <c r="D471" s="29"/>
      <c r="E471" s="36"/>
      <c r="F471" s="331"/>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row>
    <row r="472" spans="3:31" s="301" customFormat="1">
      <c r="C472" s="10"/>
      <c r="D472" s="29"/>
      <c r="E472" s="36"/>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row>
    <row r="473" spans="3:31" s="301" customFormat="1">
      <c r="C473" s="10"/>
      <c r="D473" s="29"/>
      <c r="E473" s="36"/>
      <c r="F473" s="331"/>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row>
    <row r="474" spans="3:31" s="301" customFormat="1">
      <c r="C474" s="10"/>
      <c r="D474" s="29"/>
      <c r="E474" s="36"/>
      <c r="F474" s="331"/>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row>
    <row r="475" spans="3:31" s="301" customFormat="1">
      <c r="C475" s="10"/>
      <c r="D475" s="29"/>
      <c r="E475" s="36"/>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row>
    <row r="476" spans="3:31" s="301" customFormat="1">
      <c r="C476" s="10"/>
      <c r="D476" s="29"/>
      <c r="E476" s="36"/>
      <c r="F476" s="331"/>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row>
    <row r="477" spans="3:31" s="301" customFormat="1">
      <c r="C477" s="10"/>
      <c r="D477" s="29"/>
      <c r="E477" s="36"/>
      <c r="F477" s="331"/>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row>
    <row r="478" spans="3:31" s="301" customFormat="1">
      <c r="C478" s="10"/>
      <c r="D478" s="29"/>
      <c r="E478" s="36"/>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row>
    <row r="479" spans="3:31" s="301" customFormat="1">
      <c r="C479" s="10"/>
      <c r="D479" s="29"/>
      <c r="E479" s="36"/>
      <c r="F479" s="331"/>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row>
    <row r="480" spans="3:31" s="301" customFormat="1">
      <c r="C480" s="10"/>
      <c r="D480" s="29"/>
      <c r="E480" s="36"/>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row>
    <row r="481" spans="3:31" s="301" customFormat="1">
      <c r="C481" s="10"/>
      <c r="D481" s="29"/>
      <c r="E481" s="36"/>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row>
    <row r="482" spans="3:31" s="301" customFormat="1">
      <c r="C482" s="10"/>
      <c r="D482" s="29"/>
      <c r="E482" s="36"/>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row>
    <row r="483" spans="3:31" s="301" customFormat="1">
      <c r="C483" s="10"/>
      <c r="D483" s="29"/>
      <c r="E483" s="36"/>
      <c r="F483" s="331"/>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row>
    <row r="484" spans="3:31" s="301" customFormat="1">
      <c r="C484" s="10"/>
      <c r="D484" s="29"/>
      <c r="E484" s="36"/>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row>
    <row r="485" spans="3:31" s="301" customFormat="1">
      <c r="C485" s="10"/>
      <c r="D485" s="29"/>
      <c r="E485" s="36"/>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row>
    <row r="486" spans="3:31" s="301" customFormat="1">
      <c r="C486" s="10"/>
      <c r="D486" s="29"/>
      <c r="E486" s="36"/>
      <c r="F486" s="331"/>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row>
    <row r="487" spans="3:31" s="301" customFormat="1">
      <c r="C487" s="10"/>
      <c r="D487" s="29"/>
      <c r="E487" s="36"/>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row>
    <row r="488" spans="3:31" s="301" customFormat="1">
      <c r="C488" s="10"/>
      <c r="D488" s="29"/>
      <c r="E488" s="36"/>
      <c r="F488" s="331"/>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row>
    <row r="489" spans="3:31" s="301" customFormat="1">
      <c r="C489" s="10"/>
      <c r="D489" s="29"/>
      <c r="E489" s="36"/>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row>
    <row r="490" spans="3:31" s="301" customFormat="1">
      <c r="C490" s="10"/>
      <c r="D490" s="29"/>
      <c r="E490" s="36"/>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row>
    <row r="491" spans="3:31" s="301" customFormat="1">
      <c r="C491" s="10"/>
      <c r="D491" s="29"/>
      <c r="E491" s="36"/>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row>
    <row r="492" spans="3:31" s="301" customFormat="1">
      <c r="C492" s="10"/>
      <c r="D492" s="29"/>
      <c r="E492" s="36"/>
      <c r="F492" s="331"/>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row>
    <row r="493" spans="3:31" s="301" customFormat="1">
      <c r="C493" s="10"/>
      <c r="D493" s="29"/>
      <c r="E493" s="36"/>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row>
    <row r="494" spans="3:31" s="301" customFormat="1">
      <c r="C494" s="10"/>
      <c r="D494" s="29"/>
      <c r="E494" s="36"/>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row>
    <row r="495" spans="3:31" s="301" customFormat="1">
      <c r="C495" s="10"/>
      <c r="D495" s="29"/>
      <c r="E495" s="36"/>
      <c r="F495" s="331"/>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row>
    <row r="496" spans="3:31" s="301" customFormat="1">
      <c r="C496" s="10"/>
      <c r="D496" s="29"/>
      <c r="E496" s="36"/>
      <c r="F496" s="331"/>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row>
    <row r="497" spans="3:31" s="301" customFormat="1">
      <c r="C497" s="10"/>
      <c r="D497" s="29"/>
      <c r="E497" s="36"/>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row>
    <row r="498" spans="3:31" s="301" customFormat="1">
      <c r="C498" s="10"/>
      <c r="D498" s="29"/>
      <c r="E498" s="36"/>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row>
    <row r="499" spans="3:31" s="301" customFormat="1">
      <c r="C499" s="10"/>
      <c r="D499" s="29"/>
      <c r="E499" s="36"/>
      <c r="F499" s="331"/>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row>
    <row r="500" spans="3:31" s="301" customFormat="1">
      <c r="C500" s="10"/>
      <c r="D500" s="29"/>
      <c r="E500" s="36"/>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row>
    <row r="501" spans="3:31" s="301" customFormat="1">
      <c r="C501" s="10"/>
      <c r="D501" s="29"/>
      <c r="E501" s="36"/>
      <c r="F501" s="331"/>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row>
    <row r="502" spans="3:31" s="301" customFormat="1">
      <c r="C502" s="10"/>
      <c r="D502" s="29"/>
      <c r="E502" s="36"/>
      <c r="F502" s="331"/>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row>
    <row r="503" spans="3:31" s="301" customFormat="1">
      <c r="C503" s="10"/>
      <c r="D503" s="29"/>
      <c r="E503" s="36"/>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row>
    <row r="504" spans="3:31" s="301" customFormat="1">
      <c r="C504" s="10"/>
      <c r="D504" s="29"/>
      <c r="E504" s="36"/>
      <c r="F504" s="331"/>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row>
    <row r="505" spans="3:31" s="301" customFormat="1">
      <c r="C505" s="10"/>
      <c r="D505" s="29"/>
      <c r="E505" s="36"/>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row>
    <row r="506" spans="3:31" s="301" customFormat="1">
      <c r="C506" s="10"/>
      <c r="D506" s="29"/>
      <c r="E506" s="36"/>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row>
    <row r="507" spans="3:31" s="301" customFormat="1">
      <c r="C507" s="10"/>
      <c r="D507" s="29"/>
      <c r="E507" s="36"/>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row>
    <row r="508" spans="3:31" s="301" customFormat="1">
      <c r="C508" s="10"/>
      <c r="D508" s="29"/>
      <c r="E508" s="36"/>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row>
    <row r="509" spans="3:31" s="301" customFormat="1">
      <c r="C509" s="10"/>
      <c r="D509" s="29"/>
      <c r="E509" s="36"/>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row>
    <row r="510" spans="3:31" s="301" customFormat="1">
      <c r="C510" s="10"/>
      <c r="D510" s="29"/>
      <c r="E510" s="36"/>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row>
    <row r="511" spans="3:31" s="301" customFormat="1">
      <c r="C511" s="10"/>
      <c r="D511" s="29"/>
      <c r="E511" s="36"/>
      <c r="F511" s="331"/>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row>
    <row r="512" spans="3:31" s="301" customFormat="1">
      <c r="C512" s="10"/>
      <c r="D512" s="29"/>
      <c r="E512" s="36"/>
      <c r="F512" s="331"/>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row>
    <row r="513" spans="3:31" s="301" customFormat="1">
      <c r="C513" s="10"/>
      <c r="D513" s="29"/>
      <c r="E513" s="36"/>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row>
    <row r="514" spans="3:31" s="301" customFormat="1">
      <c r="C514" s="10"/>
      <c r="D514" s="29"/>
      <c r="E514" s="36"/>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row>
    <row r="515" spans="3:31" s="301" customFormat="1">
      <c r="C515" s="10"/>
      <c r="D515" s="29"/>
      <c r="E515" s="36"/>
      <c r="F515" s="331"/>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row>
    <row r="516" spans="3:31" s="301" customFormat="1">
      <c r="C516" s="10"/>
      <c r="D516" s="29"/>
      <c r="E516" s="36"/>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row>
    <row r="517" spans="3:31" s="301" customFormat="1">
      <c r="C517" s="10"/>
      <c r="D517" s="29"/>
      <c r="E517" s="36"/>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row>
    <row r="518" spans="3:31" s="301" customFormat="1">
      <c r="C518" s="10"/>
      <c r="D518" s="29"/>
      <c r="E518" s="36"/>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row>
    <row r="519" spans="3:31" s="301" customFormat="1">
      <c r="C519" s="10"/>
      <c r="D519" s="29"/>
      <c r="E519" s="36"/>
      <c r="F519" s="331"/>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row>
    <row r="520" spans="3:31" s="301" customFormat="1">
      <c r="C520" s="10"/>
      <c r="D520" s="29"/>
      <c r="E520" s="36"/>
      <c r="F520" s="331"/>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row>
    <row r="521" spans="3:31" s="301" customFormat="1">
      <c r="C521" s="10"/>
      <c r="D521" s="29"/>
      <c r="E521" s="36"/>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row>
    <row r="522" spans="3:31" s="301" customFormat="1">
      <c r="C522" s="10"/>
      <c r="D522" s="29"/>
      <c r="E522" s="36"/>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row>
    <row r="523" spans="3:31" s="301" customFormat="1">
      <c r="C523" s="10"/>
      <c r="D523" s="29"/>
      <c r="E523" s="36"/>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row>
    <row r="524" spans="3:31" s="301" customFormat="1">
      <c r="C524" s="10"/>
      <c r="D524" s="29"/>
      <c r="E524" s="36"/>
      <c r="F524" s="331"/>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row>
    <row r="525" spans="3:31" s="301" customFormat="1">
      <c r="C525" s="10"/>
      <c r="D525" s="29"/>
      <c r="E525" s="36"/>
      <c r="F525" s="331"/>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row>
    <row r="526" spans="3:31" s="301" customFormat="1">
      <c r="C526" s="10"/>
      <c r="D526" s="29"/>
      <c r="E526" s="36"/>
      <c r="F526" s="331"/>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row>
    <row r="527" spans="3:31" s="301" customFormat="1">
      <c r="C527" s="10"/>
      <c r="D527" s="29"/>
      <c r="E527" s="36"/>
      <c r="F527" s="331"/>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row>
    <row r="528" spans="3:31" s="301" customFormat="1">
      <c r="C528" s="10"/>
      <c r="D528" s="29"/>
      <c r="E528" s="36"/>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row>
    <row r="529" spans="3:31" s="301" customFormat="1">
      <c r="C529" s="10"/>
      <c r="D529" s="29"/>
      <c r="E529" s="36"/>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row>
    <row r="530" spans="3:31" s="301" customFormat="1">
      <c r="C530" s="10"/>
      <c r="D530" s="29"/>
      <c r="E530" s="36"/>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row>
    <row r="531" spans="3:31" s="301" customFormat="1">
      <c r="C531" s="10"/>
      <c r="D531" s="29"/>
      <c r="E531" s="36"/>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row>
    <row r="532" spans="3:31" s="301" customFormat="1">
      <c r="C532" s="10"/>
      <c r="D532" s="29"/>
      <c r="E532" s="36"/>
      <c r="F532" s="331"/>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row>
    <row r="533" spans="3:31" s="301" customFormat="1">
      <c r="C533" s="10"/>
      <c r="D533" s="29"/>
      <c r="E533" s="36"/>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row>
    <row r="534" spans="3:31" s="301" customFormat="1">
      <c r="C534" s="10"/>
      <c r="D534" s="29"/>
      <c r="E534" s="36"/>
      <c r="F534" s="331"/>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row>
    <row r="535" spans="3:31" s="301" customFormat="1">
      <c r="C535" s="10"/>
      <c r="D535" s="29"/>
      <c r="E535" s="36"/>
      <c r="F535" s="331"/>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row>
    <row r="536" spans="3:31" s="301" customFormat="1">
      <c r="C536" s="10"/>
      <c r="D536" s="29"/>
      <c r="E536" s="36"/>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row>
    <row r="537" spans="3:31" s="301" customFormat="1">
      <c r="C537" s="10"/>
      <c r="D537" s="29"/>
      <c r="E537" s="36"/>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row>
    <row r="538" spans="3:31" s="301" customFormat="1">
      <c r="C538" s="10"/>
      <c r="D538" s="29"/>
      <c r="E538" s="36"/>
      <c r="F538" s="331"/>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row>
    <row r="539" spans="3:31" s="301" customFormat="1">
      <c r="C539" s="10"/>
      <c r="D539" s="29"/>
      <c r="E539" s="36"/>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row>
    <row r="540" spans="3:31" s="301" customFormat="1">
      <c r="C540" s="10"/>
      <c r="D540" s="29"/>
      <c r="E540" s="36"/>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row>
    <row r="541" spans="3:31" s="301" customFormat="1">
      <c r="C541" s="10"/>
      <c r="D541" s="29"/>
      <c r="E541" s="36"/>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row>
    <row r="542" spans="3:31" s="301" customFormat="1">
      <c r="C542" s="10"/>
      <c r="D542" s="29"/>
      <c r="E542" s="36"/>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row>
    <row r="543" spans="3:31" s="301" customFormat="1">
      <c r="C543" s="10"/>
      <c r="D543" s="29"/>
      <c r="E543" s="36"/>
      <c r="F543" s="331"/>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row>
    <row r="544" spans="3:31" s="301" customFormat="1">
      <c r="C544" s="10"/>
      <c r="D544" s="29"/>
      <c r="E544" s="36"/>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row>
    <row r="545" spans="3:31" s="301" customFormat="1">
      <c r="C545" s="10"/>
      <c r="D545" s="29"/>
      <c r="E545" s="36"/>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row>
    <row r="546" spans="3:31" s="301" customFormat="1">
      <c r="C546" s="10"/>
      <c r="D546" s="29"/>
      <c r="E546" s="36"/>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row>
    <row r="547" spans="3:31" s="301" customFormat="1">
      <c r="C547" s="10"/>
      <c r="D547" s="29"/>
      <c r="E547" s="36"/>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row>
    <row r="548" spans="3:31" s="301" customFormat="1">
      <c r="C548" s="10"/>
      <c r="D548" s="29"/>
      <c r="E548" s="36"/>
      <c r="F548" s="331"/>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row>
    <row r="549" spans="3:31" s="301" customFormat="1">
      <c r="C549" s="10"/>
      <c r="D549" s="29"/>
      <c r="E549" s="36"/>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row>
    <row r="550" spans="3:31" s="301" customFormat="1">
      <c r="C550" s="10"/>
      <c r="D550" s="29"/>
      <c r="E550" s="36"/>
      <c r="F550" s="331"/>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row>
    <row r="551" spans="3:31" s="301" customFormat="1">
      <c r="C551" s="10"/>
      <c r="D551" s="29"/>
      <c r="E551" s="36"/>
      <c r="F551" s="331"/>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row>
    <row r="552" spans="3:31" s="301" customFormat="1">
      <c r="C552" s="10"/>
      <c r="D552" s="29"/>
      <c r="E552" s="36"/>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row>
    <row r="553" spans="3:31" s="301" customFormat="1">
      <c r="C553" s="10"/>
      <c r="D553" s="29"/>
      <c r="E553" s="36"/>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row>
    <row r="554" spans="3:31" s="301" customFormat="1">
      <c r="C554" s="10"/>
      <c r="D554" s="29"/>
      <c r="E554" s="36"/>
      <c r="F554" s="331"/>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row>
    <row r="555" spans="3:31" s="301" customFormat="1">
      <c r="C555" s="10"/>
      <c r="D555" s="29"/>
      <c r="E555" s="36"/>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row>
    <row r="556" spans="3:31" s="301" customFormat="1">
      <c r="C556" s="10"/>
      <c r="D556" s="29"/>
      <c r="E556" s="36"/>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row>
    <row r="557" spans="3:31" s="301" customFormat="1">
      <c r="C557" s="10"/>
      <c r="D557" s="29"/>
      <c r="E557" s="36"/>
      <c r="F557" s="331"/>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row>
    <row r="558" spans="3:31" s="301" customFormat="1">
      <c r="C558" s="10"/>
      <c r="D558" s="29"/>
      <c r="E558" s="36"/>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row>
    <row r="559" spans="3:31" s="301" customFormat="1">
      <c r="C559" s="10"/>
      <c r="D559" s="29"/>
      <c r="E559" s="36"/>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row>
    <row r="560" spans="3:31" s="301" customFormat="1">
      <c r="C560" s="10"/>
      <c r="D560" s="29"/>
      <c r="E560" s="36"/>
      <c r="F560" s="331"/>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row>
    <row r="561" spans="3:31" s="301" customFormat="1">
      <c r="C561" s="10"/>
      <c r="D561" s="29"/>
      <c r="E561" s="36"/>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row>
    <row r="562" spans="3:31" s="301" customFormat="1">
      <c r="C562" s="10"/>
      <c r="D562" s="29"/>
      <c r="E562" s="36"/>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row>
    <row r="563" spans="3:31" s="301" customFormat="1">
      <c r="C563" s="10"/>
      <c r="D563" s="29"/>
      <c r="E563" s="36"/>
      <c r="F563" s="331"/>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row>
    <row r="564" spans="3:31" s="301" customFormat="1">
      <c r="C564" s="10"/>
      <c r="D564" s="29"/>
      <c r="E564" s="36"/>
      <c r="F564" s="331"/>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row>
    <row r="565" spans="3:31" s="301" customFormat="1">
      <c r="C565" s="10"/>
      <c r="D565" s="29"/>
      <c r="E565" s="36"/>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row>
    <row r="566" spans="3:31" s="301" customFormat="1">
      <c r="C566" s="10"/>
      <c r="D566" s="29"/>
      <c r="E566" s="36"/>
      <c r="F566" s="331"/>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row>
    <row r="567" spans="3:31" s="301" customFormat="1">
      <c r="C567" s="10"/>
      <c r="D567" s="29"/>
      <c r="E567" s="36"/>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row>
    <row r="568" spans="3:31" s="301" customFormat="1">
      <c r="C568" s="10"/>
      <c r="D568" s="29"/>
      <c r="E568" s="36"/>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row>
    <row r="569" spans="3:31" s="301" customFormat="1">
      <c r="C569" s="10"/>
      <c r="D569" s="29"/>
      <c r="E569" s="36"/>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row>
    <row r="570" spans="3:31" s="301" customFormat="1">
      <c r="C570" s="10"/>
      <c r="D570" s="29"/>
      <c r="E570" s="36"/>
      <c r="F570" s="331"/>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row>
    <row r="571" spans="3:31" s="301" customFormat="1">
      <c r="C571" s="10"/>
      <c r="D571" s="29"/>
      <c r="E571" s="36"/>
      <c r="F571" s="331"/>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row>
    <row r="572" spans="3:31" s="301" customFormat="1">
      <c r="C572" s="10"/>
      <c r="D572" s="29"/>
      <c r="E572" s="36"/>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row>
    <row r="573" spans="3:31" s="301" customFormat="1">
      <c r="C573" s="10"/>
      <c r="D573" s="29"/>
      <c r="E573" s="36"/>
      <c r="F573" s="331"/>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row>
    <row r="574" spans="3:31" s="301" customFormat="1">
      <c r="C574" s="10"/>
      <c r="D574" s="29"/>
      <c r="E574" s="36"/>
      <c r="F574" s="331"/>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row>
    <row r="575" spans="3:31" s="301" customFormat="1">
      <c r="C575" s="10"/>
      <c r="D575" s="29"/>
      <c r="E575" s="36"/>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row>
    <row r="576" spans="3:31" s="301" customFormat="1">
      <c r="C576" s="10"/>
      <c r="D576" s="29"/>
      <c r="E576" s="36"/>
      <c r="F576" s="331"/>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row>
    <row r="577" spans="3:31" s="301" customFormat="1">
      <c r="C577" s="10"/>
      <c r="D577" s="29"/>
      <c r="E577" s="36"/>
      <c r="F577" s="331"/>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row>
    <row r="578" spans="3:31" s="301" customFormat="1">
      <c r="C578" s="10"/>
      <c r="D578" s="29"/>
      <c r="E578" s="36"/>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row>
    <row r="579" spans="3:31" s="301" customFormat="1">
      <c r="C579" s="10"/>
      <c r="D579" s="29"/>
      <c r="E579" s="36"/>
      <c r="F579" s="331"/>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row>
    <row r="580" spans="3:31" s="301" customFormat="1">
      <c r="C580" s="10"/>
      <c r="D580" s="29"/>
      <c r="E580" s="36"/>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row>
    <row r="581" spans="3:31" s="301" customFormat="1">
      <c r="C581" s="10"/>
      <c r="D581" s="29"/>
      <c r="E581" s="36"/>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row>
    <row r="582" spans="3:31" s="301" customFormat="1">
      <c r="C582" s="10"/>
      <c r="D582" s="29"/>
      <c r="E582" s="36"/>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row>
    <row r="583" spans="3:31" s="301" customFormat="1">
      <c r="C583" s="10"/>
      <c r="D583" s="29"/>
      <c r="E583" s="36"/>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row>
    <row r="584" spans="3:31" s="301" customFormat="1">
      <c r="C584" s="10"/>
      <c r="D584" s="29"/>
      <c r="E584" s="36"/>
      <c r="F584" s="331"/>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row>
    <row r="585" spans="3:31" s="301" customFormat="1">
      <c r="C585" s="10"/>
      <c r="D585" s="29"/>
      <c r="E585" s="36"/>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row>
    <row r="586" spans="3:31" s="301" customFormat="1">
      <c r="C586" s="10"/>
      <c r="D586" s="29"/>
      <c r="E586" s="36"/>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row>
    <row r="587" spans="3:31" s="301" customFormat="1">
      <c r="C587" s="10"/>
      <c r="D587" s="29"/>
      <c r="E587" s="36"/>
      <c r="F587" s="331"/>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row>
    <row r="588" spans="3:31" s="301" customFormat="1">
      <c r="C588" s="10"/>
      <c r="D588" s="29"/>
      <c r="E588" s="36"/>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row>
    <row r="589" spans="3:31" s="301" customFormat="1">
      <c r="C589" s="10"/>
      <c r="D589" s="29"/>
      <c r="E589" s="36"/>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row>
    <row r="590" spans="3:31" s="301" customFormat="1">
      <c r="C590" s="10"/>
      <c r="D590" s="29"/>
      <c r="E590" s="36"/>
      <c r="F590" s="331"/>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row>
    <row r="591" spans="3:31" s="301" customFormat="1">
      <c r="C591" s="10"/>
      <c r="D591" s="29"/>
      <c r="E591" s="36"/>
      <c r="F591" s="331"/>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row>
    <row r="592" spans="3:31" s="301" customFormat="1">
      <c r="C592" s="10"/>
      <c r="D592" s="29"/>
      <c r="E592" s="36"/>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row>
    <row r="593" spans="3:31" s="301" customFormat="1">
      <c r="C593" s="10"/>
      <c r="D593" s="29"/>
      <c r="E593" s="36"/>
      <c r="F593" s="331"/>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row>
    <row r="594" spans="3:31" s="301" customFormat="1">
      <c r="C594" s="10"/>
      <c r="D594" s="29"/>
      <c r="E594" s="36"/>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row>
    <row r="595" spans="3:31" s="301" customFormat="1">
      <c r="C595" s="10"/>
      <c r="D595" s="29"/>
      <c r="E595" s="36"/>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row>
    <row r="596" spans="3:31" s="301" customFormat="1">
      <c r="C596" s="10"/>
      <c r="D596" s="29"/>
      <c r="E596" s="36"/>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row>
    <row r="597" spans="3:31" s="301" customFormat="1">
      <c r="C597" s="10"/>
      <c r="D597" s="29"/>
      <c r="E597" s="36"/>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row>
    <row r="598" spans="3:31" s="301" customFormat="1">
      <c r="C598" s="10"/>
      <c r="D598" s="29"/>
      <c r="E598" s="36"/>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row>
    <row r="599" spans="3:31" s="301" customFormat="1">
      <c r="C599" s="10"/>
      <c r="D599" s="29"/>
      <c r="E599" s="36"/>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row>
    <row r="600" spans="3:31" s="301" customFormat="1">
      <c r="C600" s="10"/>
      <c r="D600" s="29"/>
      <c r="E600" s="36"/>
      <c r="F600" s="331"/>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row>
    <row r="601" spans="3:31" s="301" customFormat="1">
      <c r="C601" s="10"/>
      <c r="D601" s="29"/>
      <c r="E601" s="36"/>
      <c r="F601" s="331"/>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row>
    <row r="602" spans="3:31" s="301" customFormat="1">
      <c r="C602" s="10"/>
      <c r="D602" s="29"/>
      <c r="E602" s="36"/>
      <c r="F602" s="331"/>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row>
    <row r="603" spans="3:31" s="301" customFormat="1">
      <c r="C603" s="10"/>
      <c r="D603" s="29"/>
      <c r="E603" s="36"/>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row>
    <row r="604" spans="3:31" s="301" customFormat="1">
      <c r="C604" s="10"/>
      <c r="D604" s="29"/>
      <c r="E604" s="36"/>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row>
    <row r="605" spans="3:31" s="301" customFormat="1">
      <c r="C605" s="10"/>
      <c r="D605" s="29"/>
      <c r="E605" s="36"/>
      <c r="F605" s="331"/>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row>
    <row r="606" spans="3:31" s="301" customFormat="1">
      <c r="C606" s="10"/>
      <c r="D606" s="29"/>
      <c r="E606" s="36"/>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row>
    <row r="607" spans="3:31" s="301" customFormat="1">
      <c r="C607" s="10"/>
      <c r="D607" s="29"/>
      <c r="E607" s="36"/>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row>
    <row r="608" spans="3:31" s="301" customFormat="1">
      <c r="C608" s="10"/>
      <c r="D608" s="29"/>
      <c r="E608" s="36"/>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row>
    <row r="609" spans="3:31" s="301" customFormat="1">
      <c r="C609" s="10"/>
      <c r="D609" s="29"/>
      <c r="E609" s="36"/>
      <c r="F609" s="331"/>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row>
    <row r="610" spans="3:31" s="301" customFormat="1">
      <c r="C610" s="10"/>
      <c r="D610" s="29"/>
      <c r="E610" s="36"/>
      <c r="F610" s="331"/>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row>
    <row r="611" spans="3:31" s="301" customFormat="1">
      <c r="C611" s="10"/>
      <c r="D611" s="29"/>
      <c r="E611" s="36"/>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row>
    <row r="612" spans="3:31" s="301" customFormat="1">
      <c r="C612" s="10"/>
      <c r="D612" s="29"/>
      <c r="E612" s="36"/>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row>
    <row r="613" spans="3:31" s="301" customFormat="1">
      <c r="C613" s="10"/>
      <c r="D613" s="29"/>
      <c r="E613" s="36"/>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row>
    <row r="614" spans="3:31" s="301" customFormat="1">
      <c r="C614" s="10"/>
      <c r="D614" s="29"/>
      <c r="E614" s="36"/>
      <c r="F614" s="331"/>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row>
    <row r="615" spans="3:31" s="301" customFormat="1">
      <c r="C615" s="10"/>
      <c r="D615" s="29"/>
      <c r="E615" s="36"/>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row>
    <row r="616" spans="3:31" s="301" customFormat="1">
      <c r="C616" s="10"/>
      <c r="D616" s="29"/>
      <c r="E616" s="36"/>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row>
    <row r="617" spans="3:31" s="301" customFormat="1">
      <c r="C617" s="10"/>
      <c r="D617" s="29"/>
      <c r="E617" s="36"/>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row>
    <row r="618" spans="3:31" s="301" customFormat="1">
      <c r="C618" s="10"/>
      <c r="D618" s="29"/>
      <c r="E618" s="36"/>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row>
    <row r="619" spans="3:31" s="301" customFormat="1">
      <c r="C619" s="10"/>
      <c r="D619" s="29"/>
      <c r="E619" s="36"/>
      <c r="F619" s="331"/>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row>
    <row r="620" spans="3:31" s="301" customFormat="1">
      <c r="C620" s="10"/>
      <c r="D620" s="29"/>
      <c r="E620" s="36"/>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row>
    <row r="621" spans="3:31" s="301" customFormat="1">
      <c r="C621" s="10"/>
      <c r="D621" s="29"/>
      <c r="E621" s="36"/>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row>
    <row r="622" spans="3:31" s="301" customFormat="1">
      <c r="C622" s="10"/>
      <c r="D622" s="29"/>
      <c r="E622" s="36"/>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row>
    <row r="623" spans="3:31" s="301" customFormat="1">
      <c r="C623" s="10"/>
      <c r="D623" s="29"/>
      <c r="E623" s="36"/>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row>
    <row r="624" spans="3:31" s="301" customFormat="1">
      <c r="C624" s="10"/>
      <c r="D624" s="29"/>
      <c r="E624" s="36"/>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row>
    <row r="625" spans="3:31" s="301" customFormat="1">
      <c r="C625" s="10"/>
      <c r="D625" s="29"/>
      <c r="E625" s="36"/>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row>
    <row r="626" spans="3:31" s="301" customFormat="1">
      <c r="C626" s="10"/>
      <c r="D626" s="29"/>
      <c r="E626" s="36"/>
      <c r="F626" s="331"/>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row>
    <row r="627" spans="3:31" s="301" customFormat="1">
      <c r="C627" s="10"/>
      <c r="D627" s="29"/>
      <c r="E627" s="36"/>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row>
    <row r="628" spans="3:31" s="301" customFormat="1">
      <c r="C628" s="10"/>
      <c r="D628" s="29"/>
      <c r="E628" s="36"/>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row>
    <row r="629" spans="3:31" s="301" customFormat="1">
      <c r="C629" s="10"/>
      <c r="D629" s="29"/>
      <c r="E629" s="36"/>
      <c r="F629" s="331"/>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row>
    <row r="630" spans="3:31" s="301" customFormat="1">
      <c r="C630" s="10"/>
      <c r="D630" s="29"/>
      <c r="E630" s="36"/>
      <c r="F630" s="331"/>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row>
    <row r="631" spans="3:31" s="301" customFormat="1">
      <c r="C631" s="10"/>
      <c r="D631" s="29"/>
      <c r="E631" s="36"/>
      <c r="F631" s="331"/>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row>
    <row r="632" spans="3:31" s="301" customFormat="1">
      <c r="C632" s="10"/>
      <c r="D632" s="29"/>
      <c r="E632" s="36"/>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row>
    <row r="633" spans="3:31" s="301" customFormat="1">
      <c r="C633" s="10"/>
      <c r="D633" s="29"/>
      <c r="E633" s="36"/>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row>
    <row r="634" spans="3:31" s="301" customFormat="1">
      <c r="C634" s="10"/>
      <c r="D634" s="29"/>
      <c r="E634" s="36"/>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row>
    <row r="635" spans="3:31" s="301" customFormat="1">
      <c r="C635" s="10"/>
      <c r="D635" s="29"/>
      <c r="E635" s="36"/>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row>
    <row r="636" spans="3:31" s="301" customFormat="1">
      <c r="C636" s="10"/>
      <c r="D636" s="29"/>
      <c r="E636" s="36"/>
      <c r="F636" s="331"/>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row>
    <row r="637" spans="3:31" s="301" customFormat="1">
      <c r="C637" s="10"/>
      <c r="D637" s="29"/>
      <c r="E637" s="36"/>
      <c r="F637" s="331"/>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row>
    <row r="638" spans="3:31" s="301" customFormat="1">
      <c r="C638" s="10"/>
      <c r="D638" s="29"/>
      <c r="E638" s="36"/>
      <c r="F638" s="331"/>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row>
    <row r="639" spans="3:31" s="301" customFormat="1">
      <c r="C639" s="10"/>
      <c r="D639" s="29"/>
      <c r="E639" s="36"/>
      <c r="F639" s="331"/>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row>
    <row r="640" spans="3:31" s="301" customFormat="1">
      <c r="C640" s="10"/>
      <c r="D640" s="29"/>
      <c r="E640" s="36"/>
      <c r="F640" s="331"/>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row>
    <row r="641" spans="3:31" s="301" customFormat="1">
      <c r="C641" s="10"/>
      <c r="D641" s="29"/>
      <c r="E641" s="36"/>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row>
    <row r="642" spans="3:31" s="301" customFormat="1">
      <c r="C642" s="10"/>
      <c r="D642" s="29"/>
      <c r="E642" s="36"/>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row>
    <row r="643" spans="3:31" s="301" customFormat="1">
      <c r="C643" s="10"/>
      <c r="D643" s="29"/>
      <c r="E643" s="36"/>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row>
    <row r="644" spans="3:31" s="301" customFormat="1">
      <c r="C644" s="10"/>
      <c r="D644" s="29"/>
      <c r="E644" s="36"/>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row>
    <row r="645" spans="3:31" s="301" customFormat="1">
      <c r="C645" s="10"/>
      <c r="D645" s="29"/>
      <c r="E645" s="36"/>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row>
    <row r="646" spans="3:31" s="301" customFormat="1">
      <c r="C646" s="10"/>
      <c r="D646" s="29"/>
      <c r="E646" s="36"/>
      <c r="F646" s="331"/>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row>
    <row r="647" spans="3:31" s="301" customFormat="1">
      <c r="C647" s="10"/>
      <c r="D647" s="29"/>
      <c r="E647" s="36"/>
      <c r="F647" s="331"/>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row>
    <row r="648" spans="3:31" s="301" customFormat="1">
      <c r="C648" s="10"/>
      <c r="D648" s="29"/>
      <c r="E648" s="36"/>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row>
    <row r="649" spans="3:31" s="301" customFormat="1">
      <c r="C649" s="10"/>
      <c r="D649" s="29"/>
      <c r="E649" s="36"/>
      <c r="F649" s="331"/>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row>
    <row r="650" spans="3:31" s="301" customFormat="1">
      <c r="C650" s="10"/>
      <c r="D650" s="29"/>
      <c r="E650" s="36"/>
      <c r="F650" s="331"/>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row>
    <row r="651" spans="3:31" s="301" customFormat="1">
      <c r="C651" s="10"/>
      <c r="D651" s="29"/>
      <c r="E651" s="36"/>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row>
    <row r="652" spans="3:31" s="301" customFormat="1">
      <c r="C652" s="10"/>
      <c r="D652" s="29"/>
      <c r="E652" s="36"/>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row>
    <row r="653" spans="3:31" s="301" customFormat="1">
      <c r="C653" s="10"/>
      <c r="D653" s="29"/>
      <c r="E653" s="36"/>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row>
    <row r="654" spans="3:31" s="301" customFormat="1">
      <c r="C654" s="10"/>
      <c r="D654" s="29"/>
      <c r="E654" s="36"/>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row>
    <row r="655" spans="3:31" s="301" customFormat="1">
      <c r="C655" s="10"/>
      <c r="D655" s="29"/>
      <c r="E655" s="36"/>
      <c r="F655" s="331"/>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row>
    <row r="656" spans="3:31" s="301" customFormat="1">
      <c r="C656" s="10"/>
      <c r="D656" s="29"/>
      <c r="E656" s="36"/>
      <c r="F656" s="331"/>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row>
    <row r="657" spans="3:31" s="301" customFormat="1">
      <c r="C657" s="10"/>
      <c r="D657" s="29"/>
      <c r="E657" s="36"/>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row>
    <row r="658" spans="3:31" s="301" customFormat="1">
      <c r="C658" s="10"/>
      <c r="D658" s="29"/>
      <c r="E658" s="36"/>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row>
    <row r="659" spans="3:31" s="301" customFormat="1">
      <c r="C659" s="10"/>
      <c r="D659" s="29"/>
      <c r="E659" s="36"/>
      <c r="F659" s="331"/>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row>
    <row r="660" spans="3:31" s="301" customFormat="1">
      <c r="C660" s="10"/>
      <c r="D660" s="29"/>
      <c r="E660" s="36"/>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row>
    <row r="661" spans="3:31" s="301" customFormat="1">
      <c r="C661" s="10"/>
      <c r="D661" s="29"/>
      <c r="E661" s="36"/>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row>
    <row r="662" spans="3:31" s="301" customFormat="1">
      <c r="C662" s="10"/>
      <c r="D662" s="29"/>
      <c r="E662" s="36"/>
      <c r="F662" s="331"/>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row>
    <row r="663" spans="3:31" s="301" customFormat="1">
      <c r="C663" s="10"/>
      <c r="D663" s="29"/>
      <c r="E663" s="36"/>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row>
    <row r="664" spans="3:31" s="301" customFormat="1">
      <c r="C664" s="10"/>
      <c r="D664" s="29"/>
      <c r="E664" s="36"/>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row>
    <row r="665" spans="3:31" s="301" customFormat="1">
      <c r="C665" s="10"/>
      <c r="D665" s="29"/>
      <c r="E665" s="36"/>
      <c r="F665" s="331"/>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row>
    <row r="666" spans="3:31" s="301" customFormat="1">
      <c r="C666" s="10"/>
      <c r="D666" s="29"/>
      <c r="E666" s="36"/>
      <c r="F666" s="331"/>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row>
    <row r="667" spans="3:31" s="301" customFormat="1">
      <c r="C667" s="10"/>
      <c r="D667" s="29"/>
      <c r="E667" s="36"/>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row>
    <row r="668" spans="3:31" s="301" customFormat="1">
      <c r="C668" s="10"/>
      <c r="D668" s="29"/>
      <c r="E668" s="36"/>
      <c r="F668" s="331"/>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row>
    <row r="669" spans="3:31" s="301" customFormat="1">
      <c r="C669" s="10"/>
      <c r="D669" s="29"/>
      <c r="E669" s="36"/>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row>
    <row r="670" spans="3:31" s="301" customFormat="1">
      <c r="C670" s="10"/>
      <c r="D670" s="29"/>
      <c r="E670" s="36"/>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row>
    <row r="671" spans="3:31" s="301" customFormat="1">
      <c r="C671" s="10"/>
      <c r="D671" s="29"/>
      <c r="E671" s="36"/>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row>
    <row r="672" spans="3:31" s="301" customFormat="1">
      <c r="C672" s="10"/>
      <c r="D672" s="29"/>
      <c r="E672" s="36"/>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row>
    <row r="673" spans="3:31" s="301" customFormat="1">
      <c r="C673" s="10"/>
      <c r="D673" s="29"/>
      <c r="E673" s="36"/>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row>
    <row r="674" spans="3:31" s="301" customFormat="1">
      <c r="C674" s="10"/>
      <c r="D674" s="29"/>
      <c r="E674" s="36"/>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row>
    <row r="675" spans="3:31" s="301" customFormat="1">
      <c r="C675" s="10"/>
      <c r="D675" s="29"/>
      <c r="E675" s="36"/>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row>
    <row r="676" spans="3:31" s="301" customFormat="1">
      <c r="C676" s="10"/>
      <c r="D676" s="29"/>
      <c r="E676" s="36"/>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row>
    <row r="677" spans="3:31" s="301" customFormat="1">
      <c r="C677" s="10"/>
      <c r="D677" s="29"/>
      <c r="E677" s="36"/>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row>
    <row r="678" spans="3:31" s="301" customFormat="1">
      <c r="C678" s="10"/>
      <c r="D678" s="29"/>
      <c r="E678" s="36"/>
      <c r="F678" s="331"/>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row>
    <row r="679" spans="3:31" s="301" customFormat="1">
      <c r="C679" s="10"/>
      <c r="D679" s="29"/>
      <c r="E679" s="36"/>
      <c r="F679" s="331"/>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row>
    <row r="680" spans="3:31" s="301" customFormat="1">
      <c r="C680" s="10"/>
      <c r="D680" s="29"/>
      <c r="E680" s="36"/>
      <c r="F680" s="331"/>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row>
    <row r="681" spans="3:31" s="301" customFormat="1">
      <c r="C681" s="10"/>
      <c r="D681" s="29"/>
      <c r="E681" s="36"/>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row>
    <row r="682" spans="3:31" s="301" customFormat="1">
      <c r="C682" s="10"/>
      <c r="D682" s="29"/>
      <c r="E682" s="36"/>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row>
    <row r="683" spans="3:31" s="301" customFormat="1">
      <c r="C683" s="10"/>
      <c r="D683" s="29"/>
      <c r="E683" s="36"/>
      <c r="F683" s="331"/>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row>
    <row r="684" spans="3:31" s="301" customFormat="1">
      <c r="C684" s="10"/>
      <c r="D684" s="29"/>
      <c r="E684" s="36"/>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row>
    <row r="685" spans="3:31" s="301" customFormat="1">
      <c r="C685" s="10"/>
      <c r="D685" s="29"/>
      <c r="E685" s="36"/>
      <c r="F685" s="331"/>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row>
    <row r="686" spans="3:31" s="301" customFormat="1">
      <c r="C686" s="10"/>
      <c r="D686" s="29"/>
      <c r="E686" s="36"/>
      <c r="F686" s="331"/>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row>
    <row r="687" spans="3:31" s="301" customFormat="1">
      <c r="C687" s="10"/>
      <c r="D687" s="29"/>
      <c r="E687" s="36"/>
      <c r="F687" s="331"/>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row>
    <row r="688" spans="3:31" s="301" customFormat="1">
      <c r="C688" s="10"/>
      <c r="D688" s="29"/>
      <c r="E688" s="36"/>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row>
    <row r="689" spans="3:31" s="301" customFormat="1">
      <c r="C689" s="10"/>
      <c r="D689" s="29"/>
      <c r="E689" s="36"/>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row>
    <row r="690" spans="3:31" s="301" customFormat="1">
      <c r="C690" s="10"/>
      <c r="D690" s="29"/>
      <c r="E690" s="36"/>
      <c r="F690" s="331"/>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row>
    <row r="691" spans="3:31" s="301" customFormat="1">
      <c r="C691" s="10"/>
      <c r="D691" s="29"/>
      <c r="E691" s="36"/>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row>
    <row r="692" spans="3:31" s="301" customFormat="1">
      <c r="C692" s="10"/>
      <c r="D692" s="29"/>
      <c r="E692" s="36"/>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row>
    <row r="693" spans="3:31" s="301" customFormat="1">
      <c r="C693" s="10"/>
      <c r="D693" s="29"/>
      <c r="E693" s="36"/>
      <c r="F693" s="331"/>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row>
    <row r="694" spans="3:31" s="301" customFormat="1">
      <c r="C694" s="10"/>
      <c r="D694" s="29"/>
      <c r="E694" s="36"/>
      <c r="F694" s="331"/>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row>
    <row r="695" spans="3:31" s="301" customFormat="1">
      <c r="C695" s="10"/>
      <c r="D695" s="29"/>
      <c r="E695" s="36"/>
      <c r="F695" s="331"/>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row>
    <row r="696" spans="3:31" s="301" customFormat="1">
      <c r="C696" s="10"/>
      <c r="D696" s="29"/>
      <c r="E696" s="36"/>
      <c r="F696" s="331"/>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row>
    <row r="697" spans="3:31" s="301" customFormat="1">
      <c r="C697" s="10"/>
      <c r="D697" s="29"/>
      <c r="E697" s="36"/>
      <c r="F697" s="331"/>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row>
    <row r="698" spans="3:31" s="301" customFormat="1">
      <c r="C698" s="10"/>
      <c r="D698" s="29"/>
      <c r="E698" s="36"/>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row>
    <row r="699" spans="3:31" s="301" customFormat="1">
      <c r="C699" s="10"/>
      <c r="D699" s="29"/>
      <c r="E699" s="36"/>
      <c r="F699" s="331"/>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row>
    <row r="700" spans="3:31" s="301" customFormat="1">
      <c r="C700" s="10"/>
      <c r="D700" s="29"/>
      <c r="E700" s="36"/>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row>
    <row r="701" spans="3:31" s="301" customFormat="1">
      <c r="C701" s="10"/>
      <c r="D701" s="29"/>
      <c r="E701" s="36"/>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row>
    <row r="702" spans="3:31" s="301" customFormat="1">
      <c r="C702" s="10"/>
      <c r="D702" s="29"/>
      <c r="E702" s="36"/>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row>
    <row r="703" spans="3:31" s="301" customFormat="1">
      <c r="C703" s="10"/>
      <c r="D703" s="29"/>
      <c r="E703" s="36"/>
      <c r="F703" s="331"/>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row>
    <row r="704" spans="3:31" s="301" customFormat="1">
      <c r="C704" s="10"/>
      <c r="D704" s="29"/>
      <c r="E704" s="36"/>
      <c r="F704" s="331"/>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row>
    <row r="705" spans="3:31" s="301" customFormat="1">
      <c r="C705" s="10"/>
      <c r="D705" s="29"/>
      <c r="E705" s="36"/>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row>
    <row r="706" spans="3:31" s="301" customFormat="1">
      <c r="C706" s="10"/>
      <c r="D706" s="29"/>
      <c r="E706" s="36"/>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row>
    <row r="707" spans="3:31" s="301" customFormat="1">
      <c r="C707" s="10"/>
      <c r="D707" s="29"/>
      <c r="E707" s="36"/>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row>
    <row r="708" spans="3:31" s="301" customFormat="1">
      <c r="C708" s="10"/>
      <c r="D708" s="29"/>
      <c r="E708" s="36"/>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row>
    <row r="709" spans="3:31" s="301" customFormat="1">
      <c r="C709" s="10"/>
      <c r="D709" s="29"/>
      <c r="E709" s="36"/>
      <c r="F709" s="331"/>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row>
    <row r="710" spans="3:31" s="301" customFormat="1">
      <c r="C710" s="10"/>
      <c r="D710" s="29"/>
      <c r="E710" s="36"/>
      <c r="F710" s="331"/>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row>
    <row r="711" spans="3:31" s="301" customFormat="1">
      <c r="C711" s="10"/>
      <c r="D711" s="29"/>
      <c r="E711" s="36"/>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row>
    <row r="712" spans="3:31" s="301" customFormat="1">
      <c r="C712" s="10"/>
      <c r="D712" s="29"/>
      <c r="E712" s="36"/>
      <c r="F712" s="331"/>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row>
    <row r="713" spans="3:31" s="301" customFormat="1">
      <c r="C713" s="10"/>
      <c r="D713" s="29"/>
      <c r="E713" s="36"/>
      <c r="F713" s="331"/>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row>
    <row r="714" spans="3:31" s="301" customFormat="1">
      <c r="C714" s="10"/>
      <c r="D714" s="29"/>
      <c r="E714" s="36"/>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row>
    <row r="715" spans="3:31" s="301" customFormat="1">
      <c r="C715" s="10"/>
      <c r="D715" s="29"/>
      <c r="E715" s="36"/>
      <c r="F715" s="331"/>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row>
    <row r="716" spans="3:31" s="301" customFormat="1">
      <c r="C716" s="10"/>
      <c r="D716" s="29"/>
      <c r="E716" s="36"/>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row>
    <row r="717" spans="3:31" s="301" customFormat="1">
      <c r="C717" s="10"/>
      <c r="D717" s="29"/>
      <c r="E717" s="36"/>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row>
    <row r="718" spans="3:31" s="301" customFormat="1">
      <c r="C718" s="10"/>
      <c r="D718" s="29"/>
      <c r="E718" s="36"/>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row>
    <row r="719" spans="3:31" s="301" customFormat="1">
      <c r="C719" s="10"/>
      <c r="D719" s="29"/>
      <c r="E719" s="36"/>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row>
    <row r="720" spans="3:31" s="301" customFormat="1">
      <c r="C720" s="10"/>
      <c r="D720" s="29"/>
      <c r="E720" s="36"/>
      <c r="F720" s="331"/>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row>
    <row r="721" spans="3:31" s="301" customFormat="1">
      <c r="C721" s="10"/>
      <c r="D721" s="29"/>
      <c r="E721" s="36"/>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row>
    <row r="722" spans="3:31" s="301" customFormat="1">
      <c r="C722" s="10"/>
      <c r="D722" s="29"/>
      <c r="E722" s="36"/>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row>
    <row r="723" spans="3:31" s="301" customFormat="1">
      <c r="C723" s="10"/>
      <c r="D723" s="29"/>
      <c r="E723" s="36"/>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row>
    <row r="724" spans="3:31" s="301" customFormat="1">
      <c r="C724" s="10"/>
      <c r="D724" s="29"/>
      <c r="E724" s="36"/>
      <c r="F724" s="331"/>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row>
    <row r="725" spans="3:31" s="301" customFormat="1">
      <c r="C725" s="10"/>
      <c r="D725" s="29"/>
      <c r="E725" s="36"/>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row>
    <row r="726" spans="3:31" s="301" customFormat="1">
      <c r="C726" s="10"/>
      <c r="D726" s="29"/>
      <c r="E726" s="36"/>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row>
    <row r="727" spans="3:31" s="301" customFormat="1">
      <c r="C727" s="10"/>
      <c r="D727" s="29"/>
      <c r="E727" s="36"/>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row>
    <row r="728" spans="3:31" s="301" customFormat="1">
      <c r="C728" s="10"/>
      <c r="D728" s="29"/>
      <c r="E728" s="36"/>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row>
    <row r="729" spans="3:31" s="301" customFormat="1">
      <c r="C729" s="10"/>
      <c r="D729" s="29"/>
      <c r="E729" s="36"/>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row>
    <row r="730" spans="3:31" s="301" customFormat="1">
      <c r="C730" s="10"/>
      <c r="D730" s="29"/>
      <c r="E730" s="36"/>
      <c r="F730" s="331"/>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row>
    <row r="731" spans="3:31" s="301" customFormat="1">
      <c r="C731" s="10"/>
      <c r="D731" s="29"/>
      <c r="E731" s="36"/>
      <c r="F731" s="331"/>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row>
    <row r="732" spans="3:31" s="301" customFormat="1">
      <c r="C732" s="10"/>
      <c r="D732" s="29"/>
      <c r="E732" s="36"/>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row>
    <row r="733" spans="3:31" s="301" customFormat="1">
      <c r="C733" s="10"/>
      <c r="D733" s="29"/>
      <c r="E733" s="36"/>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row>
    <row r="734" spans="3:31" s="301" customFormat="1">
      <c r="C734" s="10"/>
      <c r="D734" s="29"/>
      <c r="E734" s="36"/>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row>
    <row r="735" spans="3:31" s="301" customFormat="1">
      <c r="C735" s="10"/>
      <c r="D735" s="29"/>
      <c r="E735" s="36"/>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row>
    <row r="736" spans="3:31" s="301" customFormat="1">
      <c r="C736" s="10"/>
      <c r="D736" s="29"/>
      <c r="E736" s="36"/>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row>
    <row r="737" spans="3:31" s="301" customFormat="1">
      <c r="C737" s="10"/>
      <c r="D737" s="29"/>
      <c r="E737" s="36"/>
      <c r="F737" s="331"/>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row>
    <row r="738" spans="3:31" s="301" customFormat="1">
      <c r="C738" s="10"/>
      <c r="D738" s="29"/>
      <c r="E738" s="36"/>
      <c r="F738" s="331"/>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row>
    <row r="739" spans="3:31" s="301" customFormat="1">
      <c r="C739" s="10"/>
      <c r="D739" s="29"/>
      <c r="E739" s="36"/>
      <c r="F739" s="331"/>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row>
    <row r="740" spans="3:31" s="301" customFormat="1">
      <c r="C740" s="10"/>
      <c r="D740" s="29"/>
      <c r="E740" s="36"/>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row>
    <row r="741" spans="3:31" s="301" customFormat="1">
      <c r="C741" s="10"/>
      <c r="D741" s="29"/>
      <c r="E741" s="36"/>
      <c r="F741" s="331"/>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row>
    <row r="742" spans="3:31" s="301" customFormat="1">
      <c r="C742" s="10"/>
      <c r="D742" s="29"/>
      <c r="E742" s="36"/>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row>
    <row r="743" spans="3:31" s="301" customFormat="1">
      <c r="C743" s="10"/>
      <c r="D743" s="29"/>
      <c r="E743" s="36"/>
      <c r="F743" s="331"/>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row>
    <row r="744" spans="3:31" s="301" customFormat="1">
      <c r="C744" s="10"/>
      <c r="D744" s="29"/>
      <c r="E744" s="36"/>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row>
    <row r="745" spans="3:31" s="301" customFormat="1">
      <c r="C745" s="10"/>
      <c r="D745" s="29"/>
      <c r="E745" s="36"/>
      <c r="F745" s="331"/>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row>
    <row r="746" spans="3:31" s="301" customFormat="1">
      <c r="C746" s="10"/>
      <c r="D746" s="29"/>
      <c r="E746" s="36"/>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row>
    <row r="747" spans="3:31" s="301" customFormat="1">
      <c r="C747" s="10"/>
      <c r="D747" s="29"/>
      <c r="E747" s="36"/>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row>
    <row r="748" spans="3:31" s="301" customFormat="1">
      <c r="C748" s="10"/>
      <c r="D748" s="29"/>
      <c r="E748" s="36"/>
      <c r="F748" s="331"/>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row>
    <row r="749" spans="3:31" s="301" customFormat="1">
      <c r="C749" s="10"/>
      <c r="D749" s="29"/>
      <c r="E749" s="36"/>
      <c r="F749" s="331"/>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row>
    <row r="750" spans="3:31" s="301" customFormat="1">
      <c r="C750" s="10"/>
      <c r="D750" s="29"/>
      <c r="E750" s="36"/>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row>
    <row r="751" spans="3:31" s="301" customFormat="1">
      <c r="C751" s="10"/>
      <c r="D751" s="29"/>
      <c r="E751" s="36"/>
      <c r="F751" s="331"/>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row>
    <row r="752" spans="3:31" s="301" customFormat="1">
      <c r="C752" s="10"/>
      <c r="D752" s="29"/>
      <c r="E752" s="36"/>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row>
    <row r="753" spans="3:31" s="301" customFormat="1">
      <c r="C753" s="10"/>
      <c r="D753" s="29"/>
      <c r="E753" s="36"/>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row>
    <row r="754" spans="3:31" s="301" customFormat="1">
      <c r="C754" s="10"/>
      <c r="D754" s="29"/>
      <c r="E754" s="36"/>
      <c r="F754" s="331"/>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row>
    <row r="755" spans="3:31" s="301" customFormat="1">
      <c r="C755" s="10"/>
      <c r="D755" s="29"/>
      <c r="E755" s="36"/>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row>
    <row r="756" spans="3:31" s="301" customFormat="1">
      <c r="C756" s="10"/>
      <c r="D756" s="29"/>
      <c r="E756" s="36"/>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row>
    <row r="757" spans="3:31" s="301" customFormat="1">
      <c r="C757" s="10"/>
      <c r="D757" s="29"/>
      <c r="E757" s="36"/>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row>
    <row r="758" spans="3:31" s="301" customFormat="1">
      <c r="C758" s="10"/>
      <c r="D758" s="29"/>
      <c r="E758" s="36"/>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row>
    <row r="759" spans="3:31" s="301" customFormat="1">
      <c r="C759" s="10"/>
      <c r="D759" s="29"/>
      <c r="E759" s="36"/>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row>
    <row r="760" spans="3:31" s="301" customFormat="1">
      <c r="C760" s="10"/>
      <c r="D760" s="29"/>
      <c r="E760" s="36"/>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row>
    <row r="761" spans="3:31" s="301" customFormat="1">
      <c r="C761" s="10"/>
      <c r="D761" s="29"/>
      <c r="E761" s="36"/>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row>
    <row r="762" spans="3:31" s="301" customFormat="1">
      <c r="C762" s="10"/>
      <c r="D762" s="29"/>
      <c r="E762" s="36"/>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row>
    <row r="763" spans="3:31" s="301" customFormat="1">
      <c r="C763" s="10"/>
      <c r="D763" s="29"/>
      <c r="E763" s="36"/>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row>
    <row r="764" spans="3:31" s="301" customFormat="1">
      <c r="C764" s="10"/>
      <c r="D764" s="29"/>
      <c r="E764" s="36"/>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row>
    <row r="765" spans="3:31" s="301" customFormat="1">
      <c r="C765" s="10"/>
      <c r="D765" s="29"/>
      <c r="E765" s="36"/>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row>
    <row r="766" spans="3:31" s="301" customFormat="1">
      <c r="C766" s="10"/>
      <c r="D766" s="29"/>
      <c r="E766" s="36"/>
      <c r="F766" s="331"/>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row>
    <row r="767" spans="3:31" s="301" customFormat="1">
      <c r="C767" s="10"/>
      <c r="D767" s="29"/>
      <c r="E767" s="36"/>
      <c r="F767" s="331"/>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row>
    <row r="768" spans="3:31" s="301" customFormat="1">
      <c r="C768" s="10"/>
      <c r="D768" s="29"/>
      <c r="E768" s="36"/>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row>
    <row r="769" spans="3:31" s="301" customFormat="1">
      <c r="C769" s="10"/>
      <c r="D769" s="29"/>
      <c r="E769" s="36"/>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row>
    <row r="770" spans="3:31" s="301" customFormat="1">
      <c r="C770" s="10"/>
      <c r="D770" s="29"/>
      <c r="E770" s="36"/>
      <c r="F770" s="331"/>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row>
    <row r="771" spans="3:31" s="301" customFormat="1">
      <c r="C771" s="10"/>
      <c r="D771" s="29"/>
      <c r="E771" s="36"/>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row>
    <row r="772" spans="3:31" s="301" customFormat="1">
      <c r="C772" s="10"/>
      <c r="D772" s="29"/>
      <c r="E772" s="36"/>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row>
    <row r="773" spans="3:31" s="301" customFormat="1">
      <c r="C773" s="10"/>
      <c r="D773" s="29"/>
      <c r="E773" s="36"/>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row>
    <row r="774" spans="3:31" s="301" customFormat="1">
      <c r="C774" s="10"/>
      <c r="D774" s="29"/>
      <c r="E774" s="36"/>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row>
    <row r="775" spans="3:31" s="301" customFormat="1">
      <c r="C775" s="10"/>
      <c r="D775" s="29"/>
      <c r="E775" s="36"/>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row>
    <row r="776" spans="3:31" s="301" customFormat="1">
      <c r="C776" s="10"/>
      <c r="D776" s="29"/>
      <c r="E776" s="36"/>
      <c r="F776" s="331"/>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row>
    <row r="777" spans="3:31" s="301" customFormat="1">
      <c r="C777" s="10"/>
      <c r="D777" s="29"/>
      <c r="E777" s="36"/>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row>
    <row r="778" spans="3:31" s="301" customFormat="1">
      <c r="C778" s="10"/>
      <c r="D778" s="29"/>
      <c r="E778" s="36"/>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row>
    <row r="779" spans="3:31" s="301" customFormat="1">
      <c r="C779" s="10"/>
      <c r="D779" s="29"/>
      <c r="E779" s="36"/>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row>
    <row r="780" spans="3:31" s="301" customFormat="1">
      <c r="C780" s="10"/>
      <c r="D780" s="29"/>
      <c r="E780" s="36"/>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row>
    <row r="781" spans="3:31" s="301" customFormat="1">
      <c r="C781" s="10"/>
      <c r="D781" s="29"/>
      <c r="E781" s="36"/>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row>
    <row r="782" spans="3:31" s="301" customFormat="1">
      <c r="C782" s="10"/>
      <c r="D782" s="29"/>
      <c r="E782" s="36"/>
      <c r="F782" s="331"/>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row>
    <row r="783" spans="3:31" s="301" customFormat="1">
      <c r="C783" s="10"/>
      <c r="D783" s="29"/>
      <c r="E783" s="36"/>
      <c r="F783" s="331"/>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row>
    <row r="784" spans="3:31" s="301" customFormat="1">
      <c r="C784" s="10"/>
      <c r="D784" s="29"/>
      <c r="E784" s="36"/>
      <c r="F784" s="331"/>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row>
    <row r="785" spans="3:31" s="301" customFormat="1">
      <c r="C785" s="10"/>
      <c r="D785" s="29"/>
      <c r="E785" s="36"/>
      <c r="F785" s="331"/>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row>
    <row r="786" spans="3:31" s="301" customFormat="1">
      <c r="C786" s="10"/>
      <c r="D786" s="29"/>
      <c r="E786" s="36"/>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row>
    <row r="787" spans="3:31" s="301" customFormat="1">
      <c r="C787" s="10"/>
      <c r="D787" s="29"/>
      <c r="E787" s="36"/>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row>
    <row r="788" spans="3:31" s="301" customFormat="1">
      <c r="C788" s="10"/>
      <c r="D788" s="29"/>
      <c r="E788" s="36"/>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row>
    <row r="789" spans="3:31" s="301" customFormat="1">
      <c r="C789" s="10"/>
      <c r="D789" s="29"/>
      <c r="E789" s="36"/>
      <c r="F789" s="331"/>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row>
    <row r="790" spans="3:31" s="301" customFormat="1">
      <c r="C790" s="10"/>
      <c r="D790" s="29"/>
      <c r="E790" s="36"/>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row>
    <row r="791" spans="3:31" s="301" customFormat="1">
      <c r="C791" s="10"/>
      <c r="D791" s="29"/>
      <c r="E791" s="36"/>
      <c r="F791" s="331"/>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row>
    <row r="792" spans="3:31" s="301" customFormat="1">
      <c r="C792" s="10"/>
      <c r="D792" s="29"/>
      <c r="E792" s="36"/>
      <c r="F792" s="331"/>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row>
    <row r="793" spans="3:31" s="301" customFormat="1">
      <c r="C793" s="10"/>
      <c r="D793" s="29"/>
      <c r="E793" s="36"/>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row>
    <row r="794" spans="3:31" s="301" customFormat="1">
      <c r="C794" s="10"/>
      <c r="D794" s="29"/>
      <c r="E794" s="36"/>
      <c r="F794" s="331"/>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row>
    <row r="795" spans="3:31" s="301" customFormat="1">
      <c r="C795" s="10"/>
      <c r="D795" s="29"/>
      <c r="E795" s="36"/>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row>
    <row r="796" spans="3:31" s="301" customFormat="1">
      <c r="C796" s="10"/>
      <c r="D796" s="29"/>
      <c r="E796" s="36"/>
      <c r="F796" s="331"/>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row>
    <row r="797" spans="3:31" s="301" customFormat="1">
      <c r="C797" s="10"/>
      <c r="D797" s="29"/>
      <c r="E797" s="36"/>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row>
    <row r="798" spans="3:31" s="301" customFormat="1">
      <c r="C798" s="10"/>
      <c r="D798" s="29"/>
      <c r="E798" s="36"/>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row>
    <row r="799" spans="3:31" s="301" customFormat="1">
      <c r="C799" s="10"/>
      <c r="D799" s="29"/>
      <c r="E799" s="36"/>
      <c r="F799" s="331"/>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row>
    <row r="800" spans="3:31" s="301" customFormat="1">
      <c r="C800" s="10"/>
      <c r="D800" s="29"/>
      <c r="E800" s="36"/>
      <c r="F800" s="331"/>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row>
    <row r="801" spans="3:31" s="301" customFormat="1">
      <c r="C801" s="10"/>
      <c r="D801" s="29"/>
      <c r="E801" s="36"/>
      <c r="F801" s="331"/>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row>
    <row r="802" spans="3:31" s="301" customFormat="1">
      <c r="C802" s="10"/>
      <c r="D802" s="29"/>
      <c r="E802" s="36"/>
      <c r="F802" s="331"/>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row>
    <row r="803" spans="3:31" s="301" customFormat="1">
      <c r="C803" s="10"/>
      <c r="D803" s="29"/>
      <c r="E803" s="36"/>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row>
    <row r="804" spans="3:31" s="301" customFormat="1">
      <c r="C804" s="10"/>
      <c r="D804" s="29"/>
      <c r="E804" s="36"/>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row>
    <row r="805" spans="3:31" s="301" customFormat="1">
      <c r="C805" s="10"/>
      <c r="D805" s="29"/>
      <c r="E805" s="36"/>
      <c r="F805" s="331"/>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row>
    <row r="806" spans="3:31" s="301" customFormat="1">
      <c r="C806" s="10"/>
      <c r="D806" s="29"/>
      <c r="E806" s="36"/>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row>
    <row r="807" spans="3:31" s="301" customFormat="1">
      <c r="C807" s="10"/>
      <c r="D807" s="29"/>
      <c r="E807" s="36"/>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row>
    <row r="808" spans="3:31" s="301" customFormat="1">
      <c r="C808" s="10"/>
      <c r="D808" s="29"/>
      <c r="E808" s="36"/>
      <c r="F808" s="331"/>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row>
    <row r="809" spans="3:31" s="301" customFormat="1">
      <c r="C809" s="10"/>
      <c r="D809" s="29"/>
      <c r="E809" s="36"/>
      <c r="F809" s="331"/>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row>
    <row r="810" spans="3:31" s="301" customFormat="1">
      <c r="C810" s="10"/>
      <c r="D810" s="29"/>
      <c r="E810" s="36"/>
      <c r="F810" s="331"/>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row>
    <row r="811" spans="3:31" s="301" customFormat="1">
      <c r="C811" s="10"/>
      <c r="D811" s="29"/>
      <c r="E811" s="36"/>
      <c r="F811" s="331"/>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row>
    <row r="812" spans="3:31" s="301" customFormat="1">
      <c r="C812" s="10"/>
      <c r="D812" s="29"/>
      <c r="E812" s="36"/>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row>
    <row r="813" spans="3:31" s="301" customFormat="1">
      <c r="C813" s="10"/>
      <c r="D813" s="29"/>
      <c r="E813" s="36"/>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row>
    <row r="814" spans="3:31" s="301" customFormat="1">
      <c r="C814" s="10"/>
      <c r="D814" s="29"/>
      <c r="E814" s="36"/>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row>
    <row r="815" spans="3:31" s="301" customFormat="1">
      <c r="C815" s="10"/>
      <c r="D815" s="29"/>
      <c r="E815" s="36"/>
      <c r="F815" s="331"/>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row>
    <row r="816" spans="3:31" s="301" customFormat="1">
      <c r="C816" s="10"/>
      <c r="D816" s="29"/>
      <c r="E816" s="36"/>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row>
    <row r="817" spans="3:31" s="301" customFormat="1">
      <c r="C817" s="10"/>
      <c r="D817" s="29"/>
      <c r="E817" s="36"/>
      <c r="F817" s="331"/>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row>
    <row r="818" spans="3:31" s="301" customFormat="1">
      <c r="C818" s="10"/>
      <c r="D818" s="29"/>
      <c r="E818" s="36"/>
      <c r="F818" s="331"/>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row>
    <row r="819" spans="3:31" s="301" customFormat="1">
      <c r="C819" s="10"/>
      <c r="D819" s="29"/>
      <c r="E819" s="36"/>
      <c r="F819" s="331"/>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row>
    <row r="820" spans="3:31" s="301" customFormat="1">
      <c r="C820" s="10"/>
      <c r="D820" s="29"/>
      <c r="E820" s="36"/>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row>
    <row r="821" spans="3:31" s="301" customFormat="1">
      <c r="C821" s="10"/>
      <c r="D821" s="29"/>
      <c r="E821" s="36"/>
      <c r="F821" s="331"/>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row>
    <row r="822" spans="3:31" s="301" customFormat="1">
      <c r="C822" s="10"/>
      <c r="D822" s="29"/>
      <c r="E822" s="36"/>
      <c r="F822" s="331"/>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row>
    <row r="823" spans="3:31" s="301" customFormat="1">
      <c r="C823" s="10"/>
      <c r="D823" s="29"/>
      <c r="E823" s="36"/>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row>
    <row r="824" spans="3:31" s="301" customFormat="1">
      <c r="C824" s="10"/>
      <c r="D824" s="29"/>
      <c r="E824" s="36"/>
      <c r="F824" s="331"/>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row>
    <row r="825" spans="3:31" s="301" customFormat="1">
      <c r="C825" s="10"/>
      <c r="D825" s="29"/>
      <c r="E825" s="36"/>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row>
    <row r="826" spans="3:31" s="301" customFormat="1">
      <c r="C826" s="10"/>
      <c r="D826" s="29"/>
      <c r="E826" s="36"/>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row>
    <row r="827" spans="3:31" s="301" customFormat="1">
      <c r="C827" s="10"/>
      <c r="D827" s="29"/>
      <c r="E827" s="36"/>
      <c r="F827" s="331"/>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row>
    <row r="828" spans="3:31" s="301" customFormat="1">
      <c r="C828" s="10"/>
      <c r="D828" s="29"/>
      <c r="E828" s="36"/>
      <c r="F828" s="331"/>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row>
    <row r="829" spans="3:31" s="301" customFormat="1">
      <c r="C829" s="10"/>
      <c r="D829" s="29"/>
      <c r="E829" s="36"/>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row>
    <row r="830" spans="3:31" s="301" customFormat="1">
      <c r="C830" s="10"/>
      <c r="D830" s="29"/>
      <c r="E830" s="36"/>
      <c r="F830" s="331"/>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row>
    <row r="831" spans="3:31" s="301" customFormat="1">
      <c r="C831" s="10"/>
      <c r="D831" s="29"/>
      <c r="E831" s="36"/>
      <c r="F831" s="331"/>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row>
    <row r="832" spans="3:31" s="301" customFormat="1">
      <c r="C832" s="10"/>
      <c r="D832" s="29"/>
      <c r="E832" s="36"/>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row>
    <row r="833" spans="3:31" s="301" customFormat="1">
      <c r="C833" s="10"/>
      <c r="D833" s="29"/>
      <c r="E833" s="36"/>
      <c r="F833" s="331"/>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row>
    <row r="834" spans="3:31" s="301" customFormat="1">
      <c r="C834" s="10"/>
      <c r="D834" s="29"/>
      <c r="E834" s="36"/>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row>
    <row r="835" spans="3:31" s="301" customFormat="1">
      <c r="C835" s="10"/>
      <c r="D835" s="29"/>
      <c r="E835" s="36"/>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row>
    <row r="836" spans="3:31" s="301" customFormat="1">
      <c r="C836" s="10"/>
      <c r="D836" s="29"/>
      <c r="E836" s="36"/>
      <c r="F836" s="331"/>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row>
    <row r="837" spans="3:31" s="301" customFormat="1">
      <c r="C837" s="10"/>
      <c r="D837" s="29"/>
      <c r="E837" s="36"/>
      <c r="F837" s="331"/>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row>
    <row r="838" spans="3:31" s="301" customFormat="1">
      <c r="C838" s="10"/>
      <c r="D838" s="29"/>
      <c r="E838" s="36"/>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row>
    <row r="839" spans="3:31" s="301" customFormat="1">
      <c r="C839" s="10"/>
      <c r="D839" s="29"/>
      <c r="E839" s="36"/>
      <c r="F839" s="331"/>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row>
    <row r="840" spans="3:31" s="301" customFormat="1">
      <c r="C840" s="10"/>
      <c r="D840" s="29"/>
      <c r="E840" s="36"/>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row>
    <row r="841" spans="3:31" s="301" customFormat="1">
      <c r="C841" s="10"/>
      <c r="D841" s="29"/>
      <c r="E841" s="36"/>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row>
    <row r="842" spans="3:31" s="301" customFormat="1">
      <c r="C842" s="10"/>
      <c r="D842" s="29"/>
      <c r="E842" s="36"/>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row>
    <row r="843" spans="3:31" s="301" customFormat="1">
      <c r="C843" s="10"/>
      <c r="D843" s="29"/>
      <c r="E843" s="36"/>
      <c r="F843" s="331"/>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row>
    <row r="844" spans="3:31" s="301" customFormat="1">
      <c r="C844" s="10"/>
      <c r="D844" s="29"/>
      <c r="E844" s="36"/>
      <c r="F844" s="331"/>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row>
    <row r="845" spans="3:31" s="301" customFormat="1">
      <c r="C845" s="10"/>
      <c r="D845" s="29"/>
      <c r="E845" s="36"/>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row>
    <row r="846" spans="3:31" s="301" customFormat="1">
      <c r="C846" s="10"/>
      <c r="D846" s="29"/>
      <c r="E846" s="36"/>
      <c r="F846" s="331"/>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row>
    <row r="847" spans="3:31" s="301" customFormat="1">
      <c r="C847" s="10"/>
      <c r="D847" s="29"/>
      <c r="E847" s="36"/>
      <c r="F847" s="331"/>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row>
    <row r="848" spans="3:31" s="301" customFormat="1">
      <c r="C848" s="10"/>
      <c r="D848" s="29"/>
      <c r="E848" s="36"/>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row>
    <row r="849" spans="3:31" s="301" customFormat="1">
      <c r="C849" s="10"/>
      <c r="D849" s="29"/>
      <c r="E849" s="36"/>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row>
    <row r="850" spans="3:31" s="301" customFormat="1">
      <c r="C850" s="10"/>
      <c r="D850" s="29"/>
      <c r="E850" s="36"/>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row>
    <row r="851" spans="3:31" s="301" customFormat="1">
      <c r="C851" s="10"/>
      <c r="D851" s="29"/>
      <c r="E851" s="36"/>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row>
    <row r="852" spans="3:31" s="301" customFormat="1">
      <c r="C852" s="10"/>
      <c r="D852" s="29"/>
      <c r="E852" s="36"/>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row>
    <row r="853" spans="3:31" s="301" customFormat="1">
      <c r="C853" s="10"/>
      <c r="D853" s="29"/>
      <c r="E853" s="36"/>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row>
    <row r="854" spans="3:31" s="301" customFormat="1">
      <c r="C854" s="10"/>
      <c r="D854" s="29"/>
      <c r="E854" s="36"/>
      <c r="F854" s="331"/>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row>
    <row r="855" spans="3:31" s="301" customFormat="1">
      <c r="C855" s="10"/>
      <c r="D855" s="29"/>
      <c r="E855" s="36"/>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row>
    <row r="856" spans="3:31" s="301" customFormat="1">
      <c r="C856" s="10"/>
      <c r="D856" s="29"/>
      <c r="E856" s="36"/>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row>
    <row r="857" spans="3:31" s="301" customFormat="1">
      <c r="C857" s="10"/>
      <c r="D857" s="29"/>
      <c r="E857" s="36"/>
      <c r="F857" s="331"/>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row>
    <row r="858" spans="3:31" s="301" customFormat="1">
      <c r="C858" s="10"/>
      <c r="D858" s="29"/>
      <c r="E858" s="36"/>
      <c r="F858" s="331"/>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row>
    <row r="859" spans="3:31" s="301" customFormat="1">
      <c r="C859" s="10"/>
      <c r="D859" s="29"/>
      <c r="E859" s="36"/>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row>
    <row r="860" spans="3:31" s="301" customFormat="1">
      <c r="C860" s="10"/>
      <c r="D860" s="29"/>
      <c r="E860" s="36"/>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row>
    <row r="861" spans="3:31" s="301" customFormat="1">
      <c r="C861" s="10"/>
      <c r="D861" s="29"/>
      <c r="E861" s="36"/>
      <c r="F861" s="331"/>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row>
    <row r="862" spans="3:31" s="301" customFormat="1">
      <c r="C862" s="10"/>
      <c r="D862" s="29"/>
      <c r="E862" s="36"/>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row>
    <row r="863" spans="3:31" s="301" customFormat="1">
      <c r="C863" s="10"/>
      <c r="D863" s="29"/>
      <c r="E863" s="36"/>
      <c r="F863" s="331"/>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row>
    <row r="864" spans="3:31" s="301" customFormat="1">
      <c r="C864" s="10"/>
      <c r="D864" s="29"/>
      <c r="E864" s="36"/>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row>
    <row r="865" spans="3:31" s="301" customFormat="1">
      <c r="C865" s="10"/>
      <c r="D865" s="29"/>
      <c r="E865" s="36"/>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row>
    <row r="866" spans="3:31" s="301" customFormat="1">
      <c r="C866" s="10"/>
      <c r="D866" s="29"/>
      <c r="E866" s="36"/>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row>
    <row r="867" spans="3:31" s="301" customFormat="1">
      <c r="C867" s="10"/>
      <c r="D867" s="29"/>
      <c r="E867" s="36"/>
      <c r="F867" s="331"/>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row>
    <row r="868" spans="3:31" s="301" customFormat="1">
      <c r="C868" s="10"/>
      <c r="D868" s="29"/>
      <c r="E868" s="36"/>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row>
    <row r="869" spans="3:31" s="301" customFormat="1">
      <c r="C869" s="10"/>
      <c r="D869" s="29"/>
      <c r="E869" s="36"/>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row>
    <row r="870" spans="3:31" s="301" customFormat="1">
      <c r="C870" s="10"/>
      <c r="D870" s="29"/>
      <c r="E870" s="36"/>
      <c r="F870" s="331"/>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row>
    <row r="871" spans="3:31" s="301" customFormat="1">
      <c r="C871" s="10"/>
      <c r="D871" s="29"/>
      <c r="E871" s="36"/>
      <c r="F871" s="331"/>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row>
    <row r="872" spans="3:31" s="301" customFormat="1">
      <c r="C872" s="10"/>
      <c r="D872" s="29"/>
      <c r="E872" s="36"/>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row>
    <row r="873" spans="3:31" s="301" customFormat="1">
      <c r="C873" s="10"/>
      <c r="D873" s="29"/>
      <c r="E873" s="36"/>
      <c r="F873" s="331"/>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row>
    <row r="874" spans="3:31" s="301" customFormat="1">
      <c r="C874" s="10"/>
      <c r="D874" s="29"/>
      <c r="E874" s="36"/>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row>
    <row r="875" spans="3:31" s="301" customFormat="1">
      <c r="C875" s="10"/>
      <c r="D875" s="29"/>
      <c r="E875" s="36"/>
      <c r="F875" s="331"/>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row>
    <row r="876" spans="3:31" s="301" customFormat="1">
      <c r="C876" s="10"/>
      <c r="D876" s="29"/>
      <c r="E876" s="36"/>
      <c r="F876" s="331"/>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row>
    <row r="877" spans="3:31" s="301" customFormat="1">
      <c r="C877" s="10"/>
      <c r="D877" s="29"/>
      <c r="E877" s="36"/>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row>
    <row r="878" spans="3:31" s="301" customFormat="1">
      <c r="C878" s="10"/>
      <c r="D878" s="29"/>
      <c r="E878" s="36"/>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row>
    <row r="879" spans="3:31" s="301" customFormat="1">
      <c r="C879" s="10"/>
      <c r="D879" s="29"/>
      <c r="E879" s="36"/>
      <c r="F879" s="331"/>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row>
    <row r="880" spans="3:31" s="301" customFormat="1">
      <c r="C880" s="10"/>
      <c r="D880" s="29"/>
      <c r="E880" s="36"/>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row>
    <row r="881" spans="3:31" s="301" customFormat="1">
      <c r="C881" s="10"/>
      <c r="D881" s="29"/>
      <c r="E881" s="36"/>
      <c r="F881" s="331"/>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row>
    <row r="882" spans="3:31" s="301" customFormat="1">
      <c r="C882" s="10"/>
      <c r="D882" s="29"/>
      <c r="E882" s="36"/>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row>
    <row r="883" spans="3:31" s="301" customFormat="1">
      <c r="C883" s="10"/>
      <c r="D883" s="29"/>
      <c r="E883" s="36"/>
      <c r="F883" s="331"/>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row>
    <row r="884" spans="3:31" s="301" customFormat="1">
      <c r="C884" s="10"/>
      <c r="D884" s="29"/>
      <c r="E884" s="36"/>
      <c r="F884" s="331"/>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row>
    <row r="885" spans="3:31" s="301" customFormat="1">
      <c r="C885" s="10"/>
      <c r="D885" s="29"/>
      <c r="E885" s="36"/>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row>
    <row r="886" spans="3:31" s="301" customFormat="1">
      <c r="C886" s="10"/>
      <c r="D886" s="29"/>
      <c r="E886" s="36"/>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row>
    <row r="887" spans="3:31" s="301" customFormat="1">
      <c r="C887" s="10"/>
      <c r="D887" s="29"/>
      <c r="E887" s="36"/>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row>
    <row r="888" spans="3:31" s="301" customFormat="1">
      <c r="C888" s="10"/>
      <c r="D888" s="29"/>
      <c r="E888" s="36"/>
      <c r="F888" s="331"/>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row>
    <row r="889" spans="3:31" s="301" customFormat="1">
      <c r="C889" s="10"/>
      <c r="D889" s="29"/>
      <c r="E889" s="36"/>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row>
    <row r="890" spans="3:31" s="301" customFormat="1">
      <c r="C890" s="10"/>
      <c r="D890" s="29"/>
      <c r="E890" s="36"/>
      <c r="F890" s="331"/>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row>
    <row r="891" spans="3:31" s="301" customFormat="1">
      <c r="C891" s="10"/>
      <c r="D891" s="29"/>
      <c r="E891" s="36"/>
      <c r="F891" s="331"/>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row>
    <row r="892" spans="3:31" s="301" customFormat="1">
      <c r="C892" s="10"/>
      <c r="D892" s="29"/>
      <c r="E892" s="36"/>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row>
    <row r="893" spans="3:31" s="301" customFormat="1">
      <c r="C893" s="10"/>
      <c r="D893" s="29"/>
      <c r="E893" s="36"/>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row>
    <row r="894" spans="3:31" s="301" customFormat="1">
      <c r="C894" s="10"/>
      <c r="D894" s="29"/>
      <c r="E894" s="36"/>
      <c r="F894" s="331"/>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row>
    <row r="895" spans="3:31" s="301" customFormat="1">
      <c r="C895" s="10"/>
      <c r="D895" s="29"/>
      <c r="E895" s="36"/>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row>
    <row r="896" spans="3:31" s="301" customFormat="1">
      <c r="C896" s="10"/>
      <c r="D896" s="29"/>
      <c r="E896" s="36"/>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row>
    <row r="897" spans="3:31" s="301" customFormat="1">
      <c r="C897" s="10"/>
      <c r="D897" s="29"/>
      <c r="E897" s="36"/>
      <c r="F897" s="331"/>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row>
    <row r="898" spans="3:31" s="301" customFormat="1">
      <c r="C898" s="10"/>
      <c r="D898" s="29"/>
      <c r="E898" s="36"/>
      <c r="F898" s="331"/>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row>
    <row r="899" spans="3:31" s="301" customFormat="1">
      <c r="C899" s="10"/>
      <c r="D899" s="29"/>
      <c r="E899" s="36"/>
      <c r="F899" s="331"/>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row>
    <row r="900" spans="3:31" s="301" customFormat="1">
      <c r="C900" s="10"/>
      <c r="D900" s="29"/>
      <c r="E900" s="36"/>
      <c r="F900" s="331"/>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row>
    <row r="901" spans="3:31" s="301" customFormat="1">
      <c r="C901" s="10"/>
      <c r="D901" s="29"/>
      <c r="E901" s="36"/>
      <c r="F901" s="331"/>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row>
    <row r="902" spans="3:31" s="301" customFormat="1">
      <c r="C902" s="10"/>
      <c r="D902" s="29"/>
      <c r="E902" s="36"/>
      <c r="F902" s="331"/>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row>
    <row r="903" spans="3:31" s="301" customFormat="1">
      <c r="C903" s="10"/>
      <c r="D903" s="29"/>
      <c r="E903" s="36"/>
      <c r="F903" s="331"/>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row>
    <row r="904" spans="3:31" s="301" customFormat="1">
      <c r="C904" s="10"/>
      <c r="D904" s="29"/>
      <c r="E904" s="36"/>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row>
    <row r="905" spans="3:31" s="301" customFormat="1">
      <c r="C905" s="10"/>
      <c r="D905" s="29"/>
      <c r="E905" s="36"/>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row>
    <row r="906" spans="3:31" s="301" customFormat="1">
      <c r="C906" s="10"/>
      <c r="D906" s="29"/>
      <c r="E906" s="36"/>
      <c r="F906" s="331"/>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row>
    <row r="907" spans="3:31" s="301" customFormat="1">
      <c r="C907" s="10"/>
      <c r="D907" s="29"/>
      <c r="E907" s="36"/>
      <c r="F907" s="331"/>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row>
    <row r="908" spans="3:31" s="301" customFormat="1">
      <c r="C908" s="10"/>
      <c r="D908" s="29"/>
      <c r="E908" s="36"/>
      <c r="F908" s="331"/>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row>
    <row r="909" spans="3:31" s="301" customFormat="1">
      <c r="C909" s="10"/>
      <c r="D909" s="29"/>
      <c r="E909" s="36"/>
      <c r="F909" s="331"/>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row>
    <row r="910" spans="3:31" s="301" customFormat="1">
      <c r="C910" s="10"/>
      <c r="D910" s="29"/>
      <c r="E910" s="36"/>
      <c r="F910" s="331"/>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row>
    <row r="911" spans="3:31" s="301" customFormat="1">
      <c r="C911" s="10"/>
      <c r="D911" s="29"/>
      <c r="E911" s="36"/>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row>
    <row r="912" spans="3:31" s="301" customFormat="1">
      <c r="C912" s="10"/>
      <c r="D912" s="29"/>
      <c r="E912" s="36"/>
      <c r="F912" s="331"/>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row>
    <row r="913" spans="3:31" s="301" customFormat="1">
      <c r="C913" s="10"/>
      <c r="D913" s="29"/>
      <c r="E913" s="36"/>
      <c r="F913" s="331"/>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row>
    <row r="914" spans="3:31" s="301" customFormat="1">
      <c r="C914" s="10"/>
      <c r="D914" s="29"/>
      <c r="E914" s="36"/>
      <c r="F914" s="331"/>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row>
    <row r="915" spans="3:31" s="301" customFormat="1">
      <c r="C915" s="10"/>
      <c r="D915" s="29"/>
      <c r="E915" s="36"/>
      <c r="F915" s="331"/>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row>
    <row r="916" spans="3:31" s="301" customFormat="1">
      <c r="C916" s="10"/>
      <c r="D916" s="29"/>
      <c r="E916" s="36"/>
      <c r="F916" s="331"/>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row>
    <row r="917" spans="3:31" s="301" customFormat="1">
      <c r="C917" s="10"/>
      <c r="D917" s="29"/>
      <c r="E917" s="36"/>
      <c r="F917" s="331"/>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row>
    <row r="918" spans="3:31" s="301" customFormat="1">
      <c r="C918" s="10"/>
      <c r="D918" s="29"/>
      <c r="E918" s="36"/>
      <c r="F918" s="331"/>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row>
    <row r="919" spans="3:31" s="301" customFormat="1">
      <c r="C919" s="10"/>
      <c r="D919" s="29"/>
      <c r="E919" s="36"/>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row>
    <row r="920" spans="3:31" s="301" customFormat="1">
      <c r="C920" s="10"/>
      <c r="D920" s="29"/>
      <c r="E920" s="36"/>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row>
    <row r="921" spans="3:31" s="301" customFormat="1">
      <c r="C921" s="10"/>
      <c r="D921" s="29"/>
      <c r="E921" s="36"/>
      <c r="F921" s="331"/>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row>
    <row r="922" spans="3:31" s="301" customFormat="1">
      <c r="C922" s="10"/>
      <c r="D922" s="29"/>
      <c r="E922" s="36"/>
      <c r="F922" s="331"/>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row>
    <row r="923" spans="3:31" s="301" customFormat="1">
      <c r="C923" s="10"/>
      <c r="D923" s="29"/>
      <c r="E923" s="36"/>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row>
    <row r="924" spans="3:31" s="301" customFormat="1">
      <c r="C924" s="10"/>
      <c r="D924" s="29"/>
      <c r="E924" s="36"/>
      <c r="F924" s="331"/>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row>
    <row r="925" spans="3:31" s="301" customFormat="1">
      <c r="C925" s="10"/>
      <c r="D925" s="29"/>
      <c r="E925" s="36"/>
      <c r="F925" s="331"/>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row>
    <row r="926" spans="3:31" s="301" customFormat="1">
      <c r="C926" s="10"/>
      <c r="D926" s="29"/>
      <c r="E926" s="36"/>
      <c r="F926" s="331"/>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row>
    <row r="927" spans="3:31" s="301" customFormat="1">
      <c r="C927" s="10"/>
      <c r="D927" s="29"/>
      <c r="E927" s="36"/>
      <c r="F927" s="331"/>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row>
    <row r="928" spans="3:31" s="301" customFormat="1">
      <c r="C928" s="10"/>
      <c r="D928" s="29"/>
      <c r="E928" s="36"/>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row>
    <row r="929" spans="3:31" s="301" customFormat="1">
      <c r="C929" s="10"/>
      <c r="D929" s="29"/>
      <c r="E929" s="36"/>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row>
    <row r="930" spans="3:31" s="301" customFormat="1">
      <c r="C930" s="10"/>
      <c r="D930" s="29"/>
      <c r="E930" s="36"/>
      <c r="F930" s="331"/>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row>
    <row r="931" spans="3:31" s="301" customFormat="1">
      <c r="C931" s="10"/>
      <c r="D931" s="29"/>
      <c r="E931" s="36"/>
      <c r="F931" s="331"/>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row>
    <row r="932" spans="3:31" s="301" customFormat="1">
      <c r="C932" s="10"/>
      <c r="D932" s="29"/>
      <c r="E932" s="36"/>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row>
    <row r="933" spans="3:31" s="301" customFormat="1">
      <c r="C933" s="10"/>
      <c r="D933" s="29"/>
      <c r="E933" s="36"/>
      <c r="F933" s="331"/>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row>
    <row r="934" spans="3:31" s="301" customFormat="1">
      <c r="C934" s="10"/>
      <c r="D934" s="29"/>
      <c r="E934" s="36"/>
      <c r="F934" s="331"/>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row>
    <row r="935" spans="3:31" s="301" customFormat="1">
      <c r="C935" s="10"/>
      <c r="D935" s="29"/>
      <c r="E935" s="36"/>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row>
    <row r="936" spans="3:31" s="301" customFormat="1">
      <c r="C936" s="10"/>
      <c r="D936" s="29"/>
      <c r="E936" s="36"/>
      <c r="F936" s="331"/>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row>
    <row r="937" spans="3:31" s="301" customFormat="1">
      <c r="C937" s="10"/>
      <c r="D937" s="29"/>
      <c r="E937" s="36"/>
      <c r="F937" s="331"/>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row>
    <row r="938" spans="3:31" s="301" customFormat="1">
      <c r="C938" s="10"/>
      <c r="D938" s="29"/>
      <c r="E938" s="36"/>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row>
    <row r="939" spans="3:31" s="301" customFormat="1">
      <c r="C939" s="10"/>
      <c r="D939" s="29"/>
      <c r="E939" s="36"/>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row>
    <row r="940" spans="3:31" s="301" customFormat="1">
      <c r="C940" s="10"/>
      <c r="D940" s="29"/>
      <c r="E940" s="36"/>
      <c r="F940" s="331"/>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row>
    <row r="941" spans="3:31" s="301" customFormat="1">
      <c r="C941" s="10"/>
      <c r="D941" s="29"/>
      <c r="E941" s="36"/>
      <c r="F941" s="331"/>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row>
    <row r="942" spans="3:31" s="301" customFormat="1">
      <c r="C942" s="10"/>
      <c r="D942" s="29"/>
      <c r="E942" s="36"/>
      <c r="F942" s="331"/>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row>
    <row r="943" spans="3:31" s="301" customFormat="1">
      <c r="C943" s="10"/>
      <c r="D943" s="29"/>
      <c r="E943" s="36"/>
      <c r="F943" s="331"/>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row>
    <row r="944" spans="3:31" s="301" customFormat="1">
      <c r="C944" s="10"/>
      <c r="D944" s="29"/>
      <c r="E944" s="36"/>
      <c r="F944" s="331"/>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row>
    <row r="945" spans="3:31" s="301" customFormat="1">
      <c r="C945" s="10"/>
      <c r="D945" s="29"/>
      <c r="E945" s="36"/>
      <c r="F945" s="331"/>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row>
    <row r="946" spans="3:31" s="301" customFormat="1">
      <c r="C946" s="10"/>
      <c r="D946" s="29"/>
      <c r="E946" s="36"/>
      <c r="F946" s="331"/>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row>
    <row r="947" spans="3:31" s="301" customFormat="1">
      <c r="C947" s="10"/>
      <c r="D947" s="29"/>
      <c r="E947" s="36"/>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row>
    <row r="948" spans="3:31" s="301" customFormat="1">
      <c r="C948" s="10"/>
      <c r="D948" s="29"/>
      <c r="E948" s="36"/>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row>
    <row r="949" spans="3:31" s="301" customFormat="1">
      <c r="C949" s="10"/>
      <c r="D949" s="29"/>
      <c r="E949" s="36"/>
      <c r="F949" s="331"/>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row>
    <row r="950" spans="3:31" s="301" customFormat="1">
      <c r="C950" s="10"/>
      <c r="D950" s="29"/>
      <c r="E950" s="36"/>
      <c r="F950" s="331"/>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row>
    <row r="951" spans="3:31" s="301" customFormat="1">
      <c r="C951" s="10"/>
      <c r="D951" s="29"/>
      <c r="E951" s="36"/>
      <c r="F951" s="331"/>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row>
    <row r="952" spans="3:31" s="301" customFormat="1">
      <c r="C952" s="10"/>
      <c r="D952" s="29"/>
      <c r="E952" s="36"/>
      <c r="F952" s="331"/>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row>
    <row r="953" spans="3:31" s="301" customFormat="1">
      <c r="C953" s="10"/>
      <c r="D953" s="29"/>
      <c r="E953" s="36"/>
      <c r="F953" s="331"/>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row>
    <row r="954" spans="3:31" s="301" customFormat="1">
      <c r="C954" s="10"/>
      <c r="D954" s="29"/>
      <c r="E954" s="36"/>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row>
    <row r="955" spans="3:31" s="301" customFormat="1">
      <c r="C955" s="10"/>
      <c r="D955" s="29"/>
      <c r="E955" s="36"/>
      <c r="F955" s="331"/>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row>
    <row r="956" spans="3:31" s="301" customFormat="1">
      <c r="C956" s="10"/>
      <c r="D956" s="29"/>
      <c r="E956" s="36"/>
      <c r="F956" s="331"/>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row>
    <row r="957" spans="3:31" s="301" customFormat="1">
      <c r="C957" s="10"/>
      <c r="D957" s="29"/>
      <c r="E957" s="36"/>
      <c r="F957" s="331"/>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row>
    <row r="958" spans="3:31" s="301" customFormat="1">
      <c r="C958" s="10"/>
      <c r="D958" s="29"/>
      <c r="E958" s="36"/>
      <c r="F958" s="331"/>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row>
    <row r="959" spans="3:31" s="301" customFormat="1">
      <c r="C959" s="10"/>
      <c r="D959" s="29"/>
      <c r="E959" s="36"/>
      <c r="F959" s="331"/>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row>
    <row r="960" spans="3:31" s="301" customFormat="1">
      <c r="C960" s="10"/>
      <c r="D960" s="29"/>
      <c r="E960" s="36"/>
      <c r="F960" s="331"/>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row>
    <row r="961" spans="3:31" s="301" customFormat="1">
      <c r="C961" s="10"/>
      <c r="D961" s="29"/>
      <c r="E961" s="36"/>
      <c r="F961" s="331"/>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row>
    <row r="962" spans="3:31" s="301" customFormat="1">
      <c r="C962" s="10"/>
      <c r="D962" s="29"/>
      <c r="E962" s="36"/>
      <c r="F962" s="331"/>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row>
    <row r="963" spans="3:31" s="301" customFormat="1">
      <c r="C963" s="10"/>
      <c r="D963" s="29"/>
      <c r="E963" s="36"/>
      <c r="F963" s="331"/>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row>
    <row r="964" spans="3:31" s="301" customFormat="1">
      <c r="C964" s="10"/>
      <c r="D964" s="29"/>
      <c r="E964" s="36"/>
      <c r="F964" s="331"/>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row>
    <row r="965" spans="3:31" s="301" customFormat="1">
      <c r="C965" s="10"/>
      <c r="D965" s="29"/>
      <c r="E965" s="36"/>
      <c r="F965" s="331"/>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row>
    <row r="966" spans="3:31" s="301" customFormat="1">
      <c r="C966" s="10"/>
      <c r="D966" s="29"/>
      <c r="E966" s="36"/>
      <c r="F966" s="331"/>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row>
    <row r="967" spans="3:31" s="301" customFormat="1">
      <c r="C967" s="10"/>
      <c r="D967" s="29"/>
      <c r="E967" s="36"/>
      <c r="F967" s="331"/>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row>
    <row r="968" spans="3:31" s="301" customFormat="1">
      <c r="C968" s="10"/>
      <c r="D968" s="29"/>
      <c r="E968" s="36"/>
      <c r="F968" s="331"/>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row>
    <row r="969" spans="3:31" s="301" customFormat="1">
      <c r="C969" s="10"/>
      <c r="D969" s="29"/>
      <c r="E969" s="36"/>
      <c r="F969" s="331"/>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row>
    <row r="970" spans="3:31" s="301" customFormat="1">
      <c r="C970" s="10"/>
      <c r="D970" s="29"/>
      <c r="E970" s="36"/>
      <c r="F970" s="331"/>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row>
    <row r="971" spans="3:31" s="301" customFormat="1">
      <c r="C971" s="10"/>
      <c r="D971" s="29"/>
      <c r="E971" s="36"/>
      <c r="F971" s="331"/>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row>
    <row r="972" spans="3:31" s="301" customFormat="1">
      <c r="C972" s="10"/>
      <c r="D972" s="29"/>
      <c r="E972" s="36"/>
      <c r="F972" s="331"/>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row>
    <row r="973" spans="3:31" s="301" customFormat="1">
      <c r="C973" s="10"/>
      <c r="D973" s="29"/>
      <c r="E973" s="36"/>
      <c r="F973" s="331"/>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row>
    <row r="974" spans="3:31" s="301" customFormat="1">
      <c r="C974" s="10"/>
      <c r="D974" s="29"/>
      <c r="E974" s="36"/>
      <c r="F974" s="331"/>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row>
    <row r="975" spans="3:31" s="301" customFormat="1">
      <c r="C975" s="10"/>
      <c r="D975" s="29"/>
      <c r="E975" s="36"/>
      <c r="F975" s="331"/>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row>
    <row r="976" spans="3:31" s="301" customFormat="1">
      <c r="C976" s="10"/>
      <c r="D976" s="29"/>
      <c r="E976" s="36"/>
      <c r="F976" s="331"/>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row>
    <row r="977" spans="3:31" s="301" customFormat="1">
      <c r="C977" s="10"/>
      <c r="D977" s="29"/>
      <c r="E977" s="36"/>
      <c r="F977" s="331"/>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row>
    <row r="978" spans="3:31" s="301" customFormat="1">
      <c r="C978" s="10"/>
      <c r="D978" s="29"/>
      <c r="E978" s="36"/>
      <c r="F978" s="331"/>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row>
    <row r="979" spans="3:31" s="301" customFormat="1">
      <c r="C979" s="10"/>
      <c r="D979" s="29"/>
      <c r="E979" s="36"/>
      <c r="F979" s="331"/>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row>
    <row r="980" spans="3:31" s="301" customFormat="1">
      <c r="C980" s="10"/>
      <c r="D980" s="29"/>
      <c r="E980" s="36"/>
      <c r="F980" s="331"/>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row>
    <row r="981" spans="3:31" s="301" customFormat="1">
      <c r="C981" s="10"/>
      <c r="D981" s="29"/>
      <c r="E981" s="36"/>
      <c r="F981" s="331"/>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row>
    <row r="982" spans="3:31" s="301" customFormat="1">
      <c r="C982" s="10"/>
      <c r="D982" s="29"/>
      <c r="E982" s="36"/>
      <c r="F982" s="331"/>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row>
    <row r="983" spans="3:31" s="301" customFormat="1">
      <c r="C983" s="10"/>
      <c r="D983" s="29"/>
      <c r="E983" s="36"/>
      <c r="F983" s="331"/>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row>
    <row r="984" spans="3:31" s="301" customFormat="1">
      <c r="C984" s="10"/>
      <c r="D984" s="29"/>
      <c r="E984" s="36"/>
      <c r="F984" s="331"/>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row>
    <row r="985" spans="3:31" s="301" customFormat="1">
      <c r="C985" s="10"/>
      <c r="D985" s="29"/>
      <c r="E985" s="36"/>
      <c r="F985" s="331"/>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row>
    <row r="986" spans="3:31" s="301" customFormat="1">
      <c r="C986" s="10"/>
      <c r="D986" s="29"/>
      <c r="E986" s="36"/>
      <c r="F986" s="331"/>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row>
    <row r="987" spans="3:31" s="301" customFormat="1">
      <c r="C987" s="10"/>
      <c r="D987" s="29"/>
      <c r="E987" s="36"/>
      <c r="F987" s="331"/>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row>
    <row r="988" spans="3:31" s="301" customFormat="1">
      <c r="C988" s="10"/>
      <c r="D988" s="29"/>
      <c r="E988" s="36"/>
      <c r="F988" s="331"/>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row>
    <row r="989" spans="3:31" s="301" customFormat="1">
      <c r="C989" s="10"/>
      <c r="D989" s="29"/>
      <c r="E989" s="36"/>
      <c r="F989" s="331"/>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row>
    <row r="990" spans="3:31" s="301" customFormat="1">
      <c r="C990" s="10"/>
      <c r="D990" s="29"/>
      <c r="E990" s="36"/>
      <c r="F990" s="331"/>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row>
    <row r="991" spans="3:31" s="301" customFormat="1">
      <c r="C991" s="10"/>
      <c r="D991" s="29"/>
      <c r="E991" s="36"/>
      <c r="F991" s="331"/>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row>
    <row r="992" spans="3:31" s="301" customFormat="1">
      <c r="C992" s="10"/>
      <c r="D992" s="29"/>
      <c r="E992" s="36"/>
      <c r="F992" s="331"/>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row>
    <row r="993" spans="3:31" s="301" customFormat="1">
      <c r="C993" s="10"/>
      <c r="D993" s="29"/>
      <c r="E993" s="36"/>
      <c r="F993" s="331"/>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row>
    <row r="994" spans="3:31" s="301" customFormat="1">
      <c r="C994" s="10"/>
      <c r="D994" s="29"/>
      <c r="E994" s="36"/>
      <c r="F994" s="331"/>
      <c r="G994" s="331"/>
      <c r="H994" s="331"/>
      <c r="I994" s="331"/>
      <c r="J994" s="331"/>
      <c r="K994" s="331"/>
      <c r="L994" s="331"/>
      <c r="M994" s="331"/>
      <c r="N994" s="331"/>
      <c r="O994" s="331"/>
      <c r="P994" s="331"/>
      <c r="Q994" s="331"/>
      <c r="R994" s="331"/>
      <c r="S994" s="331"/>
      <c r="T994" s="331"/>
      <c r="U994" s="331"/>
      <c r="V994" s="331"/>
      <c r="W994" s="331"/>
      <c r="X994" s="331"/>
      <c r="Y994" s="331"/>
      <c r="Z994" s="331"/>
      <c r="AA994" s="331"/>
      <c r="AB994" s="331"/>
      <c r="AC994" s="331"/>
      <c r="AD994" s="331"/>
      <c r="AE994" s="331"/>
    </row>
    <row r="995" spans="3:31" s="301" customFormat="1">
      <c r="C995" s="10"/>
      <c r="D995" s="29"/>
      <c r="E995" s="36"/>
      <c r="F995" s="331"/>
      <c r="G995" s="331"/>
      <c r="H995" s="331"/>
      <c r="I995" s="331"/>
      <c r="J995" s="331"/>
      <c r="K995" s="331"/>
      <c r="L995" s="331"/>
      <c r="M995" s="331"/>
      <c r="N995" s="331"/>
      <c r="O995" s="331"/>
      <c r="P995" s="331"/>
      <c r="Q995" s="331"/>
      <c r="R995" s="331"/>
      <c r="S995" s="331"/>
      <c r="T995" s="331"/>
      <c r="U995" s="331"/>
      <c r="V995" s="331"/>
      <c r="W995" s="331"/>
      <c r="X995" s="331"/>
      <c r="Y995" s="331"/>
      <c r="Z995" s="331"/>
      <c r="AA995" s="331"/>
      <c r="AB995" s="331"/>
      <c r="AC995" s="331"/>
      <c r="AD995" s="331"/>
      <c r="AE995" s="331"/>
    </row>
    <row r="996" spans="3:31" s="301" customFormat="1">
      <c r="C996" s="10"/>
      <c r="D996" s="29"/>
      <c r="E996" s="36"/>
      <c r="F996" s="331"/>
      <c r="G996" s="331"/>
      <c r="H996" s="331"/>
      <c r="I996" s="331"/>
      <c r="J996" s="331"/>
      <c r="K996" s="331"/>
      <c r="L996" s="331"/>
      <c r="M996" s="331"/>
      <c r="N996" s="331"/>
      <c r="O996" s="331"/>
      <c r="P996" s="331"/>
      <c r="Q996" s="331"/>
      <c r="R996" s="331"/>
      <c r="S996" s="331"/>
      <c r="T996" s="331"/>
      <c r="U996" s="331"/>
      <c r="V996" s="331"/>
      <c r="W996" s="331"/>
      <c r="X996" s="331"/>
      <c r="Y996" s="331"/>
      <c r="Z996" s="331"/>
      <c r="AA996" s="331"/>
      <c r="AB996" s="331"/>
      <c r="AC996" s="331"/>
      <c r="AD996" s="331"/>
      <c r="AE996" s="331"/>
    </row>
  </sheetData>
  <sheetProtection algorithmName="SHA-512" hashValue="Ae2giEBni11aNhqlBgugoNPmWi1WDb1+OxQdVxQMLYn/eeS5CFejBLT/Wmq/hmEoZGPkv2e6cHsIpqFojZlghQ==" saltValue="W+NV9C7uh/lNuWzjXyXmlQ==" spinCount="100000" sheet="1" objects="1" scenarios="1"/>
  <conditionalFormatting sqref="F88:AE90 F96:AE99 F68:G69 F132:AE144 F107:AE110 F118:AE121 F149:AE150 F52:AE66 F101:AE104 F112:AE115 F123:AE124 F151:AG151 F127:AE127 F125:AG126">
    <cfRule type="cellIs" dxfId="155" priority="90" operator="lessThan">
      <formula>0</formula>
    </cfRule>
  </conditionalFormatting>
  <conditionalFormatting sqref="F9:AE16 F18:AE18">
    <cfRule type="cellIs" dxfId="154" priority="83" operator="lessThan">
      <formula>0</formula>
    </cfRule>
  </conditionalFormatting>
  <conditionalFormatting sqref="F8:AE8">
    <cfRule type="cellIs" dxfId="153" priority="80" operator="lessThan">
      <formula>0</formula>
    </cfRule>
  </conditionalFormatting>
  <conditionalFormatting sqref="F19:AE20">
    <cfRule type="cellIs" dxfId="152" priority="76" operator="lessThan">
      <formula>0</formula>
    </cfRule>
  </conditionalFormatting>
  <conditionalFormatting sqref="G90:J90 L90:AE90">
    <cfRule type="cellIs" dxfId="151" priority="66" operator="lessThan">
      <formula>0</formula>
    </cfRule>
  </conditionalFormatting>
  <conditionalFormatting sqref="F21:AE22">
    <cfRule type="cellIs" dxfId="150" priority="63" operator="lessThan">
      <formula>0</formula>
    </cfRule>
  </conditionalFormatting>
  <conditionalFormatting sqref="F67:L67">
    <cfRule type="cellIs" dxfId="149" priority="61" operator="lessThan">
      <formula>0</formula>
    </cfRule>
  </conditionalFormatting>
  <conditionalFormatting sqref="F23:L23">
    <cfRule type="cellIs" dxfId="148" priority="59" operator="lessThan">
      <formula>0</formula>
    </cfRule>
  </conditionalFormatting>
  <conditionalFormatting sqref="M23:AE23">
    <cfRule type="cellIs" dxfId="147" priority="57" operator="lessThan">
      <formula>0</formula>
    </cfRule>
  </conditionalFormatting>
  <conditionalFormatting sqref="M67:AE67">
    <cfRule type="cellIs" dxfId="146" priority="56" operator="lessThan">
      <formula>0</formula>
    </cfRule>
  </conditionalFormatting>
  <conditionalFormatting sqref="F17:AE17">
    <cfRule type="cellIs" dxfId="145" priority="53" operator="lessThan">
      <formula>0</formula>
    </cfRule>
  </conditionalFormatting>
  <conditionalFormatting sqref="F27:AE34 F36:AE36">
    <cfRule type="cellIs" dxfId="144" priority="50" operator="lessThan">
      <formula>0</formula>
    </cfRule>
  </conditionalFormatting>
  <conditionalFormatting sqref="F26:AE26">
    <cfRule type="cellIs" dxfId="143" priority="49" operator="lessThan">
      <formula>0</formula>
    </cfRule>
  </conditionalFormatting>
  <conditionalFormatting sqref="F37:AE38">
    <cfRule type="cellIs" dxfId="142" priority="48" operator="lessThan">
      <formula>0</formula>
    </cfRule>
  </conditionalFormatting>
  <conditionalFormatting sqref="F39:AE40">
    <cfRule type="cellIs" dxfId="141" priority="44" operator="lessThan">
      <formula>0</formula>
    </cfRule>
  </conditionalFormatting>
  <conditionalFormatting sqref="F41:L41">
    <cfRule type="cellIs" dxfId="140" priority="42" operator="lessThan">
      <formula>0</formula>
    </cfRule>
  </conditionalFormatting>
  <conditionalFormatting sqref="M41:AE41">
    <cfRule type="cellIs" dxfId="139" priority="40" operator="lessThan">
      <formula>0</formula>
    </cfRule>
  </conditionalFormatting>
  <conditionalFormatting sqref="F35:AE35">
    <cfRule type="cellIs" dxfId="138" priority="39" operator="lessThan">
      <formula>0</formula>
    </cfRule>
  </conditionalFormatting>
  <conditionalFormatting sqref="F86:G87">
    <cfRule type="cellIs" dxfId="137" priority="37" operator="lessThan">
      <formula>0</formula>
    </cfRule>
  </conditionalFormatting>
  <conditionalFormatting sqref="F83:AE84">
    <cfRule type="cellIs" dxfId="136" priority="36" operator="lessThan">
      <formula>0</formula>
    </cfRule>
  </conditionalFormatting>
  <conditionalFormatting sqref="F71:AE78 F80:AE80">
    <cfRule type="cellIs" dxfId="135" priority="35" operator="lessThan">
      <formula>0</formula>
    </cfRule>
  </conditionalFormatting>
  <conditionalFormatting sqref="F70:AE70">
    <cfRule type="cellIs" dxfId="134" priority="34" operator="lessThan">
      <formula>0</formula>
    </cfRule>
  </conditionalFormatting>
  <conditionalFormatting sqref="F81:AE82">
    <cfRule type="cellIs" dxfId="133" priority="33" operator="lessThan">
      <formula>0</formula>
    </cfRule>
  </conditionalFormatting>
  <conditionalFormatting sqref="F85:L85">
    <cfRule type="cellIs" dxfId="132" priority="32" operator="lessThan">
      <formula>0</formula>
    </cfRule>
  </conditionalFormatting>
  <conditionalFormatting sqref="M85:AE85">
    <cfRule type="cellIs" dxfId="131" priority="31" operator="lessThan">
      <formula>0</formula>
    </cfRule>
  </conditionalFormatting>
  <conditionalFormatting sqref="F79:AE79">
    <cfRule type="cellIs" dxfId="130" priority="30" operator="lessThan">
      <formula>0</formula>
    </cfRule>
  </conditionalFormatting>
  <conditionalFormatting sqref="F92:AE92">
    <cfRule type="cellIs" dxfId="129" priority="11" operator="lessThan">
      <formula>0</formula>
    </cfRule>
  </conditionalFormatting>
  <conditionalFormatting sqref="G92:J92 L92:AE92">
    <cfRule type="cellIs" dxfId="128" priority="10" operator="lessThan">
      <formula>0</formula>
    </cfRule>
  </conditionalFormatting>
  <conditionalFormatting sqref="F48:AE48">
    <cfRule type="cellIs" dxfId="127" priority="9" operator="lessThan">
      <formula>0</formula>
    </cfRule>
  </conditionalFormatting>
  <conditionalFormatting sqref="F231:AE238">
    <cfRule type="cellIs" dxfId="126" priority="8" operator="lessThan">
      <formula>0</formula>
    </cfRule>
  </conditionalFormatting>
  <conditionalFormatting sqref="F44:AE44">
    <cfRule type="cellIs" dxfId="125" priority="7" operator="lessThan">
      <formula>0</formula>
    </cfRule>
  </conditionalFormatting>
  <conditionalFormatting sqref="F45:AE45">
    <cfRule type="cellIs" dxfId="124" priority="6" operator="lessThan">
      <formula>0</formula>
    </cfRule>
  </conditionalFormatting>
  <conditionalFormatting sqref="F46:AE46">
    <cfRule type="cellIs" dxfId="123" priority="5" operator="lessThan">
      <formula>0</formula>
    </cfRule>
  </conditionalFormatting>
  <conditionalFormatting sqref="F162:AE162">
    <cfRule type="cellIs" dxfId="122" priority="4" operator="lessThan">
      <formula>0</formula>
    </cfRule>
  </conditionalFormatting>
  <conditionalFormatting sqref="F100:AE100">
    <cfRule type="cellIs" dxfId="121" priority="3" operator="lessThan">
      <formula>0</formula>
    </cfRule>
  </conditionalFormatting>
  <conditionalFormatting sqref="F111:AE111">
    <cfRule type="cellIs" dxfId="120" priority="2" operator="lessThan">
      <formula>0</formula>
    </cfRule>
  </conditionalFormatting>
  <conditionalFormatting sqref="F122:AE122">
    <cfRule type="cellIs" dxfId="119" priority="1" operator="lessThan">
      <formula>0</formula>
    </cfRule>
  </conditionalFormatting>
  <pageMargins left="0.7" right="0.7" top="0.78740157499999996" bottom="0.78740157499999996" header="0.3" footer="0.3"/>
  <pageSetup paperSize="9" orientation="portrait" horizontalDpi="1200" verticalDpi="12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rgb="FF00B0F0"/>
  </sheetPr>
  <dimension ref="A1:AJ1032"/>
  <sheetViews>
    <sheetView workbookViewId="0"/>
  </sheetViews>
  <sheetFormatPr baseColWidth="10" defaultColWidth="11.5703125" defaultRowHeight="12.75" outlineLevelCol="1"/>
  <cols>
    <col min="1" max="1" width="4.85546875" style="9" customWidth="1"/>
    <col min="2" max="2" width="26.28515625" style="301" hidden="1" customWidth="1" outlineLevel="1"/>
    <col min="3" max="3" width="20.7109375" style="10" hidden="1" customWidth="1" outlineLevel="1"/>
    <col min="4" max="4" width="1.140625" style="29" customWidth="1" outlineLevel="1"/>
    <col min="5" max="5" width="17.28515625" style="29" customWidth="1" outlineLevel="1"/>
    <col min="6" max="6" width="20.42578125" style="36" customWidth="1"/>
    <col min="7" max="24" width="5.5703125" style="331" bestFit="1" customWidth="1"/>
    <col min="25" max="31" width="6.5703125" style="331" bestFit="1" customWidth="1"/>
    <col min="32" max="32" width="9.28515625" style="331" customWidth="1"/>
    <col min="33" max="33" width="5.85546875" style="9" hidden="1" customWidth="1" outlineLevel="1"/>
    <col min="34" max="34" width="9.85546875" style="9" hidden="1" customWidth="1" outlineLevel="1"/>
    <col min="35" max="35" width="13.7109375" style="9" hidden="1" customWidth="1" outlineLevel="1"/>
    <col min="36" max="36" width="11.5703125" style="9" collapsed="1"/>
    <col min="37" max="16384" width="11.5703125" style="9"/>
  </cols>
  <sheetData>
    <row r="1" spans="1:35">
      <c r="A1" s="9" t="s">
        <v>183</v>
      </c>
      <c r="B1" s="20"/>
      <c r="C1" s="19"/>
      <c r="D1" s="28"/>
      <c r="E1" s="28"/>
      <c r="F1" s="198" t="s">
        <v>657</v>
      </c>
    </row>
    <row r="2" spans="1:35" ht="47.25" customHeight="1">
      <c r="B2" s="10"/>
      <c r="F2" s="527"/>
    </row>
    <row r="3" spans="1:35">
      <c r="B3" s="10"/>
      <c r="F3" s="85"/>
    </row>
    <row r="4" spans="1:35">
      <c r="B4" s="10"/>
      <c r="F4" s="321"/>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row>
    <row r="5" spans="1:35">
      <c r="A5" s="938" t="s">
        <v>484</v>
      </c>
      <c r="B5" s="10"/>
      <c r="F5" s="195"/>
      <c r="G5" s="70">
        <v>2010</v>
      </c>
      <c r="H5" s="70">
        <v>2011</v>
      </c>
      <c r="I5" s="70">
        <v>2012</v>
      </c>
      <c r="J5" s="70">
        <v>2013</v>
      </c>
      <c r="K5" s="70">
        <v>2014</v>
      </c>
      <c r="L5" s="70">
        <v>2015</v>
      </c>
      <c r="M5" s="70">
        <v>2016</v>
      </c>
      <c r="N5" s="70">
        <v>2017</v>
      </c>
      <c r="O5" s="70">
        <v>2018</v>
      </c>
      <c r="P5" s="70">
        <v>2019</v>
      </c>
      <c r="Q5" s="70">
        <v>2020</v>
      </c>
      <c r="R5" s="70">
        <v>2021</v>
      </c>
      <c r="S5" s="70">
        <v>2022</v>
      </c>
      <c r="T5" s="70">
        <v>2023</v>
      </c>
      <c r="U5" s="70">
        <v>2024</v>
      </c>
      <c r="V5" s="70">
        <v>2025</v>
      </c>
      <c r="W5" s="70">
        <v>2026</v>
      </c>
      <c r="X5" s="70">
        <v>2027</v>
      </c>
      <c r="Y5" s="70">
        <v>2028</v>
      </c>
      <c r="Z5" s="70">
        <v>2029</v>
      </c>
      <c r="AA5" s="70">
        <v>2030</v>
      </c>
      <c r="AB5" s="70">
        <v>2031</v>
      </c>
      <c r="AC5" s="70">
        <v>2032</v>
      </c>
      <c r="AD5" s="70">
        <v>2033</v>
      </c>
      <c r="AE5" s="70">
        <v>2034</v>
      </c>
      <c r="AF5" s="70">
        <v>2035</v>
      </c>
      <c r="AG5" s="9" t="s">
        <v>483</v>
      </c>
      <c r="AH5" s="9" t="s">
        <v>433</v>
      </c>
      <c r="AI5" s="9" t="s">
        <v>671</v>
      </c>
    </row>
    <row r="6" spans="1:35" s="301" customFormat="1">
      <c r="A6" s="561">
        <v>6</v>
      </c>
      <c r="C6" s="10"/>
      <c r="D6" s="29"/>
      <c r="E6" s="29"/>
      <c r="F6" s="36"/>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row>
    <row r="7" spans="1:35" s="301" customFormat="1">
      <c r="A7" s="561">
        <v>7</v>
      </c>
      <c r="C7" s="10"/>
      <c r="D7" s="29"/>
      <c r="E7" s="29"/>
      <c r="F7" s="199" t="s">
        <v>682</v>
      </c>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row>
    <row r="8" spans="1:35" s="301" customFormat="1">
      <c r="A8" s="561">
        <v>8</v>
      </c>
      <c r="C8" s="10"/>
      <c r="D8" s="29"/>
      <c r="E8" s="568"/>
      <c r="F8" s="569"/>
      <c r="G8" s="570">
        <v>2010</v>
      </c>
      <c r="H8" s="570">
        <v>2011</v>
      </c>
      <c r="I8" s="570">
        <v>2012</v>
      </c>
      <c r="J8" s="570">
        <v>2013</v>
      </c>
      <c r="K8" s="570">
        <v>2014</v>
      </c>
      <c r="L8" s="570">
        <v>2015</v>
      </c>
      <c r="M8" s="570">
        <v>2016</v>
      </c>
      <c r="N8" s="570">
        <v>2017</v>
      </c>
      <c r="O8" s="570">
        <v>2018</v>
      </c>
      <c r="P8" s="570">
        <v>2019</v>
      </c>
      <c r="Q8" s="570">
        <v>2020</v>
      </c>
      <c r="R8" s="570">
        <v>2021</v>
      </c>
      <c r="S8" s="570">
        <v>2022</v>
      </c>
      <c r="T8" s="570">
        <v>2023</v>
      </c>
      <c r="U8" s="570">
        <v>2024</v>
      </c>
      <c r="V8" s="570">
        <v>2025</v>
      </c>
      <c r="W8" s="570">
        <v>2026</v>
      </c>
      <c r="X8" s="570">
        <v>2027</v>
      </c>
      <c r="Y8" s="570">
        <v>2028</v>
      </c>
      <c r="Z8" s="570">
        <v>2029</v>
      </c>
      <c r="AA8" s="570">
        <v>2030</v>
      </c>
      <c r="AB8" s="570">
        <v>2031</v>
      </c>
      <c r="AC8" s="570">
        <v>2032</v>
      </c>
      <c r="AD8" s="570">
        <v>2033</v>
      </c>
      <c r="AE8" s="570">
        <v>2034</v>
      </c>
      <c r="AF8" s="571">
        <v>2035</v>
      </c>
    </row>
    <row r="9" spans="1:35" s="301" customFormat="1">
      <c r="A9" s="561">
        <v>9</v>
      </c>
      <c r="C9" s="10"/>
      <c r="D9" s="29"/>
      <c r="E9" s="572" t="s">
        <v>25</v>
      </c>
      <c r="F9" s="573" t="s">
        <v>387</v>
      </c>
      <c r="G9" s="323">
        <f>'MOD-Berechnungen'!F209</f>
        <v>1.3371100000000005</v>
      </c>
      <c r="H9" s="323">
        <f ca="1">'MOD-Berechnungen'!G209</f>
        <v>1.4101100000000004</v>
      </c>
      <c r="I9" s="323">
        <f ca="1">'MOD-Berechnungen'!H209</f>
        <v>1.4471100000000003</v>
      </c>
      <c r="J9" s="323">
        <f ca="1">'MOD-Berechnungen'!I209</f>
        <v>1.5081100000000005</v>
      </c>
      <c r="K9" s="323">
        <f ca="1">'MOD-Berechnungen'!J209</f>
        <v>1.4955747000000004</v>
      </c>
      <c r="L9" s="323">
        <f>'MOD-Berechnungen'!K65</f>
        <v>1.5617438099999998</v>
      </c>
      <c r="M9" s="323">
        <f>'MOD-Berechnungen'!L65</f>
        <v>1.5617438099999998</v>
      </c>
      <c r="N9" s="323">
        <f>'MOD-Berechnungen'!M65</f>
        <v>1.5617438099999998</v>
      </c>
      <c r="O9" s="323">
        <f>'MOD-Berechnungen'!N65</f>
        <v>1.5617438099999998</v>
      </c>
      <c r="P9" s="323">
        <f>'MOD-Berechnungen'!O65</f>
        <v>1.5617438099999998</v>
      </c>
      <c r="Q9" s="323">
        <f>'MOD-Berechnungen'!P65</f>
        <v>1.5617438099999998</v>
      </c>
      <c r="R9" s="323">
        <f>'MOD-Berechnungen'!Q65</f>
        <v>1.5617438099999998</v>
      </c>
      <c r="S9" s="323">
        <f>'MOD-Berechnungen'!R65</f>
        <v>1.5617438099999998</v>
      </c>
      <c r="T9" s="323">
        <f>'MOD-Berechnungen'!S65</f>
        <v>1.5617438099999998</v>
      </c>
      <c r="U9" s="323">
        <f>'MOD-Berechnungen'!T65</f>
        <v>1.5617438099999998</v>
      </c>
      <c r="V9" s="323">
        <f>'MOD-Berechnungen'!U65</f>
        <v>1.5617438099999998</v>
      </c>
      <c r="W9" s="323">
        <f>'MOD-Berechnungen'!V65</f>
        <v>1.5617438099999998</v>
      </c>
      <c r="X9" s="323">
        <f>'MOD-Berechnungen'!W65</f>
        <v>1.5617438099999998</v>
      </c>
      <c r="Y9" s="323">
        <f>'MOD-Berechnungen'!X65</f>
        <v>1.5617438099999998</v>
      </c>
      <c r="Z9" s="323">
        <f>'MOD-Berechnungen'!Y65</f>
        <v>1.5617438099999998</v>
      </c>
      <c r="AA9" s="323">
        <f>'MOD-Berechnungen'!Z65</f>
        <v>1.45086618</v>
      </c>
      <c r="AB9" s="323">
        <f>'MOD-Berechnungen'!AA65</f>
        <v>1.3595179899999998</v>
      </c>
      <c r="AC9" s="323">
        <f>'MOD-Berechnungen'!AB65</f>
        <v>1.2860902400000001</v>
      </c>
      <c r="AD9" s="323">
        <f>'MOD-Berechnungen'!AC65</f>
        <v>1.2395648899999998</v>
      </c>
      <c r="AE9" s="323">
        <f>'MOD-Berechnungen'!AD65</f>
        <v>1.1316575499999999</v>
      </c>
      <c r="AF9" s="324">
        <f>'MOD-Berechnungen'!AE65</f>
        <v>1.1188063499999998</v>
      </c>
    </row>
    <row r="10" spans="1:35" s="301" customFormat="1">
      <c r="A10" s="561">
        <v>10</v>
      </c>
      <c r="C10" s="10"/>
      <c r="D10" s="29"/>
      <c r="E10" s="574" t="s">
        <v>50</v>
      </c>
      <c r="F10" s="575" t="s">
        <v>387</v>
      </c>
      <c r="G10" s="332">
        <f>'MOD-Berechnungen'!F210</f>
        <v>0.56543599999999994</v>
      </c>
      <c r="H10" s="332">
        <f ca="1">'MOD-Berechnungen'!G210</f>
        <v>0.57543599999999984</v>
      </c>
      <c r="I10" s="332">
        <f ca="1">'MOD-Berechnungen'!H210</f>
        <v>0.57543599999999995</v>
      </c>
      <c r="J10" s="332">
        <f ca="1">'MOD-Berechnungen'!I210</f>
        <v>0.57643599999999995</v>
      </c>
      <c r="K10" s="332">
        <f ca="1">'MOD-Berechnungen'!J210</f>
        <v>0.56809900000000002</v>
      </c>
      <c r="L10" s="332">
        <f>'MOD-Berechnungen'!K66</f>
        <v>0.50447248999999994</v>
      </c>
      <c r="M10" s="332">
        <f>'MOD-Berechnungen'!L66</f>
        <v>0.50447248999999994</v>
      </c>
      <c r="N10" s="332">
        <f>'MOD-Berechnungen'!M66</f>
        <v>0.50447248999999994</v>
      </c>
      <c r="O10" s="332">
        <f>'MOD-Berechnungen'!N66</f>
        <v>0.50447248999999994</v>
      </c>
      <c r="P10" s="332">
        <f>'MOD-Berechnungen'!O66</f>
        <v>0.50447248999999994</v>
      </c>
      <c r="Q10" s="332">
        <f>'MOD-Berechnungen'!P66</f>
        <v>0.50447248999999994</v>
      </c>
      <c r="R10" s="332">
        <f>'MOD-Berechnungen'!Q66</f>
        <v>0.32682229000000002</v>
      </c>
      <c r="S10" s="332">
        <f>'MOD-Berechnungen'!R66</f>
        <v>0.27378529000000001</v>
      </c>
      <c r="T10" s="332">
        <f>'MOD-Berechnungen'!S66</f>
        <v>0.21108429000000001</v>
      </c>
      <c r="U10" s="332">
        <f>'MOD-Berechnungen'!T66</f>
        <v>0.13316929</v>
      </c>
      <c r="V10" s="332">
        <f>'MOD-Berechnungen'!U66</f>
        <v>6.6771990000000003E-2</v>
      </c>
      <c r="W10" s="332">
        <f>'MOD-Berechnungen'!V66</f>
        <v>5.3154990000000006E-2</v>
      </c>
      <c r="X10" s="332">
        <f>'MOD-Berechnungen'!W66</f>
        <v>4.4618990000000004E-2</v>
      </c>
      <c r="Y10" s="332">
        <f>'MOD-Berechnungen'!X66</f>
        <v>3.6103990000000002E-2</v>
      </c>
      <c r="Z10" s="332">
        <f>'MOD-Berechnungen'!Y66</f>
        <v>3.0399990000000002E-2</v>
      </c>
      <c r="AA10" s="332">
        <f>'MOD-Berechnungen'!Z66</f>
        <v>2.0893000000000005E-2</v>
      </c>
      <c r="AB10" s="332">
        <f>'MOD-Berechnungen'!AA66</f>
        <v>1.7971000000000004E-2</v>
      </c>
      <c r="AC10" s="332">
        <f>'MOD-Berechnungen'!AB66</f>
        <v>8.7540000000000014E-3</v>
      </c>
      <c r="AD10" s="332">
        <f>'MOD-Berechnungen'!AC66</f>
        <v>6.9640000000000006E-3</v>
      </c>
      <c r="AE10" s="332">
        <f>'MOD-Berechnungen'!AD66</f>
        <v>5.836E-3</v>
      </c>
      <c r="AF10" s="333">
        <f>'MOD-Berechnungen'!AE66</f>
        <v>0</v>
      </c>
    </row>
    <row r="11" spans="1:35" s="301" customFormat="1">
      <c r="A11" s="561">
        <v>11</v>
      </c>
      <c r="C11" s="10"/>
      <c r="D11" s="29"/>
      <c r="E11" s="574" t="s">
        <v>13</v>
      </c>
      <c r="F11" s="575" t="s">
        <v>387</v>
      </c>
      <c r="G11" s="332">
        <f>'MOD-Berechnungen'!F211</f>
        <v>4.7110000000000003</v>
      </c>
      <c r="H11" s="332">
        <f ca="1">'MOD-Berechnungen'!G211</f>
        <v>5.5768681300000003</v>
      </c>
      <c r="I11" s="332">
        <f ca="1">'MOD-Berechnungen'!H211</f>
        <v>5.9049599700000011</v>
      </c>
      <c r="J11" s="332">
        <f ca="1">'MOD-Berechnungen'!I211</f>
        <v>6.5818149999999997</v>
      </c>
      <c r="K11" s="332">
        <f ca="1">'MOD-Berechnungen'!J211</f>
        <v>6.7992250000000007</v>
      </c>
      <c r="L11" s="332">
        <f>'MOD-Berechnungen'!K67</f>
        <v>6.7990000000000004</v>
      </c>
      <c r="M11" s="332">
        <f>'MOD-Berechnungen'!L67</f>
        <v>6.7990000000000004</v>
      </c>
      <c r="N11" s="332">
        <f>'MOD-Berechnungen'!M67</f>
        <v>6.7990000000000004</v>
      </c>
      <c r="O11" s="332">
        <f>'MOD-Berechnungen'!N67</f>
        <v>6.7990000000000004</v>
      </c>
      <c r="P11" s="332">
        <f>'MOD-Berechnungen'!O67</f>
        <v>6.7990000000000004</v>
      </c>
      <c r="Q11" s="332">
        <f>'MOD-Berechnungen'!P67</f>
        <v>6.7990000000000004</v>
      </c>
      <c r="R11" s="332">
        <f>'MOD-Berechnungen'!Q67</f>
        <v>6.6231892300000004</v>
      </c>
      <c r="S11" s="332">
        <f>'MOD-Berechnungen'!R67</f>
        <v>6.4349554299999987</v>
      </c>
      <c r="T11" s="332">
        <f>'MOD-Berechnungen'!S67</f>
        <v>6.2947062699999998</v>
      </c>
      <c r="U11" s="332">
        <f>'MOD-Berechnungen'!T67</f>
        <v>6.0627479199999996</v>
      </c>
      <c r="V11" s="332">
        <f>'MOD-Berechnungen'!U67</f>
        <v>5.4902409299999997</v>
      </c>
      <c r="W11" s="332">
        <f>'MOD-Berechnungen'!V67</f>
        <v>4.7945024299999996</v>
      </c>
      <c r="X11" s="332">
        <f>'MOD-Berechnungen'!W67</f>
        <v>3.9465003999999988</v>
      </c>
      <c r="Y11" s="332">
        <f>'MOD-Berechnungen'!X67</f>
        <v>3.3060079999999994</v>
      </c>
      <c r="Z11" s="332">
        <f>'MOD-Berechnungen'!Y67</f>
        <v>2.9487315999999995</v>
      </c>
      <c r="AA11" s="332">
        <f>'MOD-Berechnungen'!Z67</f>
        <v>2.4935236000000001</v>
      </c>
      <c r="AB11" s="332">
        <f>'MOD-Berechnungen'!AA67</f>
        <v>1.8564320000000003</v>
      </c>
      <c r="AC11" s="332">
        <f>'MOD-Berechnungen'!AB67</f>
        <v>0.80025794000000006</v>
      </c>
      <c r="AD11" s="332">
        <f>'MOD-Berechnungen'!AC67</f>
        <v>0.46639323999999999</v>
      </c>
      <c r="AE11" s="332">
        <f>'MOD-Berechnungen'!AD67</f>
        <v>0.21003932999999994</v>
      </c>
      <c r="AF11" s="333">
        <f>'MOD-Berechnungen'!AE67</f>
        <v>0</v>
      </c>
    </row>
    <row r="12" spans="1:35" s="301" customFormat="1">
      <c r="A12" s="561">
        <v>12</v>
      </c>
      <c r="C12" s="10"/>
      <c r="D12" s="29"/>
      <c r="E12" s="574" t="s">
        <v>12</v>
      </c>
      <c r="F12" s="575" t="s">
        <v>387</v>
      </c>
      <c r="G12" s="332">
        <f>'MOD-Berechnungen'!F212</f>
        <v>7.1500000000000001E-3</v>
      </c>
      <c r="H12" s="332">
        <f ca="1">'MOD-Berechnungen'!G212</f>
        <v>7.1500000000000001E-3</v>
      </c>
      <c r="I12" s="332">
        <f ca="1">'MOD-Berechnungen'!H212</f>
        <v>1.8949999999999998E-2</v>
      </c>
      <c r="J12" s="332">
        <f ca="1">'MOD-Berechnungen'!I212</f>
        <v>3.0269999999999998E-2</v>
      </c>
      <c r="K12" s="332">
        <f ca="1">'MOD-Berechnungen'!J212</f>
        <v>3.4000000000000002E-2</v>
      </c>
      <c r="L12" s="332">
        <f>'MOD-Berechnungen'!K68</f>
        <v>3.3985000000000001E-2</v>
      </c>
      <c r="M12" s="332">
        <f>'MOD-Berechnungen'!L68</f>
        <v>3.3985000000000001E-2</v>
      </c>
      <c r="N12" s="332">
        <f>'MOD-Berechnungen'!M68</f>
        <v>3.3985000000000001E-2</v>
      </c>
      <c r="O12" s="332">
        <f>'MOD-Berechnungen'!N68</f>
        <v>3.3985000000000001E-2</v>
      </c>
      <c r="P12" s="332">
        <f>'MOD-Berechnungen'!O68</f>
        <v>3.3985000000000001E-2</v>
      </c>
      <c r="Q12" s="332">
        <f>'MOD-Berechnungen'!P68</f>
        <v>3.3985000000000001E-2</v>
      </c>
      <c r="R12" s="332">
        <f>'MOD-Berechnungen'!Q68</f>
        <v>3.3985000000000001E-2</v>
      </c>
      <c r="S12" s="332">
        <f>'MOD-Berechnungen'!R68</f>
        <v>3.3985000000000001E-2</v>
      </c>
      <c r="T12" s="332">
        <f>'MOD-Berechnungen'!S68</f>
        <v>3.3985000000000001E-2</v>
      </c>
      <c r="U12" s="332">
        <f>'MOD-Berechnungen'!T68</f>
        <v>3.3985000000000001E-2</v>
      </c>
      <c r="V12" s="332">
        <f>'MOD-Berechnungen'!U68</f>
        <v>3.3765000000000003E-2</v>
      </c>
      <c r="W12" s="332">
        <f>'MOD-Berechnungen'!V68</f>
        <v>3.3765000000000003E-2</v>
      </c>
      <c r="X12" s="332">
        <f>'MOD-Berechnungen'!W68</f>
        <v>3.3765000000000003E-2</v>
      </c>
      <c r="Y12" s="332">
        <f>'MOD-Berechnungen'!X68</f>
        <v>3.0765000000000001E-2</v>
      </c>
      <c r="Z12" s="332">
        <f>'MOD-Berechnungen'!Y68</f>
        <v>3.0765000000000001E-2</v>
      </c>
      <c r="AA12" s="332">
        <f>'MOD-Berechnungen'!Z68</f>
        <v>2.6615000000000003E-2</v>
      </c>
      <c r="AB12" s="332">
        <f>'MOD-Berechnungen'!AA68</f>
        <v>2.6615000000000003E-2</v>
      </c>
      <c r="AC12" s="332">
        <f>'MOD-Berechnungen'!AB68</f>
        <v>2.6615000000000003E-2</v>
      </c>
      <c r="AD12" s="332">
        <f>'MOD-Berechnungen'!AC68</f>
        <v>1.4815E-2</v>
      </c>
      <c r="AE12" s="332">
        <f>'MOD-Berechnungen'!AD68</f>
        <v>3.5000000000000001E-3</v>
      </c>
      <c r="AF12" s="333">
        <f>'MOD-Berechnungen'!AE68</f>
        <v>0</v>
      </c>
    </row>
    <row r="13" spans="1:35" s="301" customFormat="1">
      <c r="A13" s="561">
        <v>13</v>
      </c>
      <c r="C13" s="10"/>
      <c r="D13" s="29"/>
      <c r="E13" s="574" t="s">
        <v>24</v>
      </c>
      <c r="F13" s="575" t="s">
        <v>387</v>
      </c>
      <c r="G13" s="332">
        <f>'MOD-Berechnungen'!F213</f>
        <v>27.043797000000001</v>
      </c>
      <c r="H13" s="332">
        <f ca="1">'MOD-Berechnungen'!G213</f>
        <v>28.524095000000003</v>
      </c>
      <c r="I13" s="332">
        <f ca="1">'MOD-Berechnungen'!H213</f>
        <v>30.710624000000003</v>
      </c>
      <c r="J13" s="332">
        <f ca="1">'MOD-Berechnungen'!I213</f>
        <v>32.969194999999999</v>
      </c>
      <c r="K13" s="332">
        <f ca="1">'MOD-Berechnungen'!J213</f>
        <v>37.621491999999996</v>
      </c>
      <c r="L13" s="332">
        <f>'MOD-Berechnungen'!K69</f>
        <v>37.508569479999998</v>
      </c>
      <c r="M13" s="332">
        <f>'MOD-Berechnungen'!L69</f>
        <v>37.164569479999997</v>
      </c>
      <c r="N13" s="332">
        <f>'MOD-Berechnungen'!M69</f>
        <v>36.764569479999999</v>
      </c>
      <c r="O13" s="332">
        <f>'MOD-Berechnungen'!N69</f>
        <v>36.264569479999999</v>
      </c>
      <c r="P13" s="332">
        <f>'MOD-Berechnungen'!O69</f>
        <v>35.664569479999997</v>
      </c>
      <c r="Q13" s="332">
        <f>'MOD-Berechnungen'!P69</f>
        <v>34.964569480000002</v>
      </c>
      <c r="R13" s="332">
        <f>'MOD-Berechnungen'!Q69</f>
        <v>33.158776369999998</v>
      </c>
      <c r="S13" s="332">
        <f>'MOD-Berechnungen'!R69</f>
        <v>30.565102570000001</v>
      </c>
      <c r="T13" s="332">
        <f>'MOD-Berechnungen'!S69</f>
        <v>27.51489948</v>
      </c>
      <c r="U13" s="332">
        <f>'MOD-Berechnungen'!T69</f>
        <v>24.797031480000001</v>
      </c>
      <c r="V13" s="332">
        <f>'MOD-Berechnungen'!U69</f>
        <v>22.74326048</v>
      </c>
      <c r="W13" s="332">
        <f>'MOD-Berechnungen'!V69</f>
        <v>20.92921698</v>
      </c>
      <c r="X13" s="332">
        <f>'MOD-Berechnungen'!W69</f>
        <v>18.699378980000002</v>
      </c>
      <c r="Y13" s="332">
        <f>'MOD-Berechnungen'!X69</f>
        <v>17.013132779999999</v>
      </c>
      <c r="Z13" s="332">
        <f>'MOD-Berechnungen'!Y69</f>
        <v>16.241268779999999</v>
      </c>
      <c r="AA13" s="332">
        <f>'MOD-Berechnungen'!Z69</f>
        <v>13.541928859999999</v>
      </c>
      <c r="AB13" s="332">
        <f>'MOD-Berechnungen'!AA69</f>
        <v>12.115269209999999</v>
      </c>
      <c r="AC13" s="332">
        <f>'MOD-Berechnungen'!AB69</f>
        <v>10.238786949999998</v>
      </c>
      <c r="AD13" s="332">
        <f>'MOD-Berechnungen'!AC69</f>
        <v>7.8176624199999987</v>
      </c>
      <c r="AE13" s="332">
        <f>'MOD-Berechnungen'!AD69</f>
        <v>4.7852306299999992</v>
      </c>
      <c r="AF13" s="333">
        <f>'MOD-Berechnungen'!AE69</f>
        <v>0</v>
      </c>
    </row>
    <row r="14" spans="1:35" s="301" customFormat="1">
      <c r="A14" s="561">
        <v>14</v>
      </c>
      <c r="C14" s="10"/>
      <c r="D14" s="29"/>
      <c r="E14" s="574" t="s">
        <v>26</v>
      </c>
      <c r="F14" s="575" t="s">
        <v>387</v>
      </c>
      <c r="G14" s="332">
        <f>'MOD-Berechnungen'!F214</f>
        <v>0.08</v>
      </c>
      <c r="H14" s="332">
        <f ca="1">'MOD-Berechnungen'!G214</f>
        <v>0.188</v>
      </c>
      <c r="I14" s="332">
        <f ca="1">'MOD-Berechnungen'!H214</f>
        <v>0.26800000000000002</v>
      </c>
      <c r="J14" s="332">
        <f ca="1">'MOD-Berechnungen'!I214</f>
        <v>0.50800000000000001</v>
      </c>
      <c r="K14" s="332">
        <f ca="1">'MOD-Berechnungen'!J214</f>
        <v>0.99399999999999999</v>
      </c>
      <c r="L14" s="332">
        <f>'MOD-Berechnungen'!K70</f>
        <v>0.99399999999999999</v>
      </c>
      <c r="M14" s="332">
        <f>'MOD-Berechnungen'!L70</f>
        <v>0.99399999999999999</v>
      </c>
      <c r="N14" s="332">
        <f>'MOD-Berechnungen'!M70</f>
        <v>0.99399999999999999</v>
      </c>
      <c r="O14" s="332">
        <f>'MOD-Berechnungen'!N70</f>
        <v>0.99399999999999999</v>
      </c>
      <c r="P14" s="332">
        <f>'MOD-Berechnungen'!O70</f>
        <v>0.99399999999999999</v>
      </c>
      <c r="Q14" s="332">
        <f>'MOD-Berechnungen'!P70</f>
        <v>0.99399999999999999</v>
      </c>
      <c r="R14" s="332">
        <f>'MOD-Berechnungen'!Q70</f>
        <v>0.99399999999999999</v>
      </c>
      <c r="S14" s="332">
        <f>'MOD-Berechnungen'!R70</f>
        <v>0.99399999999999999</v>
      </c>
      <c r="T14" s="332">
        <f>'MOD-Berechnungen'!S70</f>
        <v>0.99399999999999999</v>
      </c>
      <c r="U14" s="332">
        <f>'MOD-Berechnungen'!T70</f>
        <v>0.99399999999999999</v>
      </c>
      <c r="V14" s="332">
        <f>'MOD-Berechnungen'!U70</f>
        <v>0.99399999999999999</v>
      </c>
      <c r="W14" s="332">
        <f>'MOD-Berechnungen'!V70</f>
        <v>0.99399999999999999</v>
      </c>
      <c r="X14" s="332">
        <f>'MOD-Berechnungen'!W70</f>
        <v>0.99399999999999999</v>
      </c>
      <c r="Y14" s="332">
        <f>'MOD-Berechnungen'!X70</f>
        <v>0.99399999999999999</v>
      </c>
      <c r="Z14" s="332">
        <f>'MOD-Berechnungen'!Y70</f>
        <v>0.99399999999999999</v>
      </c>
      <c r="AA14" s="332">
        <f>'MOD-Berechnungen'!Z70</f>
        <v>0.96219999999999994</v>
      </c>
      <c r="AB14" s="332">
        <f>'MOD-Berechnungen'!AA70</f>
        <v>0.9171999999999999</v>
      </c>
      <c r="AC14" s="332">
        <f>'MOD-Berechnungen'!AB70</f>
        <v>0.80889999999999995</v>
      </c>
      <c r="AD14" s="332">
        <f>'MOD-Berechnungen'!AC70</f>
        <v>0.72889999999999999</v>
      </c>
      <c r="AE14" s="332">
        <f>'MOD-Berechnungen'!AD70</f>
        <v>0.4889</v>
      </c>
      <c r="AF14" s="333">
        <f>'MOD-Berechnungen'!AE70</f>
        <v>0</v>
      </c>
    </row>
    <row r="15" spans="1:35" s="301" customFormat="1">
      <c r="A15" s="561">
        <v>15</v>
      </c>
      <c r="C15" s="10"/>
      <c r="D15" s="29"/>
      <c r="E15" s="576" t="s">
        <v>74</v>
      </c>
      <c r="F15" s="577" t="s">
        <v>387</v>
      </c>
      <c r="G15" s="309">
        <f>'MOD-Berechnungen'!F215</f>
        <v>18.006</v>
      </c>
      <c r="H15" s="309">
        <f ca="1">'MOD-Berechnungen'!G215</f>
        <v>25.916</v>
      </c>
      <c r="I15" s="309">
        <f ca="1">'MOD-Berechnungen'!H215</f>
        <v>34.076999999999998</v>
      </c>
      <c r="J15" s="309">
        <f ca="1">'MOD-Berechnungen'!I215</f>
        <v>36.71</v>
      </c>
      <c r="K15" s="309">
        <f ca="1">'MOD-Berechnungen'!J215</f>
        <v>37.9</v>
      </c>
      <c r="L15" s="309">
        <f>'MOD-Berechnungen'!K71</f>
        <v>37.9</v>
      </c>
      <c r="M15" s="309">
        <f>'MOD-Berechnungen'!L71</f>
        <v>37.9</v>
      </c>
      <c r="N15" s="309">
        <f>'MOD-Berechnungen'!M71</f>
        <v>37.9</v>
      </c>
      <c r="O15" s="309">
        <f>'MOD-Berechnungen'!N71</f>
        <v>37.9</v>
      </c>
      <c r="P15" s="309">
        <f>'MOD-Berechnungen'!O71</f>
        <v>37.9</v>
      </c>
      <c r="Q15" s="309">
        <f>'MOD-Berechnungen'!P71</f>
        <v>37.9</v>
      </c>
      <c r="R15" s="309">
        <f>'MOD-Berechnungen'!Q71</f>
        <v>37.776027506000062</v>
      </c>
      <c r="S15" s="309">
        <f>'MOD-Berechnungen'!R71</f>
        <v>37.667388816000063</v>
      </c>
      <c r="T15" s="309">
        <f>'MOD-Berechnungen'!S71</f>
        <v>37.557167266000064</v>
      </c>
      <c r="U15" s="309">
        <f>'MOD-Berechnungen'!T71</f>
        <v>37.414720716000062</v>
      </c>
      <c r="V15" s="309">
        <f>'MOD-Berechnungen'!U71</f>
        <v>36.758691416000062</v>
      </c>
      <c r="W15" s="309">
        <f>'MOD-Berechnungen'!V71</f>
        <v>35.834089356000064</v>
      </c>
      <c r="X15" s="309">
        <f>'MOD-Berechnungen'!W71</f>
        <v>34.989494406000063</v>
      </c>
      <c r="Y15" s="309">
        <f>'MOD-Berechnungen'!X71</f>
        <v>33.735743280000058</v>
      </c>
      <c r="Z15" s="309">
        <f>'MOD-Berechnungen'!Y71</f>
        <v>31.75620017000006</v>
      </c>
      <c r="AA15" s="309">
        <f>'MOD-Berechnungen'!Z71</f>
        <v>27.317740330000046</v>
      </c>
      <c r="AB15" s="309">
        <f>'MOD-Berechnungen'!AA71</f>
        <v>19.723863990000012</v>
      </c>
      <c r="AC15" s="309">
        <f>'MOD-Berechnungen'!AB71</f>
        <v>11.723473930000008</v>
      </c>
      <c r="AD15" s="309">
        <f>'MOD-Berechnungen'!AC71</f>
        <v>4.8811800499999842</v>
      </c>
      <c r="AE15" s="309">
        <f>'MOD-Berechnungen'!AD71</f>
        <v>1.7455592899999977</v>
      </c>
      <c r="AF15" s="56">
        <f>'MOD-Berechnungen'!AE71</f>
        <v>0</v>
      </c>
    </row>
    <row r="16" spans="1:35" s="301" customFormat="1">
      <c r="A16" s="561">
        <v>16</v>
      </c>
      <c r="C16" s="10"/>
      <c r="D16" s="29"/>
      <c r="E16" s="574" t="s">
        <v>25</v>
      </c>
      <c r="F16" s="578"/>
      <c r="G16" s="332"/>
      <c r="H16" s="332"/>
      <c r="I16" s="332"/>
      <c r="J16" s="332"/>
      <c r="K16" s="332"/>
      <c r="L16" s="332">
        <f ca="1">'MOD-Berechnungen'!K209-L9</f>
        <v>0.22465567500000017</v>
      </c>
      <c r="M16" s="332">
        <f ca="1">'MOD-Berechnungen'!L209-M9</f>
        <v>0.24628944999999991</v>
      </c>
      <c r="N16" s="332">
        <f ca="1">'MOD-Berechnungen'!M209-N9</f>
        <v>0.25168944999999998</v>
      </c>
      <c r="O16" s="332">
        <f ca="1">'MOD-Berechnungen'!N209-O9</f>
        <v>0.26668944999999988</v>
      </c>
      <c r="P16" s="332">
        <f ca="1">'MOD-Berechnungen'!O209-P9</f>
        <v>0.28368944999999979</v>
      </c>
      <c r="Q16" s="332">
        <f ca="1">'MOD-Berechnungen'!P209-Q9</f>
        <v>0.29668944999999969</v>
      </c>
      <c r="R16" s="332">
        <f ca="1">'MOD-Berechnungen'!Q209-R9</f>
        <v>0.3106894499999997</v>
      </c>
      <c r="S16" s="332">
        <f ca="1">'MOD-Berechnungen'!R209-S9</f>
        <v>0.3216894499999996</v>
      </c>
      <c r="T16" s="332">
        <f ca="1">'MOD-Berechnungen'!S209-T9</f>
        <v>0.3326894499999995</v>
      </c>
      <c r="U16" s="332">
        <f ca="1">'MOD-Berechnungen'!T209-U9</f>
        <v>0.3436894499999994</v>
      </c>
      <c r="V16" s="332">
        <f ca="1">'MOD-Berechnungen'!U209-V9</f>
        <v>0.3546894499999993</v>
      </c>
      <c r="W16" s="332">
        <f ca="1">'MOD-Berechnungen'!V209-W9</f>
        <v>0.36568944999999919</v>
      </c>
      <c r="X16" s="332">
        <f ca="1">'MOD-Berechnungen'!W209-X9</f>
        <v>0.37668944999999909</v>
      </c>
      <c r="Y16" s="332">
        <f ca="1">'MOD-Berechnungen'!X209-Y9</f>
        <v>0.38768944999999899</v>
      </c>
      <c r="Z16" s="332">
        <f ca="1">'MOD-Berechnungen'!Y209-Z9</f>
        <v>0.39868944999999889</v>
      </c>
      <c r="AA16" s="332">
        <f ca="1">'MOD-Berechnungen'!Z209-AA9</f>
        <v>0.40968944999999879</v>
      </c>
      <c r="AB16" s="332">
        <f ca="1">'MOD-Berechnungen'!AA209-AB9</f>
        <v>0.42068944999999869</v>
      </c>
      <c r="AC16" s="332">
        <f ca="1">'MOD-Berechnungen'!AB209-AC9</f>
        <v>0.43168944999999859</v>
      </c>
      <c r="AD16" s="332">
        <f ca="1">'MOD-Berechnungen'!AC209-AD9</f>
        <v>0.44268944999999849</v>
      </c>
      <c r="AE16" s="332">
        <f ca="1">'MOD-Berechnungen'!AD209-AE9</f>
        <v>0.45368944999999838</v>
      </c>
      <c r="AF16" s="333">
        <f ca="1">'MOD-Berechnungen'!AE209-AF9</f>
        <v>0.1867158649999987</v>
      </c>
    </row>
    <row r="17" spans="1:32" s="301" customFormat="1">
      <c r="A17" s="561">
        <v>17</v>
      </c>
      <c r="C17" s="10"/>
      <c r="D17" s="29"/>
      <c r="E17" s="574" t="s">
        <v>50</v>
      </c>
      <c r="F17" s="578"/>
      <c r="G17" s="332"/>
      <c r="H17" s="332"/>
      <c r="I17" s="332"/>
      <c r="J17" s="332"/>
      <c r="K17" s="332"/>
      <c r="L17" s="332">
        <f ca="1">'MOD-Berechnungen'!K210-L10</f>
        <v>0.10940850999999996</v>
      </c>
      <c r="M17" s="332">
        <f ca="1">'MOD-Berechnungen'!L210-M10</f>
        <v>0.11349250999999994</v>
      </c>
      <c r="N17" s="332">
        <f ca="1">'MOD-Berechnungen'!M210-N10</f>
        <v>0.11519250999999997</v>
      </c>
      <c r="O17" s="332">
        <f ca="1">'MOD-Berechnungen'!N210-O10</f>
        <v>0.12119250999999998</v>
      </c>
      <c r="P17" s="332">
        <f ca="1">'MOD-Berechnungen'!O210-P10</f>
        <v>0.12319250999999998</v>
      </c>
      <c r="Q17" s="332">
        <f ca="1">'MOD-Berechnungen'!P210-Q10</f>
        <v>0.12519250999999998</v>
      </c>
      <c r="R17" s="332">
        <f ca="1">'MOD-Berechnungen'!Q210-R10</f>
        <v>0.12709250999999999</v>
      </c>
      <c r="S17" s="332">
        <f ca="1">'MOD-Berechnungen'!R210-S10</f>
        <v>0.12899251</v>
      </c>
      <c r="T17" s="332">
        <f ca="1">'MOD-Berechnungen'!S210-T10</f>
        <v>0.13089251000000002</v>
      </c>
      <c r="U17" s="332">
        <f ca="1">'MOD-Berechnungen'!T210-U10</f>
        <v>0.13279251000000003</v>
      </c>
      <c r="V17" s="332">
        <f ca="1">'MOD-Berechnungen'!U210-V10</f>
        <v>0.13469251000000004</v>
      </c>
      <c r="W17" s="332">
        <f ca="1">'MOD-Berechnungen'!V210-W10</f>
        <v>0.13659251000000003</v>
      </c>
      <c r="X17" s="332">
        <f ca="1">'MOD-Berechnungen'!W210-X10</f>
        <v>0.14659251000000004</v>
      </c>
      <c r="Y17" s="332">
        <f ca="1">'MOD-Berechnungen'!X210-Y10</f>
        <v>0.15659251000000002</v>
      </c>
      <c r="Z17" s="332">
        <f ca="1">'MOD-Berechnungen'!Y210-Z10</f>
        <v>0.16659251000000003</v>
      </c>
      <c r="AA17" s="332">
        <f ca="1">'MOD-Berechnungen'!Z210-AA10</f>
        <v>0.17659251000000004</v>
      </c>
      <c r="AB17" s="332">
        <f ca="1">'MOD-Berechnungen'!AA210-AB10</f>
        <v>0.18659251000000002</v>
      </c>
      <c r="AC17" s="332">
        <f ca="1">'MOD-Berechnungen'!AB210-AC10</f>
        <v>0.19659251000000003</v>
      </c>
      <c r="AD17" s="332">
        <f ca="1">'MOD-Berechnungen'!AC210-AD10</f>
        <v>0.20659251000000003</v>
      </c>
      <c r="AE17" s="332">
        <f ca="1">'MOD-Berechnungen'!AD210-AE10</f>
        <v>0.21659251000000002</v>
      </c>
      <c r="AF17" s="333">
        <f ca="1">'MOD-Berechnungen'!AE210-AF10</f>
        <v>0.18664651000000021</v>
      </c>
    </row>
    <row r="18" spans="1:32" s="301" customFormat="1">
      <c r="A18" s="561">
        <v>18</v>
      </c>
      <c r="C18" s="10"/>
      <c r="D18" s="29"/>
      <c r="E18" s="574" t="s">
        <v>13</v>
      </c>
      <c r="F18" s="578"/>
      <c r="G18" s="332"/>
      <c r="H18" s="332"/>
      <c r="I18" s="332"/>
      <c r="J18" s="332"/>
      <c r="K18" s="332"/>
      <c r="L18" s="332">
        <f ca="1">'MOD-Berechnungen'!K211-L11</f>
        <v>0.2348410000000003</v>
      </c>
      <c r="M18" s="332">
        <f ca="1">'MOD-Berechnungen'!L211-M11</f>
        <v>0.45981300000000047</v>
      </c>
      <c r="N18" s="332">
        <f ca="1">'MOD-Berechnungen'!M211-N11</f>
        <v>0.76660000000000039</v>
      </c>
      <c r="O18" s="332">
        <f ca="1">'MOD-Berechnungen'!N211-O11</f>
        <v>1.1941110810000017</v>
      </c>
      <c r="P18" s="332">
        <f ca="1">'MOD-Berechnungen'!O211-P11</f>
        <v>1.5266447400000009</v>
      </c>
      <c r="Q18" s="332">
        <f ca="1">'MOD-Berechnungen'!P211-Q11</f>
        <v>1.7026447400000011</v>
      </c>
      <c r="R18" s="332">
        <f ca="1">'MOD-Berechnungen'!Q211-R11</f>
        <v>1.8266447400000017</v>
      </c>
      <c r="S18" s="332">
        <f ca="1">'MOD-Berechnungen'!R211-S11</f>
        <v>2.1936447400000016</v>
      </c>
      <c r="T18" s="332">
        <f ca="1">'MOD-Berechnungen'!S211-T11</f>
        <v>2.5606447400000016</v>
      </c>
      <c r="U18" s="332">
        <f ca="1">'MOD-Berechnungen'!T211-U11</f>
        <v>2.9276447400000016</v>
      </c>
      <c r="V18" s="332">
        <f ca="1">'MOD-Berechnungen'!U211-V11</f>
        <v>3.2946447400000016</v>
      </c>
      <c r="W18" s="332">
        <f ca="1">'MOD-Berechnungen'!V211-W11</f>
        <v>3.6616447400000016</v>
      </c>
      <c r="X18" s="332">
        <f ca="1">'MOD-Berechnungen'!W211-X11</f>
        <v>3.8616447400000018</v>
      </c>
      <c r="Y18" s="332">
        <f ca="1">'MOD-Berechnungen'!X211-Y11</f>
        <v>4.061644740000002</v>
      </c>
      <c r="Z18" s="332">
        <f ca="1">'MOD-Berechnungen'!Y211-Z11</f>
        <v>4.2616447400000022</v>
      </c>
      <c r="AA18" s="332">
        <f ca="1">'MOD-Berechnungen'!Z211-AA11</f>
        <v>4.4616447400000023</v>
      </c>
      <c r="AB18" s="332">
        <f ca="1">'MOD-Berechnungen'!AA211-AB11</f>
        <v>4.6616447400000016</v>
      </c>
      <c r="AC18" s="332">
        <f ca="1">'MOD-Berechnungen'!AB211-AC11</f>
        <v>4.8616447400000027</v>
      </c>
      <c r="AD18" s="332">
        <f ca="1">'MOD-Berechnungen'!AC211-AD11</f>
        <v>5.061644740000002</v>
      </c>
      <c r="AE18" s="332">
        <f ca="1">'MOD-Berechnungen'!AD211-AE11</f>
        <v>5.2616447400000022</v>
      </c>
      <c r="AF18" s="333">
        <f ca="1">'MOD-Berechnungen'!AE211-AF11</f>
        <v>5.4370680700000023</v>
      </c>
    </row>
    <row r="19" spans="1:32" s="301" customFormat="1">
      <c r="A19" s="561">
        <v>19</v>
      </c>
      <c r="C19" s="10"/>
      <c r="D19" s="29"/>
      <c r="E19" s="574" t="s">
        <v>12</v>
      </c>
      <c r="F19" s="578"/>
      <c r="G19" s="332"/>
      <c r="H19" s="332"/>
      <c r="I19" s="332"/>
      <c r="J19" s="332"/>
      <c r="K19" s="332"/>
      <c r="L19" s="332">
        <f ca="1">'MOD-Berechnungen'!K212-L12</f>
        <v>1.5000000000001124E-5</v>
      </c>
      <c r="M19" s="332">
        <f ca="1">'MOD-Berechnungen'!L212-M12</f>
        <v>5.0149999999999986E-3</v>
      </c>
      <c r="N19" s="332">
        <f ca="1">'MOD-Berechnungen'!M212-N12</f>
        <v>7.0150000000000004E-3</v>
      </c>
      <c r="O19" s="332">
        <f ca="1">'MOD-Berechnungen'!N212-O12</f>
        <v>1.2014999999999998E-2</v>
      </c>
      <c r="P19" s="332">
        <f ca="1">'MOD-Berechnungen'!O212-P12</f>
        <v>1.6015000000000001E-2</v>
      </c>
      <c r="Q19" s="332">
        <f ca="1">'MOD-Berechnungen'!P212-Q12</f>
        <v>2.1014999999999999E-2</v>
      </c>
      <c r="R19" s="332">
        <f ca="1">'MOD-Berechnungen'!Q212-R12</f>
        <v>3.0015E-2</v>
      </c>
      <c r="S19" s="332">
        <f ca="1">'MOD-Berechnungen'!R212-S12</f>
        <v>6.0014999999999999E-2</v>
      </c>
      <c r="T19" s="332">
        <f ca="1">'MOD-Berechnungen'!S212-T12</f>
        <v>9.4015000000000001E-2</v>
      </c>
      <c r="U19" s="332">
        <f ca="1">'MOD-Berechnungen'!T212-U12</f>
        <v>0.13201499999999999</v>
      </c>
      <c r="V19" s="332">
        <f ca="1">'MOD-Berechnungen'!U212-V12</f>
        <v>0.17301500000000003</v>
      </c>
      <c r="W19" s="332">
        <f ca="1">'MOD-Berechnungen'!V212-W12</f>
        <v>0.21801500000000001</v>
      </c>
      <c r="X19" s="332">
        <f ca="1">'MOD-Berechnungen'!W212-X12</f>
        <v>0.22801500000000002</v>
      </c>
      <c r="Y19" s="332">
        <f ca="1">'MOD-Berechnungen'!X212-Y12</f>
        <v>0.23801500000000003</v>
      </c>
      <c r="Z19" s="332">
        <f ca="1">'MOD-Berechnungen'!Y212-Z12</f>
        <v>0.24801500000000004</v>
      </c>
      <c r="AA19" s="332">
        <f ca="1">'MOD-Berechnungen'!Z212-AA12</f>
        <v>0.25801500000000005</v>
      </c>
      <c r="AB19" s="332">
        <f ca="1">'MOD-Berechnungen'!AA212-AB12</f>
        <v>0.26801500000000006</v>
      </c>
      <c r="AC19" s="332">
        <f ca="1">'MOD-Berechnungen'!AB212-AC12</f>
        <v>0.27801500000000007</v>
      </c>
      <c r="AD19" s="332">
        <f ca="1">'MOD-Berechnungen'!AC212-AD12</f>
        <v>0.28801500000000002</v>
      </c>
      <c r="AE19" s="332">
        <f ca="1">'MOD-Berechnungen'!AD212-AE12</f>
        <v>0.29801500000000003</v>
      </c>
      <c r="AF19" s="333">
        <f ca="1">'MOD-Berechnungen'!AE212-AF12</f>
        <v>0.31151500000000004</v>
      </c>
    </row>
    <row r="20" spans="1:32" s="301" customFormat="1">
      <c r="A20" s="561">
        <v>20</v>
      </c>
      <c r="C20" s="10"/>
      <c r="D20" s="29"/>
      <c r="E20" s="574" t="s">
        <v>24</v>
      </c>
      <c r="F20" s="578"/>
      <c r="G20" s="332"/>
      <c r="H20" s="332"/>
      <c r="I20" s="332"/>
      <c r="J20" s="332"/>
      <c r="K20" s="332"/>
      <c r="L20" s="332">
        <f ca="1">'MOD-Berechnungen'!K213-L13</f>
        <v>3.7886999999999986</v>
      </c>
      <c r="M20" s="332">
        <f ca="1">'MOD-Berechnungen'!L213-M13</f>
        <v>8.2341029999999975</v>
      </c>
      <c r="N20" s="332">
        <f ca="1">'MOD-Berechnungen'!M213-N13</f>
        <v>13.735847999999997</v>
      </c>
      <c r="O20" s="332">
        <f ca="1">'MOD-Berechnungen'!N213-O13</f>
        <v>16.138997999999994</v>
      </c>
      <c r="P20" s="332">
        <f ca="1">'MOD-Berechnungen'!O213-P13</f>
        <v>17.638997999999994</v>
      </c>
      <c r="Q20" s="332">
        <f ca="1">'MOD-Berechnungen'!P213-Q13</f>
        <v>19.138997999999994</v>
      </c>
      <c r="R20" s="332">
        <f ca="1">'MOD-Berechnungen'!Q213-R13</f>
        <v>20.638997999999994</v>
      </c>
      <c r="S20" s="332">
        <f ca="1">'MOD-Berechnungen'!R213-S13</f>
        <v>22.638997999999994</v>
      </c>
      <c r="T20" s="332">
        <f ca="1">'MOD-Berechnungen'!S213-T13</f>
        <v>25.138997999999997</v>
      </c>
      <c r="U20" s="332">
        <f ca="1">'MOD-Berechnungen'!T213-U13</f>
        <v>27.638998000000001</v>
      </c>
      <c r="V20" s="332">
        <f ca="1">'MOD-Berechnungen'!U213-V13</f>
        <v>30.138998000000004</v>
      </c>
      <c r="W20" s="332">
        <f ca="1">'MOD-Berechnungen'!V213-W13</f>
        <v>32.638998000000008</v>
      </c>
      <c r="X20" s="332">
        <f ca="1">'MOD-Berechnungen'!W213-X13</f>
        <v>35.138998000000001</v>
      </c>
      <c r="Y20" s="332">
        <f ca="1">'MOD-Berechnungen'!X213-Y13</f>
        <v>37.638998000000008</v>
      </c>
      <c r="Z20" s="332">
        <f ca="1">'MOD-Berechnungen'!Y213-Z13</f>
        <v>40.138998000000008</v>
      </c>
      <c r="AA20" s="332">
        <f ca="1">'MOD-Berechnungen'!Z213-AA13</f>
        <v>42.638998000000008</v>
      </c>
      <c r="AB20" s="332">
        <f ca="1">'MOD-Berechnungen'!AA213-AB13</f>
        <v>45.138998000000008</v>
      </c>
      <c r="AC20" s="332">
        <f ca="1">'MOD-Berechnungen'!AB213-AC13</f>
        <v>47.638998000000008</v>
      </c>
      <c r="AD20" s="332">
        <f ca="1">'MOD-Berechnungen'!AC213-AD13</f>
        <v>50.138998000000008</v>
      </c>
      <c r="AE20" s="332">
        <f ca="1">'MOD-Berechnungen'!AD213-AE13</f>
        <v>52.638998000000008</v>
      </c>
      <c r="AF20" s="333">
        <f ca="1">'MOD-Berechnungen'!AE213-AF13</f>
        <v>56.137020630000009</v>
      </c>
    </row>
    <row r="21" spans="1:32" s="301" customFormat="1">
      <c r="A21" s="561">
        <v>21</v>
      </c>
      <c r="C21" s="10"/>
      <c r="D21" s="29"/>
      <c r="E21" s="574" t="s">
        <v>26</v>
      </c>
      <c r="F21" s="578"/>
      <c r="G21" s="332"/>
      <c r="H21" s="332"/>
      <c r="I21" s="332"/>
      <c r="J21" s="332"/>
      <c r="K21" s="332"/>
      <c r="L21" s="332">
        <f ca="1">'MOD-Berechnungen'!K214-L14</f>
        <v>2.2890000000000006</v>
      </c>
      <c r="M21" s="332">
        <f ca="1">'MOD-Berechnungen'!L214-M14</f>
        <v>3.1580000000000004</v>
      </c>
      <c r="N21" s="332">
        <f ca="1">'MOD-Berechnungen'!M214-N14</f>
        <v>4.4120000000000008</v>
      </c>
      <c r="O21" s="332">
        <f ca="1">'MOD-Berechnungen'!N214-O14</f>
        <v>5.3990000000000009</v>
      </c>
      <c r="P21" s="332">
        <f ca="1">'MOD-Berechnungen'!O214-P14</f>
        <v>6.5340000000000007</v>
      </c>
      <c r="Q21" s="332">
        <f ca="1">'MOD-Berechnungen'!P214-Q14</f>
        <v>6.753000000000001</v>
      </c>
      <c r="R21" s="332">
        <f ca="1">'MOD-Berechnungen'!Q214-R14</f>
        <v>6.753000000000001</v>
      </c>
      <c r="S21" s="332">
        <f ca="1">'MOD-Berechnungen'!R214-S14</f>
        <v>7.0950000000000006</v>
      </c>
      <c r="T21" s="332">
        <f ca="1">'MOD-Berechnungen'!S214-T14</f>
        <v>7.8440000000000012</v>
      </c>
      <c r="U21" s="332">
        <f ca="1">'MOD-Berechnungen'!T214-U14</f>
        <v>8.9700000000000006</v>
      </c>
      <c r="V21" s="332">
        <f ca="1">'MOD-Berechnungen'!U214-V14</f>
        <v>9.870000000000001</v>
      </c>
      <c r="W21" s="332">
        <f ca="1">'MOD-Berechnungen'!V214-W14</f>
        <v>10.828000000000001</v>
      </c>
      <c r="X21" s="332">
        <f ca="1">'MOD-Berechnungen'!W214-X14</f>
        <v>11.786000000000001</v>
      </c>
      <c r="Y21" s="332">
        <f ca="1">'MOD-Berechnungen'!X214-Y14</f>
        <v>12.744000000000002</v>
      </c>
      <c r="Z21" s="332">
        <f ca="1">'MOD-Berechnungen'!Y214-Z14</f>
        <v>13.702000000000002</v>
      </c>
      <c r="AA21" s="332">
        <f ca="1">'MOD-Berechnungen'!Z214-AA14</f>
        <v>14.660000000000002</v>
      </c>
      <c r="AB21" s="332">
        <f ca="1">'MOD-Berechnungen'!AA214-AB14</f>
        <v>15.618</v>
      </c>
      <c r="AC21" s="332">
        <f ca="1">'MOD-Berechnungen'!AB214-AC14</f>
        <v>16.575999999999997</v>
      </c>
      <c r="AD21" s="332">
        <f ca="1">'MOD-Berechnungen'!AC214-AD14</f>
        <v>17.533999999999999</v>
      </c>
      <c r="AE21" s="332">
        <f ca="1">'MOD-Berechnungen'!AD214-AE14</f>
        <v>18.491999999999997</v>
      </c>
      <c r="AF21" s="333">
        <f ca="1">'MOD-Berechnungen'!AE214-AF14</f>
        <v>17.649899999999999</v>
      </c>
    </row>
    <row r="22" spans="1:32" s="301" customFormat="1">
      <c r="A22" s="561">
        <v>22</v>
      </c>
      <c r="C22" s="10"/>
      <c r="D22" s="29"/>
      <c r="E22" s="576" t="s">
        <v>74</v>
      </c>
      <c r="F22" s="579"/>
      <c r="G22" s="309"/>
      <c r="H22" s="309"/>
      <c r="I22" s="309"/>
      <c r="J22" s="309"/>
      <c r="K22" s="309"/>
      <c r="L22" s="309">
        <f ca="1">'MOD-Berechnungen'!K215-L15</f>
        <v>1.3239999999999981</v>
      </c>
      <c r="M22" s="309">
        <f ca="1">'MOD-Berechnungen'!L215-M15</f>
        <v>2.7789999999999964</v>
      </c>
      <c r="N22" s="309">
        <f ca="1">'MOD-Berechnungen'!M215-N15</f>
        <v>4.3929999999999936</v>
      </c>
      <c r="O22" s="309">
        <f ca="1">'MOD-Berechnungen'!N215-O15</f>
        <v>7.2579999999999956</v>
      </c>
      <c r="P22" s="309">
        <f ca="1">'MOD-Berechnungen'!O215-P15</f>
        <v>11.146999999999998</v>
      </c>
      <c r="Q22" s="309">
        <f ca="1">'MOD-Berechnungen'!P215-Q15</f>
        <v>15.948</v>
      </c>
      <c r="R22" s="309">
        <f ca="1">'MOD-Berechnungen'!Q215-R15</f>
        <v>21.362000000000002</v>
      </c>
      <c r="S22" s="309">
        <f ca="1">'MOD-Berechnungen'!R215-S15</f>
        <v>27.696999999999996</v>
      </c>
      <c r="T22" s="309">
        <f ca="1">'MOD-Berechnungen'!S215-T15</f>
        <v>36.027000000000001</v>
      </c>
      <c r="U22" s="309">
        <f ca="1">'MOD-Berechnungen'!T215-U15</f>
        <v>44.156000000000006</v>
      </c>
      <c r="V22" s="309">
        <f ca="1">'MOD-Berechnungen'!U215-V15</f>
        <v>51.922000000000011</v>
      </c>
      <c r="W22" s="309">
        <f ca="1">'MOD-Berechnungen'!V215-W15</f>
        <v>59.754000000000005</v>
      </c>
      <c r="X22" s="309">
        <f ca="1">'MOD-Berechnungen'!W215-X15</f>
        <v>62.754000000000005</v>
      </c>
      <c r="Y22" s="309">
        <f ca="1">'MOD-Berechnungen'!X215-Y15</f>
        <v>65.753999999999991</v>
      </c>
      <c r="Z22" s="309">
        <f ca="1">'MOD-Berechnungen'!Y215-Z15</f>
        <v>68.754000000000005</v>
      </c>
      <c r="AA22" s="309">
        <f ca="1">'MOD-Berechnungen'!Z215-AA15</f>
        <v>71.753999999999991</v>
      </c>
      <c r="AB22" s="309">
        <f ca="1">'MOD-Berechnungen'!AA215-AB15</f>
        <v>74.753999999999991</v>
      </c>
      <c r="AC22" s="309">
        <f ca="1">'MOD-Berechnungen'!AB215-AC15</f>
        <v>77.753999999999991</v>
      </c>
      <c r="AD22" s="309">
        <f ca="1">'MOD-Berechnungen'!AC215-AD15</f>
        <v>80.753999999999991</v>
      </c>
      <c r="AE22" s="309">
        <f ca="1">'MOD-Berechnungen'!AD215-AE15</f>
        <v>83.753999999999991</v>
      </c>
      <c r="AF22" s="56">
        <f ca="1">'MOD-Berechnungen'!AE215-AF15</f>
        <v>87.175559289999995</v>
      </c>
    </row>
    <row r="23" spans="1:32" s="301" customFormat="1">
      <c r="A23" s="561">
        <v>23</v>
      </c>
      <c r="C23" s="10"/>
      <c r="D23" s="29"/>
      <c r="E23" s="29"/>
      <c r="F23" s="36"/>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row>
    <row r="24" spans="1:32" s="301" customFormat="1">
      <c r="A24" s="561">
        <v>24</v>
      </c>
      <c r="C24" s="10"/>
      <c r="D24" s="29"/>
      <c r="E24" s="29"/>
      <c r="F24" s="199" t="s">
        <v>683</v>
      </c>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row>
    <row r="25" spans="1:32" s="301" customFormat="1">
      <c r="A25" s="561">
        <v>25</v>
      </c>
      <c r="C25" s="10"/>
      <c r="D25" s="29"/>
      <c r="E25" s="568"/>
      <c r="F25" s="569"/>
      <c r="G25" s="570">
        <v>2010</v>
      </c>
      <c r="H25" s="570">
        <v>2011</v>
      </c>
      <c r="I25" s="570">
        <v>2012</v>
      </c>
      <c r="J25" s="570">
        <v>2013</v>
      </c>
      <c r="K25" s="570">
        <v>2014</v>
      </c>
      <c r="L25" s="570">
        <v>2015</v>
      </c>
      <c r="M25" s="570">
        <v>2016</v>
      </c>
      <c r="N25" s="570">
        <v>2017</v>
      </c>
      <c r="O25" s="570">
        <v>2018</v>
      </c>
      <c r="P25" s="570">
        <v>2019</v>
      </c>
      <c r="Q25" s="570">
        <v>2020</v>
      </c>
      <c r="R25" s="570">
        <v>2021</v>
      </c>
      <c r="S25" s="570">
        <v>2022</v>
      </c>
      <c r="T25" s="570">
        <v>2023</v>
      </c>
      <c r="U25" s="570">
        <v>2024</v>
      </c>
      <c r="V25" s="570">
        <v>2025</v>
      </c>
      <c r="W25" s="570">
        <v>2026</v>
      </c>
      <c r="X25" s="570">
        <v>2027</v>
      </c>
      <c r="Y25" s="570">
        <v>2028</v>
      </c>
      <c r="Z25" s="570">
        <v>2029</v>
      </c>
      <c r="AA25" s="570">
        <v>2030</v>
      </c>
      <c r="AB25" s="570">
        <v>2031</v>
      </c>
      <c r="AC25" s="570">
        <v>2032</v>
      </c>
      <c r="AD25" s="570">
        <v>2033</v>
      </c>
      <c r="AE25" s="570">
        <v>2034</v>
      </c>
      <c r="AF25" s="571">
        <v>2035</v>
      </c>
    </row>
    <row r="26" spans="1:32" s="301" customFormat="1">
      <c r="A26" s="561">
        <v>26</v>
      </c>
      <c r="C26" s="10"/>
      <c r="D26" s="29"/>
      <c r="E26" s="572" t="s">
        <v>391</v>
      </c>
      <c r="F26" s="573" t="s">
        <v>387</v>
      </c>
      <c r="G26" s="323">
        <f>G9+G10+G12</f>
        <v>1.9096960000000005</v>
      </c>
      <c r="H26" s="323">
        <f t="shared" ref="H26:AF26" ca="1" si="0">H9+H10+H12</f>
        <v>1.9926960000000002</v>
      </c>
      <c r="I26" s="323">
        <f t="shared" ca="1" si="0"/>
        <v>2.041496</v>
      </c>
      <c r="J26" s="323">
        <f t="shared" ca="1" si="0"/>
        <v>2.1148160000000003</v>
      </c>
      <c r="K26" s="323">
        <f t="shared" ca="1" si="0"/>
        <v>2.0976737000000001</v>
      </c>
      <c r="L26" s="323">
        <f t="shared" si="0"/>
        <v>2.1002012999999997</v>
      </c>
      <c r="M26" s="323">
        <f t="shared" si="0"/>
        <v>2.1002012999999997</v>
      </c>
      <c r="N26" s="323">
        <f t="shared" si="0"/>
        <v>2.1002012999999997</v>
      </c>
      <c r="O26" s="323">
        <f t="shared" si="0"/>
        <v>2.1002012999999997</v>
      </c>
      <c r="P26" s="323">
        <f t="shared" si="0"/>
        <v>2.1002012999999997</v>
      </c>
      <c r="Q26" s="323">
        <f t="shared" si="0"/>
        <v>2.1002012999999997</v>
      </c>
      <c r="R26" s="323">
        <f t="shared" si="0"/>
        <v>1.9225510999999997</v>
      </c>
      <c r="S26" s="323">
        <f t="shared" si="0"/>
        <v>1.8695140999999997</v>
      </c>
      <c r="T26" s="323">
        <f t="shared" si="0"/>
        <v>1.8068130999999998</v>
      </c>
      <c r="U26" s="323">
        <f t="shared" si="0"/>
        <v>1.7288980999999999</v>
      </c>
      <c r="V26" s="323">
        <f t="shared" si="0"/>
        <v>1.6622807999999998</v>
      </c>
      <c r="W26" s="323">
        <f t="shared" si="0"/>
        <v>1.6486637999999998</v>
      </c>
      <c r="X26" s="323">
        <f t="shared" si="0"/>
        <v>1.6401277999999999</v>
      </c>
      <c r="Y26" s="323">
        <f t="shared" si="0"/>
        <v>1.6286127999999997</v>
      </c>
      <c r="Z26" s="323">
        <f t="shared" si="0"/>
        <v>1.6229087999999998</v>
      </c>
      <c r="AA26" s="323">
        <f t="shared" si="0"/>
        <v>1.4983741800000001</v>
      </c>
      <c r="AB26" s="323">
        <f t="shared" si="0"/>
        <v>1.4041039899999999</v>
      </c>
      <c r="AC26" s="323">
        <f t="shared" si="0"/>
        <v>1.32145924</v>
      </c>
      <c r="AD26" s="323">
        <f t="shared" si="0"/>
        <v>1.2613438899999998</v>
      </c>
      <c r="AE26" s="323">
        <f t="shared" si="0"/>
        <v>1.1409935499999999</v>
      </c>
      <c r="AF26" s="324">
        <f t="shared" si="0"/>
        <v>1.1188063499999998</v>
      </c>
    </row>
    <row r="27" spans="1:32" s="301" customFormat="1">
      <c r="A27" s="561">
        <v>27</v>
      </c>
      <c r="C27" s="10"/>
      <c r="D27" s="29"/>
      <c r="E27" s="574" t="s">
        <v>13</v>
      </c>
      <c r="F27" s="575" t="s">
        <v>387</v>
      </c>
      <c r="G27" s="332">
        <f>G11</f>
        <v>4.7110000000000003</v>
      </c>
      <c r="H27" s="332">
        <f t="shared" ref="H27:AF27" ca="1" si="1">H11</f>
        <v>5.5768681300000003</v>
      </c>
      <c r="I27" s="332">
        <f t="shared" ca="1" si="1"/>
        <v>5.9049599700000011</v>
      </c>
      <c r="J27" s="332">
        <f t="shared" ca="1" si="1"/>
        <v>6.5818149999999997</v>
      </c>
      <c r="K27" s="332">
        <f t="shared" ca="1" si="1"/>
        <v>6.7992250000000007</v>
      </c>
      <c r="L27" s="332">
        <f t="shared" si="1"/>
        <v>6.7990000000000004</v>
      </c>
      <c r="M27" s="332">
        <f t="shared" si="1"/>
        <v>6.7990000000000004</v>
      </c>
      <c r="N27" s="332">
        <f t="shared" si="1"/>
        <v>6.7990000000000004</v>
      </c>
      <c r="O27" s="332">
        <f t="shared" si="1"/>
        <v>6.7990000000000004</v>
      </c>
      <c r="P27" s="332">
        <f t="shared" si="1"/>
        <v>6.7990000000000004</v>
      </c>
      <c r="Q27" s="332">
        <f t="shared" si="1"/>
        <v>6.7990000000000004</v>
      </c>
      <c r="R27" s="332">
        <f t="shared" si="1"/>
        <v>6.6231892300000004</v>
      </c>
      <c r="S27" s="332">
        <f t="shared" si="1"/>
        <v>6.4349554299999987</v>
      </c>
      <c r="T27" s="332">
        <f t="shared" si="1"/>
        <v>6.2947062699999998</v>
      </c>
      <c r="U27" s="332">
        <f t="shared" si="1"/>
        <v>6.0627479199999996</v>
      </c>
      <c r="V27" s="332">
        <f t="shared" si="1"/>
        <v>5.4902409299999997</v>
      </c>
      <c r="W27" s="332">
        <f t="shared" si="1"/>
        <v>4.7945024299999996</v>
      </c>
      <c r="X27" s="332">
        <f t="shared" si="1"/>
        <v>3.9465003999999988</v>
      </c>
      <c r="Y27" s="332">
        <f t="shared" si="1"/>
        <v>3.3060079999999994</v>
      </c>
      <c r="Z27" s="332">
        <f t="shared" si="1"/>
        <v>2.9487315999999995</v>
      </c>
      <c r="AA27" s="332">
        <f t="shared" si="1"/>
        <v>2.4935236000000001</v>
      </c>
      <c r="AB27" s="332">
        <f t="shared" si="1"/>
        <v>1.8564320000000003</v>
      </c>
      <c r="AC27" s="332">
        <f t="shared" si="1"/>
        <v>0.80025794000000006</v>
      </c>
      <c r="AD27" s="332">
        <f t="shared" si="1"/>
        <v>0.46639323999999999</v>
      </c>
      <c r="AE27" s="332">
        <f t="shared" si="1"/>
        <v>0.21003932999999994</v>
      </c>
      <c r="AF27" s="333">
        <f t="shared" si="1"/>
        <v>0</v>
      </c>
    </row>
    <row r="28" spans="1:32" s="301" customFormat="1">
      <c r="A28" s="561">
        <v>28</v>
      </c>
      <c r="C28" s="10"/>
      <c r="D28" s="29"/>
      <c r="E28" s="574" t="s">
        <v>24</v>
      </c>
      <c r="F28" s="575" t="s">
        <v>387</v>
      </c>
      <c r="G28" s="332">
        <f>G13</f>
        <v>27.043797000000001</v>
      </c>
      <c r="H28" s="332">
        <f t="shared" ref="H28:AF30" ca="1" si="2">H13</f>
        <v>28.524095000000003</v>
      </c>
      <c r="I28" s="332">
        <f t="shared" ca="1" si="2"/>
        <v>30.710624000000003</v>
      </c>
      <c r="J28" s="332">
        <f t="shared" ca="1" si="2"/>
        <v>32.969194999999999</v>
      </c>
      <c r="K28" s="332">
        <f t="shared" ca="1" si="2"/>
        <v>37.621491999999996</v>
      </c>
      <c r="L28" s="332">
        <f>L13</f>
        <v>37.508569479999998</v>
      </c>
      <c r="M28" s="332">
        <f t="shared" si="2"/>
        <v>37.164569479999997</v>
      </c>
      <c r="N28" s="332">
        <f>N13</f>
        <v>36.764569479999999</v>
      </c>
      <c r="O28" s="332">
        <f t="shared" si="2"/>
        <v>36.264569479999999</v>
      </c>
      <c r="P28" s="332">
        <f t="shared" si="2"/>
        <v>35.664569479999997</v>
      </c>
      <c r="Q28" s="332">
        <f t="shared" si="2"/>
        <v>34.964569480000002</v>
      </c>
      <c r="R28" s="332">
        <f t="shared" si="2"/>
        <v>33.158776369999998</v>
      </c>
      <c r="S28" s="332">
        <f t="shared" si="2"/>
        <v>30.565102570000001</v>
      </c>
      <c r="T28" s="332">
        <f t="shared" si="2"/>
        <v>27.51489948</v>
      </c>
      <c r="U28" s="332">
        <f t="shared" si="2"/>
        <v>24.797031480000001</v>
      </c>
      <c r="V28" s="332">
        <f t="shared" si="2"/>
        <v>22.74326048</v>
      </c>
      <c r="W28" s="332">
        <f t="shared" si="2"/>
        <v>20.92921698</v>
      </c>
      <c r="X28" s="332">
        <f t="shared" si="2"/>
        <v>18.699378980000002</v>
      </c>
      <c r="Y28" s="332">
        <f t="shared" si="2"/>
        <v>17.013132779999999</v>
      </c>
      <c r="Z28" s="332">
        <f t="shared" si="2"/>
        <v>16.241268779999999</v>
      </c>
      <c r="AA28" s="332">
        <f t="shared" si="2"/>
        <v>13.541928859999999</v>
      </c>
      <c r="AB28" s="332">
        <f t="shared" si="2"/>
        <v>12.115269209999999</v>
      </c>
      <c r="AC28" s="332">
        <f t="shared" si="2"/>
        <v>10.238786949999998</v>
      </c>
      <c r="AD28" s="332">
        <f t="shared" si="2"/>
        <v>7.8176624199999987</v>
      </c>
      <c r="AE28" s="332">
        <f t="shared" si="2"/>
        <v>4.7852306299999992</v>
      </c>
      <c r="AF28" s="333">
        <f t="shared" si="2"/>
        <v>0</v>
      </c>
    </row>
    <row r="29" spans="1:32" s="301" customFormat="1">
      <c r="A29" s="561">
        <v>29</v>
      </c>
      <c r="C29" s="10"/>
      <c r="D29" s="29"/>
      <c r="E29" s="574" t="s">
        <v>26</v>
      </c>
      <c r="F29" s="575" t="s">
        <v>387</v>
      </c>
      <c r="G29" s="332">
        <f t="shared" ref="G29:V30" si="3">G14</f>
        <v>0.08</v>
      </c>
      <c r="H29" s="332">
        <f t="shared" ca="1" si="3"/>
        <v>0.188</v>
      </c>
      <c r="I29" s="332">
        <f t="shared" ca="1" si="3"/>
        <v>0.26800000000000002</v>
      </c>
      <c r="J29" s="332">
        <f t="shared" ca="1" si="3"/>
        <v>0.50800000000000001</v>
      </c>
      <c r="K29" s="332">
        <f t="shared" ca="1" si="3"/>
        <v>0.99399999999999999</v>
      </c>
      <c r="L29" s="332">
        <f t="shared" si="3"/>
        <v>0.99399999999999999</v>
      </c>
      <c r="M29" s="332">
        <f t="shared" si="3"/>
        <v>0.99399999999999999</v>
      </c>
      <c r="N29" s="332">
        <f t="shared" si="3"/>
        <v>0.99399999999999999</v>
      </c>
      <c r="O29" s="332">
        <f t="shared" si="3"/>
        <v>0.99399999999999999</v>
      </c>
      <c r="P29" s="332">
        <f t="shared" si="3"/>
        <v>0.99399999999999999</v>
      </c>
      <c r="Q29" s="332">
        <f t="shared" si="3"/>
        <v>0.99399999999999999</v>
      </c>
      <c r="R29" s="332">
        <f t="shared" si="3"/>
        <v>0.99399999999999999</v>
      </c>
      <c r="S29" s="332">
        <f t="shared" si="3"/>
        <v>0.99399999999999999</v>
      </c>
      <c r="T29" s="332">
        <f t="shared" si="3"/>
        <v>0.99399999999999999</v>
      </c>
      <c r="U29" s="332">
        <f t="shared" si="3"/>
        <v>0.99399999999999999</v>
      </c>
      <c r="V29" s="332">
        <f t="shared" si="3"/>
        <v>0.99399999999999999</v>
      </c>
      <c r="W29" s="332">
        <f t="shared" si="2"/>
        <v>0.99399999999999999</v>
      </c>
      <c r="X29" s="332">
        <f t="shared" si="2"/>
        <v>0.99399999999999999</v>
      </c>
      <c r="Y29" s="332">
        <f t="shared" si="2"/>
        <v>0.99399999999999999</v>
      </c>
      <c r="Z29" s="332">
        <f t="shared" si="2"/>
        <v>0.99399999999999999</v>
      </c>
      <c r="AA29" s="332">
        <f t="shared" si="2"/>
        <v>0.96219999999999994</v>
      </c>
      <c r="AB29" s="332">
        <f t="shared" si="2"/>
        <v>0.9171999999999999</v>
      </c>
      <c r="AC29" s="332">
        <f t="shared" si="2"/>
        <v>0.80889999999999995</v>
      </c>
      <c r="AD29" s="332">
        <f t="shared" si="2"/>
        <v>0.72889999999999999</v>
      </c>
      <c r="AE29" s="332">
        <f t="shared" si="2"/>
        <v>0.4889</v>
      </c>
      <c r="AF29" s="333">
        <f t="shared" si="2"/>
        <v>0</v>
      </c>
    </row>
    <row r="30" spans="1:32" s="301" customFormat="1">
      <c r="A30" s="561">
        <v>30</v>
      </c>
      <c r="C30" s="10"/>
      <c r="D30" s="29"/>
      <c r="E30" s="576" t="s">
        <v>74</v>
      </c>
      <c r="F30" s="577" t="s">
        <v>387</v>
      </c>
      <c r="G30" s="309">
        <f t="shared" si="3"/>
        <v>18.006</v>
      </c>
      <c r="H30" s="309">
        <f t="shared" ca="1" si="2"/>
        <v>25.916</v>
      </c>
      <c r="I30" s="309">
        <f t="shared" ca="1" si="2"/>
        <v>34.076999999999998</v>
      </c>
      <c r="J30" s="309">
        <f t="shared" ca="1" si="2"/>
        <v>36.71</v>
      </c>
      <c r="K30" s="309">
        <f t="shared" ca="1" si="2"/>
        <v>37.9</v>
      </c>
      <c r="L30" s="309">
        <f t="shared" si="2"/>
        <v>37.9</v>
      </c>
      <c r="M30" s="309">
        <f t="shared" si="2"/>
        <v>37.9</v>
      </c>
      <c r="N30" s="309">
        <f t="shared" si="2"/>
        <v>37.9</v>
      </c>
      <c r="O30" s="309">
        <f t="shared" si="2"/>
        <v>37.9</v>
      </c>
      <c r="P30" s="309">
        <f t="shared" si="2"/>
        <v>37.9</v>
      </c>
      <c r="Q30" s="309">
        <f t="shared" si="2"/>
        <v>37.9</v>
      </c>
      <c r="R30" s="309">
        <f t="shared" si="2"/>
        <v>37.776027506000062</v>
      </c>
      <c r="S30" s="309">
        <f t="shared" si="2"/>
        <v>37.667388816000063</v>
      </c>
      <c r="T30" s="309">
        <f t="shared" si="2"/>
        <v>37.557167266000064</v>
      </c>
      <c r="U30" s="309">
        <f t="shared" si="2"/>
        <v>37.414720716000062</v>
      </c>
      <c r="V30" s="309">
        <f t="shared" si="2"/>
        <v>36.758691416000062</v>
      </c>
      <c r="W30" s="309">
        <f t="shared" si="2"/>
        <v>35.834089356000064</v>
      </c>
      <c r="X30" s="309">
        <f t="shared" si="2"/>
        <v>34.989494406000063</v>
      </c>
      <c r="Y30" s="309">
        <f t="shared" si="2"/>
        <v>33.735743280000058</v>
      </c>
      <c r="Z30" s="309">
        <f t="shared" si="2"/>
        <v>31.75620017000006</v>
      </c>
      <c r="AA30" s="309">
        <f t="shared" si="2"/>
        <v>27.317740330000046</v>
      </c>
      <c r="AB30" s="309">
        <f t="shared" si="2"/>
        <v>19.723863990000012</v>
      </c>
      <c r="AC30" s="309">
        <f t="shared" si="2"/>
        <v>11.723473930000008</v>
      </c>
      <c r="AD30" s="309">
        <f t="shared" si="2"/>
        <v>4.8811800499999842</v>
      </c>
      <c r="AE30" s="309">
        <f t="shared" si="2"/>
        <v>1.7455592899999977</v>
      </c>
      <c r="AF30" s="56">
        <f t="shared" si="2"/>
        <v>0</v>
      </c>
    </row>
    <row r="31" spans="1:32" s="301" customFormat="1">
      <c r="A31" s="561">
        <v>31</v>
      </c>
      <c r="C31" s="10"/>
      <c r="D31" s="29"/>
      <c r="E31" s="574" t="s">
        <v>391</v>
      </c>
      <c r="F31" s="575"/>
      <c r="G31" s="332">
        <f>G16+G17+G19</f>
        <v>0</v>
      </c>
      <c r="H31" s="332">
        <f t="shared" ref="H31:AF31" si="4">H16+H17+H19</f>
        <v>0</v>
      </c>
      <c r="I31" s="332">
        <f t="shared" si="4"/>
        <v>0</v>
      </c>
      <c r="J31" s="332">
        <f t="shared" si="4"/>
        <v>0</v>
      </c>
      <c r="K31" s="332">
        <f t="shared" si="4"/>
        <v>0</v>
      </c>
      <c r="L31" s="332">
        <f t="shared" ca="1" si="4"/>
        <v>0.33407918500000011</v>
      </c>
      <c r="M31" s="332">
        <f t="shared" ca="1" si="4"/>
        <v>0.36479695999999984</v>
      </c>
      <c r="N31" s="332">
        <f t="shared" ca="1" si="4"/>
        <v>0.37389695999999994</v>
      </c>
      <c r="O31" s="332">
        <f t="shared" ca="1" si="4"/>
        <v>0.39989695999999986</v>
      </c>
      <c r="P31" s="332">
        <f t="shared" ca="1" si="4"/>
        <v>0.42289695999999977</v>
      </c>
      <c r="Q31" s="332">
        <f t="shared" ca="1" si="4"/>
        <v>0.44289695999999967</v>
      </c>
      <c r="R31" s="332">
        <f t="shared" ca="1" si="4"/>
        <v>0.46779695999999971</v>
      </c>
      <c r="S31" s="332">
        <f t="shared" ca="1" si="4"/>
        <v>0.51069695999999964</v>
      </c>
      <c r="T31" s="332">
        <f t="shared" ca="1" si="4"/>
        <v>0.55759695999999948</v>
      </c>
      <c r="U31" s="332">
        <f t="shared" ca="1" si="4"/>
        <v>0.60849695999999942</v>
      </c>
      <c r="V31" s="332">
        <f t="shared" ca="1" si="4"/>
        <v>0.66239695999999937</v>
      </c>
      <c r="W31" s="332">
        <f t="shared" ca="1" si="4"/>
        <v>0.72029695999999932</v>
      </c>
      <c r="X31" s="332">
        <f t="shared" ca="1" si="4"/>
        <v>0.75129695999999924</v>
      </c>
      <c r="Y31" s="332">
        <f t="shared" ca="1" si="4"/>
        <v>0.78229695999999915</v>
      </c>
      <c r="Z31" s="332">
        <f t="shared" ca="1" si="4"/>
        <v>0.81329695999999907</v>
      </c>
      <c r="AA31" s="332">
        <f t="shared" ca="1" si="4"/>
        <v>0.84429695999999899</v>
      </c>
      <c r="AB31" s="332">
        <f t="shared" ca="1" si="4"/>
        <v>0.87529695999999868</v>
      </c>
      <c r="AC31" s="332">
        <f t="shared" ca="1" si="4"/>
        <v>0.9062969599999986</v>
      </c>
      <c r="AD31" s="332">
        <f t="shared" ca="1" si="4"/>
        <v>0.93729695999999851</v>
      </c>
      <c r="AE31" s="332">
        <f t="shared" ca="1" si="4"/>
        <v>0.96829695999999843</v>
      </c>
      <c r="AF31" s="333">
        <f t="shared" ca="1" si="4"/>
        <v>0.68487737499999901</v>
      </c>
    </row>
    <row r="32" spans="1:32" s="301" customFormat="1">
      <c r="A32" s="561">
        <v>32</v>
      </c>
      <c r="C32" s="10"/>
      <c r="D32" s="29"/>
      <c r="E32" s="574" t="s">
        <v>13</v>
      </c>
      <c r="F32" s="575"/>
      <c r="G32" s="332">
        <f>G18</f>
        <v>0</v>
      </c>
      <c r="H32" s="332">
        <f t="shared" ref="H32:AF32" si="5">H18</f>
        <v>0</v>
      </c>
      <c r="I32" s="332">
        <f t="shared" si="5"/>
        <v>0</v>
      </c>
      <c r="J32" s="332">
        <f t="shared" si="5"/>
        <v>0</v>
      </c>
      <c r="K32" s="332">
        <f t="shared" si="5"/>
        <v>0</v>
      </c>
      <c r="L32" s="332">
        <f t="shared" ca="1" si="5"/>
        <v>0.2348410000000003</v>
      </c>
      <c r="M32" s="332">
        <f t="shared" ca="1" si="5"/>
        <v>0.45981300000000047</v>
      </c>
      <c r="N32" s="332">
        <f t="shared" ca="1" si="5"/>
        <v>0.76660000000000039</v>
      </c>
      <c r="O32" s="332">
        <f t="shared" ca="1" si="5"/>
        <v>1.1941110810000017</v>
      </c>
      <c r="P32" s="332">
        <f t="shared" ca="1" si="5"/>
        <v>1.5266447400000009</v>
      </c>
      <c r="Q32" s="332">
        <f t="shared" ca="1" si="5"/>
        <v>1.7026447400000011</v>
      </c>
      <c r="R32" s="332">
        <f t="shared" ca="1" si="5"/>
        <v>1.8266447400000017</v>
      </c>
      <c r="S32" s="332">
        <f t="shared" ca="1" si="5"/>
        <v>2.1936447400000016</v>
      </c>
      <c r="T32" s="332">
        <f t="shared" ca="1" si="5"/>
        <v>2.5606447400000016</v>
      </c>
      <c r="U32" s="332">
        <f t="shared" ca="1" si="5"/>
        <v>2.9276447400000016</v>
      </c>
      <c r="V32" s="332">
        <f t="shared" ca="1" si="5"/>
        <v>3.2946447400000016</v>
      </c>
      <c r="W32" s="332">
        <f t="shared" ca="1" si="5"/>
        <v>3.6616447400000016</v>
      </c>
      <c r="X32" s="332">
        <f t="shared" ca="1" si="5"/>
        <v>3.8616447400000018</v>
      </c>
      <c r="Y32" s="332">
        <f t="shared" ca="1" si="5"/>
        <v>4.061644740000002</v>
      </c>
      <c r="Z32" s="332">
        <f t="shared" ca="1" si="5"/>
        <v>4.2616447400000022</v>
      </c>
      <c r="AA32" s="332">
        <f t="shared" ca="1" si="5"/>
        <v>4.4616447400000023</v>
      </c>
      <c r="AB32" s="332">
        <f t="shared" ca="1" si="5"/>
        <v>4.6616447400000016</v>
      </c>
      <c r="AC32" s="332">
        <f t="shared" ca="1" si="5"/>
        <v>4.8616447400000027</v>
      </c>
      <c r="AD32" s="332">
        <f t="shared" ca="1" si="5"/>
        <v>5.061644740000002</v>
      </c>
      <c r="AE32" s="332">
        <f t="shared" ca="1" si="5"/>
        <v>5.2616447400000022</v>
      </c>
      <c r="AF32" s="333">
        <f t="shared" ca="1" si="5"/>
        <v>5.4370680700000023</v>
      </c>
    </row>
    <row r="33" spans="1:36" s="301" customFormat="1">
      <c r="A33" s="561">
        <v>33</v>
      </c>
      <c r="C33" s="10"/>
      <c r="D33" s="29"/>
      <c r="E33" s="574" t="s">
        <v>24</v>
      </c>
      <c r="F33" s="578"/>
      <c r="G33" s="332">
        <f>G20</f>
        <v>0</v>
      </c>
      <c r="H33" s="332">
        <f t="shared" ref="H33:AF35" si="6">H20</f>
        <v>0</v>
      </c>
      <c r="I33" s="332">
        <f t="shared" si="6"/>
        <v>0</v>
      </c>
      <c r="J33" s="332">
        <f t="shared" si="6"/>
        <v>0</v>
      </c>
      <c r="K33" s="332">
        <f t="shared" si="6"/>
        <v>0</v>
      </c>
      <c r="L33" s="332">
        <f t="shared" ca="1" si="6"/>
        <v>3.7886999999999986</v>
      </c>
      <c r="M33" s="332">
        <f t="shared" ca="1" si="6"/>
        <v>8.2341029999999975</v>
      </c>
      <c r="N33" s="332">
        <f t="shared" ca="1" si="6"/>
        <v>13.735847999999997</v>
      </c>
      <c r="O33" s="332">
        <f t="shared" ca="1" si="6"/>
        <v>16.138997999999994</v>
      </c>
      <c r="P33" s="332">
        <f t="shared" ca="1" si="6"/>
        <v>17.638997999999994</v>
      </c>
      <c r="Q33" s="332">
        <f t="shared" ca="1" si="6"/>
        <v>19.138997999999994</v>
      </c>
      <c r="R33" s="332">
        <f t="shared" ca="1" si="6"/>
        <v>20.638997999999994</v>
      </c>
      <c r="S33" s="332">
        <f t="shared" ca="1" si="6"/>
        <v>22.638997999999994</v>
      </c>
      <c r="T33" s="332">
        <f t="shared" ca="1" si="6"/>
        <v>25.138997999999997</v>
      </c>
      <c r="U33" s="332">
        <f t="shared" ca="1" si="6"/>
        <v>27.638998000000001</v>
      </c>
      <c r="V33" s="332">
        <f t="shared" ca="1" si="6"/>
        <v>30.138998000000004</v>
      </c>
      <c r="W33" s="332">
        <f t="shared" ca="1" si="6"/>
        <v>32.638998000000008</v>
      </c>
      <c r="X33" s="332">
        <f t="shared" ca="1" si="6"/>
        <v>35.138998000000001</v>
      </c>
      <c r="Y33" s="332">
        <f t="shared" ca="1" si="6"/>
        <v>37.638998000000008</v>
      </c>
      <c r="Z33" s="332">
        <f t="shared" ca="1" si="6"/>
        <v>40.138998000000008</v>
      </c>
      <c r="AA33" s="332">
        <f t="shared" ca="1" si="6"/>
        <v>42.638998000000008</v>
      </c>
      <c r="AB33" s="332">
        <f t="shared" ca="1" si="6"/>
        <v>45.138998000000008</v>
      </c>
      <c r="AC33" s="332">
        <f t="shared" ca="1" si="6"/>
        <v>47.638998000000008</v>
      </c>
      <c r="AD33" s="332">
        <f t="shared" ca="1" si="6"/>
        <v>50.138998000000008</v>
      </c>
      <c r="AE33" s="332">
        <f t="shared" ca="1" si="6"/>
        <v>52.638998000000008</v>
      </c>
      <c r="AF33" s="333">
        <f t="shared" ca="1" si="6"/>
        <v>56.137020630000009</v>
      </c>
    </row>
    <row r="34" spans="1:36" s="301" customFormat="1">
      <c r="A34" s="561">
        <v>34</v>
      </c>
      <c r="C34" s="10"/>
      <c r="D34" s="29"/>
      <c r="E34" s="574" t="s">
        <v>26</v>
      </c>
      <c r="F34" s="578"/>
      <c r="G34" s="332">
        <f t="shared" ref="G34:V35" si="7">G21</f>
        <v>0</v>
      </c>
      <c r="H34" s="332">
        <f t="shared" si="7"/>
        <v>0</v>
      </c>
      <c r="I34" s="332">
        <f t="shared" si="7"/>
        <v>0</v>
      </c>
      <c r="J34" s="332">
        <f t="shared" si="7"/>
        <v>0</v>
      </c>
      <c r="K34" s="332">
        <f t="shared" si="7"/>
        <v>0</v>
      </c>
      <c r="L34" s="332">
        <f t="shared" ca="1" si="7"/>
        <v>2.2890000000000006</v>
      </c>
      <c r="M34" s="332">
        <f t="shared" ca="1" si="7"/>
        <v>3.1580000000000004</v>
      </c>
      <c r="N34" s="332">
        <f t="shared" ca="1" si="7"/>
        <v>4.4120000000000008</v>
      </c>
      <c r="O34" s="332">
        <f t="shared" ca="1" si="7"/>
        <v>5.3990000000000009</v>
      </c>
      <c r="P34" s="332">
        <f t="shared" ca="1" si="7"/>
        <v>6.5340000000000007</v>
      </c>
      <c r="Q34" s="332">
        <f t="shared" ca="1" si="7"/>
        <v>6.753000000000001</v>
      </c>
      <c r="R34" s="332">
        <f t="shared" ca="1" si="7"/>
        <v>6.753000000000001</v>
      </c>
      <c r="S34" s="332">
        <f t="shared" ca="1" si="7"/>
        <v>7.0950000000000006</v>
      </c>
      <c r="T34" s="332">
        <f t="shared" ca="1" si="7"/>
        <v>7.8440000000000012</v>
      </c>
      <c r="U34" s="332">
        <f t="shared" ca="1" si="7"/>
        <v>8.9700000000000006</v>
      </c>
      <c r="V34" s="332">
        <f t="shared" ca="1" si="7"/>
        <v>9.870000000000001</v>
      </c>
      <c r="W34" s="332">
        <f t="shared" ca="1" si="6"/>
        <v>10.828000000000001</v>
      </c>
      <c r="X34" s="332">
        <f t="shared" ca="1" si="6"/>
        <v>11.786000000000001</v>
      </c>
      <c r="Y34" s="332">
        <f t="shared" ca="1" si="6"/>
        <v>12.744000000000002</v>
      </c>
      <c r="Z34" s="332">
        <f t="shared" ca="1" si="6"/>
        <v>13.702000000000002</v>
      </c>
      <c r="AA34" s="332">
        <f t="shared" ca="1" si="6"/>
        <v>14.660000000000002</v>
      </c>
      <c r="AB34" s="332">
        <f t="shared" ca="1" si="6"/>
        <v>15.618</v>
      </c>
      <c r="AC34" s="332">
        <f t="shared" ca="1" si="6"/>
        <v>16.575999999999997</v>
      </c>
      <c r="AD34" s="332">
        <f t="shared" ca="1" si="6"/>
        <v>17.533999999999999</v>
      </c>
      <c r="AE34" s="332">
        <f t="shared" ca="1" si="6"/>
        <v>18.491999999999997</v>
      </c>
      <c r="AF34" s="333">
        <f t="shared" ca="1" si="6"/>
        <v>17.649899999999999</v>
      </c>
    </row>
    <row r="35" spans="1:36" s="301" customFormat="1">
      <c r="A35" s="561">
        <v>35</v>
      </c>
      <c r="C35" s="10"/>
      <c r="D35" s="29"/>
      <c r="E35" s="576" t="s">
        <v>74</v>
      </c>
      <c r="F35" s="579"/>
      <c r="G35" s="309">
        <f t="shared" si="7"/>
        <v>0</v>
      </c>
      <c r="H35" s="309">
        <f t="shared" si="6"/>
        <v>0</v>
      </c>
      <c r="I35" s="309">
        <f t="shared" si="6"/>
        <v>0</v>
      </c>
      <c r="J35" s="309">
        <f t="shared" si="6"/>
        <v>0</v>
      </c>
      <c r="K35" s="309">
        <f t="shared" si="6"/>
        <v>0</v>
      </c>
      <c r="L35" s="309">
        <f t="shared" ca="1" si="6"/>
        <v>1.3239999999999981</v>
      </c>
      <c r="M35" s="309">
        <f t="shared" ca="1" si="6"/>
        <v>2.7789999999999964</v>
      </c>
      <c r="N35" s="309">
        <f t="shared" ca="1" si="6"/>
        <v>4.3929999999999936</v>
      </c>
      <c r="O35" s="309">
        <f t="shared" ca="1" si="6"/>
        <v>7.2579999999999956</v>
      </c>
      <c r="P35" s="309">
        <f t="shared" ca="1" si="6"/>
        <v>11.146999999999998</v>
      </c>
      <c r="Q35" s="309">
        <f t="shared" ca="1" si="6"/>
        <v>15.948</v>
      </c>
      <c r="R35" s="309">
        <f t="shared" ca="1" si="6"/>
        <v>21.362000000000002</v>
      </c>
      <c r="S35" s="309">
        <f t="shared" ca="1" si="6"/>
        <v>27.696999999999996</v>
      </c>
      <c r="T35" s="309">
        <f t="shared" ca="1" si="6"/>
        <v>36.027000000000001</v>
      </c>
      <c r="U35" s="309">
        <f t="shared" ca="1" si="6"/>
        <v>44.156000000000006</v>
      </c>
      <c r="V35" s="309">
        <f t="shared" ca="1" si="6"/>
        <v>51.922000000000011</v>
      </c>
      <c r="W35" s="309">
        <f t="shared" ca="1" si="6"/>
        <v>59.754000000000005</v>
      </c>
      <c r="X35" s="309">
        <f t="shared" ca="1" si="6"/>
        <v>62.754000000000005</v>
      </c>
      <c r="Y35" s="309">
        <f t="shared" ca="1" si="6"/>
        <v>65.753999999999991</v>
      </c>
      <c r="Z35" s="309">
        <f t="shared" ca="1" si="6"/>
        <v>68.754000000000005</v>
      </c>
      <c r="AA35" s="309">
        <f t="shared" ca="1" si="6"/>
        <v>71.753999999999991</v>
      </c>
      <c r="AB35" s="309">
        <f t="shared" ca="1" si="6"/>
        <v>74.753999999999991</v>
      </c>
      <c r="AC35" s="309">
        <f t="shared" ca="1" si="6"/>
        <v>77.753999999999991</v>
      </c>
      <c r="AD35" s="309">
        <f t="shared" ca="1" si="6"/>
        <v>80.753999999999991</v>
      </c>
      <c r="AE35" s="309">
        <f t="shared" ca="1" si="6"/>
        <v>83.753999999999991</v>
      </c>
      <c r="AF35" s="56">
        <f t="shared" ca="1" si="6"/>
        <v>87.175559289999995</v>
      </c>
      <c r="AJ35" s="75"/>
    </row>
    <row r="36" spans="1:36" s="301" customFormat="1">
      <c r="A36" s="561">
        <v>36</v>
      </c>
      <c r="C36" s="10"/>
      <c r="D36" s="29"/>
      <c r="E36" s="29"/>
      <c r="F36" s="36"/>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row>
    <row r="37" spans="1:36" s="301" customFormat="1">
      <c r="A37" s="561">
        <v>37</v>
      </c>
      <c r="C37" s="10"/>
      <c r="D37" s="29"/>
      <c r="E37" s="29"/>
      <c r="F37" s="199" t="s">
        <v>684</v>
      </c>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row>
    <row r="38" spans="1:36" s="301" customFormat="1">
      <c r="A38" s="561">
        <v>38</v>
      </c>
      <c r="C38" s="10"/>
      <c r="D38" s="29"/>
      <c r="E38" s="568"/>
      <c r="F38" s="569"/>
      <c r="G38" s="570">
        <v>2010</v>
      </c>
      <c r="H38" s="570">
        <v>2011</v>
      </c>
      <c r="I38" s="570">
        <v>2012</v>
      </c>
      <c r="J38" s="570">
        <v>2013</v>
      </c>
      <c r="K38" s="570">
        <v>2014</v>
      </c>
      <c r="L38" s="570">
        <v>2015</v>
      </c>
      <c r="M38" s="570">
        <v>2016</v>
      </c>
      <c r="N38" s="570">
        <v>2017</v>
      </c>
      <c r="O38" s="570">
        <v>2018</v>
      </c>
      <c r="P38" s="570">
        <v>2019</v>
      </c>
      <c r="Q38" s="570">
        <v>2020</v>
      </c>
      <c r="R38" s="570">
        <v>2021</v>
      </c>
      <c r="S38" s="570">
        <v>2022</v>
      </c>
      <c r="T38" s="570">
        <v>2023</v>
      </c>
      <c r="U38" s="570">
        <v>2024</v>
      </c>
      <c r="V38" s="570">
        <v>2025</v>
      </c>
      <c r="W38" s="570">
        <v>2026</v>
      </c>
      <c r="X38" s="570">
        <v>2027</v>
      </c>
      <c r="Y38" s="570">
        <v>2028</v>
      </c>
      <c r="Z38" s="570">
        <v>2029</v>
      </c>
      <c r="AA38" s="570">
        <v>2030</v>
      </c>
      <c r="AB38" s="570">
        <v>2031</v>
      </c>
      <c r="AC38" s="570">
        <v>2032</v>
      </c>
      <c r="AD38" s="570">
        <v>2033</v>
      </c>
      <c r="AE38" s="570">
        <v>2034</v>
      </c>
      <c r="AF38" s="571">
        <v>2035</v>
      </c>
    </row>
    <row r="39" spans="1:36" s="301" customFormat="1">
      <c r="A39" s="561">
        <v>39</v>
      </c>
      <c r="C39" s="10"/>
      <c r="D39" s="29"/>
      <c r="E39" s="572" t="s">
        <v>25</v>
      </c>
      <c r="F39" s="573" t="s">
        <v>387</v>
      </c>
      <c r="G39" s="323">
        <f>'MOD-Berechnungen'!F238-G46</f>
        <v>5.444</v>
      </c>
      <c r="H39" s="323">
        <f>'MOD-Berechnungen'!G238-H46</f>
        <v>6.0667459999999993</v>
      </c>
      <c r="I39" s="323">
        <f>'MOD-Berechnungen'!H238-I46</f>
        <v>5.8298559999999995</v>
      </c>
      <c r="J39" s="323">
        <f>'MOD-Berechnungen'!I238-J46</f>
        <v>6.2952879999999993</v>
      </c>
      <c r="K39" s="323">
        <f>'MOD-Berechnungen'!J238-K46</f>
        <v>6.154331</v>
      </c>
      <c r="L39" s="323">
        <f>'MOD-Berechnungen'!K238-L46</f>
        <v>5.5166015752700002</v>
      </c>
      <c r="M39" s="323">
        <f>'MOD-Berechnungen'!L238-M46</f>
        <v>5.0529195435900016</v>
      </c>
      <c r="N39" s="323">
        <f>'MOD-Berechnungen'!M238-N46</f>
        <v>5.0340497366400019</v>
      </c>
      <c r="O39" s="323">
        <f>'MOD-Berechnungen'!N238-O46</f>
        <v>4.6366775366400015</v>
      </c>
      <c r="P39" s="323">
        <f>'MOD-Berechnungen'!O238-P46</f>
        <v>5.1641725366400015</v>
      </c>
      <c r="Q39" s="323">
        <f>'MOD-Berechnungen'!P238-Q46</f>
        <v>4.8405825366400022</v>
      </c>
      <c r="R39" s="323">
        <f>'MOD-Berechnungen'!Q238-R46</f>
        <v>4.9153125366400019</v>
      </c>
      <c r="S39" s="323">
        <f>'MOD-Berechnungen'!R238-S46</f>
        <v>4.6629615366400019</v>
      </c>
      <c r="T39" s="323">
        <f>'MOD-Berechnungen'!S238-T46</f>
        <v>6.3653839009576823</v>
      </c>
      <c r="U39" s="323">
        <f>'MOD-Berechnungen'!T238-U46</f>
        <v>6.3653839009576823</v>
      </c>
      <c r="V39" s="323">
        <f>'MOD-Berechnungen'!U238-V46</f>
        <v>6.3653839009576831</v>
      </c>
      <c r="W39" s="323">
        <f>'MOD-Berechnungen'!V238-W46</f>
        <v>6.3653839009576814</v>
      </c>
      <c r="X39" s="323">
        <f>'MOD-Berechnungen'!W238-X46</f>
        <v>6.3653839009576831</v>
      </c>
      <c r="Y39" s="323">
        <f>'MOD-Berechnungen'!X238-Y46</f>
        <v>6.3653839009576823</v>
      </c>
      <c r="Z39" s="323">
        <f>'MOD-Berechnungen'!Y238-Z46</f>
        <v>6.3653839009576814</v>
      </c>
      <c r="AA39" s="323">
        <f>'MOD-Berechnungen'!Z238-AA46</f>
        <v>5.8264018677620077</v>
      </c>
      <c r="AB39" s="323">
        <f>'MOD-Berechnungen'!AA238-AB46</f>
        <v>5.3606672290276052</v>
      </c>
      <c r="AC39" s="323">
        <f>'MOD-Berechnungen'!AB238-AC46</f>
        <v>5.0397223665748268</v>
      </c>
      <c r="AD39" s="323">
        <f>'MOD-Berechnungen'!AC238-AD46</f>
        <v>4.8537221589924613</v>
      </c>
      <c r="AE39" s="323">
        <f>'MOD-Berechnungen'!AD238-AE46</f>
        <v>4.2530569317466345</v>
      </c>
      <c r="AF39" s="324">
        <f>'MOD-Berechnungen'!AE238-AF46</f>
        <v>4.2024045692321126</v>
      </c>
      <c r="AH39" s="301" t="s">
        <v>673</v>
      </c>
      <c r="AI39" s="10" t="s">
        <v>677</v>
      </c>
    </row>
    <row r="40" spans="1:36" s="301" customFormat="1">
      <c r="A40" s="561">
        <v>40</v>
      </c>
      <c r="C40" s="10"/>
      <c r="D40" s="29"/>
      <c r="E40" s="574" t="s">
        <v>50</v>
      </c>
      <c r="F40" s="575" t="s">
        <v>387</v>
      </c>
      <c r="G40" s="332">
        <f>'MOD-Berechnungen'!F239-G47</f>
        <v>1.835</v>
      </c>
      <c r="H40" s="332">
        <f>'MOD-Berechnungen'!G239-H47</f>
        <v>1.993012</v>
      </c>
      <c r="I40" s="332">
        <f>'MOD-Berechnungen'!H239-I47</f>
        <v>1.667049</v>
      </c>
      <c r="J40" s="332">
        <f>'MOD-Berechnungen'!I239-J47</f>
        <v>1.9069669999999999</v>
      </c>
      <c r="K40" s="332">
        <f>'MOD-Berechnungen'!J239-K47</f>
        <v>1.824149</v>
      </c>
      <c r="L40" s="332">
        <f>'MOD-Berechnungen'!K239-L47</f>
        <v>1.6121632090000002</v>
      </c>
      <c r="M40" s="332">
        <f>'MOD-Berechnungen'!L239-M47</f>
        <v>1.4688885760000006</v>
      </c>
      <c r="N40" s="332">
        <f>'MOD-Berechnungen'!M239-N47</f>
        <v>1.2400593340000006</v>
      </c>
      <c r="O40" s="332">
        <f>'MOD-Berechnungen'!N239-O47</f>
        <v>1.5150779340000005</v>
      </c>
      <c r="P40" s="332">
        <f>'MOD-Berechnungen'!O239-P47</f>
        <v>1.5302029340000005</v>
      </c>
      <c r="Q40" s="332">
        <f>'MOD-Berechnungen'!P239-Q47</f>
        <v>1.2550235686604219</v>
      </c>
      <c r="R40" s="332">
        <f>'MOD-Berechnungen'!Q239-R47</f>
        <v>1.0587759260931209</v>
      </c>
      <c r="S40" s="332">
        <f>'MOD-Berechnungen'!R239-S47</f>
        <v>1.2013146488653981</v>
      </c>
      <c r="T40" s="332">
        <f>'MOD-Berechnungen'!S239-T47</f>
        <v>0.74197769522039092</v>
      </c>
      <c r="U40" s="332">
        <f>'MOD-Berechnungen'!T239-U47</f>
        <v>0.43927686747089778</v>
      </c>
      <c r="V40" s="332">
        <f>'MOD-Berechnungen'!U239-V47</f>
        <v>0.15582886179697542</v>
      </c>
      <c r="W40" s="332">
        <f>'MOD-Berechnungen'!V239-W47</f>
        <v>0.12537230832477719</v>
      </c>
      <c r="X40" s="332">
        <f>'MOD-Berechnungen'!W239-X47</f>
        <v>0.1004752485267224</v>
      </c>
      <c r="Y40" s="332">
        <f>'MOD-Berechnungen'!X239-Y47</f>
        <v>9.6752700738409081E-2</v>
      </c>
      <c r="Z40" s="332">
        <f>'MOD-Berechnungen'!Y239-Z47</f>
        <v>9.3619703214801564E-2</v>
      </c>
      <c r="AA40" s="332">
        <f>'MOD-Berechnungen'!Z239-AA47</f>
        <v>5.5079993384563375E-2</v>
      </c>
      <c r="AB40" s="332">
        <f>'MOD-Berechnungen'!AA239-AB47</f>
        <v>4.8352437199624954E-2</v>
      </c>
      <c r="AC40" s="332">
        <f>'MOD-Berechnungen'!AB239-AC47</f>
        <v>1.5104555416539989E-2</v>
      </c>
      <c r="AD40" s="332">
        <f>'MOD-Berechnungen'!AC239-AD47</f>
        <v>1.2367230452041245E-2</v>
      </c>
      <c r="AE40" s="332">
        <f>'MOD-Berechnungen'!AD239-AE47</f>
        <v>8.1202989778740298E-3</v>
      </c>
      <c r="AF40" s="333">
        <f>'MOD-Berechnungen'!AE239-AF47</f>
        <v>0</v>
      </c>
    </row>
    <row r="41" spans="1:36" s="301" customFormat="1">
      <c r="A41" s="561">
        <v>41</v>
      </c>
      <c r="C41" s="10"/>
      <c r="D41" s="29"/>
      <c r="E41" s="574" t="s">
        <v>13</v>
      </c>
      <c r="F41" s="575" t="s">
        <v>387</v>
      </c>
      <c r="G41" s="332">
        <f>'MOD-Berechnungen'!F240-G48</f>
        <v>26.262</v>
      </c>
      <c r="H41" s="332">
        <f>'MOD-Berechnungen'!G240-H48</f>
        <v>27.776935999999999</v>
      </c>
      <c r="I41" s="332">
        <f>'MOD-Berechnungen'!H240-I48</f>
        <v>30.355590999999997</v>
      </c>
      <c r="J41" s="332">
        <f>'MOD-Berechnungen'!I240-J48</f>
        <v>33.165135999999997</v>
      </c>
      <c r="K41" s="332">
        <f>'MOD-Berechnungen'!J240-K48</f>
        <v>34.944730999999997</v>
      </c>
      <c r="L41" s="332">
        <f>'MOD-Berechnungen'!K240-L48</f>
        <v>37.700092659999996</v>
      </c>
      <c r="M41" s="332">
        <f>'MOD-Berechnungen'!L240-M48</f>
        <v>38.473878319999997</v>
      </c>
      <c r="N41" s="332">
        <f>'MOD-Berechnungen'!M240-N48</f>
        <v>37.941908319999996</v>
      </c>
      <c r="O41" s="332">
        <f>'MOD-Berechnungen'!N240-O48</f>
        <v>37.257408157999997</v>
      </c>
      <c r="P41" s="332">
        <f>'MOD-Berechnungen'!O240-P48</f>
        <v>35.534449677999994</v>
      </c>
      <c r="Q41" s="332">
        <f>'MOD-Berechnungen'!P240-Q48</f>
        <v>34.912452359999996</v>
      </c>
      <c r="R41" s="332">
        <f>'MOD-Berechnungen'!Q240-R48</f>
        <v>32.772456359999993</v>
      </c>
      <c r="S41" s="332">
        <f>'MOD-Berechnungen'!R240-S48</f>
        <v>29.283592859999999</v>
      </c>
      <c r="T41" s="332">
        <f>'MOD-Berechnungen'!S240-T48</f>
        <v>35.281828643349996</v>
      </c>
      <c r="U41" s="332">
        <f>'MOD-Berechnungen'!T240-U48</f>
        <v>33.981702091599999</v>
      </c>
      <c r="V41" s="332">
        <f>'MOD-Berechnungen'!U240-V48</f>
        <v>30.77280041265</v>
      </c>
      <c r="W41" s="332">
        <f>'MOD-Berechnungen'!V240-W48</f>
        <v>26.873186120149995</v>
      </c>
      <c r="X41" s="332">
        <f>'MOD-Berechnungen'!W240-X48</f>
        <v>22.120134741999998</v>
      </c>
      <c r="Y41" s="332">
        <f>'MOD-Berechnungen'!X240-Y48</f>
        <v>18.530174839999997</v>
      </c>
      <c r="Z41" s="332">
        <f>'MOD-Berechnungen'!Y240-Z48</f>
        <v>16.527640618</v>
      </c>
      <c r="AA41" s="332">
        <f>'MOD-Berechnungen'!Z240-AA48</f>
        <v>13.976199777999998</v>
      </c>
      <c r="AB41" s="332">
        <f>'MOD-Berechnungen'!AA240-AB48</f>
        <v>10.405301360000003</v>
      </c>
      <c r="AC41" s="332">
        <f>'MOD-Berechnungen'!AB240-AC48</f>
        <v>4.4854457536999988</v>
      </c>
      <c r="AD41" s="332">
        <f>'MOD-Berechnungen'!AC240-AD48</f>
        <v>2.614134110200002</v>
      </c>
      <c r="AE41" s="332">
        <f>'MOD-Berechnungen'!AD240-AE48</f>
        <v>1.1772704446499986</v>
      </c>
      <c r="AF41" s="333">
        <f>'MOD-Berechnungen'!AE240-AF48</f>
        <v>0</v>
      </c>
    </row>
    <row r="42" spans="1:36" s="301" customFormat="1">
      <c r="A42" s="561">
        <v>42</v>
      </c>
      <c r="C42" s="10"/>
      <c r="D42" s="29"/>
      <c r="E42" s="574" t="s">
        <v>12</v>
      </c>
      <c r="F42" s="575" t="s">
        <v>387</v>
      </c>
      <c r="G42" s="332">
        <f>'MOD-Berechnungen'!F241-G49</f>
        <v>3.5999999999999997E-2</v>
      </c>
      <c r="H42" s="332">
        <f>'MOD-Berechnungen'!G241-H49</f>
        <v>6.1612E-2</v>
      </c>
      <c r="I42" s="332">
        <f>'MOD-Berechnungen'!H241-I49</f>
        <v>0.10724</v>
      </c>
      <c r="J42" s="332">
        <f>'MOD-Berechnungen'!I241-J49</f>
        <v>7.6874999999999999E-2</v>
      </c>
      <c r="K42" s="332">
        <f>'MOD-Berechnungen'!J241-K49</f>
        <v>0.130407</v>
      </c>
      <c r="L42" s="332">
        <f>'MOD-Berechnungen'!K241-L49</f>
        <v>0.15870499999999998</v>
      </c>
      <c r="M42" s="332">
        <f>'MOD-Berechnungen'!L241-M49</f>
        <v>0.1695035</v>
      </c>
      <c r="N42" s="332">
        <f>'MOD-Berechnungen'!M241-N49</f>
        <v>0.16151500000000002</v>
      </c>
      <c r="O42" s="332">
        <f>'MOD-Berechnungen'!N241-O49</f>
        <v>0.20720700000000003</v>
      </c>
      <c r="P42" s="332">
        <f>'MOD-Berechnungen'!O241-P49</f>
        <v>0.20774100000000001</v>
      </c>
      <c r="Q42" s="332">
        <f>'MOD-Berechnungen'!P241-Q49</f>
        <v>0.10962950000000002</v>
      </c>
      <c r="R42" s="332">
        <f>'MOD-Berechnungen'!Q241-R49</f>
        <v>0.12288550000000004</v>
      </c>
      <c r="S42" s="332">
        <f>'MOD-Berechnungen'!R241-S49</f>
        <v>0.10861500000000002</v>
      </c>
      <c r="T42" s="332">
        <f>'MOD-Berechnungen'!S241-T49</f>
        <v>0.14968884020373419</v>
      </c>
      <c r="U42" s="332">
        <f>'MOD-Berechnungen'!T241-U49</f>
        <v>0.14968884020373419</v>
      </c>
      <c r="V42" s="332">
        <f>'MOD-Berechnungen'!U241-V49</f>
        <v>0.14968884020373419</v>
      </c>
      <c r="W42" s="332">
        <f>'MOD-Berechnungen'!V241-W49</f>
        <v>0.14968884020373419</v>
      </c>
      <c r="X42" s="332">
        <f>'MOD-Berechnungen'!W241-X49</f>
        <v>0.14968884020373419</v>
      </c>
      <c r="Y42" s="332">
        <f>'MOD-Berechnungen'!X241-Y49</f>
        <v>0.14968884020373419</v>
      </c>
      <c r="Z42" s="332">
        <f>'MOD-Berechnungen'!Y241-Z49</f>
        <v>0.14968884020373419</v>
      </c>
      <c r="AA42" s="332">
        <f>'MOD-Berechnungen'!Z241-AA49</f>
        <v>0.14027279747116284</v>
      </c>
      <c r="AB42" s="332">
        <f>'MOD-Berechnungen'!AA241-AB49</f>
        <v>0.14027279747116284</v>
      </c>
      <c r="AC42" s="332">
        <f>'MOD-Berechnungen'!AB241-AC49</f>
        <v>0.14027279747116284</v>
      </c>
      <c r="AD42" s="332">
        <f>'MOD-Berechnungen'!AC241-AD49</f>
        <v>8.0174710482014078E-2</v>
      </c>
      <c r="AE42" s="332">
        <f>'MOD-Berechnungen'!AD241-AE49</f>
        <v>1.6693808528381426E-2</v>
      </c>
      <c r="AF42" s="333">
        <f>'MOD-Berechnungen'!AE241-AF49</f>
        <v>0</v>
      </c>
    </row>
    <row r="43" spans="1:36" s="301" customFormat="1">
      <c r="A43" s="561">
        <v>43</v>
      </c>
      <c r="C43" s="10"/>
      <c r="D43" s="29"/>
      <c r="E43" s="574" t="s">
        <v>24</v>
      </c>
      <c r="F43" s="575" t="s">
        <v>387</v>
      </c>
      <c r="G43" s="332">
        <f>'MOD-Berechnungen'!F242-G50</f>
        <v>47.704000000000001</v>
      </c>
      <c r="H43" s="332">
        <f>'MOD-Berechnungen'!G242-H50</f>
        <v>53.882748999999997</v>
      </c>
      <c r="I43" s="332">
        <f>'MOD-Berechnungen'!H242-I50</f>
        <v>50.125189999999996</v>
      </c>
      <c r="J43" s="332">
        <f>'MOD-Berechnungen'!I242-J50</f>
        <v>55.830889999999997</v>
      </c>
      <c r="K43" s="332">
        <f>'MOD-Berechnungen'!J242-K50</f>
        <v>62.190390000000001</v>
      </c>
      <c r="L43" s="332">
        <f>'MOD-Berechnungen'!K242-L50</f>
        <v>62.596261959692413</v>
      </c>
      <c r="M43" s="332">
        <f>'MOD-Berechnungen'!L242-M50</f>
        <v>62.246703687394799</v>
      </c>
      <c r="N43" s="332">
        <f>'MOD-Berechnungen'!M242-N50</f>
        <v>56.616944412010042</v>
      </c>
      <c r="O43" s="332">
        <f>'MOD-Berechnungen'!N242-O50</f>
        <v>57.881769459921806</v>
      </c>
      <c r="P43" s="332">
        <f>'MOD-Berechnungen'!O242-P50</f>
        <v>59.164171672252408</v>
      </c>
      <c r="Q43" s="332">
        <f>'MOD-Berechnungen'!P242-Q50</f>
        <v>58.715586914300651</v>
      </c>
      <c r="R43" s="332">
        <f>'MOD-Berechnungen'!Q242-R50</f>
        <v>54.075516156348904</v>
      </c>
      <c r="S43" s="332">
        <f>'MOD-Berechnungen'!R242-S50</f>
        <v>53.748786277373028</v>
      </c>
      <c r="T43" s="332">
        <f>'MOD-Berechnungen'!S242-T50</f>
        <v>45.041890448759993</v>
      </c>
      <c r="U43" s="332">
        <f>'MOD-Berechnungen'!T242-U50</f>
        <v>40.592740532760004</v>
      </c>
      <c r="V43" s="332">
        <f>'MOD-Berechnungen'!U242-V50</f>
        <v>37.230717405760004</v>
      </c>
      <c r="W43" s="332">
        <f>'MOD-Berechnungen'!V242-W50</f>
        <v>34.261128196259989</v>
      </c>
      <c r="X43" s="332">
        <f>'MOD-Berechnungen'!W242-X50</f>
        <v>30.61088339026</v>
      </c>
      <c r="Y43" s="332">
        <f>'MOD-Berechnungen'!X242-Y50</f>
        <v>27.850498360860001</v>
      </c>
      <c r="Z43" s="332">
        <f>'MOD-Berechnungen'!Y242-Z50</f>
        <v>26.586956992859996</v>
      </c>
      <c r="AA43" s="332">
        <f>'MOD-Berechnungen'!Z242-AA50</f>
        <v>22.168137543819995</v>
      </c>
      <c r="AB43" s="332">
        <f>'MOD-Berechnungen'!AA242-AB50</f>
        <v>19.832695696770003</v>
      </c>
      <c r="AC43" s="332">
        <f>'MOD-Berechnungen'!AB242-AC50</f>
        <v>16.760894237149998</v>
      </c>
      <c r="AD43" s="332">
        <f>'MOD-Berechnungen'!AC242-AD50</f>
        <v>12.79751338154</v>
      </c>
      <c r="AE43" s="332">
        <f>'MOD-Berechnungen'!AD242-AE50</f>
        <v>7.8334225413099858</v>
      </c>
      <c r="AF43" s="333">
        <f>'MOD-Berechnungen'!AE242-AF50</f>
        <v>0</v>
      </c>
    </row>
    <row r="44" spans="1:36" s="301" customFormat="1">
      <c r="A44" s="561">
        <v>44</v>
      </c>
      <c r="C44" s="10"/>
      <c r="D44" s="29"/>
      <c r="E44" s="574" t="s">
        <v>26</v>
      </c>
      <c r="F44" s="575" t="s">
        <v>387</v>
      </c>
      <c r="G44" s="332">
        <f>'MOD-Berechnungen'!F243-G51</f>
        <v>0.65400000000000003</v>
      </c>
      <c r="H44" s="332">
        <f>'MOD-Berechnungen'!G243-H51</f>
        <v>1.1467909999999999</v>
      </c>
      <c r="I44" s="332">
        <f>'MOD-Berechnungen'!H243-I51</f>
        <v>1.361415</v>
      </c>
      <c r="J44" s="332">
        <f>'MOD-Berechnungen'!I243-J51</f>
        <v>2.4940419999999999</v>
      </c>
      <c r="K44" s="332">
        <f>'MOD-Berechnungen'!J243-K51</f>
        <v>7.397958</v>
      </c>
      <c r="L44" s="332">
        <f>'MOD-Berechnungen'!K243-L51</f>
        <v>7.2689449999999995</v>
      </c>
      <c r="M44" s="332">
        <f>'MOD-Berechnungen'!L243-M51</f>
        <v>5.9073369999999983</v>
      </c>
      <c r="N44" s="332">
        <f>'MOD-Berechnungen'!M243-N51</f>
        <v>6.7173849999999984</v>
      </c>
      <c r="O44" s="332">
        <f>'MOD-Berechnungen'!N243-O51</f>
        <v>5.0958149999999982</v>
      </c>
      <c r="P44" s="332">
        <f>'MOD-Berechnungen'!O243-P51</f>
        <v>4.9493379999999974</v>
      </c>
      <c r="Q44" s="332">
        <f>'MOD-Berechnungen'!P243-Q51</f>
        <v>5.7977289999999968</v>
      </c>
      <c r="R44" s="332">
        <f>'MOD-Berechnungen'!Q243-R51</f>
        <v>5.0627539999999982</v>
      </c>
      <c r="S44" s="332">
        <f>'MOD-Berechnungen'!R243-S51</f>
        <v>4.9018079999999955</v>
      </c>
      <c r="T44" s="332">
        <f>'MOD-Berechnungen'!S243-T51</f>
        <v>3.4412279999999988</v>
      </c>
      <c r="U44" s="332">
        <f>'MOD-Berechnungen'!T243-U51</f>
        <v>3.4412279999999988</v>
      </c>
      <c r="V44" s="332">
        <f>'MOD-Berechnungen'!U243-V51</f>
        <v>3.4412280000000024</v>
      </c>
      <c r="W44" s="332">
        <f>'MOD-Berechnungen'!V243-W51</f>
        <v>3.4412280000000024</v>
      </c>
      <c r="X44" s="332">
        <f>'MOD-Berechnungen'!W243-X51</f>
        <v>3.4412280000000024</v>
      </c>
      <c r="Y44" s="332">
        <f>'MOD-Berechnungen'!X243-Y51</f>
        <v>3.4412280000000024</v>
      </c>
      <c r="Z44" s="332">
        <f>'MOD-Berechnungen'!Y243-Z51</f>
        <v>3.4412280000000024</v>
      </c>
      <c r="AA44" s="332">
        <f>'MOD-Berechnungen'!Z243-AA51</f>
        <v>3.3311363999999983</v>
      </c>
      <c r="AB44" s="332">
        <f>'MOD-Berechnungen'!AA243-AB51</f>
        <v>3.1753463999999951</v>
      </c>
      <c r="AC44" s="332">
        <f>'MOD-Berechnungen'!AB243-AC51</f>
        <v>2.8004118000000062</v>
      </c>
      <c r="AD44" s="332">
        <f>'MOD-Berechnungen'!AC243-AD51</f>
        <v>2.5234518000000037</v>
      </c>
      <c r="AE44" s="332">
        <f>'MOD-Berechnungen'!AD243-AE51</f>
        <v>1.6925717999999961</v>
      </c>
      <c r="AF44" s="333">
        <f>'MOD-Berechnungen'!AE243-AF51</f>
        <v>0</v>
      </c>
    </row>
    <row r="45" spans="1:36" s="301" customFormat="1">
      <c r="A45" s="561">
        <v>45</v>
      </c>
      <c r="C45" s="10"/>
      <c r="D45" s="29"/>
      <c r="E45" s="576" t="s">
        <v>74</v>
      </c>
      <c r="F45" s="577" t="s">
        <v>387</v>
      </c>
      <c r="G45" s="309">
        <f>'MOD-Berechnungen'!F244-G52</f>
        <v>8.2959999999999994</v>
      </c>
      <c r="H45" s="309">
        <f>'MOD-Berechnungen'!G244-H52</f>
        <v>19.399286999999998</v>
      </c>
      <c r="I45" s="309">
        <f>'MOD-Berechnungen'!H244-I52</f>
        <v>24.072319</v>
      </c>
      <c r="J45" s="309">
        <f>'MOD-Berechnungen'!I244-J52</f>
        <v>34.673694999999995</v>
      </c>
      <c r="K45" s="309">
        <f>'MOD-Berechnungen'!J244-K52</f>
        <v>36.594586999999997</v>
      </c>
      <c r="L45" s="309">
        <f>'MOD-Berechnungen'!K244-L52</f>
        <v>35.461438000000001</v>
      </c>
      <c r="M45" s="309">
        <f>'MOD-Berechnungen'!L244-M52</f>
        <v>34.856110000000001</v>
      </c>
      <c r="N45" s="309">
        <f>'MOD-Berechnungen'!M244-N52</f>
        <v>33.119583999999996</v>
      </c>
      <c r="O45" s="309">
        <f>'MOD-Berechnungen'!N244-O52</f>
        <v>33.573972499999996</v>
      </c>
      <c r="P45" s="309">
        <f>'MOD-Berechnungen'!O244-P52</f>
        <v>33.019251499999996</v>
      </c>
      <c r="Q45" s="309">
        <f>'MOD-Berechnungen'!P244-Q52</f>
        <v>30.887873499999998</v>
      </c>
      <c r="R45" s="309">
        <f>'MOD-Berechnungen'!Q244-R52</f>
        <v>31.364225000000001</v>
      </c>
      <c r="S45" s="309">
        <f>'MOD-Berechnungen'!R244-S52</f>
        <v>34.704889049083462</v>
      </c>
      <c r="T45" s="309">
        <f>'MOD-Berechnungen'!S244-T52</f>
        <v>36.054880575360066</v>
      </c>
      <c r="U45" s="309">
        <f>'MOD-Berechnungen'!T244-U52</f>
        <v>35.918131887360069</v>
      </c>
      <c r="V45" s="309">
        <f>'MOD-Berechnungen'!U244-V52</f>
        <v>35.288343759360053</v>
      </c>
      <c r="W45" s="309">
        <f>'MOD-Berechnungen'!V244-W52</f>
        <v>34.400725781760059</v>
      </c>
      <c r="X45" s="309">
        <f>'MOD-Berechnungen'!W244-X52</f>
        <v>33.589914629760052</v>
      </c>
      <c r="Y45" s="309">
        <f>'MOD-Berechnungen'!X244-Y52</f>
        <v>32.386313548800047</v>
      </c>
      <c r="Z45" s="309">
        <f>'MOD-Berechnungen'!Y244-Z52</f>
        <v>30.485952163200054</v>
      </c>
      <c r="AA45" s="309">
        <f>'MOD-Berechnungen'!Z244-AA52</f>
        <v>26.225030716800049</v>
      </c>
      <c r="AB45" s="309">
        <f>'MOD-Berechnungen'!AA244-AB52</f>
        <v>18.934909430400012</v>
      </c>
      <c r="AC45" s="309">
        <f>'MOD-Berechnungen'!AB244-AC52</f>
        <v>11.254534972800002</v>
      </c>
      <c r="AD45" s="309">
        <f>'MOD-Berechnungen'!AC244-AD52</f>
        <v>4.6859328479999789</v>
      </c>
      <c r="AE45" s="309">
        <f>'MOD-Berechnungen'!AD244-AE52</f>
        <v>1.6757369183999913</v>
      </c>
      <c r="AF45" s="56">
        <f>'MOD-Berechnungen'!AE244-AF52</f>
        <v>0</v>
      </c>
    </row>
    <row r="46" spans="1:36" s="301" customFormat="1">
      <c r="A46" s="561">
        <v>46</v>
      </c>
      <c r="C46" s="10"/>
      <c r="D46" s="29"/>
      <c r="E46" s="574" t="s">
        <v>25</v>
      </c>
      <c r="F46" s="578"/>
      <c r="G46" s="332"/>
      <c r="H46" s="332"/>
      <c r="I46" s="332"/>
      <c r="J46" s="332"/>
      <c r="K46" s="332"/>
      <c r="L46" s="332">
        <f>'MOD-Berechnungen'!K228</f>
        <v>0.57525142472999935</v>
      </c>
      <c r="M46" s="332">
        <f>'MOD-Berechnungen'!L228</f>
        <v>1.1932944564099985</v>
      </c>
      <c r="N46" s="332">
        <f>'MOD-Berechnungen'!M228</f>
        <v>1.246767263359998</v>
      </c>
      <c r="O46" s="332">
        <f>'MOD-Berechnungen'!N228</f>
        <v>1.2871184633599981</v>
      </c>
      <c r="P46" s="332">
        <f>'MOD-Berechnungen'!O228</f>
        <v>1.3504144633599979</v>
      </c>
      <c r="Q46" s="332">
        <f>'MOD-Berechnungen'!P228</f>
        <v>1.4097544633599979</v>
      </c>
      <c r="R46" s="332">
        <f>'MOD-Berechnungen'!Q228</f>
        <v>1.4631184633599978</v>
      </c>
      <c r="S46" s="332">
        <f>'MOD-Berechnungen'!R228</f>
        <v>1.5114704633599976</v>
      </c>
      <c r="T46" s="332">
        <f>'MOD-Berechnungen'!S228</f>
        <v>1.5528909633599977</v>
      </c>
      <c r="U46" s="332">
        <f>'MOD-Berechnungen'!T228</f>
        <v>1.5943389633599976</v>
      </c>
      <c r="V46" s="332">
        <f>'MOD-Berechnungen'!U228</f>
        <v>1.6358144633599978</v>
      </c>
      <c r="W46" s="332">
        <f>'MOD-Berechnungen'!V228</f>
        <v>1.6773174633599977</v>
      </c>
      <c r="X46" s="332">
        <f>'MOD-Berechnungen'!W228</f>
        <v>1.7188314633599975</v>
      </c>
      <c r="Y46" s="332">
        <f>'MOD-Berechnungen'!X228</f>
        <v>1.7603454633599975</v>
      </c>
      <c r="Z46" s="332">
        <f>'MOD-Berechnungen'!Y228</f>
        <v>1.8018594633599974</v>
      </c>
      <c r="AA46" s="332">
        <f>'MOD-Berechnungen'!Z228</f>
        <v>1.8433734633599972</v>
      </c>
      <c r="AB46" s="332">
        <f>'MOD-Berechnungen'!AA228</f>
        <v>1.884887463359997</v>
      </c>
      <c r="AC46" s="332">
        <f>'MOD-Berechnungen'!AB228</f>
        <v>1.9264014633599971</v>
      </c>
      <c r="AD46" s="332">
        <f>'MOD-Berechnungen'!AC228</f>
        <v>1.9679154633599969</v>
      </c>
      <c r="AE46" s="332">
        <f>'MOD-Berechnungen'!AD228</f>
        <v>2.0094294633599969</v>
      </c>
      <c r="AF46" s="333">
        <f>'MOD-Berechnungen'!AE228</f>
        <v>2.0509434633599968</v>
      </c>
      <c r="AH46" s="301" t="s">
        <v>673</v>
      </c>
      <c r="AI46" s="10" t="s">
        <v>676</v>
      </c>
    </row>
    <row r="47" spans="1:36" s="301" customFormat="1">
      <c r="A47" s="561">
        <v>47</v>
      </c>
      <c r="C47" s="10"/>
      <c r="D47" s="29"/>
      <c r="E47" s="574" t="s">
        <v>50</v>
      </c>
      <c r="F47" s="578"/>
      <c r="G47" s="332"/>
      <c r="H47" s="332"/>
      <c r="I47" s="332"/>
      <c r="J47" s="332"/>
      <c r="K47" s="332"/>
      <c r="L47" s="332">
        <f>'MOD-Berechnungen'!K229</f>
        <v>6.6406790999999743E-2</v>
      </c>
      <c r="M47" s="332">
        <f>'MOD-Berechnungen'!L229</f>
        <v>0.13873742399999947</v>
      </c>
      <c r="N47" s="332">
        <f>'MOD-Berechnungen'!M229</f>
        <v>0.14801366599999941</v>
      </c>
      <c r="O47" s="332">
        <f>'MOD-Berechnungen'!N229</f>
        <v>0.16266706599999942</v>
      </c>
      <c r="P47" s="332">
        <f>'MOD-Berechnungen'!O229</f>
        <v>0.17765306599999942</v>
      </c>
      <c r="Q47" s="332">
        <f>'MOD-Berechnungen'!P229</f>
        <v>0.1847104313395779</v>
      </c>
      <c r="R47" s="332">
        <f>'MOD-Berechnungen'!Q229</f>
        <v>0.1920050739068791</v>
      </c>
      <c r="S47" s="332">
        <f>'MOD-Berechnungen'!R229</f>
        <v>0.19957535113460187</v>
      </c>
      <c r="T47" s="332">
        <f>'MOD-Berechnungen'!S229</f>
        <v>0.20673082914046698</v>
      </c>
      <c r="U47" s="332">
        <f>'MOD-Berechnungen'!T229</f>
        <v>0.21373336887472716</v>
      </c>
      <c r="V47" s="332">
        <f>'MOD-Berechnungen'!U229</f>
        <v>0.22143766137235299</v>
      </c>
      <c r="W47" s="332">
        <f>'MOD-Berechnungen'!V229</f>
        <v>0.2299241868275741</v>
      </c>
      <c r="X47" s="332">
        <f>'MOD-Berechnungen'!W229</f>
        <v>0.25671355880825042</v>
      </c>
      <c r="Y47" s="332">
        <f>'MOD-Berechnungen'!X229</f>
        <v>0.3017377133976224</v>
      </c>
      <c r="Z47" s="332">
        <f>'MOD-Berechnungen'!Y229</f>
        <v>0.34676186798699432</v>
      </c>
      <c r="AA47" s="332">
        <f>'MOD-Berechnungen'!Z229</f>
        <v>0.3917860225763663</v>
      </c>
      <c r="AB47" s="332">
        <f>'MOD-Berechnungen'!AA229</f>
        <v>0.43681017716573828</v>
      </c>
      <c r="AC47" s="332">
        <f>'MOD-Berechnungen'!AB229</f>
        <v>0.4818343317551102</v>
      </c>
      <c r="AD47" s="332">
        <f>'MOD-Berechnungen'!AC229</f>
        <v>0.52685848634448218</v>
      </c>
      <c r="AE47" s="332">
        <f>'MOD-Berechnungen'!AD229</f>
        <v>0.57188264093385421</v>
      </c>
      <c r="AF47" s="333">
        <f>'MOD-Berechnungen'!AE229</f>
        <v>0.61690679552322614</v>
      </c>
    </row>
    <row r="48" spans="1:36" s="301" customFormat="1">
      <c r="A48" s="561">
        <v>48</v>
      </c>
      <c r="C48" s="10"/>
      <c r="D48" s="29"/>
      <c r="E48" s="574" t="s">
        <v>13</v>
      </c>
      <c r="F48" s="578"/>
      <c r="G48" s="332"/>
      <c r="H48" s="332"/>
      <c r="I48" s="332"/>
      <c r="J48" s="332"/>
      <c r="K48" s="332"/>
      <c r="L48" s="332">
        <f>'MOD-Berechnungen'!K230</f>
        <v>0.65751134</v>
      </c>
      <c r="M48" s="332">
        <f>'MOD-Berechnungen'!L230</f>
        <v>1.7649666799999999</v>
      </c>
      <c r="N48" s="332">
        <f>'MOD-Berechnungen'!M230</f>
        <v>2.8284846799999999</v>
      </c>
      <c r="O48" s="332">
        <f>'MOD-Berechnungen'!N230</f>
        <v>4.2970808420000024</v>
      </c>
      <c r="P48" s="332">
        <f>'MOD-Berechnungen'!O230</f>
        <v>5.8171703220000044</v>
      </c>
      <c r="Q48" s="332">
        <f>'MOD-Berechnungen'!P230</f>
        <v>6.834237640000004</v>
      </c>
      <c r="R48" s="332">
        <f>'MOD-Berechnungen'!Q230</f>
        <v>7.4342376400000036</v>
      </c>
      <c r="S48" s="332">
        <f>'MOD-Berechnungen'!R230</f>
        <v>8.5000971400000029</v>
      </c>
      <c r="T48" s="332">
        <f>'MOD-Berechnungen'!S230</f>
        <v>10.093060640000003</v>
      </c>
      <c r="U48" s="332">
        <f>'MOD-Berechnungen'!T230</f>
        <v>11.603816140000005</v>
      </c>
      <c r="V48" s="332">
        <f>'MOD-Berechnungen'!U230</f>
        <v>13.037501640000004</v>
      </c>
      <c r="W48" s="332">
        <f>'MOD-Berechnungen'!V230</f>
        <v>14.397236640000003</v>
      </c>
      <c r="X48" s="332">
        <f>'MOD-Berechnungen'!W230</f>
        <v>15.458937640000004</v>
      </c>
      <c r="Y48" s="332">
        <f>'MOD-Berechnungen'!X230</f>
        <v>16.258937640000003</v>
      </c>
      <c r="Z48" s="332">
        <f>'MOD-Berechnungen'!Y230</f>
        <v>17.058937640000003</v>
      </c>
      <c r="AA48" s="332">
        <f>'MOD-Berechnungen'!Z230</f>
        <v>17.858937640000004</v>
      </c>
      <c r="AB48" s="332">
        <f>'MOD-Berechnungen'!AA230</f>
        <v>18.658937640000005</v>
      </c>
      <c r="AC48" s="332">
        <f>'MOD-Berechnungen'!AB230</f>
        <v>19.458937640000002</v>
      </c>
      <c r="AD48" s="332">
        <f>'MOD-Berechnungen'!AC230</f>
        <v>20.258937640000003</v>
      </c>
      <c r="AE48" s="332">
        <f>'MOD-Berechnungen'!AD230</f>
        <v>21.058937640000003</v>
      </c>
      <c r="AF48" s="333">
        <f>'MOD-Berechnungen'!AE230</f>
        <v>21.858937640000004</v>
      </c>
    </row>
    <row r="49" spans="1:32" s="301" customFormat="1">
      <c r="A49" s="561">
        <v>49</v>
      </c>
      <c r="C49" s="10"/>
      <c r="D49" s="29"/>
      <c r="E49" s="574" t="s">
        <v>12</v>
      </c>
      <c r="F49" s="578"/>
      <c r="G49" s="332"/>
      <c r="H49" s="332"/>
      <c r="I49" s="332"/>
      <c r="J49" s="332"/>
      <c r="K49" s="332"/>
      <c r="L49" s="332">
        <f>'MOD-Berechnungen'!K231</f>
        <v>0</v>
      </c>
      <c r="M49" s="332">
        <f>'MOD-Berechnungen'!L231</f>
        <v>1.0852499999999996E-2</v>
      </c>
      <c r="N49" s="332">
        <f>'MOD-Berechnungen'!M231</f>
        <v>2.8008999999999992E-2</v>
      </c>
      <c r="O49" s="332">
        <f>'MOD-Berechnungen'!N231</f>
        <v>5.0072999999999986E-2</v>
      </c>
      <c r="P49" s="332">
        <f>'MOD-Berechnungen'!O231</f>
        <v>7.8644999999999979E-2</v>
      </c>
      <c r="Q49" s="332">
        <f>'MOD-Berechnungen'!P231</f>
        <v>0.10509949999999998</v>
      </c>
      <c r="R49" s="332">
        <f>'MOD-Berechnungen'!Q231</f>
        <v>0.14482849999999997</v>
      </c>
      <c r="S49" s="332">
        <f>'MOD-Berechnungen'!R231</f>
        <v>0.23889499999999997</v>
      </c>
      <c r="T49" s="332">
        <f>'MOD-Berechnungen'!S231</f>
        <v>0.38391900000000001</v>
      </c>
      <c r="U49" s="332">
        <f>'MOD-Berechnungen'!T231</f>
        <v>0.54707099999999997</v>
      </c>
      <c r="V49" s="332">
        <f>'MOD-Berechnungen'!U231</f>
        <v>0.72608500000000009</v>
      </c>
      <c r="W49" s="332">
        <f>'MOD-Berechnungen'!V231</f>
        <v>0.92096100000000014</v>
      </c>
      <c r="X49" s="332">
        <f>'MOD-Berechnungen'!W231</f>
        <v>1.0455910000000002</v>
      </c>
      <c r="Y49" s="332">
        <f>'MOD-Berechnungen'!X231</f>
        <v>1.090911</v>
      </c>
      <c r="Z49" s="332">
        <f>'MOD-Berechnungen'!Y231</f>
        <v>1.136231</v>
      </c>
      <c r="AA49" s="332">
        <f>'MOD-Berechnungen'!Z231</f>
        <v>1.181551</v>
      </c>
      <c r="AB49" s="332">
        <f>'MOD-Berechnungen'!AA231</f>
        <v>1.2268709999999998</v>
      </c>
      <c r="AC49" s="332">
        <f>'MOD-Berechnungen'!AB231</f>
        <v>1.2721909999999998</v>
      </c>
      <c r="AD49" s="332">
        <f>'MOD-Berechnungen'!AC231</f>
        <v>1.3175109999999997</v>
      </c>
      <c r="AE49" s="332">
        <f>'MOD-Berechnungen'!AD231</f>
        <v>1.3628309999999997</v>
      </c>
      <c r="AF49" s="333">
        <f>'MOD-Berechnungen'!AE231</f>
        <v>1.4081509999999997</v>
      </c>
    </row>
    <row r="50" spans="1:32" s="301" customFormat="1">
      <c r="A50" s="561">
        <v>50</v>
      </c>
      <c r="C50" s="10"/>
      <c r="D50" s="29"/>
      <c r="E50" s="574" t="s">
        <v>24</v>
      </c>
      <c r="F50" s="578"/>
      <c r="G50" s="332"/>
      <c r="H50" s="332"/>
      <c r="I50" s="332"/>
      <c r="J50" s="332"/>
      <c r="K50" s="332"/>
      <c r="L50" s="332">
        <f>'MOD-Berechnungen'!K232</f>
        <v>4.2764260403075847</v>
      </c>
      <c r="M50" s="332">
        <f>'MOD-Berechnungen'!L232</f>
        <v>13.702182312605201</v>
      </c>
      <c r="N50" s="332">
        <f>'MOD-Berechnungen'!M232</f>
        <v>25.384958587989953</v>
      </c>
      <c r="O50" s="332">
        <f>'MOD-Berechnungen'!N232</f>
        <v>34.842306540078191</v>
      </c>
      <c r="P50" s="332">
        <f>'MOD-Berechnungen'!O232</f>
        <v>39.635011327747591</v>
      </c>
      <c r="Q50" s="332">
        <f>'MOD-Berechnungen'!P232</f>
        <v>43.372617085699339</v>
      </c>
      <c r="R50" s="332">
        <f>'MOD-Berechnungen'!Q232</f>
        <v>47.110222843651094</v>
      </c>
      <c r="S50" s="332">
        <f>'MOD-Berechnungen'!R232</f>
        <v>51.166025722626969</v>
      </c>
      <c r="T50" s="332">
        <f>'MOD-Berechnungen'!S232</f>
        <v>56.143025722626966</v>
      </c>
      <c r="U50" s="332">
        <f>'MOD-Berechnungen'!T232</f>
        <v>61.775525722626966</v>
      </c>
      <c r="V50" s="332">
        <f>'MOD-Berechnungen'!U232</f>
        <v>67.501775722626974</v>
      </c>
      <c r="W50" s="332">
        <f>'MOD-Berechnungen'!V232</f>
        <v>73.314275722626974</v>
      </c>
      <c r="X50" s="332">
        <f>'MOD-Berechnungen'!W232</f>
        <v>79.236025722626977</v>
      </c>
      <c r="Y50" s="332">
        <f>'MOD-Berechnungen'!X232</f>
        <v>85.264859055960301</v>
      </c>
      <c r="Z50" s="332">
        <f>'MOD-Berechnungen'!Y232</f>
        <v>91.367120960722218</v>
      </c>
      <c r="AA50" s="332">
        <f>'MOD-Berechnungen'!Z232</f>
        <v>97.522924532150796</v>
      </c>
      <c r="AB50" s="332">
        <f>'MOD-Berechnungen'!AA232</f>
        <v>103.71952175437301</v>
      </c>
      <c r="AC50" s="332">
        <f>'MOD-Berechnungen'!AB232</f>
        <v>109.94824397659524</v>
      </c>
      <c r="AD50" s="332">
        <f>'MOD-Berechnungen'!AC232</f>
        <v>116.20292579477706</v>
      </c>
      <c r="AE50" s="332">
        <f>'MOD-Berechnungen'!AD232</f>
        <v>122.47902427962553</v>
      </c>
      <c r="AF50" s="333">
        <f>'MOD-Berechnungen'!AE232</f>
        <v>128.8719409462922</v>
      </c>
    </row>
    <row r="51" spans="1:32" s="301" customFormat="1">
      <c r="A51" s="561">
        <v>51</v>
      </c>
      <c r="C51" s="10"/>
      <c r="D51" s="29"/>
      <c r="E51" s="574" t="s">
        <v>26</v>
      </c>
      <c r="F51" s="578"/>
      <c r="G51" s="332"/>
      <c r="H51" s="332"/>
      <c r="I51" s="332"/>
      <c r="J51" s="332"/>
      <c r="K51" s="332"/>
      <c r="L51" s="332">
        <f>'MOD-Berechnungen'!K233</f>
        <v>3.9622590000000004</v>
      </c>
      <c r="M51" s="332">
        <f>'MOD-Berechnungen'!L233</f>
        <v>9.4722070000000009</v>
      </c>
      <c r="N51" s="332">
        <f>'MOD-Berechnungen'!M233</f>
        <v>13.315970000000002</v>
      </c>
      <c r="O51" s="332">
        <f>'MOD-Berechnungen'!N233</f>
        <v>17.468591</v>
      </c>
      <c r="P51" s="332">
        <f>'MOD-Berechnungen'!O233</f>
        <v>21.516823000000002</v>
      </c>
      <c r="Q51" s="332">
        <f>'MOD-Berechnungen'!P233</f>
        <v>24.142347000000001</v>
      </c>
      <c r="R51" s="332">
        <f>'MOD-Berechnungen'!Q233</f>
        <v>24.576186</v>
      </c>
      <c r="S51" s="332">
        <f>'MOD-Berechnungen'!R233</f>
        <v>25.303278000000002</v>
      </c>
      <c r="T51" s="332">
        <f>'MOD-Berechnungen'!S233</f>
        <v>27.624991000000001</v>
      </c>
      <c r="U51" s="332">
        <f>'MOD-Berechnungen'!T233</f>
        <v>31.626999999999999</v>
      </c>
      <c r="V51" s="332">
        <f>'MOD-Berechnungen'!U233</f>
        <v>35.965788000000003</v>
      </c>
      <c r="W51" s="332">
        <f>'MOD-Berechnungen'!V233</f>
        <v>40.001914000000006</v>
      </c>
      <c r="X51" s="332">
        <f>'MOD-Berechnungen'!W233</f>
        <v>44.2406808</v>
      </c>
      <c r="Y51" s="332">
        <f>'MOD-Berechnungen'!X233</f>
        <v>48.528305600000003</v>
      </c>
      <c r="Z51" s="332">
        <f>'MOD-Berechnungen'!Y233</f>
        <v>52.849433028571426</v>
      </c>
      <c r="AA51" s="332">
        <f>'MOD-Berechnungen'!Z233</f>
        <v>57.194989457142853</v>
      </c>
      <c r="AB51" s="332">
        <f>'MOD-Berechnungen'!AA233</f>
        <v>61.559158457142857</v>
      </c>
      <c r="AC51" s="332">
        <f>'MOD-Berechnungen'!AB233</f>
        <v>65.937984857142851</v>
      </c>
      <c r="AD51" s="332">
        <f>'MOD-Berechnungen'!AC233</f>
        <v>70.328655620779216</v>
      </c>
      <c r="AE51" s="332">
        <f>'MOD-Berechnungen'!AD233</f>
        <v>74.72909798441556</v>
      </c>
      <c r="AF51" s="333">
        <f>'MOD-Berechnungen'!AE233</f>
        <v>79.18283998441558</v>
      </c>
    </row>
    <row r="52" spans="1:32" s="301" customFormat="1">
      <c r="A52" s="561">
        <v>52</v>
      </c>
      <c r="C52" s="10"/>
      <c r="D52" s="29"/>
      <c r="E52" s="576" t="s">
        <v>74</v>
      </c>
      <c r="F52" s="579"/>
      <c r="G52" s="309"/>
      <c r="H52" s="309"/>
      <c r="I52" s="309"/>
      <c r="J52" s="309"/>
      <c r="K52" s="309"/>
      <c r="L52" s="309">
        <f>'MOD-Berechnungen'!K234</f>
        <v>0.63551999999999997</v>
      </c>
      <c r="M52" s="309">
        <f>'MOD-Berechnungen'!L234</f>
        <v>1.9694400000000001</v>
      </c>
      <c r="N52" s="309">
        <f>'MOD-Berechnungen'!M234</f>
        <v>3.4425600000000003</v>
      </c>
      <c r="O52" s="309">
        <f>'MOD-Berechnungen'!N234</f>
        <v>5.5996425000000007</v>
      </c>
      <c r="P52" s="309">
        <f>'MOD-Berechnungen'!O234</f>
        <v>8.8584475000000005</v>
      </c>
      <c r="Q52" s="309">
        <f>'MOD-Berechnungen'!P234</f>
        <v>13.051372500000001</v>
      </c>
      <c r="R52" s="309">
        <f>'MOD-Berechnungen'!Q234</f>
        <v>17.98011</v>
      </c>
      <c r="S52" s="309">
        <f>'MOD-Berechnungen'!R234</f>
        <v>23.398970950916535</v>
      </c>
      <c r="T52" s="309">
        <f>'MOD-Berechnungen'!S234</f>
        <v>29.895715743625011</v>
      </c>
      <c r="U52" s="309">
        <f>'MOD-Berechnungen'!T234</f>
        <v>37.247869559457165</v>
      </c>
      <c r="V52" s="309">
        <f>'MOD-Berechnungen'!U234</f>
        <v>44.461027730064622</v>
      </c>
      <c r="W52" s="309">
        <f>'MOD-Berechnungen'!V234</f>
        <v>51.589398340962092</v>
      </c>
      <c r="X52" s="309">
        <f>'MOD-Berechnungen'!W234</f>
        <v>56.544862510646389</v>
      </c>
      <c r="Y52" s="309">
        <f>'MOD-Berechnungen'!X234</f>
        <v>59.309337556714951</v>
      </c>
      <c r="Z52" s="309">
        <f>'MOD-Berechnungen'!Y234</f>
        <v>62.089815673504276</v>
      </c>
      <c r="AA52" s="309">
        <f>'MOD-Berechnungen'!Z234</f>
        <v>64.886296861014372</v>
      </c>
      <c r="AB52" s="309">
        <f>'MOD-Berechnungen'!AA234</f>
        <v>67.69878111924524</v>
      </c>
      <c r="AC52" s="309">
        <f>'MOD-Berechnungen'!AB234</f>
        <v>70.527268448196892</v>
      </c>
      <c r="AD52" s="309">
        <f>'MOD-Berechnungen'!AC234</f>
        <v>73.371758847869302</v>
      </c>
      <c r="AE52" s="309">
        <f>'MOD-Berechnungen'!AD234</f>
        <v>76.232252318262482</v>
      </c>
      <c r="AF52" s="56">
        <f>'MOD-Berechnungen'!AE234</f>
        <v>79.09149982113928</v>
      </c>
    </row>
    <row r="53" spans="1:32" s="301" customFormat="1">
      <c r="A53" s="561">
        <v>53</v>
      </c>
      <c r="C53" s="10"/>
      <c r="D53" s="29"/>
      <c r="E53" s="29"/>
      <c r="F53" s="36"/>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row>
    <row r="54" spans="1:32" s="301" customFormat="1">
      <c r="A54" s="561">
        <v>54</v>
      </c>
      <c r="C54" s="10"/>
      <c r="D54" s="29"/>
      <c r="E54" s="29"/>
      <c r="F54" s="199" t="s">
        <v>685</v>
      </c>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row>
    <row r="55" spans="1:32" s="301" customFormat="1">
      <c r="A55" s="561">
        <v>55</v>
      </c>
      <c r="C55" s="10"/>
      <c r="D55" s="29"/>
      <c r="E55" s="568"/>
      <c r="F55" s="569"/>
      <c r="G55" s="570">
        <v>2010</v>
      </c>
      <c r="H55" s="570">
        <v>2011</v>
      </c>
      <c r="I55" s="570">
        <v>2012</v>
      </c>
      <c r="J55" s="570">
        <v>2013</v>
      </c>
      <c r="K55" s="570">
        <v>2014</v>
      </c>
      <c r="L55" s="570">
        <v>2015</v>
      </c>
      <c r="M55" s="570">
        <v>2016</v>
      </c>
      <c r="N55" s="570">
        <v>2017</v>
      </c>
      <c r="O55" s="570">
        <v>2018</v>
      </c>
      <c r="P55" s="570">
        <v>2019</v>
      </c>
      <c r="Q55" s="570">
        <v>2020</v>
      </c>
      <c r="R55" s="570">
        <v>2021</v>
      </c>
      <c r="S55" s="570">
        <v>2022</v>
      </c>
      <c r="T55" s="570">
        <v>2023</v>
      </c>
      <c r="U55" s="570">
        <v>2024</v>
      </c>
      <c r="V55" s="570">
        <v>2025</v>
      </c>
      <c r="W55" s="570">
        <v>2026</v>
      </c>
      <c r="X55" s="570">
        <v>2027</v>
      </c>
      <c r="Y55" s="570">
        <v>2028</v>
      </c>
      <c r="Z55" s="570">
        <v>2029</v>
      </c>
      <c r="AA55" s="570">
        <v>2030</v>
      </c>
      <c r="AB55" s="570">
        <v>2031</v>
      </c>
      <c r="AC55" s="570">
        <v>2032</v>
      </c>
      <c r="AD55" s="570">
        <v>2033</v>
      </c>
      <c r="AE55" s="570">
        <v>2034</v>
      </c>
      <c r="AF55" s="571">
        <v>2035</v>
      </c>
    </row>
    <row r="56" spans="1:32" s="301" customFormat="1">
      <c r="A56" s="561">
        <v>56</v>
      </c>
      <c r="C56" s="10"/>
      <c r="D56" s="29"/>
      <c r="E56" s="572" t="s">
        <v>391</v>
      </c>
      <c r="F56" s="573" t="s">
        <v>387</v>
      </c>
      <c r="G56" s="323">
        <f>G39+G40+G42</f>
        <v>7.3149999999999995</v>
      </c>
      <c r="H56" s="323">
        <f t="shared" ref="H56:AF56" si="8">H39+H40+H42</f>
        <v>8.1213699999999989</v>
      </c>
      <c r="I56" s="323">
        <f t="shared" si="8"/>
        <v>7.6041449999999999</v>
      </c>
      <c r="J56" s="323">
        <f t="shared" si="8"/>
        <v>8.2791299999999985</v>
      </c>
      <c r="K56" s="323">
        <f t="shared" si="8"/>
        <v>8.1088870000000011</v>
      </c>
      <c r="L56" s="323">
        <f t="shared" si="8"/>
        <v>7.2874697842700007</v>
      </c>
      <c r="M56" s="323">
        <f t="shared" si="8"/>
        <v>6.6913116195900022</v>
      </c>
      <c r="N56" s="323">
        <f t="shared" si="8"/>
        <v>6.4356240706400021</v>
      </c>
      <c r="O56" s="323">
        <f t="shared" si="8"/>
        <v>6.3589624706400025</v>
      </c>
      <c r="P56" s="323">
        <f t="shared" si="8"/>
        <v>6.9021164706400029</v>
      </c>
      <c r="Q56" s="323">
        <f t="shared" si="8"/>
        <v>6.2052356053004241</v>
      </c>
      <c r="R56" s="323">
        <f t="shared" si="8"/>
        <v>6.0969739627331228</v>
      </c>
      <c r="S56" s="323">
        <f t="shared" si="8"/>
        <v>5.9728911855054001</v>
      </c>
      <c r="T56" s="323">
        <f t="shared" si="8"/>
        <v>7.2570504363818076</v>
      </c>
      <c r="U56" s="323">
        <f t="shared" si="8"/>
        <v>6.954349608632314</v>
      </c>
      <c r="V56" s="323">
        <f t="shared" si="8"/>
        <v>6.6709016029583932</v>
      </c>
      <c r="W56" s="323">
        <f t="shared" si="8"/>
        <v>6.6404450494861926</v>
      </c>
      <c r="X56" s="323">
        <f t="shared" si="8"/>
        <v>6.6155479896881397</v>
      </c>
      <c r="Y56" s="323">
        <f t="shared" si="8"/>
        <v>6.6118254418998257</v>
      </c>
      <c r="Z56" s="323">
        <f t="shared" si="8"/>
        <v>6.6086924443762172</v>
      </c>
      <c r="AA56" s="323">
        <f t="shared" si="8"/>
        <v>6.0217546586177342</v>
      </c>
      <c r="AB56" s="323">
        <f t="shared" si="8"/>
        <v>5.5492924636983929</v>
      </c>
      <c r="AC56" s="323">
        <f t="shared" si="8"/>
        <v>5.1950997194625295</v>
      </c>
      <c r="AD56" s="323">
        <f t="shared" si="8"/>
        <v>4.9462640999265162</v>
      </c>
      <c r="AE56" s="323">
        <f t="shared" si="8"/>
        <v>4.27787103925289</v>
      </c>
      <c r="AF56" s="324">
        <f t="shared" si="8"/>
        <v>4.2024045692321126</v>
      </c>
    </row>
    <row r="57" spans="1:32" s="301" customFormat="1">
      <c r="A57" s="561">
        <v>57</v>
      </c>
      <c r="C57" s="10"/>
      <c r="D57" s="29"/>
      <c r="E57" s="574" t="s">
        <v>13</v>
      </c>
      <c r="F57" s="575" t="s">
        <v>387</v>
      </c>
      <c r="G57" s="332">
        <f>G41</f>
        <v>26.262</v>
      </c>
      <c r="H57" s="332">
        <f t="shared" ref="H57:AF57" si="9">H41</f>
        <v>27.776935999999999</v>
      </c>
      <c r="I57" s="332">
        <f>I41</f>
        <v>30.355590999999997</v>
      </c>
      <c r="J57" s="332">
        <f t="shared" si="9"/>
        <v>33.165135999999997</v>
      </c>
      <c r="K57" s="332">
        <f t="shared" si="9"/>
        <v>34.944730999999997</v>
      </c>
      <c r="L57" s="332">
        <f t="shared" si="9"/>
        <v>37.700092659999996</v>
      </c>
      <c r="M57" s="332">
        <f t="shared" si="9"/>
        <v>38.473878319999997</v>
      </c>
      <c r="N57" s="332">
        <f t="shared" si="9"/>
        <v>37.941908319999996</v>
      </c>
      <c r="O57" s="332">
        <f t="shared" si="9"/>
        <v>37.257408157999997</v>
      </c>
      <c r="P57" s="332">
        <f t="shared" si="9"/>
        <v>35.534449677999994</v>
      </c>
      <c r="Q57" s="332">
        <f t="shared" si="9"/>
        <v>34.912452359999996</v>
      </c>
      <c r="R57" s="332">
        <f t="shared" si="9"/>
        <v>32.772456359999993</v>
      </c>
      <c r="S57" s="332">
        <f t="shared" si="9"/>
        <v>29.283592859999999</v>
      </c>
      <c r="T57" s="332">
        <f t="shared" si="9"/>
        <v>35.281828643349996</v>
      </c>
      <c r="U57" s="332">
        <f t="shared" si="9"/>
        <v>33.981702091599999</v>
      </c>
      <c r="V57" s="332">
        <f t="shared" si="9"/>
        <v>30.77280041265</v>
      </c>
      <c r="W57" s="332">
        <f t="shared" si="9"/>
        <v>26.873186120149995</v>
      </c>
      <c r="X57" s="332">
        <f t="shared" si="9"/>
        <v>22.120134741999998</v>
      </c>
      <c r="Y57" s="332">
        <f t="shared" si="9"/>
        <v>18.530174839999997</v>
      </c>
      <c r="Z57" s="332">
        <f t="shared" si="9"/>
        <v>16.527640618</v>
      </c>
      <c r="AA57" s="332">
        <f t="shared" si="9"/>
        <v>13.976199777999998</v>
      </c>
      <c r="AB57" s="332">
        <f t="shared" si="9"/>
        <v>10.405301360000003</v>
      </c>
      <c r="AC57" s="332">
        <f t="shared" si="9"/>
        <v>4.4854457536999988</v>
      </c>
      <c r="AD57" s="332">
        <f t="shared" si="9"/>
        <v>2.614134110200002</v>
      </c>
      <c r="AE57" s="332">
        <f t="shared" si="9"/>
        <v>1.1772704446499986</v>
      </c>
      <c r="AF57" s="333">
        <f t="shared" si="9"/>
        <v>0</v>
      </c>
    </row>
    <row r="58" spans="1:32" s="301" customFormat="1">
      <c r="A58" s="561">
        <v>58</v>
      </c>
      <c r="C58" s="10"/>
      <c r="D58" s="29"/>
      <c r="E58" s="574" t="s">
        <v>24</v>
      </c>
      <c r="F58" s="575" t="s">
        <v>387</v>
      </c>
      <c r="G58" s="332">
        <f>G43</f>
        <v>47.704000000000001</v>
      </c>
      <c r="H58" s="332">
        <f t="shared" ref="H58:AF58" si="10">H43</f>
        <v>53.882748999999997</v>
      </c>
      <c r="I58" s="332">
        <f>I43</f>
        <v>50.125189999999996</v>
      </c>
      <c r="J58" s="332">
        <f t="shared" si="10"/>
        <v>55.830889999999997</v>
      </c>
      <c r="K58" s="332">
        <f t="shared" si="10"/>
        <v>62.190390000000001</v>
      </c>
      <c r="L58" s="332">
        <f t="shared" si="10"/>
        <v>62.596261959692413</v>
      </c>
      <c r="M58" s="332">
        <f t="shared" si="10"/>
        <v>62.246703687394799</v>
      </c>
      <c r="N58" s="332">
        <f t="shared" si="10"/>
        <v>56.616944412010042</v>
      </c>
      <c r="O58" s="332">
        <f t="shared" si="10"/>
        <v>57.881769459921806</v>
      </c>
      <c r="P58" s="332">
        <f t="shared" si="10"/>
        <v>59.164171672252408</v>
      </c>
      <c r="Q58" s="332">
        <f t="shared" si="10"/>
        <v>58.715586914300651</v>
      </c>
      <c r="R58" s="332">
        <f t="shared" si="10"/>
        <v>54.075516156348904</v>
      </c>
      <c r="S58" s="332">
        <f t="shared" si="10"/>
        <v>53.748786277373028</v>
      </c>
      <c r="T58" s="332">
        <f t="shared" si="10"/>
        <v>45.041890448759993</v>
      </c>
      <c r="U58" s="332">
        <f t="shared" si="10"/>
        <v>40.592740532760004</v>
      </c>
      <c r="V58" s="332">
        <f t="shared" si="10"/>
        <v>37.230717405760004</v>
      </c>
      <c r="W58" s="332">
        <f t="shared" si="10"/>
        <v>34.261128196259989</v>
      </c>
      <c r="X58" s="332">
        <f t="shared" si="10"/>
        <v>30.61088339026</v>
      </c>
      <c r="Y58" s="332">
        <f t="shared" si="10"/>
        <v>27.850498360860001</v>
      </c>
      <c r="Z58" s="332">
        <f t="shared" si="10"/>
        <v>26.586956992859996</v>
      </c>
      <c r="AA58" s="332">
        <f t="shared" si="10"/>
        <v>22.168137543819995</v>
      </c>
      <c r="AB58" s="332">
        <f t="shared" si="10"/>
        <v>19.832695696770003</v>
      </c>
      <c r="AC58" s="332">
        <f t="shared" si="10"/>
        <v>16.760894237149998</v>
      </c>
      <c r="AD58" s="332">
        <f t="shared" si="10"/>
        <v>12.79751338154</v>
      </c>
      <c r="AE58" s="332">
        <f t="shared" si="10"/>
        <v>7.8334225413099858</v>
      </c>
      <c r="AF58" s="333">
        <f t="shared" si="10"/>
        <v>0</v>
      </c>
    </row>
    <row r="59" spans="1:32" s="301" customFormat="1">
      <c r="A59" s="561">
        <v>59</v>
      </c>
      <c r="C59" s="10"/>
      <c r="D59" s="29"/>
      <c r="E59" s="574" t="s">
        <v>26</v>
      </c>
      <c r="F59" s="575" t="s">
        <v>387</v>
      </c>
      <c r="G59" s="332">
        <f t="shared" ref="G59:AF59" si="11">G44</f>
        <v>0.65400000000000003</v>
      </c>
      <c r="H59" s="332">
        <f t="shared" si="11"/>
        <v>1.1467909999999999</v>
      </c>
      <c r="I59" s="332">
        <f t="shared" si="11"/>
        <v>1.361415</v>
      </c>
      <c r="J59" s="332">
        <f t="shared" si="11"/>
        <v>2.4940419999999999</v>
      </c>
      <c r="K59" s="332">
        <f t="shared" si="11"/>
        <v>7.397958</v>
      </c>
      <c r="L59" s="332">
        <f t="shared" si="11"/>
        <v>7.2689449999999995</v>
      </c>
      <c r="M59" s="332">
        <f t="shared" si="11"/>
        <v>5.9073369999999983</v>
      </c>
      <c r="N59" s="332">
        <f t="shared" si="11"/>
        <v>6.7173849999999984</v>
      </c>
      <c r="O59" s="332">
        <f t="shared" si="11"/>
        <v>5.0958149999999982</v>
      </c>
      <c r="P59" s="332">
        <f t="shared" si="11"/>
        <v>4.9493379999999974</v>
      </c>
      <c r="Q59" s="332">
        <f>Q44</f>
        <v>5.7977289999999968</v>
      </c>
      <c r="R59" s="332">
        <f t="shared" si="11"/>
        <v>5.0627539999999982</v>
      </c>
      <c r="S59" s="332">
        <f t="shared" si="11"/>
        <v>4.9018079999999955</v>
      </c>
      <c r="T59" s="332">
        <f t="shared" si="11"/>
        <v>3.4412279999999988</v>
      </c>
      <c r="U59" s="332">
        <f t="shared" si="11"/>
        <v>3.4412279999999988</v>
      </c>
      <c r="V59" s="332">
        <f t="shared" si="11"/>
        <v>3.4412280000000024</v>
      </c>
      <c r="W59" s="332">
        <f t="shared" si="11"/>
        <v>3.4412280000000024</v>
      </c>
      <c r="X59" s="332">
        <f t="shared" si="11"/>
        <v>3.4412280000000024</v>
      </c>
      <c r="Y59" s="332">
        <f t="shared" si="11"/>
        <v>3.4412280000000024</v>
      </c>
      <c r="Z59" s="332">
        <f t="shared" si="11"/>
        <v>3.4412280000000024</v>
      </c>
      <c r="AA59" s="332">
        <f t="shared" si="11"/>
        <v>3.3311363999999983</v>
      </c>
      <c r="AB59" s="332">
        <f t="shared" si="11"/>
        <v>3.1753463999999951</v>
      </c>
      <c r="AC59" s="332">
        <f t="shared" si="11"/>
        <v>2.8004118000000062</v>
      </c>
      <c r="AD59" s="332">
        <f t="shared" si="11"/>
        <v>2.5234518000000037</v>
      </c>
      <c r="AE59" s="332">
        <f t="shared" si="11"/>
        <v>1.6925717999999961</v>
      </c>
      <c r="AF59" s="333">
        <f t="shared" si="11"/>
        <v>0</v>
      </c>
    </row>
    <row r="60" spans="1:32" s="301" customFormat="1">
      <c r="A60" s="561">
        <v>60</v>
      </c>
      <c r="C60" s="10"/>
      <c r="D60" s="29"/>
      <c r="E60" s="576" t="s">
        <v>74</v>
      </c>
      <c r="F60" s="577" t="s">
        <v>387</v>
      </c>
      <c r="G60" s="309">
        <f t="shared" ref="G60:AF60" si="12">G45</f>
        <v>8.2959999999999994</v>
      </c>
      <c r="H60" s="309">
        <f t="shared" si="12"/>
        <v>19.399286999999998</v>
      </c>
      <c r="I60" s="309">
        <f t="shared" si="12"/>
        <v>24.072319</v>
      </c>
      <c r="J60" s="309">
        <f t="shared" si="12"/>
        <v>34.673694999999995</v>
      </c>
      <c r="K60" s="309">
        <f t="shared" si="12"/>
        <v>36.594586999999997</v>
      </c>
      <c r="L60" s="309">
        <f t="shared" si="12"/>
        <v>35.461438000000001</v>
      </c>
      <c r="M60" s="309">
        <f t="shared" si="12"/>
        <v>34.856110000000001</v>
      </c>
      <c r="N60" s="309">
        <f t="shared" si="12"/>
        <v>33.119583999999996</v>
      </c>
      <c r="O60" s="309">
        <f t="shared" si="12"/>
        <v>33.573972499999996</v>
      </c>
      <c r="P60" s="309">
        <f t="shared" si="12"/>
        <v>33.019251499999996</v>
      </c>
      <c r="Q60" s="309">
        <f t="shared" si="12"/>
        <v>30.887873499999998</v>
      </c>
      <c r="R60" s="309">
        <f t="shared" si="12"/>
        <v>31.364225000000001</v>
      </c>
      <c r="S60" s="309">
        <f t="shared" si="12"/>
        <v>34.704889049083462</v>
      </c>
      <c r="T60" s="309">
        <f t="shared" si="12"/>
        <v>36.054880575360066</v>
      </c>
      <c r="U60" s="309">
        <f t="shared" si="12"/>
        <v>35.918131887360069</v>
      </c>
      <c r="V60" s="309">
        <f t="shared" si="12"/>
        <v>35.288343759360053</v>
      </c>
      <c r="W60" s="309">
        <f t="shared" si="12"/>
        <v>34.400725781760059</v>
      </c>
      <c r="X60" s="309">
        <f t="shared" si="12"/>
        <v>33.589914629760052</v>
      </c>
      <c r="Y60" s="309">
        <f t="shared" si="12"/>
        <v>32.386313548800047</v>
      </c>
      <c r="Z60" s="309">
        <f t="shared" si="12"/>
        <v>30.485952163200054</v>
      </c>
      <c r="AA60" s="309">
        <f t="shared" si="12"/>
        <v>26.225030716800049</v>
      </c>
      <c r="AB60" s="309">
        <f t="shared" si="12"/>
        <v>18.934909430400012</v>
      </c>
      <c r="AC60" s="309">
        <f t="shared" si="12"/>
        <v>11.254534972800002</v>
      </c>
      <c r="AD60" s="309">
        <f t="shared" si="12"/>
        <v>4.6859328479999789</v>
      </c>
      <c r="AE60" s="309">
        <f t="shared" si="12"/>
        <v>1.6757369183999913</v>
      </c>
      <c r="AF60" s="56">
        <f t="shared" si="12"/>
        <v>0</v>
      </c>
    </row>
    <row r="61" spans="1:32" s="301" customFormat="1">
      <c r="A61" s="561">
        <v>61</v>
      </c>
      <c r="C61" s="10"/>
      <c r="D61" s="29"/>
      <c r="E61" s="574" t="s">
        <v>391</v>
      </c>
      <c r="F61" s="575"/>
      <c r="G61" s="332">
        <f>G46+G47+G49</f>
        <v>0</v>
      </c>
      <c r="H61" s="332">
        <f t="shared" ref="H61:AF61" si="13">H46+H47+H49</f>
        <v>0</v>
      </c>
      <c r="I61" s="332">
        <f t="shared" si="13"/>
        <v>0</v>
      </c>
      <c r="J61" s="332">
        <f t="shared" si="13"/>
        <v>0</v>
      </c>
      <c r="K61" s="332">
        <f t="shared" si="13"/>
        <v>0</v>
      </c>
      <c r="L61" s="332">
        <f t="shared" si="13"/>
        <v>0.64165821572999904</v>
      </c>
      <c r="M61" s="332">
        <f t="shared" si="13"/>
        <v>1.3428843804099979</v>
      </c>
      <c r="N61" s="332">
        <f t="shared" si="13"/>
        <v>1.4227899293599973</v>
      </c>
      <c r="O61" s="332">
        <f t="shared" si="13"/>
        <v>1.4998585293599975</v>
      </c>
      <c r="P61" s="332">
        <f t="shared" si="13"/>
        <v>1.6067125293599973</v>
      </c>
      <c r="Q61" s="332">
        <f t="shared" si="13"/>
        <v>1.6995643946995758</v>
      </c>
      <c r="R61" s="332">
        <f t="shared" si="13"/>
        <v>1.7999520372668769</v>
      </c>
      <c r="S61" s="332">
        <f t="shared" si="13"/>
        <v>1.9499408144945996</v>
      </c>
      <c r="T61" s="332">
        <f t="shared" si="13"/>
        <v>2.1435407925004646</v>
      </c>
      <c r="U61" s="332">
        <f t="shared" si="13"/>
        <v>2.3551433322347246</v>
      </c>
      <c r="V61" s="332">
        <f t="shared" si="13"/>
        <v>2.5833371247323509</v>
      </c>
      <c r="W61" s="332">
        <f t="shared" si="13"/>
        <v>2.8282026501875719</v>
      </c>
      <c r="X61" s="332">
        <f t="shared" si="13"/>
        <v>3.0211360221682479</v>
      </c>
      <c r="Y61" s="332">
        <f t="shared" si="13"/>
        <v>3.1529941767576197</v>
      </c>
      <c r="Z61" s="332">
        <f t="shared" si="13"/>
        <v>3.2848523313469915</v>
      </c>
      <c r="AA61" s="332">
        <f t="shared" si="13"/>
        <v>3.4167104859363633</v>
      </c>
      <c r="AB61" s="332">
        <f t="shared" si="13"/>
        <v>3.5485686405257351</v>
      </c>
      <c r="AC61" s="332">
        <f t="shared" si="13"/>
        <v>3.6804267951151073</v>
      </c>
      <c r="AD61" s="332">
        <f t="shared" si="13"/>
        <v>3.8122849497044786</v>
      </c>
      <c r="AE61" s="332">
        <f t="shared" si="13"/>
        <v>3.9441431042938513</v>
      </c>
      <c r="AF61" s="333">
        <f t="shared" si="13"/>
        <v>4.0760012588832222</v>
      </c>
    </row>
    <row r="62" spans="1:32" s="301" customFormat="1">
      <c r="A62" s="561">
        <v>62</v>
      </c>
      <c r="C62" s="10"/>
      <c r="D62" s="29"/>
      <c r="E62" s="574" t="s">
        <v>13</v>
      </c>
      <c r="F62" s="575"/>
      <c r="G62" s="332">
        <f>G48</f>
        <v>0</v>
      </c>
      <c r="H62" s="332">
        <f t="shared" ref="H62:AF62" si="14">H48</f>
        <v>0</v>
      </c>
      <c r="I62" s="332">
        <f t="shared" si="14"/>
        <v>0</v>
      </c>
      <c r="J62" s="332">
        <f t="shared" si="14"/>
        <v>0</v>
      </c>
      <c r="K62" s="332">
        <f t="shared" si="14"/>
        <v>0</v>
      </c>
      <c r="L62" s="332">
        <f t="shared" si="14"/>
        <v>0.65751134</v>
      </c>
      <c r="M62" s="332">
        <f t="shared" si="14"/>
        <v>1.7649666799999999</v>
      </c>
      <c r="N62" s="332">
        <f t="shared" si="14"/>
        <v>2.8284846799999999</v>
      </c>
      <c r="O62" s="332">
        <f t="shared" si="14"/>
        <v>4.2970808420000024</v>
      </c>
      <c r="P62" s="332">
        <f t="shared" si="14"/>
        <v>5.8171703220000044</v>
      </c>
      <c r="Q62" s="332">
        <f t="shared" si="14"/>
        <v>6.834237640000004</v>
      </c>
      <c r="R62" s="332">
        <f t="shared" si="14"/>
        <v>7.4342376400000036</v>
      </c>
      <c r="S62" s="332">
        <f t="shared" si="14"/>
        <v>8.5000971400000029</v>
      </c>
      <c r="T62" s="332">
        <f t="shared" si="14"/>
        <v>10.093060640000003</v>
      </c>
      <c r="U62" s="332">
        <f t="shared" si="14"/>
        <v>11.603816140000005</v>
      </c>
      <c r="V62" s="332">
        <f t="shared" si="14"/>
        <v>13.037501640000004</v>
      </c>
      <c r="W62" s="332">
        <f t="shared" si="14"/>
        <v>14.397236640000003</v>
      </c>
      <c r="X62" s="332">
        <f t="shared" si="14"/>
        <v>15.458937640000004</v>
      </c>
      <c r="Y62" s="332">
        <f t="shared" si="14"/>
        <v>16.258937640000003</v>
      </c>
      <c r="Z62" s="332">
        <f t="shared" si="14"/>
        <v>17.058937640000003</v>
      </c>
      <c r="AA62" s="332">
        <f t="shared" si="14"/>
        <v>17.858937640000004</v>
      </c>
      <c r="AB62" s="332">
        <f t="shared" si="14"/>
        <v>18.658937640000005</v>
      </c>
      <c r="AC62" s="332">
        <f t="shared" si="14"/>
        <v>19.458937640000002</v>
      </c>
      <c r="AD62" s="332">
        <f t="shared" si="14"/>
        <v>20.258937640000003</v>
      </c>
      <c r="AE62" s="332">
        <f t="shared" si="14"/>
        <v>21.058937640000003</v>
      </c>
      <c r="AF62" s="333">
        <f t="shared" si="14"/>
        <v>21.858937640000004</v>
      </c>
    </row>
    <row r="63" spans="1:32" s="301" customFormat="1">
      <c r="A63" s="561">
        <v>63</v>
      </c>
      <c r="C63" s="10"/>
      <c r="D63" s="29"/>
      <c r="E63" s="574" t="s">
        <v>24</v>
      </c>
      <c r="F63" s="578"/>
      <c r="G63" s="332">
        <f>G50</f>
        <v>0</v>
      </c>
      <c r="H63" s="332">
        <f t="shared" ref="H63:AF63" si="15">H50</f>
        <v>0</v>
      </c>
      <c r="I63" s="332">
        <f t="shared" si="15"/>
        <v>0</v>
      </c>
      <c r="J63" s="332">
        <f t="shared" si="15"/>
        <v>0</v>
      </c>
      <c r="K63" s="332">
        <f t="shared" si="15"/>
        <v>0</v>
      </c>
      <c r="L63" s="332">
        <f t="shared" si="15"/>
        <v>4.2764260403075847</v>
      </c>
      <c r="M63" s="332">
        <f t="shared" si="15"/>
        <v>13.702182312605201</v>
      </c>
      <c r="N63" s="332">
        <f t="shared" si="15"/>
        <v>25.384958587989953</v>
      </c>
      <c r="O63" s="332">
        <f t="shared" si="15"/>
        <v>34.842306540078191</v>
      </c>
      <c r="P63" s="332">
        <f t="shared" si="15"/>
        <v>39.635011327747591</v>
      </c>
      <c r="Q63" s="332">
        <f t="shared" si="15"/>
        <v>43.372617085699339</v>
      </c>
      <c r="R63" s="332">
        <f t="shared" si="15"/>
        <v>47.110222843651094</v>
      </c>
      <c r="S63" s="332">
        <f t="shared" si="15"/>
        <v>51.166025722626969</v>
      </c>
      <c r="T63" s="332">
        <f t="shared" si="15"/>
        <v>56.143025722626966</v>
      </c>
      <c r="U63" s="332">
        <f t="shared" si="15"/>
        <v>61.775525722626966</v>
      </c>
      <c r="V63" s="332">
        <f t="shared" si="15"/>
        <v>67.501775722626974</v>
      </c>
      <c r="W63" s="332">
        <f t="shared" si="15"/>
        <v>73.314275722626974</v>
      </c>
      <c r="X63" s="332">
        <f t="shared" si="15"/>
        <v>79.236025722626977</v>
      </c>
      <c r="Y63" s="332">
        <f t="shared" si="15"/>
        <v>85.264859055960301</v>
      </c>
      <c r="Z63" s="332">
        <f t="shared" si="15"/>
        <v>91.367120960722218</v>
      </c>
      <c r="AA63" s="332">
        <f t="shared" si="15"/>
        <v>97.522924532150796</v>
      </c>
      <c r="AB63" s="332">
        <f t="shared" si="15"/>
        <v>103.71952175437301</v>
      </c>
      <c r="AC63" s="332">
        <f t="shared" si="15"/>
        <v>109.94824397659524</v>
      </c>
      <c r="AD63" s="332">
        <f t="shared" si="15"/>
        <v>116.20292579477706</v>
      </c>
      <c r="AE63" s="332">
        <f t="shared" si="15"/>
        <v>122.47902427962553</v>
      </c>
      <c r="AF63" s="333">
        <f t="shared" si="15"/>
        <v>128.8719409462922</v>
      </c>
    </row>
    <row r="64" spans="1:32" s="301" customFormat="1">
      <c r="A64" s="561">
        <v>64</v>
      </c>
      <c r="C64" s="10"/>
      <c r="D64" s="29"/>
      <c r="E64" s="574" t="s">
        <v>26</v>
      </c>
      <c r="F64" s="578"/>
      <c r="G64" s="332">
        <f t="shared" ref="G64:AF64" si="16">G51</f>
        <v>0</v>
      </c>
      <c r="H64" s="332">
        <f t="shared" si="16"/>
        <v>0</v>
      </c>
      <c r="I64" s="332">
        <f t="shared" si="16"/>
        <v>0</v>
      </c>
      <c r="J64" s="332">
        <f t="shared" si="16"/>
        <v>0</v>
      </c>
      <c r="K64" s="332">
        <f t="shared" si="16"/>
        <v>0</v>
      </c>
      <c r="L64" s="332">
        <f t="shared" si="16"/>
        <v>3.9622590000000004</v>
      </c>
      <c r="M64" s="332">
        <f t="shared" si="16"/>
        <v>9.4722070000000009</v>
      </c>
      <c r="N64" s="332">
        <f t="shared" si="16"/>
        <v>13.315970000000002</v>
      </c>
      <c r="O64" s="332">
        <f t="shared" si="16"/>
        <v>17.468591</v>
      </c>
      <c r="P64" s="332">
        <f t="shared" si="16"/>
        <v>21.516823000000002</v>
      </c>
      <c r="Q64" s="332">
        <f t="shared" si="16"/>
        <v>24.142347000000001</v>
      </c>
      <c r="R64" s="332">
        <f t="shared" si="16"/>
        <v>24.576186</v>
      </c>
      <c r="S64" s="332">
        <f t="shared" si="16"/>
        <v>25.303278000000002</v>
      </c>
      <c r="T64" s="332">
        <f>T51</f>
        <v>27.624991000000001</v>
      </c>
      <c r="U64" s="332">
        <f t="shared" si="16"/>
        <v>31.626999999999999</v>
      </c>
      <c r="V64" s="332">
        <f t="shared" si="16"/>
        <v>35.965788000000003</v>
      </c>
      <c r="W64" s="332">
        <f t="shared" si="16"/>
        <v>40.001914000000006</v>
      </c>
      <c r="X64" s="332">
        <f t="shared" si="16"/>
        <v>44.2406808</v>
      </c>
      <c r="Y64" s="332">
        <f t="shared" si="16"/>
        <v>48.528305600000003</v>
      </c>
      <c r="Z64" s="332">
        <f t="shared" si="16"/>
        <v>52.849433028571426</v>
      </c>
      <c r="AA64" s="332">
        <f t="shared" si="16"/>
        <v>57.194989457142853</v>
      </c>
      <c r="AB64" s="332">
        <f t="shared" si="16"/>
        <v>61.559158457142857</v>
      </c>
      <c r="AC64" s="332">
        <f t="shared" si="16"/>
        <v>65.937984857142851</v>
      </c>
      <c r="AD64" s="332">
        <f t="shared" si="16"/>
        <v>70.328655620779216</v>
      </c>
      <c r="AE64" s="332">
        <f t="shared" si="16"/>
        <v>74.72909798441556</v>
      </c>
      <c r="AF64" s="333">
        <f t="shared" si="16"/>
        <v>79.18283998441558</v>
      </c>
    </row>
    <row r="65" spans="1:35" s="301" customFormat="1">
      <c r="A65" s="561">
        <v>65</v>
      </c>
      <c r="C65" s="10"/>
      <c r="D65" s="29"/>
      <c r="E65" s="576" t="s">
        <v>74</v>
      </c>
      <c r="F65" s="579"/>
      <c r="G65" s="309">
        <f t="shared" ref="G65:AF65" si="17">G52</f>
        <v>0</v>
      </c>
      <c r="H65" s="309">
        <f t="shared" si="17"/>
        <v>0</v>
      </c>
      <c r="I65" s="309">
        <f t="shared" si="17"/>
        <v>0</v>
      </c>
      <c r="J65" s="309">
        <f t="shared" si="17"/>
        <v>0</v>
      </c>
      <c r="K65" s="309">
        <f t="shared" si="17"/>
        <v>0</v>
      </c>
      <c r="L65" s="309">
        <f t="shared" si="17"/>
        <v>0.63551999999999997</v>
      </c>
      <c r="M65" s="309">
        <f t="shared" si="17"/>
        <v>1.9694400000000001</v>
      </c>
      <c r="N65" s="309">
        <f t="shared" si="17"/>
        <v>3.4425600000000003</v>
      </c>
      <c r="O65" s="309">
        <f t="shared" si="17"/>
        <v>5.5996425000000007</v>
      </c>
      <c r="P65" s="309">
        <f t="shared" si="17"/>
        <v>8.8584475000000005</v>
      </c>
      <c r="Q65" s="309">
        <f t="shared" si="17"/>
        <v>13.051372500000001</v>
      </c>
      <c r="R65" s="309">
        <f t="shared" si="17"/>
        <v>17.98011</v>
      </c>
      <c r="S65" s="309">
        <f t="shared" si="17"/>
        <v>23.398970950916535</v>
      </c>
      <c r="T65" s="309">
        <f t="shared" si="17"/>
        <v>29.895715743625011</v>
      </c>
      <c r="U65" s="309">
        <f t="shared" si="17"/>
        <v>37.247869559457165</v>
      </c>
      <c r="V65" s="309">
        <f t="shared" si="17"/>
        <v>44.461027730064622</v>
      </c>
      <c r="W65" s="309">
        <f t="shared" si="17"/>
        <v>51.589398340962092</v>
      </c>
      <c r="X65" s="309">
        <f t="shared" si="17"/>
        <v>56.544862510646389</v>
      </c>
      <c r="Y65" s="309">
        <f t="shared" si="17"/>
        <v>59.309337556714951</v>
      </c>
      <c r="Z65" s="309">
        <f t="shared" si="17"/>
        <v>62.089815673504276</v>
      </c>
      <c r="AA65" s="309">
        <f t="shared" si="17"/>
        <v>64.886296861014372</v>
      </c>
      <c r="AB65" s="309">
        <f t="shared" si="17"/>
        <v>67.69878111924524</v>
      </c>
      <c r="AC65" s="309">
        <f t="shared" si="17"/>
        <v>70.527268448196892</v>
      </c>
      <c r="AD65" s="309">
        <f t="shared" si="17"/>
        <v>73.371758847869302</v>
      </c>
      <c r="AE65" s="309">
        <f t="shared" si="17"/>
        <v>76.232252318262482</v>
      </c>
      <c r="AF65" s="56">
        <f t="shared" si="17"/>
        <v>79.09149982113928</v>
      </c>
    </row>
    <row r="66" spans="1:35" s="301" customFormat="1">
      <c r="A66" s="561">
        <v>66</v>
      </c>
      <c r="C66" s="10"/>
      <c r="D66" s="29"/>
      <c r="E66" s="29"/>
      <c r="F66" s="36"/>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row>
    <row r="67" spans="1:35" s="301" customFormat="1">
      <c r="A67" s="561">
        <v>67</v>
      </c>
      <c r="C67" s="10"/>
      <c r="D67" s="29"/>
      <c r="E67" s="29"/>
      <c r="F67" s="199" t="s">
        <v>686</v>
      </c>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row>
    <row r="68" spans="1:35" s="301" customFormat="1">
      <c r="A68" s="561">
        <v>68</v>
      </c>
      <c r="C68" s="10"/>
      <c r="D68" s="29"/>
      <c r="E68" s="568"/>
      <c r="F68" s="569"/>
      <c r="G68" s="570">
        <v>2010</v>
      </c>
      <c r="H68" s="570">
        <v>2011</v>
      </c>
      <c r="I68" s="570">
        <v>2012</v>
      </c>
      <c r="J68" s="570">
        <v>2013</v>
      </c>
      <c r="K68" s="570">
        <v>2014</v>
      </c>
      <c r="L68" s="570">
        <v>2015</v>
      </c>
      <c r="M68" s="570">
        <v>2016</v>
      </c>
      <c r="N68" s="570">
        <v>2017</v>
      </c>
      <c r="O68" s="570">
        <v>2018</v>
      </c>
      <c r="P68" s="570">
        <v>2019</v>
      </c>
      <c r="Q68" s="570">
        <v>2020</v>
      </c>
      <c r="R68" s="570">
        <v>2021</v>
      </c>
      <c r="S68" s="570">
        <v>2022</v>
      </c>
      <c r="T68" s="570">
        <v>2023</v>
      </c>
      <c r="U68" s="570">
        <v>2024</v>
      </c>
      <c r="V68" s="570">
        <v>2025</v>
      </c>
      <c r="W68" s="570">
        <v>2026</v>
      </c>
      <c r="X68" s="570">
        <v>2027</v>
      </c>
      <c r="Y68" s="570">
        <v>2028</v>
      </c>
      <c r="Z68" s="570">
        <v>2029</v>
      </c>
      <c r="AA68" s="570">
        <v>2030</v>
      </c>
      <c r="AB68" s="570">
        <v>2031</v>
      </c>
      <c r="AC68" s="570">
        <v>2032</v>
      </c>
      <c r="AD68" s="570">
        <v>2033</v>
      </c>
      <c r="AE68" s="570">
        <v>2034</v>
      </c>
      <c r="AF68" s="571">
        <v>2035</v>
      </c>
    </row>
    <row r="69" spans="1:35" s="301" customFormat="1">
      <c r="A69" s="561">
        <v>69</v>
      </c>
      <c r="C69" s="10"/>
      <c r="D69" s="29"/>
      <c r="E69" s="572" t="s">
        <v>25</v>
      </c>
      <c r="F69" s="573" t="s">
        <v>387</v>
      </c>
      <c r="G69" s="323">
        <f>('MOD-Berechnungen'!F305)/'MOD-Berechnungen'!F$26</f>
        <v>0.49042979268442805</v>
      </c>
      <c r="H69" s="323">
        <f>('MOD-Berechnungen'!G305)/'MOD-Berechnungen'!G$26</f>
        <v>0.1887165273745009</v>
      </c>
      <c r="I69" s="323">
        <f>('MOD-Berechnungen'!H305)/'MOD-Berechnungen'!H$26</f>
        <v>0.46877541070559753</v>
      </c>
      <c r="J69" s="323">
        <f>('MOD-Berechnungen'!I305)/'MOD-Berechnungen'!I$26</f>
        <v>0.54627390990923896</v>
      </c>
      <c r="K69" s="323">
        <f>('MOD-Berechnungen'!J305)/'MOD-Berechnungen'!J$26</f>
        <v>0.56739717599133244</v>
      </c>
      <c r="L69" s="323">
        <f>'MOD-Berechnungen'!K355/'MOD-Berechnungen'!K$26</f>
        <v>0.65862390947050542</v>
      </c>
      <c r="M69" s="323">
        <f>'MOD-Berechnungen'!L355/'MOD-Berechnungen'!L$26</f>
        <v>0.65534717360249306</v>
      </c>
      <c r="N69" s="323">
        <f>'MOD-Berechnungen'!M355/'MOD-Berechnungen'!M$26</f>
        <v>0.6456622400024562</v>
      </c>
      <c r="O69" s="323">
        <f>'MOD-Berechnungen'!N355/'MOD-Berechnungen'!N$26</f>
        <v>0.63424581532657787</v>
      </c>
      <c r="P69" s="323">
        <f>'MOD-Berechnungen'!O355/'MOD-Berechnungen'!O$26</f>
        <v>0.62548896975007684</v>
      </c>
      <c r="Q69" s="323">
        <f>'MOD-Berechnungen'!P355/'MOD-Berechnungen'!P$26</f>
        <v>0.62237708432843464</v>
      </c>
      <c r="R69" s="323">
        <f>'MOD-Berechnungen'!Q355/'MOD-Berechnungen'!Q$26</f>
        <v>0.60483681664570921</v>
      </c>
      <c r="S69" s="323">
        <f>'MOD-Berechnungen'!R355/'MOD-Berechnungen'!R$26</f>
        <v>0.59589834152286625</v>
      </c>
      <c r="T69" s="323">
        <f>'MOD-Berechnungen'!S355/'MOD-Berechnungen'!S$26</f>
        <v>0.58709196209149395</v>
      </c>
      <c r="U69" s="323">
        <f>'MOD-Berechnungen'!T355/'MOD-Berechnungen'!T$26</f>
        <v>0.57841572619851622</v>
      </c>
      <c r="V69" s="323">
        <f>'MOD-Berechnungen'!U355/'MOD-Berechnungen'!U$26</f>
        <v>0.56986771054041019</v>
      </c>
      <c r="W69" s="323">
        <f>'MOD-Berechnungen'!V355/'MOD-Berechnungen'!V$26</f>
        <v>0.56144602023685741</v>
      </c>
      <c r="X69" s="323">
        <f>'MOD-Berechnungen'!W355/'MOD-Berechnungen'!W$26</f>
        <v>0.55314878841069703</v>
      </c>
      <c r="Y69" s="323">
        <f>'MOD-Berechnungen'!X355/'MOD-Berechnungen'!X$26</f>
        <v>0.5449741757740858</v>
      </c>
      <c r="Z69" s="323">
        <f>'MOD-Berechnungen'!Y355/'MOD-Berechnungen'!Y$26</f>
        <v>0.53692037022077432</v>
      </c>
      <c r="AA69" s="323">
        <f>'MOD-Berechnungen'!Z355/'MOD-Berechnungen'!Z$26</f>
        <v>0.48110121506061371</v>
      </c>
      <c r="AB69" s="323">
        <f>'MOD-Berechnungen'!AA355/'MOD-Berechnungen'!AA$26</f>
        <v>0.44196599515471502</v>
      </c>
      <c r="AC69" s="323">
        <f>'MOD-Berechnungen'!AB355/'MOD-Berechnungen'!AB$26</f>
        <v>0.40724579893663759</v>
      </c>
      <c r="AD69" s="323">
        <f>'MOD-Berechnungen'!AC355/'MOD-Berechnungen'!AC$26</f>
        <v>0.38282175205672458</v>
      </c>
      <c r="AE69" s="323">
        <f>'MOD-Berechnungen'!AD355/'MOD-Berechnungen'!AD$26</f>
        <v>0.33780838876443664</v>
      </c>
      <c r="AF69" s="324">
        <f>'MOD-Berechnungen'!AE355/'MOD-Berechnungen'!AE$26</f>
        <v>0.32782314252372602</v>
      </c>
      <c r="AH69" s="301" t="s">
        <v>576</v>
      </c>
    </row>
    <row r="70" spans="1:35" s="301" customFormat="1">
      <c r="A70" s="561">
        <v>70</v>
      </c>
      <c r="C70" s="10"/>
      <c r="D70" s="29"/>
      <c r="E70" s="574" t="s">
        <v>50</v>
      </c>
      <c r="F70" s="575" t="s">
        <v>387</v>
      </c>
      <c r="G70" s="332">
        <f>('MOD-Berechnungen'!F306)/'MOD-Berechnungen'!F$26</f>
        <v>0.15346023914229318</v>
      </c>
      <c r="H70" s="332">
        <f>('MOD-Berechnungen'!G306)/'MOD-Berechnungen'!G$26</f>
        <v>1.6332456128947109E-2</v>
      </c>
      <c r="I70" s="332">
        <f>('MOD-Berechnungen'!H306)/'MOD-Berechnungen'!H$26</f>
        <v>5.9610941840248538E-2</v>
      </c>
      <c r="J70" s="332">
        <f>('MOD-Berechnungen'!I306)/'MOD-Berechnungen'!I$26</f>
        <v>0.12113345377240302</v>
      </c>
      <c r="K70" s="332">
        <f>('MOD-Berechnungen'!J306)/'MOD-Berechnungen'!J$26</f>
        <v>7.0963890358762216E-2</v>
      </c>
      <c r="L70" s="332">
        <f>'MOD-Berechnungen'!K356/'MOD-Berechnungen'!K$26</f>
        <v>0.11180966744812007</v>
      </c>
      <c r="M70" s="332">
        <f>'MOD-Berechnungen'!L356/'MOD-Berechnungen'!L$26</f>
        <v>0.11125340044589062</v>
      </c>
      <c r="N70" s="332">
        <f>'MOD-Berechnungen'!M356/'MOD-Berechnungen'!M$26</f>
        <v>0.10960926152304495</v>
      </c>
      <c r="O70" s="332">
        <f>'MOD-Berechnungen'!N356/'MOD-Berechnungen'!N$26</f>
        <v>0.10767118027804023</v>
      </c>
      <c r="P70" s="332">
        <f>'MOD-Berechnungen'!O356/'MOD-Berechnungen'!O$26</f>
        <v>0.10618459593495093</v>
      </c>
      <c r="Q70" s="332">
        <f>'MOD-Berechnungen'!P356/'MOD-Berechnungen'!P$26</f>
        <v>0.10565631436313526</v>
      </c>
      <c r="R70" s="332">
        <f>'MOD-Berechnungen'!Q356/'MOD-Berechnungen'!Q$26</f>
        <v>8.0320548769396427E-2</v>
      </c>
      <c r="S70" s="332">
        <f>'MOD-Berechnungen'!R356/'MOD-Berechnungen'!R$26</f>
        <v>7.1727150881228011E-2</v>
      </c>
      <c r="T70" s="332">
        <f>'MOD-Berechnungen'!S356/'MOD-Berechnungen'!S$26</f>
        <v>5.2082843409173955E-2</v>
      </c>
      <c r="U70" s="332">
        <f>'MOD-Berechnungen'!T356/'MOD-Berechnungen'!T$26</f>
        <v>3.0437942718864863E-2</v>
      </c>
      <c r="V70" s="332">
        <f>'MOD-Berechnungen'!U356/'MOD-Berechnungen'!U$26</f>
        <v>1.0827693873979064E-2</v>
      </c>
      <c r="W70" s="332">
        <f>'MOD-Berechnungen'!V356/'MOD-Berechnungen'!V$26</f>
        <v>8.5409717788534189E-3</v>
      </c>
      <c r="X70" s="332">
        <f>'MOD-Berechnungen'!W356/'MOD-Berechnungen'!W$26</f>
        <v>6.7248516300852925E-3</v>
      </c>
      <c r="Y70" s="332">
        <f>'MOD-Berechnungen'!X356/'MOD-Berechnungen'!X$26</f>
        <v>6.3743582234182077E-3</v>
      </c>
      <c r="Z70" s="332">
        <f>'MOD-Berechnungen'!Y356/'MOD-Berechnungen'!Y$26</f>
        <v>6.0742091697055895E-3</v>
      </c>
      <c r="AA70" s="332">
        <f>'MOD-Berechnungen'!Z356/'MOD-Berechnungen'!Z$26</f>
        <v>3.4091669944593304E-3</v>
      </c>
      <c r="AB70" s="332">
        <f>'MOD-Berechnungen'!AA356/'MOD-Berechnungen'!AA$26</f>
        <v>2.7927108680404944E-3</v>
      </c>
      <c r="AC70" s="332">
        <f>'MOD-Berechnungen'!AB356/'MOD-Berechnungen'!AB$26</f>
        <v>9.3457465086760089E-4</v>
      </c>
      <c r="AD70" s="332">
        <f>'MOD-Berechnungen'!AC356/'MOD-Berechnungen'!AC$26</f>
        <v>7.2784457140131695E-4</v>
      </c>
      <c r="AE70" s="332">
        <f>'MOD-Berechnungen'!AD356/'MOD-Berechnungen'!AD$26</f>
        <v>4.6923891040893294E-4</v>
      </c>
      <c r="AF70" s="333">
        <f>'MOD-Berechnungen'!AE356/'MOD-Berechnungen'!AE$26</f>
        <v>0</v>
      </c>
      <c r="AH70" s="301" t="s">
        <v>576</v>
      </c>
    </row>
    <row r="71" spans="1:35" s="301" customFormat="1">
      <c r="A71" s="561">
        <v>71</v>
      </c>
      <c r="C71" s="10"/>
      <c r="D71" s="29"/>
      <c r="E71" s="574" t="s">
        <v>13</v>
      </c>
      <c r="F71" s="575" t="s">
        <v>387</v>
      </c>
      <c r="G71" s="332">
        <f>('MOD-Berechnungen'!F307)/'MOD-Berechnungen'!F$26</f>
        <v>4.6806669676362809</v>
      </c>
      <c r="H71" s="332">
        <f>('MOD-Berechnungen'!G307)/'MOD-Berechnungen'!G$26</f>
        <v>4.9312452448393227</v>
      </c>
      <c r="I71" s="332">
        <f>('MOD-Berechnungen'!H307)/'MOD-Berechnungen'!H$26</f>
        <v>5.789905955781089</v>
      </c>
      <c r="J71" s="332">
        <f>('MOD-Berechnungen'!I307)/'MOD-Berechnungen'!I$26</f>
        <v>6.7878965950891184</v>
      </c>
      <c r="K71" s="332">
        <f>('MOD-Berechnungen'!J307)/'MOD-Berechnungen'!J$26</f>
        <v>7.1528206875469058</v>
      </c>
      <c r="L71" s="332">
        <f>'MOD-Berechnungen'!K357/'MOD-Berechnungen'!K$26</f>
        <v>8.0487511520599018</v>
      </c>
      <c r="M71" s="332">
        <f>'MOD-Berechnungen'!L357/'MOD-Berechnungen'!L$26</f>
        <v>8.0087076139899533</v>
      </c>
      <c r="N71" s="332">
        <f>'MOD-Berechnungen'!M357/'MOD-Berechnungen'!M$26</f>
        <v>7.8903523290541413</v>
      </c>
      <c r="O71" s="332">
        <f>'MOD-Berechnungen'!N357/'MOD-Berechnungen'!N$26</f>
        <v>7.7508372584028891</v>
      </c>
      <c r="P71" s="332">
        <f>'MOD-Berechnungen'!O357/'MOD-Berechnungen'!O$26</f>
        <v>7.643823726235591</v>
      </c>
      <c r="Q71" s="332">
        <f>'MOD-Berechnungen'!P357/'MOD-Berechnungen'!P$26</f>
        <v>7.6057947524732263</v>
      </c>
      <c r="R71" s="332">
        <f>'MOD-Berechnungen'!Q357/'MOD-Berechnungen'!Q$26</f>
        <v>7.2913133181400047</v>
      </c>
      <c r="S71" s="332">
        <f>'MOD-Berechnungen'!R357/'MOD-Berechnungen'!R$26</f>
        <v>7.0063821479103723</v>
      </c>
      <c r="T71" s="332">
        <f>'MOD-Berechnungen'!S357/'MOD-Berechnungen'!S$26</f>
        <v>6.7866682478052196</v>
      </c>
      <c r="U71" s="332">
        <f>'MOD-Berechnungen'!T357/'MOD-Berechnungen'!T$26</f>
        <v>6.5158248378246197</v>
      </c>
      <c r="V71" s="332">
        <f>'MOD-Berechnungen'!U357/'MOD-Berechnungen'!U$26</f>
        <v>5.9696348952939235</v>
      </c>
      <c r="W71" s="332">
        <f>'MOD-Berechnungen'!V357/'MOD-Berechnungen'!V$26</f>
        <v>5.1595379484798984</v>
      </c>
      <c r="X71" s="332">
        <f>'MOD-Berechnungen'!W357/'MOD-Berechnungen'!W$26</f>
        <v>4.2246647115496998</v>
      </c>
      <c r="Y71" s="332">
        <f>'MOD-Berechnungen'!X357/'MOD-Berechnungen'!X$26</f>
        <v>3.5020776516708043</v>
      </c>
      <c r="Z71" s="332">
        <f>'MOD-Berechnungen'!Y357/'MOD-Berechnungen'!Y$26</f>
        <v>3.1028133947393375</v>
      </c>
      <c r="AA71" s="332">
        <f>'MOD-Berechnungen'!Z357/'MOD-Berechnungen'!Z$26</f>
        <v>2.6014666583777926</v>
      </c>
      <c r="AB71" s="332">
        <f>'MOD-Berechnungen'!AA357/'MOD-Berechnungen'!AA$26</f>
        <v>1.8929901577733743</v>
      </c>
      <c r="AC71" s="332">
        <f>'MOD-Berechnungen'!AB357/'MOD-Berechnungen'!AB$26</f>
        <v>0.7713111768602392</v>
      </c>
      <c r="AD71" s="332">
        <f>'MOD-Berechnungen'!AC357/'MOD-Berechnungen'!AC$26</f>
        <v>0.44046360917543614</v>
      </c>
      <c r="AE71" s="332">
        <f>'MOD-Berechnungen'!AD357/'MOD-Berechnungen'!AD$26</f>
        <v>0.19238072270198323</v>
      </c>
      <c r="AF71" s="333">
        <f>'MOD-Berechnungen'!AE357/'MOD-Berechnungen'!AE$26</f>
        <v>0</v>
      </c>
      <c r="AH71" s="301" t="s">
        <v>576</v>
      </c>
    </row>
    <row r="72" spans="1:35" s="301" customFormat="1">
      <c r="A72" s="561">
        <v>72</v>
      </c>
      <c r="C72" s="10"/>
      <c r="D72" s="29"/>
      <c r="E72" s="574" t="s">
        <v>12</v>
      </c>
      <c r="F72" s="575" t="s">
        <v>387</v>
      </c>
      <c r="G72" s="332">
        <f>('MOD-Berechnungen'!F308)/'MOD-Berechnungen'!F$26</f>
        <v>6.3975012583189113E-3</v>
      </c>
      <c r="H72" s="332">
        <f>('MOD-Berechnungen'!G308)/'MOD-Berechnungen'!G$26</f>
        <v>1.5189460039511465E-2</v>
      </c>
      <c r="I72" s="332">
        <f>('MOD-Berechnungen'!H308)/'MOD-Berechnungen'!H$26</f>
        <v>2.6994504072299023E-2</v>
      </c>
      <c r="J72" s="332">
        <f>('MOD-Berechnungen'!I308)/'MOD-Berechnungen'!I$26</f>
        <v>2.0332948417102283E-2</v>
      </c>
      <c r="K72" s="332">
        <f>('MOD-Berechnungen'!J308)/'MOD-Berechnungen'!J$26</f>
        <v>3.5248141125216528E-2</v>
      </c>
      <c r="L72" s="332">
        <f>'MOD-Berechnungen'!K358/'MOD-Berechnungen'!K$26</f>
        <v>4.1350501427457401E-2</v>
      </c>
      <c r="M72" s="332">
        <f>'MOD-Berechnungen'!L358/'MOD-Berechnungen'!L$26</f>
        <v>4.1144777539758613E-2</v>
      </c>
      <c r="N72" s="332">
        <f>'MOD-Berechnungen'!M358/'MOD-Berechnungen'!M$26</f>
        <v>4.053672664015627E-2</v>
      </c>
      <c r="O72" s="332">
        <f>'MOD-Berechnungen'!N358/'MOD-Berechnungen'!N$26</f>
        <v>3.9819967230015983E-2</v>
      </c>
      <c r="P72" s="332">
        <f>'MOD-Berechnungen'!O358/'MOD-Berechnungen'!O$26</f>
        <v>3.9270184644986175E-2</v>
      </c>
      <c r="Q72" s="332">
        <f>'MOD-Berechnungen'!P358/'MOD-Berechnungen'!P$26</f>
        <v>3.9074810592026055E-2</v>
      </c>
      <c r="R72" s="332">
        <f>'MOD-Berechnungen'!Q358/'MOD-Berechnungen'!Q$26</f>
        <v>3.7973576862999084E-2</v>
      </c>
      <c r="S72" s="332">
        <f>'MOD-Berechnungen'!R358/'MOD-Berechnungen'!R$26</f>
        <v>3.7412390998028656E-2</v>
      </c>
      <c r="T72" s="332">
        <f>'MOD-Berechnungen'!S358/'MOD-Berechnungen'!S$26</f>
        <v>3.6859498520225284E-2</v>
      </c>
      <c r="U72" s="332">
        <f>'MOD-Berechnungen'!T358/'MOD-Berechnungen'!T$26</f>
        <v>3.6314776867217034E-2</v>
      </c>
      <c r="V72" s="332">
        <f>'MOD-Berechnungen'!U358/'MOD-Berechnungen'!U$26</f>
        <v>3.5778105287898557E-2</v>
      </c>
      <c r="W72" s="332">
        <f>'MOD-Berechnungen'!V358/'MOD-Berechnungen'!V$26</f>
        <v>3.5249364815663611E-2</v>
      </c>
      <c r="X72" s="332">
        <f>'MOD-Berechnungen'!W358/'MOD-Berechnungen'!W$26</f>
        <v>3.4728438242033116E-2</v>
      </c>
      <c r="Y72" s="332">
        <f>'MOD-Berechnungen'!X358/'MOD-Berechnungen'!X$26</f>
        <v>3.4215210090673027E-2</v>
      </c>
      <c r="Z72" s="332">
        <f>'MOD-Berechnungen'!Y358/'MOD-Berechnungen'!Y$26</f>
        <v>3.3709566591796095E-2</v>
      </c>
      <c r="AA72" s="332">
        <f>'MOD-Berechnungen'!Z358/'MOD-Berechnungen'!Z$26</f>
        <v>3.1296896309356337E-2</v>
      </c>
      <c r="AB72" s="332">
        <f>'MOD-Berechnungen'!AA358/'MOD-Berechnungen'!AA$26</f>
        <v>3.0834380600351076E-2</v>
      </c>
      <c r="AC72" s="332">
        <f>'MOD-Berechnungen'!AB358/'MOD-Berechnungen'!AB$26</f>
        <v>3.0378700098868058E-2</v>
      </c>
      <c r="AD72" s="332">
        <f>'MOD-Berechnungen'!AC358/'MOD-Berechnungen'!AC$26</f>
        <v>1.7079556089444753E-2</v>
      </c>
      <c r="AE72" s="332">
        <f>'MOD-Berechnungen'!AD358/'MOD-Berechnungen'!AD$26</f>
        <v>3.4539924600556549E-3</v>
      </c>
      <c r="AF72" s="333">
        <f>'MOD-Berechnungen'!AE358/'MOD-Berechnungen'!AE$26</f>
        <v>0</v>
      </c>
      <c r="AH72" s="301" t="s">
        <v>576</v>
      </c>
    </row>
    <row r="73" spans="1:35" s="301" customFormat="1">
      <c r="A73" s="561">
        <v>73</v>
      </c>
      <c r="C73" s="10"/>
      <c r="D73" s="29"/>
      <c r="E73" s="574" t="s">
        <v>24</v>
      </c>
      <c r="F73" s="575" t="s">
        <v>387</v>
      </c>
      <c r="G73" s="332">
        <f>('MOD-Berechnungen'!F309)/'MOD-Berechnungen'!F$26</f>
        <v>4.9604093204363373</v>
      </c>
      <c r="H73" s="332">
        <f>('MOD-Berechnungen'!G309)/'MOD-Berechnungen'!G$26</f>
        <v>5.2153544210219556</v>
      </c>
      <c r="I73" s="332">
        <f>('MOD-Berechnungen'!H309)/'MOD-Berechnungen'!H$26</f>
        <v>4.9524211283120056</v>
      </c>
      <c r="J73" s="332">
        <f>('MOD-Berechnungen'!I309)/'MOD-Berechnungen'!I$26</f>
        <v>6.0126550735673749</v>
      </c>
      <c r="K73" s="332">
        <f>('MOD-Berechnungen'!J309)/'MOD-Berechnungen'!J$26</f>
        <v>6.7799276136646851</v>
      </c>
      <c r="L73" s="332">
        <f>'MOD-Berechnungen'!K359/'MOD-Berechnungen'!K$26</f>
        <v>6.5299091121969841</v>
      </c>
      <c r="M73" s="332">
        <f>'MOD-Berechnungen'!L359/'MOD-Berechnungen'!L$26</f>
        <v>6.4401905704977391</v>
      </c>
      <c r="N73" s="332">
        <f>'MOD-Berechnungen'!M359/'MOD-Berechnungen'!M$26</f>
        <v>6.2798339069144742</v>
      </c>
      <c r="O73" s="332">
        <f>'MOD-Berechnungen'!N359/'MOD-Berechnungen'!N$26</f>
        <v>6.0887385256069519</v>
      </c>
      <c r="P73" s="332">
        <f>'MOD-Berechnungen'!O359/'MOD-Berechnungen'!O$26</f>
        <v>5.8142592434250568</v>
      </c>
      <c r="Q73" s="332">
        <f>'MOD-Berechnungen'!P359/'MOD-Berechnungen'!P$26</f>
        <v>5.5825784674160719</v>
      </c>
      <c r="R73" s="332">
        <f>'MOD-Berechnungen'!Q359/'MOD-Berechnungen'!Q$26</f>
        <v>5.0791089949853729</v>
      </c>
      <c r="S73" s="332">
        <f>'MOD-Berechnungen'!R359/'MOD-Berechnungen'!R$26</f>
        <v>4.5933769461465612</v>
      </c>
      <c r="T73" s="332">
        <f>'MOD-Berechnungen'!S359/'MOD-Berechnungen'!S$26</f>
        <v>4.0785353919813803</v>
      </c>
      <c r="U73" s="332">
        <f>'MOD-Berechnungen'!T359/'MOD-Berechnungen'!T$26</f>
        <v>3.6373441978308714</v>
      </c>
      <c r="V73" s="332">
        <f>'MOD-Berechnungen'!U359/'MOD-Berechnungen'!U$26</f>
        <v>3.2851856485928792</v>
      </c>
      <c r="W73" s="332">
        <f>'MOD-Berechnungen'!V359/'MOD-Berechnungen'!V$26</f>
        <v>2.9889113926519966</v>
      </c>
      <c r="X73" s="332">
        <f>'MOD-Berechnungen'!W359/'MOD-Berechnungen'!W$26</f>
        <v>2.7092231302838994</v>
      </c>
      <c r="Y73" s="332">
        <f>'MOD-Berechnungen'!X359/'MOD-Berechnungen'!X$26</f>
        <v>2.3267949176774563</v>
      </c>
      <c r="Z73" s="332">
        <f>'MOD-Berechnungen'!Y359/'MOD-Berechnungen'!Y$26</f>
        <v>2.1163769885334514</v>
      </c>
      <c r="AA73" s="332">
        <f>'MOD-Berechnungen'!Z359/'MOD-Berechnungen'!Z$26</f>
        <v>1.7413888890155163</v>
      </c>
      <c r="AB73" s="332">
        <f>'MOD-Berechnungen'!AA359/'MOD-Berechnungen'!AA$26</f>
        <v>1.4341260344303604</v>
      </c>
      <c r="AC73" s="332">
        <f>'MOD-Berechnungen'!AB359/'MOD-Berechnungen'!AB$26</f>
        <v>1.0445318952145388</v>
      </c>
      <c r="AD73" s="332">
        <f>'MOD-Berechnungen'!AC359/'MOD-Berechnungen'!AC$26</f>
        <v>0.5343903090050971</v>
      </c>
      <c r="AE73" s="332">
        <f>'MOD-Berechnungen'!AD359/'MOD-Berechnungen'!AD$26</f>
        <v>0.32431291615520591</v>
      </c>
      <c r="AF73" s="333">
        <f>'MOD-Berechnungen'!AE359/'MOD-Berechnungen'!AE$26</f>
        <v>0</v>
      </c>
      <c r="AH73" s="301" t="s">
        <v>576</v>
      </c>
    </row>
    <row r="74" spans="1:35" s="301" customFormat="1">
      <c r="A74" s="561">
        <v>74</v>
      </c>
      <c r="C74" s="10"/>
      <c r="D74" s="29"/>
      <c r="E74" s="574" t="s">
        <v>26</v>
      </c>
      <c r="F74" s="575" t="s">
        <v>387</v>
      </c>
      <c r="G74" s="332">
        <f>('MOD-Berechnungen'!F310)/'MOD-Berechnungen'!F$26</f>
        <v>0.11622127285946024</v>
      </c>
      <c r="H74" s="332">
        <f>('MOD-Berechnungen'!G310)/'MOD-Berechnungen'!G$26</f>
        <v>0.19960274011397017</v>
      </c>
      <c r="I74" s="332">
        <f>('MOD-Berechnungen'!H310)/'MOD-Berechnungen'!H$26</f>
        <v>0.24710881336791091</v>
      </c>
      <c r="J74" s="332">
        <f>('MOD-Berechnungen'!I310)/'MOD-Berechnungen'!I$26</f>
        <v>0.52910519364491515</v>
      </c>
      <c r="K74" s="332">
        <f>('MOD-Berechnungen'!J310)/'MOD-Berechnungen'!J$26</f>
        <v>1.57048130318501</v>
      </c>
      <c r="L74" s="332">
        <f>'MOD-Berechnungen'!K360/'MOD-Berechnungen'!K$26</f>
        <v>0.66709600278231995</v>
      </c>
      <c r="M74" s="332">
        <f>'MOD-Berechnungen'!L360/'MOD-Berechnungen'!L$26</f>
        <v>0.66377711719633836</v>
      </c>
      <c r="N74" s="332">
        <f>'MOD-Berechnungen'!M360/'MOD-Berechnungen'!M$26</f>
        <v>0.65396760314910185</v>
      </c>
      <c r="O74" s="332">
        <f>'MOD-Berechnungen'!N360/'MOD-Berechnungen'!N$26</f>
        <v>0.64240432529381319</v>
      </c>
      <c r="P74" s="332">
        <f>'MOD-Berechnungen'!O360/'MOD-Berechnungen'!O$26</f>
        <v>0.63353483756786322</v>
      </c>
      <c r="Q74" s="332">
        <f>'MOD-Berechnungen'!P360/'MOD-Berechnungen'!P$26</f>
        <v>0.63038292295309772</v>
      </c>
      <c r="R74" s="332">
        <f>'MOD-Berechnungen'!Q360/'MOD-Berechnungen'!Q$26</f>
        <v>0.60143627140115685</v>
      </c>
      <c r="S74" s="332">
        <f>'MOD-Berechnungen'!R360/'MOD-Berechnungen'!R$26</f>
        <v>0.56103308229646875</v>
      </c>
      <c r="T74" s="332">
        <f>'MOD-Berechnungen'!S360/'MOD-Berechnungen'!S$26</f>
        <v>0.48549729608069619</v>
      </c>
      <c r="U74" s="332">
        <f>'MOD-Berechnungen'!T360/'MOD-Berechnungen'!T$26</f>
        <v>0.44651272211121795</v>
      </c>
      <c r="V74" s="332">
        <f>'MOD-Berechnungen'!U360/'MOD-Berechnungen'!U$26</f>
        <v>0.33592406720932577</v>
      </c>
      <c r="W74" s="332">
        <f>'MOD-Berechnungen'!V360/'MOD-Berechnungen'!V$26</f>
        <v>0.14641913871389323</v>
      </c>
      <c r="X74" s="332">
        <f>'MOD-Berechnungen'!W360/'MOD-Berechnungen'!W$26</f>
        <v>0.10109140499386296</v>
      </c>
      <c r="Y74" s="332">
        <f>'MOD-Berechnungen'!X360/'MOD-Berechnungen'!X$26</f>
        <v>9.9503812523034807E-2</v>
      </c>
      <c r="Z74" s="332">
        <f>'MOD-Berechnungen'!Y360/'MOD-Berechnungen'!Y$26</f>
        <v>9.7899464076982606E-2</v>
      </c>
      <c r="AA74" s="332">
        <f>'MOD-Berechnungen'!Z360/'MOD-Berechnungen'!Z$26</f>
        <v>9.2808529521084621E-2</v>
      </c>
      <c r="AB74" s="332">
        <f>'MOD-Berechnungen'!AA360/'MOD-Berechnungen'!AA$26</f>
        <v>8.6455106123814407E-2</v>
      </c>
      <c r="AC74" s="332">
        <f>'MOD-Berechnungen'!AB360/'MOD-Berechnungen'!AB$26</f>
        <v>7.3554285583763132E-2</v>
      </c>
      <c r="AD74" s="332">
        <f>'MOD-Berechnungen'!AC360/'MOD-Berechnungen'!AC$26</f>
        <v>6.3945489165845595E-2</v>
      </c>
      <c r="AE74" s="332">
        <f>'MOD-Berechnungen'!AD360/'MOD-Berechnungen'!AD$26</f>
        <v>3.8575514340962222E-2</v>
      </c>
      <c r="AF74" s="333">
        <f>'MOD-Berechnungen'!AE360/'MOD-Berechnungen'!AE$26</f>
        <v>0</v>
      </c>
      <c r="AH74" s="301" t="s">
        <v>576</v>
      </c>
    </row>
    <row r="75" spans="1:35" s="301" customFormat="1">
      <c r="A75" s="561">
        <v>75</v>
      </c>
      <c r="C75" s="10"/>
      <c r="D75" s="29"/>
      <c r="E75" s="576" t="s">
        <v>74</v>
      </c>
      <c r="F75" s="577" t="s">
        <v>387</v>
      </c>
      <c r="G75" s="309">
        <f>('MOD-Berechnungen'!F311)/'MOD-Berechnungen'!F$26</f>
        <v>4.5998163892894066</v>
      </c>
      <c r="H75" s="309">
        <f>('MOD-Berechnungen'!G311)/'MOD-Berechnungen'!G$26</f>
        <v>9.3067676997790123</v>
      </c>
      <c r="I75" s="309">
        <f>('MOD-Berechnungen'!H311)/'MOD-Berechnungen'!H$26</f>
        <v>9.9987266432747717</v>
      </c>
      <c r="J75" s="309">
        <f>('MOD-Berechnungen'!I311)/'MOD-Berechnungen'!I$26</f>
        <v>11.558353051420637</v>
      </c>
      <c r="K75" s="309">
        <f>('MOD-Berechnungen'!J311)/'MOD-Berechnungen'!J$26</f>
        <v>11.918438621436662</v>
      </c>
      <c r="L75" s="309">
        <f>'MOD-Berechnungen'!K361/'MOD-Berechnungen'!K$26</f>
        <v>12.056228938838023</v>
      </c>
      <c r="M75" s="309">
        <f>'MOD-Berechnungen'!L361/'MOD-Berechnungen'!L$26</f>
        <v>11.996247700336342</v>
      </c>
      <c r="N75" s="309">
        <f>'MOD-Berechnungen'!M361/'MOD-Berechnungen'!M$26</f>
        <v>11.8189632515629</v>
      </c>
      <c r="O75" s="309">
        <f>'MOD-Berechnungen'!N361/'MOD-Berechnungen'!N$26</f>
        <v>11.609983547704225</v>
      </c>
      <c r="P75" s="309">
        <f>'MOD-Berechnungen'!O361/'MOD-Berechnungen'!O$26</f>
        <v>11.449687916868072</v>
      </c>
      <c r="Q75" s="309">
        <f>'MOD-Berechnungen'!P361/'MOD-Berechnungen'!P$26</f>
        <v>11.392724295391117</v>
      </c>
      <c r="R75" s="309">
        <f>'MOD-Berechnungen'!Q361/'MOD-Berechnungen'!Q$26</f>
        <v>11.024115088524649</v>
      </c>
      <c r="S75" s="309">
        <f>'MOD-Berechnungen'!R361/'MOD-Berechnungen'!R$26</f>
        <v>10.811821691314007</v>
      </c>
      <c r="T75" s="309">
        <f>'MOD-Berechnungen'!S361/'MOD-Berechnungen'!S$26</f>
        <v>10.603668464354143</v>
      </c>
      <c r="U75" s="309">
        <f>'MOD-Berechnungen'!T361/'MOD-Berechnungen'!T$26</f>
        <v>10.386965741647209</v>
      </c>
      <c r="V75" s="309">
        <f>'MOD-Berechnungen'!U361/'MOD-Berechnungen'!U$26</f>
        <v>9.8979281929447911</v>
      </c>
      <c r="W75" s="309">
        <f>'MOD-Berechnungen'!V361/'MOD-Berechnungen'!V$26</f>
        <v>9.309500537485194</v>
      </c>
      <c r="X75" s="309">
        <f>'MOD-Berechnungen'!W361/'MOD-Berechnungen'!W$26</f>
        <v>8.7918635059873189</v>
      </c>
      <c r="Y75" s="309">
        <f>'MOD-Berechnungen'!X361/'MOD-Berechnungen'!X$26</f>
        <v>8.1386846169327658</v>
      </c>
      <c r="Z75" s="309">
        <f>'MOD-Berechnungen'!Y361/'MOD-Berechnungen'!Y$26</f>
        <v>7.2419823418039329</v>
      </c>
      <c r="AA75" s="309">
        <f>'MOD-Berechnungen'!Z361/'MOD-Berechnungen'!Z$26</f>
        <v>5.5863080810463632</v>
      </c>
      <c r="AB75" s="309">
        <f>'MOD-Berechnungen'!AA361/'MOD-Berechnungen'!AA$26</f>
        <v>3.2732190967518084</v>
      </c>
      <c r="AC75" s="309">
        <f>'MOD-Berechnungen'!AB361/'MOD-Berechnungen'!AB$26</f>
        <v>1.4900979473324083</v>
      </c>
      <c r="AD75" s="309">
        <f>'MOD-Berechnungen'!AC361/'MOD-Berechnungen'!AC$26</f>
        <v>0.42113259812842541</v>
      </c>
      <c r="AE75" s="309">
        <f>'MOD-Berechnungen'!AD361/'MOD-Berechnungen'!AD$26</f>
        <v>0.12693558383307246</v>
      </c>
      <c r="AF75" s="56">
        <f>'MOD-Berechnungen'!AE361/'MOD-Berechnungen'!AE$26</f>
        <v>0</v>
      </c>
      <c r="AH75" s="301" t="s">
        <v>576</v>
      </c>
    </row>
    <row r="76" spans="1:35" s="301" customFormat="1">
      <c r="A76" s="561">
        <v>76</v>
      </c>
      <c r="C76" s="10"/>
      <c r="D76" s="29"/>
      <c r="E76" s="574" t="s">
        <v>25</v>
      </c>
      <c r="F76" s="578"/>
      <c r="G76" s="332">
        <f>G106/'MOD-Berechnungen'!F$26</f>
        <v>0</v>
      </c>
      <c r="H76" s="332">
        <f>H106/'MOD-Berechnungen'!G$26</f>
        <v>0</v>
      </c>
      <c r="I76" s="332">
        <f>I106/'MOD-Berechnungen'!H$26</f>
        <v>0</v>
      </c>
      <c r="J76" s="332">
        <f>J106/'MOD-Berechnungen'!I$26</f>
        <v>0</v>
      </c>
      <c r="K76" s="332">
        <f>K106/'MOD-Berechnungen'!J$26</f>
        <v>0</v>
      </c>
      <c r="L76" s="332">
        <f>L106/'MOD-Berechnungen'!K$26</f>
        <v>6.6539972159463376E-2</v>
      </c>
      <c r="M76" s="332">
        <f>M106/'MOD-Berechnungen'!L$26</f>
        <v>0.13749171729970036</v>
      </c>
      <c r="N76" s="332">
        <f>N106/'MOD-Berechnungen'!M$26</f>
        <v>0.14173049769539917</v>
      </c>
      <c r="O76" s="332">
        <f>O106/'MOD-Berechnungen'!N$26</f>
        <v>0.14393693113921563</v>
      </c>
      <c r="P76" s="332">
        <f>P106/'MOD-Berechnungen'!O$26</f>
        <v>0.14921256340561564</v>
      </c>
      <c r="Q76" s="332">
        <f>Q106/'MOD-Berechnungen'!P$26</f>
        <v>0.15518294044686159</v>
      </c>
      <c r="R76" s="332">
        <f>R106/'MOD-Berechnungen'!Q$26</f>
        <v>0.15665292718901139</v>
      </c>
      <c r="S76" s="332">
        <f>S106/'MOD-Berechnungen'!R$26</f>
        <v>0.15956721587459904</v>
      </c>
      <c r="T76" s="332">
        <f>T106/'MOD-Berechnungen'!S$26</f>
        <v>0.16160072211918075</v>
      </c>
      <c r="U76" s="332">
        <f>U106/'MOD-Berechnungen'!T$26</f>
        <v>0.16351925676411752</v>
      </c>
      <c r="V76" s="332">
        <f>V106/'MOD-Berechnungen'!U$26</f>
        <v>0.16532627855417747</v>
      </c>
      <c r="W76" s="332">
        <f>W106/'MOD-Berechnungen'!V$26</f>
        <v>0.16702514547942651</v>
      </c>
      <c r="X76" s="332">
        <f>X106/'MOD-Berechnungen'!W$26</f>
        <v>0.16861750070503892</v>
      </c>
      <c r="Y76" s="332">
        <f>Y106/'MOD-Berechnungen'!X$26</f>
        <v>0.17010552372315724</v>
      </c>
      <c r="Z76" s="332">
        <f>Z106/'MOD-Berechnungen'!Y$26</f>
        <v>0.17149241559735773</v>
      </c>
      <c r="AA76" s="332">
        <f>AA106/'MOD-Berechnungen'!Z$26</f>
        <v>0.17278129038457854</v>
      </c>
      <c r="AB76" s="332">
        <f>AB106/'MOD-Berechnungen'!AA$26</f>
        <v>0.17397517806320145</v>
      </c>
      <c r="AC76" s="332">
        <f>AC106/'MOD-Berechnungen'!AB$26</f>
        <v>0.17507702726446589</v>
      </c>
      <c r="AD76" s="332">
        <f>AD106/'MOD-Berechnungen'!AC$26</f>
        <v>0.17608970783231592</v>
      </c>
      <c r="AE76" s="332">
        <f>AE106/'MOD-Berechnungen'!AD$26</f>
        <v>0.17701601323260507</v>
      </c>
      <c r="AF76" s="333">
        <f>AF106/'MOD-Berechnungen'!AE$26</f>
        <v>0.17785866282919449</v>
      </c>
      <c r="AH76" s="301" t="s">
        <v>638</v>
      </c>
      <c r="AI76" s="907"/>
    </row>
    <row r="77" spans="1:35" s="301" customFormat="1">
      <c r="A77" s="561">
        <v>77</v>
      </c>
      <c r="C77" s="10"/>
      <c r="D77" s="29"/>
      <c r="E77" s="574" t="s">
        <v>50</v>
      </c>
      <c r="F77" s="578"/>
      <c r="G77" s="332">
        <f>G107/'MOD-Berechnungen'!F$26</f>
        <v>0</v>
      </c>
      <c r="H77" s="332">
        <f>H107/'MOD-Berechnungen'!G$26</f>
        <v>0</v>
      </c>
      <c r="I77" s="332">
        <f>I107/'MOD-Berechnungen'!H$26</f>
        <v>0</v>
      </c>
      <c r="J77" s="332">
        <f>J107/'MOD-Berechnungen'!I$26</f>
        <v>0</v>
      </c>
      <c r="K77" s="332">
        <f>K107/'MOD-Berechnungen'!J$26</f>
        <v>0</v>
      </c>
      <c r="L77" s="332">
        <f>L107/'MOD-Berechnungen'!K$26</f>
        <v>5.3771678664792516E-3</v>
      </c>
      <c r="M77" s="332">
        <f>M107/'MOD-Berechnungen'!L$26</f>
        <v>1.1187589333032851E-2</v>
      </c>
      <c r="N77" s="332">
        <f>N107/'MOD-Berechnungen'!M$26</f>
        <v>1.1736727961150746E-2</v>
      </c>
      <c r="O77" s="332">
        <f>O107/'MOD-Berechnungen'!N$26</f>
        <v>1.2522135360662301E-2</v>
      </c>
      <c r="P77" s="332">
        <f>P107/'MOD-Berechnungen'!O$26</f>
        <v>1.333789078344198E-2</v>
      </c>
      <c r="Q77" s="332">
        <f>Q107/'MOD-Berechnungen'!P$26</f>
        <v>1.3719931680448451E-2</v>
      </c>
      <c r="R77" s="332">
        <f>R107/'MOD-Berechnungen'!Q$26</f>
        <v>1.3782358407824451E-2</v>
      </c>
      <c r="S77" s="332">
        <f>S107/'MOD-Berechnungen'!R$26</f>
        <v>1.5646707528952787E-2</v>
      </c>
      <c r="T77" s="332">
        <f>T107/'MOD-Berechnungen'!S$26</f>
        <v>2.7961347522751812E-2</v>
      </c>
      <c r="U77" s="332">
        <f>U107/'MOD-Berechnungen'!T$26</f>
        <v>1.504727728844084E-2</v>
      </c>
      <c r="V77" s="332">
        <f>V107/'MOD-Berechnungen'!U$26</f>
        <v>1.5162345261525063E-2</v>
      </c>
      <c r="W77" s="332">
        <f>W107/'MOD-Berechnungen'!V$26</f>
        <v>1.5298477193984798E-2</v>
      </c>
      <c r="X77" s="332">
        <f>X107/'MOD-Berechnungen'!W$26</f>
        <v>1.6764194768549439E-2</v>
      </c>
      <c r="Y77" s="332">
        <f>Y107/'MOD-Berechnungen'!X$26</f>
        <v>1.9209009669028724E-2</v>
      </c>
      <c r="Z77" s="332">
        <f>Z107/'MOD-Berechnungen'!Y$26</f>
        <v>2.1536608658095337E-2</v>
      </c>
      <c r="AA77" s="332">
        <f>AA107/'MOD-Berechnungen'!Z$26</f>
        <v>2.3851630936600046E-2</v>
      </c>
      <c r="AB77" s="332">
        <f>AB107/'MOD-Berechnungen'!AA$26</f>
        <v>2.6043039048966037E-2</v>
      </c>
      <c r="AC77" s="332">
        <f>AC107/'MOD-Berechnungen'!AB$26</f>
        <v>2.7973848043757039E-2</v>
      </c>
      <c r="AD77" s="332">
        <f>AD107/'MOD-Berechnungen'!AC$26</f>
        <v>2.9781318357197321E-2</v>
      </c>
      <c r="AE77" s="332">
        <f>AE107/'MOD-Berechnungen'!AD$26</f>
        <v>3.1469569091315146E-2</v>
      </c>
      <c r="AF77" s="333">
        <f>AF107/'MOD-Berechnungen'!AE$26</f>
        <v>3.3042611307125519E-2</v>
      </c>
      <c r="AH77" s="301" t="s">
        <v>638</v>
      </c>
    </row>
    <row r="78" spans="1:35" s="301" customFormat="1">
      <c r="A78" s="561">
        <v>78</v>
      </c>
      <c r="C78" s="10"/>
      <c r="D78" s="29"/>
      <c r="E78" s="574" t="s">
        <v>13</v>
      </c>
      <c r="F78" s="578"/>
      <c r="G78" s="332">
        <f>G108/'MOD-Berechnungen'!F$26</f>
        <v>0</v>
      </c>
      <c r="H78" s="332">
        <f>H108/'MOD-Berechnungen'!G$26</f>
        <v>0</v>
      </c>
      <c r="I78" s="332">
        <f>I108/'MOD-Berechnungen'!H$26</f>
        <v>0</v>
      </c>
      <c r="J78" s="332">
        <f>J108/'MOD-Berechnungen'!I$26</f>
        <v>0</v>
      </c>
      <c r="K78" s="332">
        <f>K108/'MOD-Berechnungen'!J$26</f>
        <v>0</v>
      </c>
      <c r="L78" s="332">
        <f>L108/'MOD-Berechnungen'!K$26</f>
        <v>0.11490793418095242</v>
      </c>
      <c r="M78" s="332">
        <f>M108/'MOD-Berechnungen'!L$26</f>
        <v>0.30940314930236029</v>
      </c>
      <c r="N78" s="332">
        <f>N108/'MOD-Berechnungen'!M$26</f>
        <v>0.47660972832699594</v>
      </c>
      <c r="O78" s="332">
        <f>O108/'MOD-Berechnungen'!N$26</f>
        <v>0.68698098758989912</v>
      </c>
      <c r="P78" s="332">
        <f>P108/'MOD-Berechnungen'!O$26</f>
        <v>0.90016839059618958</v>
      </c>
      <c r="Q78" s="332">
        <f>Q108/'MOD-Berechnungen'!P$26</f>
        <v>1.0407964750391798</v>
      </c>
      <c r="R78" s="332">
        <f>R108/'MOD-Berechnungen'!Q$26</f>
        <v>1.0940261233657744</v>
      </c>
      <c r="S78" s="332">
        <f>S108/'MOD-Berechnungen'!R$26</f>
        <v>1.2256868855957004</v>
      </c>
      <c r="T78" s="332">
        <f>T108/'MOD-Berechnungen'!S$26</f>
        <v>1.4217926576492033</v>
      </c>
      <c r="U78" s="332">
        <f>U108/'MOD-Berechnungen'!T$26</f>
        <v>1.596361150179765</v>
      </c>
      <c r="V78" s="332">
        <f>V108/'MOD-Berechnungen'!U$26</f>
        <v>1.7556984664540778</v>
      </c>
      <c r="W78" s="332">
        <f>W108/'MOD-Berechnungen'!V$26</f>
        <v>1.9014999423647425</v>
      </c>
      <c r="X78" s="332">
        <f>X108/'MOD-Berechnungen'!W$26</f>
        <v>2.004436344945395</v>
      </c>
      <c r="Y78" s="332">
        <f>Y108/'MOD-Berechnungen'!X$26</f>
        <v>2.0712749233380419</v>
      </c>
      <c r="Z78" s="332">
        <f>Z108/'MOD-Berechnungen'!Y$26</f>
        <v>2.1347184329572948</v>
      </c>
      <c r="AA78" s="332">
        <f>AA108/'MOD-Berechnungen'!Z$26</f>
        <v>2.1948762137852547</v>
      </c>
      <c r="AB78" s="332">
        <f>AB108/'MOD-Berechnungen'!AA$26</f>
        <v>2.2518542849289145</v>
      </c>
      <c r="AC78" s="332">
        <f>AC108/'MOD-Berechnungen'!AB$26</f>
        <v>2.3057555008507973</v>
      </c>
      <c r="AD78" s="332">
        <f>AD108/'MOD-Berechnungen'!AC$26</f>
        <v>2.356679686176963</v>
      </c>
      <c r="AE78" s="332">
        <f>AE108/'MOD-Berechnungen'!AD$26</f>
        <v>2.4047237544298325</v>
      </c>
      <c r="AF78" s="333">
        <f>AF108/'MOD-Berechnungen'!AE$26</f>
        <v>2.4510080724736691</v>
      </c>
      <c r="AH78" s="301" t="s">
        <v>638</v>
      </c>
    </row>
    <row r="79" spans="1:35" s="301" customFormat="1">
      <c r="A79" s="561">
        <v>79</v>
      </c>
      <c r="C79" s="10"/>
      <c r="D79" s="29"/>
      <c r="E79" s="574" t="s">
        <v>12</v>
      </c>
      <c r="F79" s="578"/>
      <c r="G79" s="332">
        <f>G109/'MOD-Berechnungen'!F$26</f>
        <v>0</v>
      </c>
      <c r="H79" s="332">
        <f>H109/'MOD-Berechnungen'!G$26</f>
        <v>0</v>
      </c>
      <c r="I79" s="332">
        <f>I109/'MOD-Berechnungen'!H$26</f>
        <v>0</v>
      </c>
      <c r="J79" s="332">
        <f>J109/'MOD-Berechnungen'!I$26</f>
        <v>0</v>
      </c>
      <c r="K79" s="332">
        <f>K109/'MOD-Berechnungen'!J$26</f>
        <v>0</v>
      </c>
      <c r="L79" s="332">
        <f>L109/'MOD-Berechnungen'!K$26</f>
        <v>0</v>
      </c>
      <c r="M79" s="332">
        <f>M109/'MOD-Berechnungen'!L$26</f>
        <v>2.7064561387499979E-3</v>
      </c>
      <c r="N79" s="332">
        <f>N109/'MOD-Berechnungen'!M$26</f>
        <v>6.911220749999997E-3</v>
      </c>
      <c r="O79" s="332">
        <f>O109/'MOD-Berechnungen'!N$26</f>
        <v>1.224182627228935E-2</v>
      </c>
      <c r="P79" s="332">
        <f>P109/'MOD-Berechnungen'!O$26</f>
        <v>1.9053564060885715E-2</v>
      </c>
      <c r="Q79" s="332">
        <f>Q109/'MOD-Berechnungen'!P$26</f>
        <v>2.536140296382287E-2</v>
      </c>
      <c r="R79" s="332">
        <f>R109/'MOD-Berechnungen'!Q$26</f>
        <v>3.3730325619720371E-2</v>
      </c>
      <c r="S79" s="332">
        <f>S109/'MOD-Berechnungen'!R$26</f>
        <v>5.3182648565932536E-2</v>
      </c>
      <c r="T79" s="332">
        <f>T109/'MOD-Berechnungen'!S$26</f>
        <v>8.1514712227032868E-2</v>
      </c>
      <c r="U79" s="332">
        <f>U109/'MOD-Berechnungen'!T$26</f>
        <v>0.11101464485035251</v>
      </c>
      <c r="V79" s="332">
        <f>V109/'MOD-Berechnungen'!U$26</f>
        <v>0.14094211246842808</v>
      </c>
      <c r="W79" s="332">
        <f>W109/'MOD-Berechnungen'!V$26</f>
        <v>0.17103023780019472</v>
      </c>
      <c r="X79" s="332">
        <f>X109/'MOD-Berechnungen'!W$26</f>
        <v>0.18810814602929113</v>
      </c>
      <c r="Y79" s="332">
        <f>Y109/'MOD-Berechnungen'!X$26</f>
        <v>0.19188220299701525</v>
      </c>
      <c r="Z79" s="332">
        <f>Z109/'MOD-Berechnungen'!Y$26</f>
        <v>0.1951719591652811</v>
      </c>
      <c r="AA79" s="332">
        <f>AA109/'MOD-Berechnungen'!Z$26</f>
        <v>0.19801307064773216</v>
      </c>
      <c r="AB79" s="332">
        <f>AB109/'MOD-Berechnungen'!AA$26</f>
        <v>0.20043866386838294</v>
      </c>
      <c r="AC79" s="332">
        <f>AC109/'MOD-Berechnungen'!AB$26</f>
        <v>0.20247953702845362</v>
      </c>
      <c r="AD79" s="332">
        <f>AD109/'MOD-Berechnungen'!AC$26</f>
        <v>0.20416433992133304</v>
      </c>
      <c r="AE79" s="332">
        <f>AE109/'MOD-Berechnungen'!AD$26</f>
        <v>0.20551973566847812</v>
      </c>
      <c r="AF79" s="333">
        <f>AF109/'MOD-Berechnungen'!AE$26</f>
        <v>0.20657054712313908</v>
      </c>
      <c r="AH79" s="301" t="s">
        <v>638</v>
      </c>
    </row>
    <row r="80" spans="1:35" s="301" customFormat="1">
      <c r="A80" s="561">
        <v>80</v>
      </c>
      <c r="C80" s="10"/>
      <c r="D80" s="29"/>
      <c r="E80" s="574" t="s">
        <v>24</v>
      </c>
      <c r="F80" s="578"/>
      <c r="G80" s="332">
        <f>G110/'MOD-Berechnungen'!F$26</f>
        <v>0</v>
      </c>
      <c r="H80" s="332">
        <f>H110/'MOD-Berechnungen'!G$26</f>
        <v>0</v>
      </c>
      <c r="I80" s="332">
        <f>I110/'MOD-Berechnungen'!H$26</f>
        <v>0</v>
      </c>
      <c r="J80" s="332">
        <f>J110/'MOD-Berechnungen'!I$26</f>
        <v>0</v>
      </c>
      <c r="K80" s="332">
        <f>K110/'MOD-Berechnungen'!J$26</f>
        <v>0</v>
      </c>
      <c r="L80" s="332">
        <f>L110/'MOD-Berechnungen'!K$26</f>
        <v>0.37497725870677368</v>
      </c>
      <c r="M80" s="332">
        <f>M110/'MOD-Berechnungen'!L$26</f>
        <v>1.2007071473094113</v>
      </c>
      <c r="N80" s="332">
        <f>N110/'MOD-Berechnungen'!M$26</f>
        <v>2.1587257277008809</v>
      </c>
      <c r="O80" s="332">
        <f>O110/'MOD-Berechnungen'!N$26</f>
        <v>2.8576062523660832</v>
      </c>
      <c r="P80" s="332">
        <f>P110/'MOD-Berechnungen'!O$26</f>
        <v>3.1519507968080602</v>
      </c>
      <c r="Q80" s="332">
        <f>Q110/'MOD-Berechnungen'!P$26</f>
        <v>3.3679227501655045</v>
      </c>
      <c r="R80" s="332">
        <f>R110/'MOD-Berechnungen'!Q$26</f>
        <v>3.4943177235823142</v>
      </c>
      <c r="S80" s="332">
        <f>S110/'MOD-Berechnungen'!R$26</f>
        <v>3.6717386752722274</v>
      </c>
      <c r="T80" s="332">
        <f>T110/'MOD-Berechnungen'!S$26</f>
        <v>4.2936705120906051</v>
      </c>
      <c r="U80" s="332">
        <f>U110/'MOD-Berechnungen'!T$26</f>
        <v>4.1252707510256901</v>
      </c>
      <c r="V80" s="332">
        <f>V110/'MOD-Berechnungen'!U$26</f>
        <v>4.3573320418069299</v>
      </c>
      <c r="W80" s="332">
        <f>W110/'MOD-Berechnungen'!V$26</f>
        <v>4.5816618699720548</v>
      </c>
      <c r="X80" s="332">
        <f>X110/'MOD-Berechnungen'!W$26</f>
        <v>4.799538480518085</v>
      </c>
      <c r="Y80" s="332">
        <f>Y110/'MOD-Berechnungen'!X$26</f>
        <v>5.0106545671308895</v>
      </c>
      <c r="Z80" s="332">
        <f>Z110/'MOD-Berechnungen'!Y$26</f>
        <v>5.2129755188919509</v>
      </c>
      <c r="AA80" s="332">
        <f>AA110/'MOD-Berechnungen'!Z$26</f>
        <v>5.4054873639823819</v>
      </c>
      <c r="AB80" s="332">
        <f>AB110/'MOD-Berechnungen'!AA$26</f>
        <v>5.5876984747299314</v>
      </c>
      <c r="AC80" s="332">
        <f>AC110/'MOD-Berechnungen'!AB$26</f>
        <v>5.7594094382179986</v>
      </c>
      <c r="AD80" s="332">
        <f>AD110/'MOD-Berechnungen'!AC$26</f>
        <v>5.9205947918312365</v>
      </c>
      <c r="AE80" s="332">
        <f>AE110/'MOD-Berechnungen'!AD$26</f>
        <v>6.0713372699381702</v>
      </c>
      <c r="AF80" s="333">
        <f>AF110/'MOD-Berechnungen'!AE$26</f>
        <v>6.2165571284892733</v>
      </c>
      <c r="AH80" s="301" t="s">
        <v>638</v>
      </c>
    </row>
    <row r="81" spans="1:34" s="301" customFormat="1">
      <c r="A81" s="561">
        <v>81</v>
      </c>
      <c r="C81" s="10"/>
      <c r="D81" s="29"/>
      <c r="E81" s="574" t="s">
        <v>26</v>
      </c>
      <c r="F81" s="578"/>
      <c r="G81" s="332">
        <f>G111/'MOD-Berechnungen'!F$26</f>
        <v>0</v>
      </c>
      <c r="H81" s="332">
        <f>H111/'MOD-Berechnungen'!G$26</f>
        <v>0</v>
      </c>
      <c r="I81" s="332">
        <f>I111/'MOD-Berechnungen'!H$26</f>
        <v>0</v>
      </c>
      <c r="J81" s="332">
        <f>J111/'MOD-Berechnungen'!I$26</f>
        <v>0</v>
      </c>
      <c r="K81" s="332">
        <f>K111/'MOD-Berechnungen'!J$26</f>
        <v>0</v>
      </c>
      <c r="L81" s="332">
        <f>L111/'MOD-Berechnungen'!K$26</f>
        <v>0.75731846896551736</v>
      </c>
      <c r="M81" s="332">
        <f>M111/'MOD-Berechnungen'!L$26</f>
        <v>1.8037886052731247</v>
      </c>
      <c r="N81" s="332">
        <f>N111/'MOD-Berechnungen'!M$26</f>
        <v>2.5143278337309583</v>
      </c>
      <c r="O81" s="332">
        <f>O111/'MOD-Berechnungen'!N$26</f>
        <v>3.1834844812046903</v>
      </c>
      <c r="P81" s="332">
        <f>P111/'MOD-Berechnungen'!O$26</f>
        <v>3.7330654715542564</v>
      </c>
      <c r="Q81" s="332">
        <f>Q111/'MOD-Berechnungen'!P$26</f>
        <v>4.0946112790962825</v>
      </c>
      <c r="R81" s="332">
        <f>R111/'MOD-Berechnungen'!Q$26</f>
        <v>4.0271247786407418</v>
      </c>
      <c r="S81" s="332">
        <f>S111/'MOD-Berechnungen'!R$26</f>
        <v>3.9915372504567288</v>
      </c>
      <c r="T81" s="332">
        <f>T111/'MOD-Berechnungen'!S$26</f>
        <v>4.0399636742105089</v>
      </c>
      <c r="U81" s="332">
        <f>U111/'MOD-Berechnungen'!T$26</f>
        <v>3.9211323145413903</v>
      </c>
      <c r="V81" s="332">
        <f>V111/'MOD-Berechnungen'!U$26</f>
        <v>3.9355411758532717</v>
      </c>
      <c r="W81" s="332">
        <f>W111/'MOD-Berechnungen'!V$26</f>
        <v>3.7552950457946981</v>
      </c>
      <c r="X81" s="332">
        <f>X111/'MOD-Berechnungen'!W$26</f>
        <v>3.0705757688089541</v>
      </c>
      <c r="Y81" s="332">
        <f>Y111/'MOD-Berechnungen'!X$26</f>
        <v>2.9520151771136063</v>
      </c>
      <c r="Z81" s="332">
        <f>Z111/'MOD-Berechnungen'!Y$26</f>
        <v>2.7406587652568724</v>
      </c>
      <c r="AA81" s="332">
        <f>AA111/'MOD-Berechnungen'!Z$26</f>
        <v>2.8812798000950641</v>
      </c>
      <c r="AB81" s="332">
        <f>AB111/'MOD-Berechnungen'!AA$26</f>
        <v>3.0898966605846638</v>
      </c>
      <c r="AC81" s="332">
        <f>AC111/'MOD-Berechnungen'!AB$26</f>
        <v>3.3110912979360951</v>
      </c>
      <c r="AD81" s="332">
        <f>AD111/'MOD-Berechnungen'!AC$26</f>
        <v>3.5227935575334044</v>
      </c>
      <c r="AE81" s="332">
        <f>AE111/'MOD-Berechnungen'!AD$26</f>
        <v>3.4555236357064931</v>
      </c>
      <c r="AF81" s="333">
        <f>AF111/'MOD-Berechnungen'!AE$26</f>
        <v>3.4388513854746439</v>
      </c>
      <c r="AH81" s="301" t="s">
        <v>638</v>
      </c>
    </row>
    <row r="82" spans="1:34" s="301" customFormat="1">
      <c r="A82" s="561">
        <v>82</v>
      </c>
      <c r="C82" s="10"/>
      <c r="D82" s="29"/>
      <c r="E82" s="576" t="s">
        <v>74</v>
      </c>
      <c r="F82" s="579"/>
      <c r="G82" s="309">
        <f>G112/'MOD-Berechnungen'!F$26</f>
        <v>0</v>
      </c>
      <c r="H82" s="309">
        <f>H112/'MOD-Berechnungen'!G$26</f>
        <v>0</v>
      </c>
      <c r="I82" s="309">
        <f>I112/'MOD-Berechnungen'!H$26</f>
        <v>0</v>
      </c>
      <c r="J82" s="309">
        <f>J112/'MOD-Berechnungen'!I$26</f>
        <v>0</v>
      </c>
      <c r="K82" s="309">
        <f>K112/'MOD-Berechnungen'!J$26</f>
        <v>0</v>
      </c>
      <c r="L82" s="309">
        <f>L112/'MOD-Berechnungen'!K$26</f>
        <v>5.4905966441302537E-2</v>
      </c>
      <c r="M82" s="309">
        <f>M112/'MOD-Berechnungen'!L$26</f>
        <v>0.15818858248446524</v>
      </c>
      <c r="N82" s="309">
        <f>N112/'MOD-Berechnungen'!M$26</f>
        <v>0.32022560296171776</v>
      </c>
      <c r="O82" s="309">
        <f>O112/'MOD-Berechnungen'!N$26</f>
        <v>0.5143852566388657</v>
      </c>
      <c r="P82" s="309">
        <f>P112/'MOD-Berechnungen'!O$26</f>
        <v>0.84767491728324451</v>
      </c>
      <c r="Q82" s="309">
        <f>Q112/'MOD-Berechnungen'!P$26</f>
        <v>1.2508864820079793</v>
      </c>
      <c r="R82" s="309">
        <f>R112/'MOD-Berechnungen'!Q$26</f>
        <v>1.5985827756511548</v>
      </c>
      <c r="S82" s="309">
        <f>S112/'MOD-Berechnungen'!R$26</f>
        <v>1.9327983346296826</v>
      </c>
      <c r="T82" s="309">
        <f>T112/'MOD-Berechnungen'!S$26</f>
        <v>2.3457441984265559</v>
      </c>
      <c r="U82" s="309">
        <f>U112/'MOD-Berechnungen'!T$26</f>
        <v>2.788980862830809</v>
      </c>
      <c r="V82" s="309">
        <f>V112/'MOD-Berechnungen'!U$26</f>
        <v>3.1962389790832755</v>
      </c>
      <c r="W82" s="309">
        <f>W112/'MOD-Berechnungen'!V$26</f>
        <v>3.5716095612420973</v>
      </c>
      <c r="X82" s="309">
        <f>X112/'MOD-Berechnungen'!W$26</f>
        <v>3.8009265728060386</v>
      </c>
      <c r="Y82" s="309">
        <f>Y112/'MOD-Berechnungen'!X$26</f>
        <v>3.8937515009115105</v>
      </c>
      <c r="Z82" s="309">
        <f>Z112/'MOD-Berechnungen'!Y$26</f>
        <v>3.9791351690439223</v>
      </c>
      <c r="AA82" s="309">
        <f>AA112/'MOD-Berechnungen'!Z$26</f>
        <v>4.0574568448841095</v>
      </c>
      <c r="AB82" s="309">
        <f>AB112/'MOD-Berechnungen'!AA$26</f>
        <v>4.1291803384170453</v>
      </c>
      <c r="AC82" s="309">
        <f>AC112/'MOD-Berechnungen'!AB$26</f>
        <v>4.194544280950228</v>
      </c>
      <c r="AD82" s="309">
        <f>AD112/'MOD-Berechnungen'!AC$26</f>
        <v>4.2536522081639241</v>
      </c>
      <c r="AE82" s="309">
        <f>AE112/'MOD-Berechnungen'!AD$26</f>
        <v>4.3068425616951469</v>
      </c>
      <c r="AF82" s="56">
        <f>AF112/'MOD-Berechnungen'!AE$26</f>
        <v>4.3535262840675584</v>
      </c>
      <c r="AH82" s="301" t="s">
        <v>638</v>
      </c>
    </row>
    <row r="83" spans="1:34" s="301" customFormat="1">
      <c r="A83" s="561">
        <v>83</v>
      </c>
      <c r="C83" s="10"/>
      <c r="D83" s="29"/>
      <c r="E83" s="29"/>
      <c r="F83" s="36"/>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row>
    <row r="84" spans="1:34" s="301" customFormat="1">
      <c r="A84" s="561">
        <v>84</v>
      </c>
      <c r="C84" s="10"/>
      <c r="D84" s="29"/>
      <c r="E84" s="29"/>
      <c r="F84" s="199" t="s">
        <v>687</v>
      </c>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row>
    <row r="85" spans="1:34" s="301" customFormat="1">
      <c r="A85" s="561">
        <v>85</v>
      </c>
      <c r="C85" s="10"/>
      <c r="D85" s="29"/>
      <c r="E85" s="568"/>
      <c r="F85" s="569"/>
      <c r="G85" s="570">
        <v>2010</v>
      </c>
      <c r="H85" s="570">
        <v>2011</v>
      </c>
      <c r="I85" s="570">
        <v>2012</v>
      </c>
      <c r="J85" s="570">
        <v>2013</v>
      </c>
      <c r="K85" s="570">
        <v>2014</v>
      </c>
      <c r="L85" s="570">
        <v>2015</v>
      </c>
      <c r="M85" s="570">
        <v>2016</v>
      </c>
      <c r="N85" s="570">
        <v>2017</v>
      </c>
      <c r="O85" s="570">
        <v>2018</v>
      </c>
      <c r="P85" s="570">
        <v>2019</v>
      </c>
      <c r="Q85" s="570">
        <v>2020</v>
      </c>
      <c r="R85" s="570">
        <v>2021</v>
      </c>
      <c r="S85" s="570">
        <v>2022</v>
      </c>
      <c r="T85" s="570">
        <v>2023</v>
      </c>
      <c r="U85" s="570">
        <v>2024</v>
      </c>
      <c r="V85" s="570">
        <v>2025</v>
      </c>
      <c r="W85" s="570">
        <v>2026</v>
      </c>
      <c r="X85" s="570">
        <v>2027</v>
      </c>
      <c r="Y85" s="570">
        <v>2028</v>
      </c>
      <c r="Z85" s="570">
        <v>2029</v>
      </c>
      <c r="AA85" s="570">
        <v>2030</v>
      </c>
      <c r="AB85" s="570">
        <v>2031</v>
      </c>
      <c r="AC85" s="570">
        <v>2032</v>
      </c>
      <c r="AD85" s="570">
        <v>2033</v>
      </c>
      <c r="AE85" s="570">
        <v>2034</v>
      </c>
      <c r="AF85" s="571">
        <v>2035</v>
      </c>
    </row>
    <row r="86" spans="1:34" s="301" customFormat="1">
      <c r="A86" s="561">
        <v>86</v>
      </c>
      <c r="C86" s="10"/>
      <c r="D86" s="29"/>
      <c r="E86" s="572" t="s">
        <v>391</v>
      </c>
      <c r="F86" s="573" t="s">
        <v>387</v>
      </c>
      <c r="G86" s="323">
        <f>G69+G70+G72</f>
        <v>0.65028753308504017</v>
      </c>
      <c r="H86" s="323">
        <f t="shared" ref="H86:AF86" si="18">H69+H70+H72</f>
        <v>0.22023844354295946</v>
      </c>
      <c r="I86" s="323">
        <f t="shared" si="18"/>
        <v>0.55538085661814507</v>
      </c>
      <c r="J86" s="323">
        <f t="shared" si="18"/>
        <v>0.68774031209874431</v>
      </c>
      <c r="K86" s="323">
        <f t="shared" si="18"/>
        <v>0.67360920747531128</v>
      </c>
      <c r="L86" s="323">
        <f t="shared" si="18"/>
        <v>0.8117840783460829</v>
      </c>
      <c r="M86" s="323">
        <f t="shared" si="18"/>
        <v>0.80774535158814231</v>
      </c>
      <c r="N86" s="323">
        <f t="shared" si="18"/>
        <v>0.79580822816565744</v>
      </c>
      <c r="O86" s="323">
        <f t="shared" si="18"/>
        <v>0.78173696283463412</v>
      </c>
      <c r="P86" s="323">
        <f t="shared" si="18"/>
        <v>0.77094375033001394</v>
      </c>
      <c r="Q86" s="323">
        <f t="shared" si="18"/>
        <v>0.76710820928359591</v>
      </c>
      <c r="R86" s="323">
        <f t="shared" si="18"/>
        <v>0.7231309422781047</v>
      </c>
      <c r="S86" s="323">
        <f t="shared" si="18"/>
        <v>0.70503788340212292</v>
      </c>
      <c r="T86" s="323">
        <f t="shared" si="18"/>
        <v>0.67603430402089315</v>
      </c>
      <c r="U86" s="323">
        <f t="shared" si="18"/>
        <v>0.6451684457845982</v>
      </c>
      <c r="V86" s="323">
        <f t="shared" si="18"/>
        <v>0.61647350970228787</v>
      </c>
      <c r="W86" s="323">
        <f t="shared" si="18"/>
        <v>0.60523635683137444</v>
      </c>
      <c r="X86" s="323">
        <f t="shared" si="18"/>
        <v>0.59460207828281542</v>
      </c>
      <c r="Y86" s="323">
        <f t="shared" si="18"/>
        <v>0.58556374408817713</v>
      </c>
      <c r="Z86" s="323">
        <f t="shared" si="18"/>
        <v>0.57670414598227604</v>
      </c>
      <c r="AA86" s="323">
        <f t="shared" si="18"/>
        <v>0.51580727836442941</v>
      </c>
      <c r="AB86" s="323">
        <f t="shared" si="18"/>
        <v>0.47559308662310662</v>
      </c>
      <c r="AC86" s="323">
        <f t="shared" si="18"/>
        <v>0.43855907368637326</v>
      </c>
      <c r="AD86" s="323">
        <f t="shared" si="18"/>
        <v>0.4006291527175706</v>
      </c>
      <c r="AE86" s="323">
        <f t="shared" si="18"/>
        <v>0.34173162013490127</v>
      </c>
      <c r="AF86" s="324">
        <f t="shared" si="18"/>
        <v>0.32782314252372602</v>
      </c>
    </row>
    <row r="87" spans="1:34" s="301" customFormat="1">
      <c r="A87" s="561">
        <v>87</v>
      </c>
      <c r="C87" s="10"/>
      <c r="D87" s="29"/>
      <c r="E87" s="574" t="s">
        <v>13</v>
      </c>
      <c r="F87" s="575" t="s">
        <v>387</v>
      </c>
      <c r="G87" s="332">
        <f>G71</f>
        <v>4.6806669676362809</v>
      </c>
      <c r="H87" s="332">
        <f t="shared" ref="H87:AF87" si="19">H71</f>
        <v>4.9312452448393227</v>
      </c>
      <c r="I87" s="332">
        <f t="shared" si="19"/>
        <v>5.789905955781089</v>
      </c>
      <c r="J87" s="332">
        <f t="shared" si="19"/>
        <v>6.7878965950891184</v>
      </c>
      <c r="K87" s="332">
        <f t="shared" si="19"/>
        <v>7.1528206875469058</v>
      </c>
      <c r="L87" s="332">
        <f t="shared" si="19"/>
        <v>8.0487511520599018</v>
      </c>
      <c r="M87" s="332">
        <f t="shared" si="19"/>
        <v>8.0087076139899533</v>
      </c>
      <c r="N87" s="332">
        <f t="shared" si="19"/>
        <v>7.8903523290541413</v>
      </c>
      <c r="O87" s="332">
        <f t="shared" si="19"/>
        <v>7.7508372584028891</v>
      </c>
      <c r="P87" s="332">
        <f t="shared" si="19"/>
        <v>7.643823726235591</v>
      </c>
      <c r="Q87" s="332">
        <f t="shared" si="19"/>
        <v>7.6057947524732263</v>
      </c>
      <c r="R87" s="332">
        <f t="shared" si="19"/>
        <v>7.2913133181400047</v>
      </c>
      <c r="S87" s="332">
        <f t="shared" si="19"/>
        <v>7.0063821479103723</v>
      </c>
      <c r="T87" s="332">
        <f t="shared" si="19"/>
        <v>6.7866682478052196</v>
      </c>
      <c r="U87" s="332">
        <f t="shared" si="19"/>
        <v>6.5158248378246197</v>
      </c>
      <c r="V87" s="332">
        <f t="shared" si="19"/>
        <v>5.9696348952939235</v>
      </c>
      <c r="W87" s="332">
        <f t="shared" si="19"/>
        <v>5.1595379484798984</v>
      </c>
      <c r="X87" s="332">
        <f t="shared" si="19"/>
        <v>4.2246647115496998</v>
      </c>
      <c r="Y87" s="332">
        <f t="shared" si="19"/>
        <v>3.5020776516708043</v>
      </c>
      <c r="Z87" s="332">
        <f t="shared" si="19"/>
        <v>3.1028133947393375</v>
      </c>
      <c r="AA87" s="332">
        <f t="shared" si="19"/>
        <v>2.6014666583777926</v>
      </c>
      <c r="AB87" s="332">
        <f t="shared" si="19"/>
        <v>1.8929901577733743</v>
      </c>
      <c r="AC87" s="332">
        <f t="shared" si="19"/>
        <v>0.7713111768602392</v>
      </c>
      <c r="AD87" s="332">
        <f t="shared" si="19"/>
        <v>0.44046360917543614</v>
      </c>
      <c r="AE87" s="332">
        <f t="shared" si="19"/>
        <v>0.19238072270198323</v>
      </c>
      <c r="AF87" s="333">
        <f t="shared" si="19"/>
        <v>0</v>
      </c>
    </row>
    <row r="88" spans="1:34" s="301" customFormat="1">
      <c r="A88" s="561">
        <v>88</v>
      </c>
      <c r="C88" s="10"/>
      <c r="D88" s="29"/>
      <c r="E88" s="574" t="s">
        <v>24</v>
      </c>
      <c r="F88" s="575" t="s">
        <v>387</v>
      </c>
      <c r="G88" s="332">
        <f>G73</f>
        <v>4.9604093204363373</v>
      </c>
      <c r="H88" s="332">
        <f t="shared" ref="H88:AF88" si="20">H73</f>
        <v>5.2153544210219556</v>
      </c>
      <c r="I88" s="332">
        <f t="shared" si="20"/>
        <v>4.9524211283120056</v>
      </c>
      <c r="J88" s="332">
        <f t="shared" si="20"/>
        <v>6.0126550735673749</v>
      </c>
      <c r="K88" s="332">
        <f t="shared" si="20"/>
        <v>6.7799276136646851</v>
      </c>
      <c r="L88" s="332">
        <f t="shared" si="20"/>
        <v>6.5299091121969841</v>
      </c>
      <c r="M88" s="332">
        <f t="shared" si="20"/>
        <v>6.4401905704977391</v>
      </c>
      <c r="N88" s="332">
        <f t="shared" si="20"/>
        <v>6.2798339069144742</v>
      </c>
      <c r="O88" s="332">
        <f t="shared" si="20"/>
        <v>6.0887385256069519</v>
      </c>
      <c r="P88" s="332">
        <f t="shared" si="20"/>
        <v>5.8142592434250568</v>
      </c>
      <c r="Q88" s="332">
        <f t="shared" si="20"/>
        <v>5.5825784674160719</v>
      </c>
      <c r="R88" s="332">
        <f t="shared" si="20"/>
        <v>5.0791089949853729</v>
      </c>
      <c r="S88" s="332">
        <f t="shared" si="20"/>
        <v>4.5933769461465612</v>
      </c>
      <c r="T88" s="332">
        <f t="shared" si="20"/>
        <v>4.0785353919813803</v>
      </c>
      <c r="U88" s="332">
        <f t="shared" si="20"/>
        <v>3.6373441978308714</v>
      </c>
      <c r="V88" s="332">
        <f t="shared" si="20"/>
        <v>3.2851856485928792</v>
      </c>
      <c r="W88" s="332">
        <f t="shared" si="20"/>
        <v>2.9889113926519966</v>
      </c>
      <c r="X88" s="332">
        <f t="shared" si="20"/>
        <v>2.7092231302838994</v>
      </c>
      <c r="Y88" s="332">
        <f t="shared" si="20"/>
        <v>2.3267949176774563</v>
      </c>
      <c r="Z88" s="332">
        <f t="shared" si="20"/>
        <v>2.1163769885334514</v>
      </c>
      <c r="AA88" s="332">
        <f t="shared" si="20"/>
        <v>1.7413888890155163</v>
      </c>
      <c r="AB88" s="332">
        <f t="shared" si="20"/>
        <v>1.4341260344303604</v>
      </c>
      <c r="AC88" s="332">
        <f t="shared" si="20"/>
        <v>1.0445318952145388</v>
      </c>
      <c r="AD88" s="332">
        <f t="shared" si="20"/>
        <v>0.5343903090050971</v>
      </c>
      <c r="AE88" s="332">
        <f t="shared" si="20"/>
        <v>0.32431291615520591</v>
      </c>
      <c r="AF88" s="333">
        <f t="shared" si="20"/>
        <v>0</v>
      </c>
    </row>
    <row r="89" spans="1:34" s="301" customFormat="1">
      <c r="A89" s="561">
        <v>89</v>
      </c>
      <c r="C89" s="10"/>
      <c r="D89" s="29"/>
      <c r="E89" s="574" t="s">
        <v>26</v>
      </c>
      <c r="F89" s="575" t="s">
        <v>387</v>
      </c>
      <c r="G89" s="332">
        <f t="shared" ref="G89:AF89" si="21">G74</f>
        <v>0.11622127285946024</v>
      </c>
      <c r="H89" s="332">
        <f t="shared" si="21"/>
        <v>0.19960274011397017</v>
      </c>
      <c r="I89" s="332">
        <f t="shared" si="21"/>
        <v>0.24710881336791091</v>
      </c>
      <c r="J89" s="332">
        <f t="shared" si="21"/>
        <v>0.52910519364491515</v>
      </c>
      <c r="K89" s="332">
        <f t="shared" si="21"/>
        <v>1.57048130318501</v>
      </c>
      <c r="L89" s="332">
        <f t="shared" si="21"/>
        <v>0.66709600278231995</v>
      </c>
      <c r="M89" s="332">
        <f t="shared" si="21"/>
        <v>0.66377711719633836</v>
      </c>
      <c r="N89" s="332">
        <f t="shared" si="21"/>
        <v>0.65396760314910185</v>
      </c>
      <c r="O89" s="332">
        <f t="shared" si="21"/>
        <v>0.64240432529381319</v>
      </c>
      <c r="P89" s="332">
        <f t="shared" si="21"/>
        <v>0.63353483756786322</v>
      </c>
      <c r="Q89" s="332">
        <f t="shared" si="21"/>
        <v>0.63038292295309772</v>
      </c>
      <c r="R89" s="332">
        <f t="shared" si="21"/>
        <v>0.60143627140115685</v>
      </c>
      <c r="S89" s="332">
        <f t="shared" si="21"/>
        <v>0.56103308229646875</v>
      </c>
      <c r="T89" s="332">
        <f t="shared" si="21"/>
        <v>0.48549729608069619</v>
      </c>
      <c r="U89" s="332">
        <f t="shared" si="21"/>
        <v>0.44651272211121795</v>
      </c>
      <c r="V89" s="332">
        <f t="shared" si="21"/>
        <v>0.33592406720932577</v>
      </c>
      <c r="W89" s="332">
        <f t="shared" si="21"/>
        <v>0.14641913871389323</v>
      </c>
      <c r="X89" s="332">
        <f t="shared" si="21"/>
        <v>0.10109140499386296</v>
      </c>
      <c r="Y89" s="332">
        <f t="shared" si="21"/>
        <v>9.9503812523034807E-2</v>
      </c>
      <c r="Z89" s="332">
        <f t="shared" si="21"/>
        <v>9.7899464076982606E-2</v>
      </c>
      <c r="AA89" s="332">
        <f t="shared" si="21"/>
        <v>9.2808529521084621E-2</v>
      </c>
      <c r="AB89" s="332">
        <f t="shared" si="21"/>
        <v>8.6455106123814407E-2</v>
      </c>
      <c r="AC89" s="332">
        <f t="shared" si="21"/>
        <v>7.3554285583763132E-2</v>
      </c>
      <c r="AD89" s="332">
        <f t="shared" si="21"/>
        <v>6.3945489165845595E-2</v>
      </c>
      <c r="AE89" s="332">
        <f t="shared" si="21"/>
        <v>3.8575514340962222E-2</v>
      </c>
      <c r="AF89" s="333">
        <f t="shared" si="21"/>
        <v>0</v>
      </c>
    </row>
    <row r="90" spans="1:34" s="301" customFormat="1">
      <c r="A90" s="561">
        <v>90</v>
      </c>
      <c r="C90" s="10"/>
      <c r="D90" s="29"/>
      <c r="E90" s="576" t="s">
        <v>74</v>
      </c>
      <c r="F90" s="577" t="s">
        <v>387</v>
      </c>
      <c r="G90" s="309">
        <f t="shared" ref="G90:AF90" si="22">G75</f>
        <v>4.5998163892894066</v>
      </c>
      <c r="H90" s="309">
        <f t="shared" si="22"/>
        <v>9.3067676997790123</v>
      </c>
      <c r="I90" s="309">
        <f t="shared" si="22"/>
        <v>9.9987266432747717</v>
      </c>
      <c r="J90" s="309">
        <f t="shared" si="22"/>
        <v>11.558353051420637</v>
      </c>
      <c r="K90" s="309">
        <f t="shared" si="22"/>
        <v>11.918438621436662</v>
      </c>
      <c r="L90" s="309">
        <f t="shared" si="22"/>
        <v>12.056228938838023</v>
      </c>
      <c r="M90" s="309">
        <f t="shared" si="22"/>
        <v>11.996247700336342</v>
      </c>
      <c r="N90" s="309">
        <f t="shared" si="22"/>
        <v>11.8189632515629</v>
      </c>
      <c r="O90" s="309">
        <f t="shared" si="22"/>
        <v>11.609983547704225</v>
      </c>
      <c r="P90" s="309">
        <f t="shared" si="22"/>
        <v>11.449687916868072</v>
      </c>
      <c r="Q90" s="309">
        <f t="shared" si="22"/>
        <v>11.392724295391117</v>
      </c>
      <c r="R90" s="309">
        <f t="shared" si="22"/>
        <v>11.024115088524649</v>
      </c>
      <c r="S90" s="309">
        <f t="shared" si="22"/>
        <v>10.811821691314007</v>
      </c>
      <c r="T90" s="309">
        <f t="shared" si="22"/>
        <v>10.603668464354143</v>
      </c>
      <c r="U90" s="309">
        <f t="shared" si="22"/>
        <v>10.386965741647209</v>
      </c>
      <c r="V90" s="309">
        <f t="shared" si="22"/>
        <v>9.8979281929447911</v>
      </c>
      <c r="W90" s="309">
        <f t="shared" si="22"/>
        <v>9.309500537485194</v>
      </c>
      <c r="X90" s="309">
        <f t="shared" si="22"/>
        <v>8.7918635059873189</v>
      </c>
      <c r="Y90" s="309">
        <f t="shared" si="22"/>
        <v>8.1386846169327658</v>
      </c>
      <c r="Z90" s="309">
        <f t="shared" si="22"/>
        <v>7.2419823418039329</v>
      </c>
      <c r="AA90" s="309">
        <f t="shared" si="22"/>
        <v>5.5863080810463632</v>
      </c>
      <c r="AB90" s="309">
        <f t="shared" si="22"/>
        <v>3.2732190967518084</v>
      </c>
      <c r="AC90" s="309">
        <f t="shared" si="22"/>
        <v>1.4900979473324083</v>
      </c>
      <c r="AD90" s="309">
        <f t="shared" si="22"/>
        <v>0.42113259812842541</v>
      </c>
      <c r="AE90" s="309">
        <f t="shared" si="22"/>
        <v>0.12693558383307246</v>
      </c>
      <c r="AF90" s="56">
        <f t="shared" si="22"/>
        <v>0</v>
      </c>
    </row>
    <row r="91" spans="1:34" s="301" customFormat="1">
      <c r="A91" s="561">
        <v>91</v>
      </c>
      <c r="C91" s="10"/>
      <c r="D91" s="29"/>
      <c r="E91" s="574" t="s">
        <v>391</v>
      </c>
      <c r="F91" s="575"/>
      <c r="G91" s="332">
        <f>G76+G77+G79</f>
        <v>0</v>
      </c>
      <c r="H91" s="332">
        <f t="shared" ref="H91:AF91" si="23">H76+H77+H79</f>
        <v>0</v>
      </c>
      <c r="I91" s="332">
        <f t="shared" si="23"/>
        <v>0</v>
      </c>
      <c r="J91" s="332">
        <f t="shared" si="23"/>
        <v>0</v>
      </c>
      <c r="K91" s="332">
        <f t="shared" si="23"/>
        <v>0</v>
      </c>
      <c r="L91" s="332">
        <f t="shared" si="23"/>
        <v>7.1917140025942627E-2</v>
      </c>
      <c r="M91" s="332">
        <f t="shared" si="23"/>
        <v>0.15138576277148322</v>
      </c>
      <c r="N91" s="332">
        <f t="shared" si="23"/>
        <v>0.16037844640654991</v>
      </c>
      <c r="O91" s="332">
        <f t="shared" si="23"/>
        <v>0.16870089277216727</v>
      </c>
      <c r="P91" s="332">
        <f t="shared" si="23"/>
        <v>0.18160401824994332</v>
      </c>
      <c r="Q91" s="332">
        <f t="shared" si="23"/>
        <v>0.19426427509113289</v>
      </c>
      <c r="R91" s="332">
        <f t="shared" si="23"/>
        <v>0.20416561121655621</v>
      </c>
      <c r="S91" s="332">
        <f t="shared" si="23"/>
        <v>0.22839657196948437</v>
      </c>
      <c r="T91" s="332">
        <f t="shared" si="23"/>
        <v>0.27107678186896544</v>
      </c>
      <c r="U91" s="332">
        <f t="shared" si="23"/>
        <v>0.28958117890291091</v>
      </c>
      <c r="V91" s="332">
        <f t="shared" si="23"/>
        <v>0.32143073628413066</v>
      </c>
      <c r="W91" s="332">
        <f t="shared" si="23"/>
        <v>0.35335386047360606</v>
      </c>
      <c r="X91" s="332">
        <f t="shared" si="23"/>
        <v>0.37348984150287945</v>
      </c>
      <c r="Y91" s="332">
        <f t="shared" si="23"/>
        <v>0.38119673638920121</v>
      </c>
      <c r="Z91" s="332">
        <f t="shared" si="23"/>
        <v>0.38820098342073417</v>
      </c>
      <c r="AA91" s="332">
        <f t="shared" si="23"/>
        <v>0.39464599196891076</v>
      </c>
      <c r="AB91" s="332">
        <f t="shared" si="23"/>
        <v>0.40045688098055043</v>
      </c>
      <c r="AC91" s="332">
        <f t="shared" si="23"/>
        <v>0.40553041233667653</v>
      </c>
      <c r="AD91" s="332">
        <f t="shared" si="23"/>
        <v>0.41003536611084629</v>
      </c>
      <c r="AE91" s="332">
        <f t="shared" si="23"/>
        <v>0.41400531799239837</v>
      </c>
      <c r="AF91" s="333">
        <f t="shared" si="23"/>
        <v>0.41747182125945909</v>
      </c>
    </row>
    <row r="92" spans="1:34" s="301" customFormat="1">
      <c r="A92" s="561">
        <v>92</v>
      </c>
      <c r="C92" s="10"/>
      <c r="D92" s="29"/>
      <c r="E92" s="574" t="s">
        <v>13</v>
      </c>
      <c r="F92" s="575"/>
      <c r="G92" s="332">
        <f>G78</f>
        <v>0</v>
      </c>
      <c r="H92" s="332">
        <f t="shared" ref="H92:AF92" si="24">H78</f>
        <v>0</v>
      </c>
      <c r="I92" s="332">
        <f t="shared" si="24"/>
        <v>0</v>
      </c>
      <c r="J92" s="332">
        <f t="shared" si="24"/>
        <v>0</v>
      </c>
      <c r="K92" s="332">
        <f t="shared" si="24"/>
        <v>0</v>
      </c>
      <c r="L92" s="332">
        <f t="shared" si="24"/>
        <v>0.11490793418095242</v>
      </c>
      <c r="M92" s="332">
        <f t="shared" si="24"/>
        <v>0.30940314930236029</v>
      </c>
      <c r="N92" s="332">
        <f t="shared" si="24"/>
        <v>0.47660972832699594</v>
      </c>
      <c r="O92" s="332">
        <f t="shared" si="24"/>
        <v>0.68698098758989912</v>
      </c>
      <c r="P92" s="332">
        <f t="shared" si="24"/>
        <v>0.90016839059618958</v>
      </c>
      <c r="Q92" s="332">
        <f t="shared" si="24"/>
        <v>1.0407964750391798</v>
      </c>
      <c r="R92" s="332">
        <f t="shared" si="24"/>
        <v>1.0940261233657744</v>
      </c>
      <c r="S92" s="332">
        <f t="shared" si="24"/>
        <v>1.2256868855957004</v>
      </c>
      <c r="T92" s="332">
        <f t="shared" si="24"/>
        <v>1.4217926576492033</v>
      </c>
      <c r="U92" s="332">
        <f t="shared" si="24"/>
        <v>1.596361150179765</v>
      </c>
      <c r="V92" s="332">
        <f t="shared" si="24"/>
        <v>1.7556984664540778</v>
      </c>
      <c r="W92" s="332">
        <f t="shared" si="24"/>
        <v>1.9014999423647425</v>
      </c>
      <c r="X92" s="332">
        <f t="shared" si="24"/>
        <v>2.004436344945395</v>
      </c>
      <c r="Y92" s="332">
        <f t="shared" si="24"/>
        <v>2.0712749233380419</v>
      </c>
      <c r="Z92" s="332">
        <f t="shared" si="24"/>
        <v>2.1347184329572948</v>
      </c>
      <c r="AA92" s="332">
        <f t="shared" si="24"/>
        <v>2.1948762137852547</v>
      </c>
      <c r="AB92" s="332">
        <f t="shared" si="24"/>
        <v>2.2518542849289145</v>
      </c>
      <c r="AC92" s="332">
        <f t="shared" si="24"/>
        <v>2.3057555008507973</v>
      </c>
      <c r="AD92" s="332">
        <f t="shared" si="24"/>
        <v>2.356679686176963</v>
      </c>
      <c r="AE92" s="332">
        <f t="shared" si="24"/>
        <v>2.4047237544298325</v>
      </c>
      <c r="AF92" s="333">
        <f t="shared" si="24"/>
        <v>2.4510080724736691</v>
      </c>
    </row>
    <row r="93" spans="1:34" s="301" customFormat="1">
      <c r="A93" s="561">
        <v>93</v>
      </c>
      <c r="C93" s="10"/>
      <c r="D93" s="29"/>
      <c r="E93" s="574" t="s">
        <v>24</v>
      </c>
      <c r="F93" s="578"/>
      <c r="G93" s="332">
        <f>G80</f>
        <v>0</v>
      </c>
      <c r="H93" s="332">
        <f t="shared" ref="H93:AF93" si="25">H80</f>
        <v>0</v>
      </c>
      <c r="I93" s="332">
        <f t="shared" si="25"/>
        <v>0</v>
      </c>
      <c r="J93" s="332">
        <f t="shared" si="25"/>
        <v>0</v>
      </c>
      <c r="K93" s="332">
        <f t="shared" si="25"/>
        <v>0</v>
      </c>
      <c r="L93" s="332">
        <f t="shared" si="25"/>
        <v>0.37497725870677368</v>
      </c>
      <c r="M93" s="332">
        <f t="shared" si="25"/>
        <v>1.2007071473094113</v>
      </c>
      <c r="N93" s="332">
        <f t="shared" si="25"/>
        <v>2.1587257277008809</v>
      </c>
      <c r="O93" s="332">
        <f t="shared" si="25"/>
        <v>2.8576062523660832</v>
      </c>
      <c r="P93" s="332">
        <f t="shared" si="25"/>
        <v>3.1519507968080602</v>
      </c>
      <c r="Q93" s="332">
        <f t="shared" si="25"/>
        <v>3.3679227501655045</v>
      </c>
      <c r="R93" s="332">
        <f t="shared" si="25"/>
        <v>3.4943177235823142</v>
      </c>
      <c r="S93" s="332">
        <f t="shared" si="25"/>
        <v>3.6717386752722274</v>
      </c>
      <c r="T93" s="332">
        <f t="shared" si="25"/>
        <v>4.2936705120906051</v>
      </c>
      <c r="U93" s="332">
        <f t="shared" si="25"/>
        <v>4.1252707510256901</v>
      </c>
      <c r="V93" s="332">
        <f t="shared" si="25"/>
        <v>4.3573320418069299</v>
      </c>
      <c r="W93" s="332">
        <f t="shared" si="25"/>
        <v>4.5816618699720548</v>
      </c>
      <c r="X93" s="332">
        <f t="shared" si="25"/>
        <v>4.799538480518085</v>
      </c>
      <c r="Y93" s="332">
        <f t="shared" si="25"/>
        <v>5.0106545671308895</v>
      </c>
      <c r="Z93" s="332">
        <f t="shared" si="25"/>
        <v>5.2129755188919509</v>
      </c>
      <c r="AA93" s="332">
        <f t="shared" si="25"/>
        <v>5.4054873639823819</v>
      </c>
      <c r="AB93" s="332">
        <f t="shared" si="25"/>
        <v>5.5876984747299314</v>
      </c>
      <c r="AC93" s="332">
        <f t="shared" si="25"/>
        <v>5.7594094382179986</v>
      </c>
      <c r="AD93" s="332">
        <f t="shared" si="25"/>
        <v>5.9205947918312365</v>
      </c>
      <c r="AE93" s="332">
        <f t="shared" si="25"/>
        <v>6.0713372699381702</v>
      </c>
      <c r="AF93" s="333">
        <f t="shared" si="25"/>
        <v>6.2165571284892733</v>
      </c>
    </row>
    <row r="94" spans="1:34" s="301" customFormat="1">
      <c r="A94" s="561">
        <v>94</v>
      </c>
      <c r="C94" s="10"/>
      <c r="D94" s="29"/>
      <c r="E94" s="574" t="s">
        <v>26</v>
      </c>
      <c r="F94" s="578"/>
      <c r="G94" s="332">
        <f t="shared" ref="G94:AF94" si="26">G81</f>
        <v>0</v>
      </c>
      <c r="H94" s="332">
        <f t="shared" si="26"/>
        <v>0</v>
      </c>
      <c r="I94" s="332">
        <f t="shared" si="26"/>
        <v>0</v>
      </c>
      <c r="J94" s="332">
        <f t="shared" si="26"/>
        <v>0</v>
      </c>
      <c r="K94" s="332">
        <f t="shared" si="26"/>
        <v>0</v>
      </c>
      <c r="L94" s="332">
        <f t="shared" si="26"/>
        <v>0.75731846896551736</v>
      </c>
      <c r="M94" s="332">
        <f t="shared" si="26"/>
        <v>1.8037886052731247</v>
      </c>
      <c r="N94" s="332">
        <f t="shared" si="26"/>
        <v>2.5143278337309583</v>
      </c>
      <c r="O94" s="332">
        <f t="shared" si="26"/>
        <v>3.1834844812046903</v>
      </c>
      <c r="P94" s="332">
        <f t="shared" si="26"/>
        <v>3.7330654715542564</v>
      </c>
      <c r="Q94" s="332">
        <f t="shared" si="26"/>
        <v>4.0946112790962825</v>
      </c>
      <c r="R94" s="332">
        <f t="shared" si="26"/>
        <v>4.0271247786407418</v>
      </c>
      <c r="S94" s="332">
        <f t="shared" si="26"/>
        <v>3.9915372504567288</v>
      </c>
      <c r="T94" s="332">
        <f t="shared" si="26"/>
        <v>4.0399636742105089</v>
      </c>
      <c r="U94" s="332">
        <f t="shared" si="26"/>
        <v>3.9211323145413903</v>
      </c>
      <c r="V94" s="332">
        <f t="shared" si="26"/>
        <v>3.9355411758532717</v>
      </c>
      <c r="W94" s="332">
        <f t="shared" si="26"/>
        <v>3.7552950457946981</v>
      </c>
      <c r="X94" s="332">
        <f t="shared" si="26"/>
        <v>3.0705757688089541</v>
      </c>
      <c r="Y94" s="332">
        <f t="shared" si="26"/>
        <v>2.9520151771136063</v>
      </c>
      <c r="Z94" s="332">
        <f t="shared" si="26"/>
        <v>2.7406587652568724</v>
      </c>
      <c r="AA94" s="332">
        <f t="shared" si="26"/>
        <v>2.8812798000950641</v>
      </c>
      <c r="AB94" s="332">
        <f t="shared" si="26"/>
        <v>3.0898966605846638</v>
      </c>
      <c r="AC94" s="332">
        <f t="shared" si="26"/>
        <v>3.3110912979360951</v>
      </c>
      <c r="AD94" s="332">
        <f t="shared" si="26"/>
        <v>3.5227935575334044</v>
      </c>
      <c r="AE94" s="332">
        <f t="shared" si="26"/>
        <v>3.4555236357064931</v>
      </c>
      <c r="AF94" s="333">
        <f t="shared" si="26"/>
        <v>3.4388513854746439</v>
      </c>
    </row>
    <row r="95" spans="1:34" s="301" customFormat="1">
      <c r="A95" s="561">
        <v>95</v>
      </c>
      <c r="C95" s="10"/>
      <c r="D95" s="29"/>
      <c r="E95" s="576" t="s">
        <v>74</v>
      </c>
      <c r="F95" s="579"/>
      <c r="G95" s="309">
        <f t="shared" ref="G95:AF95" si="27">G82</f>
        <v>0</v>
      </c>
      <c r="H95" s="309">
        <f t="shared" si="27"/>
        <v>0</v>
      </c>
      <c r="I95" s="309">
        <f t="shared" si="27"/>
        <v>0</v>
      </c>
      <c r="J95" s="309">
        <f t="shared" si="27"/>
        <v>0</v>
      </c>
      <c r="K95" s="309">
        <f t="shared" si="27"/>
        <v>0</v>
      </c>
      <c r="L95" s="309">
        <f t="shared" si="27"/>
        <v>5.4905966441302537E-2</v>
      </c>
      <c r="M95" s="309">
        <f t="shared" si="27"/>
        <v>0.15818858248446524</v>
      </c>
      <c r="N95" s="309">
        <f t="shared" si="27"/>
        <v>0.32022560296171776</v>
      </c>
      <c r="O95" s="309">
        <f t="shared" si="27"/>
        <v>0.5143852566388657</v>
      </c>
      <c r="P95" s="309">
        <f t="shared" si="27"/>
        <v>0.84767491728324451</v>
      </c>
      <c r="Q95" s="309">
        <f t="shared" si="27"/>
        <v>1.2508864820079793</v>
      </c>
      <c r="R95" s="309">
        <f t="shared" si="27"/>
        <v>1.5985827756511548</v>
      </c>
      <c r="S95" s="309">
        <f t="shared" si="27"/>
        <v>1.9327983346296826</v>
      </c>
      <c r="T95" s="309">
        <f t="shared" si="27"/>
        <v>2.3457441984265559</v>
      </c>
      <c r="U95" s="309">
        <f t="shared" si="27"/>
        <v>2.788980862830809</v>
      </c>
      <c r="V95" s="309">
        <f t="shared" si="27"/>
        <v>3.1962389790832755</v>
      </c>
      <c r="W95" s="309">
        <f t="shared" si="27"/>
        <v>3.5716095612420973</v>
      </c>
      <c r="X95" s="309">
        <f t="shared" si="27"/>
        <v>3.8009265728060386</v>
      </c>
      <c r="Y95" s="309">
        <f t="shared" si="27"/>
        <v>3.8937515009115105</v>
      </c>
      <c r="Z95" s="309">
        <f t="shared" si="27"/>
        <v>3.9791351690439223</v>
      </c>
      <c r="AA95" s="309">
        <f t="shared" si="27"/>
        <v>4.0574568448841095</v>
      </c>
      <c r="AB95" s="309">
        <f t="shared" si="27"/>
        <v>4.1291803384170453</v>
      </c>
      <c r="AC95" s="309">
        <f t="shared" si="27"/>
        <v>4.194544280950228</v>
      </c>
      <c r="AD95" s="309">
        <f t="shared" si="27"/>
        <v>4.2536522081639241</v>
      </c>
      <c r="AE95" s="309">
        <f t="shared" si="27"/>
        <v>4.3068425616951469</v>
      </c>
      <c r="AF95" s="56">
        <f t="shared" si="27"/>
        <v>4.3535262840675584</v>
      </c>
    </row>
    <row r="96" spans="1:34" s="301" customFormat="1">
      <c r="A96" s="561">
        <v>96</v>
      </c>
      <c r="C96" s="10"/>
      <c r="D96" s="29"/>
      <c r="E96" s="29"/>
      <c r="F96" s="36"/>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331"/>
      <c r="AF96" s="331"/>
    </row>
    <row r="97" spans="1:32" s="301" customFormat="1">
      <c r="A97" s="561">
        <v>97</v>
      </c>
      <c r="C97" s="10"/>
      <c r="D97" s="29"/>
      <c r="E97" s="29"/>
      <c r="F97" s="199" t="s">
        <v>688</v>
      </c>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row>
    <row r="98" spans="1:32" s="301" customFormat="1">
      <c r="A98" s="561">
        <v>98</v>
      </c>
      <c r="C98" s="10"/>
      <c r="D98" s="29"/>
      <c r="E98" s="568"/>
      <c r="F98" s="569"/>
      <c r="G98" s="570">
        <v>2010</v>
      </c>
      <c r="H98" s="570">
        <v>2011</v>
      </c>
      <c r="I98" s="570">
        <v>2012</v>
      </c>
      <c r="J98" s="570">
        <v>2013</v>
      </c>
      <c r="K98" s="570">
        <v>2014</v>
      </c>
      <c r="L98" s="570">
        <v>2015</v>
      </c>
      <c r="M98" s="570">
        <v>2016</v>
      </c>
      <c r="N98" s="570">
        <v>2017</v>
      </c>
      <c r="O98" s="570">
        <v>2018</v>
      </c>
      <c r="P98" s="570">
        <v>2019</v>
      </c>
      <c r="Q98" s="570">
        <v>2020</v>
      </c>
      <c r="R98" s="570">
        <v>2021</v>
      </c>
      <c r="S98" s="570">
        <v>2022</v>
      </c>
      <c r="T98" s="570">
        <v>2023</v>
      </c>
      <c r="U98" s="570">
        <v>2024</v>
      </c>
      <c r="V98" s="570">
        <v>2025</v>
      </c>
      <c r="W98" s="570">
        <v>2026</v>
      </c>
      <c r="X98" s="570">
        <v>2027</v>
      </c>
      <c r="Y98" s="570">
        <v>2028</v>
      </c>
      <c r="Z98" s="570">
        <v>2029</v>
      </c>
      <c r="AA98" s="570">
        <v>2030</v>
      </c>
      <c r="AB98" s="570">
        <v>2031</v>
      </c>
      <c r="AC98" s="570">
        <v>2032</v>
      </c>
      <c r="AD98" s="570">
        <v>2033</v>
      </c>
      <c r="AE98" s="570">
        <v>2034</v>
      </c>
      <c r="AF98" s="571">
        <v>2035</v>
      </c>
    </row>
    <row r="99" spans="1:32" s="301" customFormat="1">
      <c r="A99" s="561">
        <v>99</v>
      </c>
      <c r="C99" s="10"/>
      <c r="D99" s="29"/>
      <c r="E99" s="572" t="s">
        <v>25</v>
      </c>
      <c r="F99" s="573" t="s">
        <v>387</v>
      </c>
      <c r="G99" s="323">
        <f>G69*'MOD-Berechnungen'!F$26</f>
        <v>0.41396176000000001</v>
      </c>
      <c r="H99" s="323">
        <f>H69*'MOD-Berechnungen'!G$26</f>
        <v>0.16263688900000001</v>
      </c>
      <c r="I99" s="323">
        <f>I69*'MOD-Berechnungen'!H$26</f>
        <v>0.41207295941425998</v>
      </c>
      <c r="J99" s="323">
        <f>J69*'MOD-Berechnungen'!I$26</f>
        <v>0.48692010585074996</v>
      </c>
      <c r="K99" s="323">
        <f>K69*'MOD-Berechnungen'!J$26</f>
        <v>0.51080576769520003</v>
      </c>
      <c r="L99" s="323">
        <f>L69*'MOD-Berechnungen'!K$26</f>
        <v>0.59589834152286625</v>
      </c>
      <c r="M99" s="323">
        <f>M69*'MOD-Berechnungen'!L$26</f>
        <v>0.59589834152286625</v>
      </c>
      <c r="N99" s="323">
        <f>N69*'MOD-Berechnungen'!M$26</f>
        <v>0.59589834152286625</v>
      </c>
      <c r="O99" s="323">
        <f>O69*'MOD-Berechnungen'!N$26</f>
        <v>0.59589834152286625</v>
      </c>
      <c r="P99" s="323">
        <f>P69*'MOD-Berechnungen'!O$26</f>
        <v>0.59589834152286625</v>
      </c>
      <c r="Q99" s="323">
        <f>Q69*'MOD-Berechnungen'!P$26</f>
        <v>0.59589834152286625</v>
      </c>
      <c r="R99" s="323">
        <f>R69*'MOD-Berechnungen'!Q$26</f>
        <v>0.59589834152286625</v>
      </c>
      <c r="S99" s="323">
        <f>S69*'MOD-Berechnungen'!R$26</f>
        <v>0.59589834152286625</v>
      </c>
      <c r="T99" s="323">
        <f>T69*'MOD-Berechnungen'!S$26</f>
        <v>0.59589834152286625</v>
      </c>
      <c r="U99" s="323">
        <f>U69*'MOD-Berechnungen'!T$26</f>
        <v>0.59589834152286625</v>
      </c>
      <c r="V99" s="323">
        <f>V69*'MOD-Berechnungen'!U$26</f>
        <v>0.59589834152286625</v>
      </c>
      <c r="W99" s="323">
        <f>W69*'MOD-Berechnungen'!V$26</f>
        <v>0.59589834152286625</v>
      </c>
      <c r="X99" s="323">
        <f>X69*'MOD-Berechnungen'!W$26</f>
        <v>0.59589834152286625</v>
      </c>
      <c r="Y99" s="323">
        <f>Y69*'MOD-Berechnungen'!X$26</f>
        <v>0.59589834152286625</v>
      </c>
      <c r="Z99" s="323">
        <f>Z69*'MOD-Berechnungen'!Y$26</f>
        <v>0.59589834152286625</v>
      </c>
      <c r="AA99" s="323">
        <f>AA69*'MOD-Berechnungen'!Z$26</f>
        <v>0.54195695216777517</v>
      </c>
      <c r="AB99" s="323">
        <f>AB69*'MOD-Berechnungen'!AA$26</f>
        <v>0.50533948832503828</v>
      </c>
      <c r="AC99" s="323">
        <f>AC69*'MOD-Berechnungen'!AB$26</f>
        <v>0.47262537548595118</v>
      </c>
      <c r="AD99" s="323">
        <f>AD69*'MOD-Berechnungen'!AC$26</f>
        <v>0.45094447604902621</v>
      </c>
      <c r="AE99" s="323">
        <f>AE69*'MOD-Berechnungen'!AD$26</f>
        <v>0.40388984807890255</v>
      </c>
      <c r="AF99" s="324">
        <f>AF69*'MOD-Berechnungen'!AE$26</f>
        <v>0.39783057582039583</v>
      </c>
    </row>
    <row r="100" spans="1:32" s="301" customFormat="1">
      <c r="A100" s="561">
        <v>100</v>
      </c>
      <c r="C100" s="10"/>
      <c r="D100" s="29"/>
      <c r="E100" s="574" t="s">
        <v>50</v>
      </c>
      <c r="F100" s="575" t="s">
        <v>387</v>
      </c>
      <c r="G100" s="332">
        <f>G70*'MOD-Berechnungen'!F$26</f>
        <v>0.12953265</v>
      </c>
      <c r="H100" s="332">
        <f>H70*'MOD-Berechnungen'!G$26</f>
        <v>1.4075396E-2</v>
      </c>
      <c r="I100" s="332">
        <f>I70*'MOD-Berechnungen'!H$26</f>
        <v>5.2400481459999995E-2</v>
      </c>
      <c r="J100" s="332">
        <f>J70*'MOD-Berechnungen'!I$26</f>
        <v>0.10797205039999999</v>
      </c>
      <c r="K100" s="332">
        <f>K70*'MOD-Berechnungen'!J$26</f>
        <v>6.3886050243399994E-2</v>
      </c>
      <c r="L100" s="332">
        <f>L70*'MOD-Berechnungen'!K$26</f>
        <v>0.10116121574165485</v>
      </c>
      <c r="M100" s="332">
        <f>M70*'MOD-Berechnungen'!L$26</f>
        <v>0.10116121574165485</v>
      </c>
      <c r="N100" s="332">
        <f>N70*'MOD-Berechnungen'!M$26</f>
        <v>0.10116121574165485</v>
      </c>
      <c r="O100" s="332">
        <f>O70*'MOD-Berechnungen'!N$26</f>
        <v>0.10116121574165485</v>
      </c>
      <c r="P100" s="332">
        <f>P70*'MOD-Berechnungen'!O$26</f>
        <v>0.10116121574165485</v>
      </c>
      <c r="Q100" s="332">
        <f>Q70*'MOD-Berechnungen'!P$26</f>
        <v>0.10116121574165485</v>
      </c>
      <c r="R100" s="332">
        <f>R70*'MOD-Berechnungen'!Q$26</f>
        <v>7.9133545585612253E-2</v>
      </c>
      <c r="S100" s="332">
        <f>S70*'MOD-Berechnungen'!R$26</f>
        <v>7.1727150881228011E-2</v>
      </c>
      <c r="T100" s="332">
        <f>T70*'MOD-Berechnungen'!S$26</f>
        <v>5.2864086060311559E-2</v>
      </c>
      <c r="U100" s="332">
        <f>U70*'MOD-Berechnungen'!T$26</f>
        <v>3.1357929537542545E-2</v>
      </c>
      <c r="V100" s="332">
        <f>V70*'MOD-Berechnungen'!U$26</f>
        <v>1.1322285335139877E-2</v>
      </c>
      <c r="W100" s="332">
        <f>W70*'MOD-Berechnungen'!V$26</f>
        <v>9.0650761329917826E-3</v>
      </c>
      <c r="X100" s="332">
        <f>X70*'MOD-Berechnungen'!W$26</f>
        <v>7.244575089586645E-3</v>
      </c>
      <c r="Y100" s="332">
        <f>Y70*'MOD-Berechnungen'!X$26</f>
        <v>6.9699990613540114E-3</v>
      </c>
      <c r="Z100" s="332">
        <f>Z70*'MOD-Berechnungen'!Y$26</f>
        <v>6.741430146899088E-3</v>
      </c>
      <c r="AA100" s="332">
        <f>AA70*'MOD-Berechnungen'!Z$26</f>
        <v>3.8404013457238352E-3</v>
      </c>
      <c r="AB100" s="332">
        <f>AB70*'MOD-Berechnungen'!AA$26</f>
        <v>3.1931576106920341E-3</v>
      </c>
      <c r="AC100" s="332">
        <f>AC70*'MOD-Berechnungen'!AB$26</f>
        <v>1.0846120363654757E-3</v>
      </c>
      <c r="AD100" s="332">
        <f>AD70*'MOD-Berechnungen'!AC$26</f>
        <v>8.5736373947492236E-4</v>
      </c>
      <c r="AE100" s="332">
        <f>AE70*'MOD-Berechnungen'!AD$26</f>
        <v>5.6103056804173075E-4</v>
      </c>
      <c r="AF100" s="333">
        <f>AF70*'MOD-Berechnungen'!AE$26</f>
        <v>0</v>
      </c>
    </row>
    <row r="101" spans="1:32" s="301" customFormat="1">
      <c r="A101" s="561">
        <v>101</v>
      </c>
      <c r="C101" s="10"/>
      <c r="D101" s="29"/>
      <c r="E101" s="574" t="s">
        <v>13</v>
      </c>
      <c r="F101" s="575" t="s">
        <v>387</v>
      </c>
      <c r="G101" s="332">
        <f>G71*'MOD-Berechnungen'!F$26</f>
        <v>3.9508552799999999</v>
      </c>
      <c r="H101" s="332">
        <f>H71*'MOD-Berechnungen'!G$26</f>
        <v>4.2497729089999998</v>
      </c>
      <c r="I101" s="332">
        <f>I71*'MOD-Berechnungen'!H$26</f>
        <v>5.0895666185599993</v>
      </c>
      <c r="J101" s="332">
        <f>J71*'MOD-Berechnungen'!I$26</f>
        <v>6.0503774180499983</v>
      </c>
      <c r="K101" s="332">
        <f>K71*'MOD-Berechnungen'!J$26</f>
        <v>6.4394082612499988</v>
      </c>
      <c r="L101" s="332">
        <f>L71*'MOD-Berechnungen'!K$26</f>
        <v>7.2822097617115737</v>
      </c>
      <c r="M101" s="332">
        <f>M71*'MOD-Berechnungen'!L$26</f>
        <v>7.2822097617115746</v>
      </c>
      <c r="N101" s="332">
        <f>N71*'MOD-Berechnungen'!M$26</f>
        <v>7.2822097617115737</v>
      </c>
      <c r="O101" s="332">
        <f>O71*'MOD-Berechnungen'!N$26</f>
        <v>7.2822097617115737</v>
      </c>
      <c r="P101" s="332">
        <f>P71*'MOD-Berechnungen'!O$26</f>
        <v>7.2822097617115737</v>
      </c>
      <c r="Q101" s="332">
        <f>Q71*'MOD-Berechnungen'!P$26</f>
        <v>7.2822097617115737</v>
      </c>
      <c r="R101" s="332">
        <f>R71*'MOD-Berechnungen'!Q$26</f>
        <v>7.1835599193497597</v>
      </c>
      <c r="S101" s="332">
        <f>S71*'MOD-Berechnungen'!R$26</f>
        <v>7.0063821479103723</v>
      </c>
      <c r="T101" s="332">
        <f>T71*'MOD-Berechnungen'!S$26</f>
        <v>6.8884682715222976</v>
      </c>
      <c r="U101" s="332">
        <f>U71*'MOD-Berechnungen'!T$26</f>
        <v>6.7127656435478666</v>
      </c>
      <c r="V101" s="332">
        <f>V71*'MOD-Berechnungen'!U$26</f>
        <v>6.2423181166542427</v>
      </c>
      <c r="W101" s="332">
        <f>W71*'MOD-Berechnungen'!V$26</f>
        <v>5.4761455165830508</v>
      </c>
      <c r="X101" s="332">
        <f>X71*'MOD-Berechnungen'!W$26</f>
        <v>4.5511637155272862</v>
      </c>
      <c r="Y101" s="332">
        <f>Y71*'MOD-Berechnungen'!X$26</f>
        <v>3.8293232180234988</v>
      </c>
      <c r="Z101" s="332">
        <f>Z71*'MOD-Berechnungen'!Y$26</f>
        <v>3.4436416618349535</v>
      </c>
      <c r="AA101" s="332">
        <f>AA71*'MOD-Berechnungen'!Z$26</f>
        <v>2.9305329049374462</v>
      </c>
      <c r="AB101" s="332">
        <f>AB71*'MOD-Berechnungen'!AA$26</f>
        <v>2.1644259699180277</v>
      </c>
      <c r="AC101" s="332">
        <f>AC71*'MOD-Berechnungen'!AB$26</f>
        <v>0.89513810954450024</v>
      </c>
      <c r="AD101" s="332">
        <f>AD71*'MOD-Berechnungen'!AC$26</f>
        <v>0.51884364039180542</v>
      </c>
      <c r="AE101" s="332">
        <f>AE71*'MOD-Berechnungen'!AD$26</f>
        <v>0.23001388790139352</v>
      </c>
      <c r="AF101" s="333">
        <f>AF71*'MOD-Berechnungen'!AE$26</f>
        <v>0</v>
      </c>
    </row>
    <row r="102" spans="1:32" s="301" customFormat="1">
      <c r="A102" s="561">
        <v>102</v>
      </c>
      <c r="C102" s="10"/>
      <c r="D102" s="29"/>
      <c r="E102" s="574" t="s">
        <v>12</v>
      </c>
      <c r="F102" s="575" t="s">
        <v>387</v>
      </c>
      <c r="G102" s="332">
        <f>G72*'MOD-Berechnungen'!F$26</f>
        <v>5.3999999999999994E-3</v>
      </c>
      <c r="H102" s="332">
        <f>H72*'MOD-Berechnungen'!G$26</f>
        <v>1.3090355999999999E-2</v>
      </c>
      <c r="I102" s="332">
        <f>I72*'MOD-Berechnungen'!H$26</f>
        <v>2.3729284699999999E-2</v>
      </c>
      <c r="J102" s="332">
        <f>J72*'MOD-Berechnungen'!I$26</f>
        <v>1.8123731000000001E-2</v>
      </c>
      <c r="K102" s="332">
        <f>K72*'MOD-Berechnungen'!J$26</f>
        <v>3.1732540359999999E-2</v>
      </c>
      <c r="L102" s="332">
        <f>L72*'MOD-Berechnungen'!K$26</f>
        <v>3.7412390998028656E-2</v>
      </c>
      <c r="M102" s="332">
        <f>M72*'MOD-Berechnungen'!L$26</f>
        <v>3.7412390998028656E-2</v>
      </c>
      <c r="N102" s="332">
        <f>N72*'MOD-Berechnungen'!M$26</f>
        <v>3.7412390998028656E-2</v>
      </c>
      <c r="O102" s="332">
        <f>O72*'MOD-Berechnungen'!N$26</f>
        <v>3.7412390998028656E-2</v>
      </c>
      <c r="P102" s="332">
        <f>P72*'MOD-Berechnungen'!O$26</f>
        <v>3.7412390998028656E-2</v>
      </c>
      <c r="Q102" s="332">
        <f>Q72*'MOD-Berechnungen'!P$26</f>
        <v>3.7412390998028656E-2</v>
      </c>
      <c r="R102" s="332">
        <f>R72*'MOD-Berechnungen'!Q$26</f>
        <v>3.7412390998028656E-2</v>
      </c>
      <c r="S102" s="332">
        <f>S72*'MOD-Berechnungen'!R$26</f>
        <v>3.7412390998028656E-2</v>
      </c>
      <c r="T102" s="332">
        <f>T72*'MOD-Berechnungen'!S$26</f>
        <v>3.7412390998028656E-2</v>
      </c>
      <c r="U102" s="332">
        <f>U72*'MOD-Berechnungen'!T$26</f>
        <v>3.7412390998028656E-2</v>
      </c>
      <c r="V102" s="332">
        <f>V72*'MOD-Berechnungen'!U$26</f>
        <v>3.7412390998028656E-2</v>
      </c>
      <c r="W102" s="332">
        <f>W72*'MOD-Berechnungen'!V$26</f>
        <v>3.7412390998028656E-2</v>
      </c>
      <c r="X102" s="332">
        <f>X72*'MOD-Berechnungen'!W$26</f>
        <v>3.7412390998028656E-2</v>
      </c>
      <c r="Y102" s="332">
        <f>Y72*'MOD-Berechnungen'!X$26</f>
        <v>3.7412390998028656E-2</v>
      </c>
      <c r="Z102" s="332">
        <f>Z72*'MOD-Berechnungen'!Y$26</f>
        <v>3.7412390998028656E-2</v>
      </c>
      <c r="AA102" s="332">
        <f>AA72*'MOD-Berechnungen'!Z$26</f>
        <v>3.5255721675931898E-2</v>
      </c>
      <c r="AB102" s="332">
        <f>AB72*'MOD-Berechnungen'!AA$26</f>
        <v>3.5255721675931898E-2</v>
      </c>
      <c r="AC102" s="332">
        <f>AC72*'MOD-Berechnungen'!AB$26</f>
        <v>3.5255721675931898E-2</v>
      </c>
      <c r="AD102" s="332">
        <f>AD72*'MOD-Berechnungen'!AC$26</f>
        <v>2.0118844946834125E-2</v>
      </c>
      <c r="AE102" s="332">
        <f>AE72*'MOD-Berechnungen'!AD$26</f>
        <v>4.1296561493336659E-3</v>
      </c>
      <c r="AF102" s="333">
        <f>AF72*'MOD-Berechnungen'!AE$26</f>
        <v>0</v>
      </c>
    </row>
    <row r="103" spans="1:32" s="301" customFormat="1">
      <c r="A103" s="561">
        <v>103</v>
      </c>
      <c r="C103" s="10"/>
      <c r="D103" s="29"/>
      <c r="E103" s="574" t="s">
        <v>24</v>
      </c>
      <c r="F103" s="575" t="s">
        <v>387</v>
      </c>
      <c r="G103" s="332">
        <f>G73*'MOD-Berechnungen'!F$26</f>
        <v>4.1869800800000005</v>
      </c>
      <c r="H103" s="332">
        <f>H73*'MOD-Berechnungen'!G$26</f>
        <v>4.4946196810000005</v>
      </c>
      <c r="I103" s="332">
        <f>I73*'MOD-Berechnungen'!H$26</f>
        <v>4.3533828439027991</v>
      </c>
      <c r="J103" s="332">
        <f>J73*'MOD-Berechnungen'!I$26</f>
        <v>5.3593675109834491</v>
      </c>
      <c r="K103" s="332">
        <f>K73*'MOD-Berechnungen'!J$26</f>
        <v>6.1037070259736002</v>
      </c>
      <c r="L103" s="332">
        <f>L73*'MOD-Berechnungen'!K$26</f>
        <v>5.9080181485994006</v>
      </c>
      <c r="M103" s="332">
        <f>M73*'MOD-Berechnungen'!L$26</f>
        <v>5.8559783800617975</v>
      </c>
      <c r="N103" s="332">
        <f>N73*'MOD-Berechnungen'!M$26</f>
        <v>5.7958207532086137</v>
      </c>
      <c r="O103" s="332">
        <f>O73*'MOD-Berechnungen'!N$26</f>
        <v>5.7206040650143537</v>
      </c>
      <c r="P103" s="332">
        <f>P73*'MOD-Berechnungen'!O$26</f>
        <v>5.5391983038891324</v>
      </c>
      <c r="Q103" s="332">
        <f>Q73*'MOD-Berechnungen'!P$26</f>
        <v>5.3450702699699582</v>
      </c>
      <c r="R103" s="332">
        <f>R73*'MOD-Berechnungen'!Q$26</f>
        <v>5.0040482709215501</v>
      </c>
      <c r="S103" s="332">
        <f>S73*'MOD-Berechnungen'!R$26</f>
        <v>4.5933769461465612</v>
      </c>
      <c r="T103" s="332">
        <f>T73*'MOD-Berechnungen'!S$26</f>
        <v>4.1397134228611003</v>
      </c>
      <c r="U103" s="332">
        <f>U73*'MOD-Berechnungen'!T$26</f>
        <v>3.7472829262103087</v>
      </c>
      <c r="V103" s="332">
        <f>V73*'MOD-Berechnungen'!U$26</f>
        <v>3.4352475905939217</v>
      </c>
      <c r="W103" s="332">
        <f>W73*'MOD-Berechnungen'!V$26</f>
        <v>3.1723216082086347</v>
      </c>
      <c r="X103" s="332">
        <f>X73*'MOD-Berechnungen'!W$26</f>
        <v>2.9186027412083968</v>
      </c>
      <c r="Y103" s="332">
        <f>Y73*'MOD-Berechnungen'!X$26</f>
        <v>2.5442182293103834</v>
      </c>
      <c r="Z103" s="332">
        <f>Z73*'MOD-Berechnungen'!Y$26</f>
        <v>2.3488502345062381</v>
      </c>
      <c r="AA103" s="332">
        <f>AA73*'MOD-Berechnungen'!Z$26</f>
        <v>1.9616616738554147</v>
      </c>
      <c r="AB103" s="332">
        <f>AB73*'MOD-Berechnungen'!AA$26</f>
        <v>1.6397653312195617</v>
      </c>
      <c r="AC103" s="332">
        <f>AC73*'MOD-Berechnungen'!AB$26</f>
        <v>1.2122219074373628</v>
      </c>
      <c r="AD103" s="332">
        <f>AD73*'MOD-Berechnungen'!AC$26</f>
        <v>0.62948449664969264</v>
      </c>
      <c r="AE103" s="332">
        <f>AE73*'MOD-Berechnungen'!AD$26</f>
        <v>0.38775441579484493</v>
      </c>
      <c r="AF103" s="333">
        <f>AF73*'MOD-Berechnungen'!AE$26</f>
        <v>0</v>
      </c>
    </row>
    <row r="104" spans="1:32" s="301" customFormat="1">
      <c r="A104" s="561">
        <v>104</v>
      </c>
      <c r="C104" s="10"/>
      <c r="D104" s="29"/>
      <c r="E104" s="574" t="s">
        <v>26</v>
      </c>
      <c r="F104" s="575" t="s">
        <v>387</v>
      </c>
      <c r="G104" s="332">
        <f>G74*'MOD-Berechnungen'!F$26</f>
        <v>9.8100000000000007E-2</v>
      </c>
      <c r="H104" s="332">
        <f>H74*'MOD-Berechnungen'!G$26</f>
        <v>0.17201868399999998</v>
      </c>
      <c r="I104" s="332">
        <f>I74*'MOD-Berechnungen'!H$26</f>
        <v>0.21721885938639998</v>
      </c>
      <c r="J104" s="332">
        <f>J74*'MOD-Berechnungen'!I$26</f>
        <v>0.47161680655509991</v>
      </c>
      <c r="K104" s="332">
        <f>K74*'MOD-Berechnungen'!J$26</f>
        <v>1.4138436736538</v>
      </c>
      <c r="L104" s="332">
        <f>L74*'MOD-Berechnungen'!K$26</f>
        <v>0.60356357547678685</v>
      </c>
      <c r="M104" s="332">
        <f>M74*'MOD-Berechnungen'!L$26</f>
        <v>0.60356357547678685</v>
      </c>
      <c r="N104" s="332">
        <f>N74*'MOD-Berechnungen'!M$26</f>
        <v>0.60356357547678685</v>
      </c>
      <c r="O104" s="332">
        <f>O74*'MOD-Berechnungen'!N$26</f>
        <v>0.60356357547678685</v>
      </c>
      <c r="P104" s="332">
        <f>P74*'MOD-Berechnungen'!O$26</f>
        <v>0.60356357547678685</v>
      </c>
      <c r="Q104" s="332">
        <f>Q74*'MOD-Berechnungen'!P$26</f>
        <v>0.60356357547678685</v>
      </c>
      <c r="R104" s="332">
        <f>R74*'MOD-Berechnungen'!Q$26</f>
        <v>0.59254805064153393</v>
      </c>
      <c r="S104" s="332">
        <f>S74*'MOD-Berechnungen'!R$26</f>
        <v>0.56103308229646875</v>
      </c>
      <c r="T104" s="332">
        <f>T74*'MOD-Berechnungen'!S$26</f>
        <v>0.49277975552190662</v>
      </c>
      <c r="U104" s="332">
        <f>U74*'MOD-Berechnungen'!T$26</f>
        <v>0.46000856913702937</v>
      </c>
      <c r="V104" s="332">
        <f>V74*'MOD-Berechnungen'!U$26</f>
        <v>0.35126853272283842</v>
      </c>
      <c r="W104" s="332">
        <f>W74*'MOD-Berechnungen'!V$26</f>
        <v>0.15540393694483204</v>
      </c>
      <c r="X104" s="332">
        <f>X74*'MOD-Berechnungen'!W$26</f>
        <v>0.10890415353008552</v>
      </c>
      <c r="Y104" s="332">
        <f>Y74*'MOD-Berechnungen'!X$26</f>
        <v>0.10880177353992368</v>
      </c>
      <c r="Z104" s="332">
        <f>Z74*'MOD-Berechnungen'!Y$26</f>
        <v>0.10865322218164962</v>
      </c>
      <c r="AA104" s="332">
        <f>AA74*'MOD-Berechnungen'!Z$26</f>
        <v>0.1045481204783134</v>
      </c>
      <c r="AB104" s="332">
        <f>AB74*'MOD-Berechnungen'!AA$26</f>
        <v>9.8851901663614142E-2</v>
      </c>
      <c r="AC104" s="332">
        <f>AC74*'MOD-Berechnungen'!AB$26</f>
        <v>8.5362751275515861E-2</v>
      </c>
      <c r="AD104" s="332">
        <f>AD74*'MOD-Berechnungen'!AC$26</f>
        <v>7.5324521014464643E-2</v>
      </c>
      <c r="AE104" s="332">
        <f>AE74*'MOD-Berechnungen'!AD$26</f>
        <v>4.6121585919529411E-2</v>
      </c>
      <c r="AF104" s="333">
        <f>AF74*'MOD-Berechnungen'!AE$26</f>
        <v>0</v>
      </c>
    </row>
    <row r="105" spans="1:32" s="301" customFormat="1">
      <c r="A105" s="561">
        <v>105</v>
      </c>
      <c r="C105" s="10"/>
      <c r="D105" s="29"/>
      <c r="E105" s="576" t="s">
        <v>74</v>
      </c>
      <c r="F105" s="577" t="s">
        <v>387</v>
      </c>
      <c r="G105" s="309">
        <f>G75*'MOD-Berechnungen'!F$26</f>
        <v>3.8826109599999996</v>
      </c>
      <c r="H105" s="309">
        <f>H75*'MOD-Berechnungen'!G$26</f>
        <v>8.0206210149999997</v>
      </c>
      <c r="I105" s="309">
        <f>I75*'MOD-Berechnungen'!H$26</f>
        <v>8.7892939436962809</v>
      </c>
      <c r="J105" s="309">
        <f>J75*'MOD-Berechnungen'!I$26</f>
        <v>10.302513792381449</v>
      </c>
      <c r="K105" s="309">
        <f>K75*'MOD-Berechnungen'!J$26</f>
        <v>10.72971006440835</v>
      </c>
      <c r="L105" s="309">
        <f>L75*'MOD-Berechnungen'!K$26</f>
        <v>10.908026153270542</v>
      </c>
      <c r="M105" s="309">
        <f>M75*'MOD-Berechnungen'!L$26</f>
        <v>10.908026153270542</v>
      </c>
      <c r="N105" s="309">
        <f>N75*'MOD-Berechnungen'!M$26</f>
        <v>10.908026153270542</v>
      </c>
      <c r="O105" s="309">
        <f>O75*'MOD-Berechnungen'!N$26</f>
        <v>10.908026153270542</v>
      </c>
      <c r="P105" s="309">
        <f>P75*'MOD-Berechnungen'!O$26</f>
        <v>10.908026153270542</v>
      </c>
      <c r="Q105" s="309">
        <f>Q75*'MOD-Berechnungen'!P$26</f>
        <v>10.908026153270542</v>
      </c>
      <c r="R105" s="309">
        <f>R75*'MOD-Berechnungen'!Q$26</f>
        <v>10.86119713155138</v>
      </c>
      <c r="S105" s="309">
        <f>S75*'MOD-Berechnungen'!R$26</f>
        <v>10.811821691314007</v>
      </c>
      <c r="T105" s="309">
        <f>T75*'MOD-Berechnungen'!S$26</f>
        <v>10.762723491319454</v>
      </c>
      <c r="U105" s="309">
        <f>U75*'MOD-Berechnungen'!T$26</f>
        <v>10.700911781188493</v>
      </c>
      <c r="V105" s="309">
        <f>V75*'MOD-Berechnungen'!U$26</f>
        <v>10.350049468665192</v>
      </c>
      <c r="W105" s="309">
        <f>W75*'MOD-Berechnungen'!V$26</f>
        <v>9.8807645450106261</v>
      </c>
      <c r="X105" s="309">
        <f>X75*'MOD-Berechnungen'!W$26</f>
        <v>9.4713339193349313</v>
      </c>
      <c r="Y105" s="309">
        <f>Y75*'MOD-Berechnungen'!X$26</f>
        <v>8.8991898717387148</v>
      </c>
      <c r="Z105" s="309">
        <f>Z75*'MOD-Berechnungen'!Y$26</f>
        <v>8.0374772613756083</v>
      </c>
      <c r="AA105" s="309">
        <f>AA75*'MOD-Berechnungen'!Z$26</f>
        <v>6.2929346397361767</v>
      </c>
      <c r="AB105" s="309">
        <f>AB75*'MOD-Berechnungen'!AA$26</f>
        <v>3.7425659024949907</v>
      </c>
      <c r="AC105" s="309">
        <f>AC75*'MOD-Berechnungen'!AB$26</f>
        <v>1.7293195011654334</v>
      </c>
      <c r="AD105" s="309">
        <f>AD75*'MOD-Berechnungen'!AC$26</f>
        <v>0.49607269647010133</v>
      </c>
      <c r="AE105" s="309">
        <f>AE75*'MOD-Berechnungen'!AD$26</f>
        <v>0.15176649063590028</v>
      </c>
      <c r="AF105" s="56">
        <f>AF75*'MOD-Berechnungen'!AE$26</f>
        <v>0</v>
      </c>
    </row>
    <row r="106" spans="1:32" s="301" customFormat="1">
      <c r="A106" s="561">
        <v>106</v>
      </c>
      <c r="C106" s="10"/>
      <c r="D106" s="29"/>
      <c r="E106" s="574" t="s">
        <v>25</v>
      </c>
      <c r="F106" s="578"/>
      <c r="G106" s="332">
        <f>'MOD-Berechnungen'!F295</f>
        <v>0</v>
      </c>
      <c r="H106" s="332">
        <f>'MOD-Berechnungen'!G295</f>
        <v>0</v>
      </c>
      <c r="I106" s="332">
        <f>'MOD-Berechnungen'!H295</f>
        <v>0</v>
      </c>
      <c r="J106" s="332">
        <f>'MOD-Berechnungen'!I295</f>
        <v>0</v>
      </c>
      <c r="K106" s="332">
        <f>'MOD-Berechnungen'!J295</f>
        <v>0</v>
      </c>
      <c r="L106" s="332">
        <f>'MOD-Berechnungen'!K295</f>
        <v>6.0202884354257684E-2</v>
      </c>
      <c r="M106" s="332">
        <f>'MOD-Berechnungen'!L295</f>
        <v>0.12501936318980494</v>
      </c>
      <c r="N106" s="332">
        <f>'MOD-Berechnungen'!M295</f>
        <v>0.13080673343941793</v>
      </c>
      <c r="O106" s="332">
        <f>'MOD-Berechnungen'!N295</f>
        <v>0.13523428373837212</v>
      </c>
      <c r="P106" s="332">
        <f>'MOD-Berechnungen'!O295</f>
        <v>0.14215361639919785</v>
      </c>
      <c r="Q106" s="332">
        <f>'MOD-Berechnungen'!P295</f>
        <v>0.14858075461552095</v>
      </c>
      <c r="R106" s="332">
        <f>'MOD-Berechnungen'!Q295</f>
        <v>0.15433785929951863</v>
      </c>
      <c r="S106" s="332">
        <f>'MOD-Berechnungen'!R295</f>
        <v>0.15956721587459904</v>
      </c>
      <c r="T106" s="332">
        <f>'MOD-Berechnungen'!S295</f>
        <v>0.16402473295096845</v>
      </c>
      <c r="U106" s="332">
        <f>'MOD-Berechnungen'!T295</f>
        <v>0.16846162629981293</v>
      </c>
      <c r="V106" s="332">
        <f>'MOD-Berechnungen'!U295</f>
        <v>0.17287811430332958</v>
      </c>
      <c r="W106" s="332">
        <f>'MOD-Berechnungen'!V295</f>
        <v>0.17727440144970119</v>
      </c>
      <c r="X106" s="332">
        <f>'MOD-Berechnungen'!W295</f>
        <v>0.18164893628450063</v>
      </c>
      <c r="Y106" s="332">
        <f>'MOD-Berechnungen'!X295</f>
        <v>0.18600073907452117</v>
      </c>
      <c r="Z106" s="332">
        <f>'MOD-Berechnungen'!Y295</f>
        <v>0.19032998505196519</v>
      </c>
      <c r="AA106" s="332">
        <f>'MOD-Berechnungen'!Z295</f>
        <v>0.1946368427205985</v>
      </c>
      <c r="AB106" s="332">
        <f>'MOD-Berechnungen'!AA295</f>
        <v>0.19892147456489159</v>
      </c>
      <c r="AC106" s="332">
        <f>'MOD-Berechnungen'!AB295</f>
        <v>0.20318403766445367</v>
      </c>
      <c r="AD106" s="332">
        <f>'MOD-Berechnungen'!AC295</f>
        <v>0.20742468422824556</v>
      </c>
      <c r="AE106" s="332">
        <f>'MOD-Berechnungen'!AD295</f>
        <v>0.21164356206057788</v>
      </c>
      <c r="AF106" s="333">
        <f>'MOD-Berechnungen'!AE295</f>
        <v>0.21584081496889146</v>
      </c>
    </row>
    <row r="107" spans="1:32" s="301" customFormat="1">
      <c r="A107" s="561">
        <v>107</v>
      </c>
      <c r="C107" s="10"/>
      <c r="D107" s="29"/>
      <c r="E107" s="574" t="s">
        <v>50</v>
      </c>
      <c r="F107" s="578"/>
      <c r="G107" s="332">
        <f>'MOD-Berechnungen'!F296</f>
        <v>0</v>
      </c>
      <c r="H107" s="332">
        <f>'MOD-Berechnungen'!G296</f>
        <v>0</v>
      </c>
      <c r="I107" s="332">
        <f>'MOD-Berechnungen'!H296</f>
        <v>0</v>
      </c>
      <c r="J107" s="332">
        <f>'MOD-Berechnungen'!I296</f>
        <v>0</v>
      </c>
      <c r="K107" s="332">
        <f>'MOD-Berechnungen'!J296</f>
        <v>0</v>
      </c>
      <c r="L107" s="332">
        <f>'MOD-Berechnungen'!K296</f>
        <v>4.8650608756385088E-3</v>
      </c>
      <c r="M107" s="332">
        <f>'MOD-Berechnungen'!L296</f>
        <v>1.017272401213851E-2</v>
      </c>
      <c r="N107" s="332">
        <f>'MOD-Berechnungen'!M296</f>
        <v>1.0832129081806263E-2</v>
      </c>
      <c r="O107" s="332">
        <f>'MOD-Berechnungen'!N296</f>
        <v>1.1765027869992813E-2</v>
      </c>
      <c r="P107" s="332">
        <f>'MOD-Berechnungen'!O296</f>
        <v>1.2706901930567933E-2</v>
      </c>
      <c r="Q107" s="332">
        <f>'MOD-Berechnungen'!P296</f>
        <v>1.3136223585429877E-2</v>
      </c>
      <c r="R107" s="332">
        <f>'MOD-Berechnungen'!Q296</f>
        <v>1.3578678234309806E-2</v>
      </c>
      <c r="S107" s="332">
        <f>'MOD-Berechnungen'!R296</f>
        <v>1.5646707528952787E-2</v>
      </c>
      <c r="T107" s="332">
        <f>'MOD-Berechnungen'!S296</f>
        <v>2.8380767735593088E-2</v>
      </c>
      <c r="U107" s="332">
        <f>'MOD-Berechnungen'!T296</f>
        <v>1.550208124448396E-2</v>
      </c>
      <c r="V107" s="332">
        <f>'MOD-Berechnungen'!U296</f>
        <v>1.5854936554260471E-2</v>
      </c>
      <c r="W107" s="332">
        <f>'MOD-Berechnungen'!V296</f>
        <v>1.6237246073763284E-2</v>
      </c>
      <c r="X107" s="332">
        <f>'MOD-Berechnungen'!W296</f>
        <v>1.8059798862160421E-2</v>
      </c>
      <c r="Y107" s="332">
        <f>'MOD-Berechnungen'!X296</f>
        <v>2.1003962229608493E-2</v>
      </c>
      <c r="Z107" s="332">
        <f>'MOD-Berechnungen'!Y296</f>
        <v>2.3902295560343522E-2</v>
      </c>
      <c r="AA107" s="332">
        <f>'MOD-Berechnungen'!Z296</f>
        <v>2.6868685428287201E-2</v>
      </c>
      <c r="AB107" s="332">
        <f>'MOD-Berechnungen'!AA296</f>
        <v>2.9777349777388381E-2</v>
      </c>
      <c r="AC107" s="332">
        <f>'MOD-Berechnungen'!AB296</f>
        <v>3.2464792687829931E-2</v>
      </c>
      <c r="AD107" s="332">
        <f>'MOD-Berechnungen'!AC296</f>
        <v>3.5080872313247351E-2</v>
      </c>
      <c r="AE107" s="332">
        <f>'MOD-Berechnungen'!AD296</f>
        <v>3.7625588653640608E-2</v>
      </c>
      <c r="AF107" s="333">
        <f>'MOD-Berechnungen'!AE296</f>
        <v>4.0098941709009697E-2</v>
      </c>
    </row>
    <row r="108" spans="1:32" s="301" customFormat="1">
      <c r="A108" s="561">
        <v>108</v>
      </c>
      <c r="C108" s="10"/>
      <c r="D108" s="29"/>
      <c r="E108" s="574" t="s">
        <v>13</v>
      </c>
      <c r="F108" s="578"/>
      <c r="G108" s="332">
        <f>'MOD-Berechnungen'!F297</f>
        <v>0</v>
      </c>
      <c r="H108" s="332">
        <f>'MOD-Berechnungen'!G297</f>
        <v>0</v>
      </c>
      <c r="I108" s="332">
        <f>'MOD-Berechnungen'!H297</f>
        <v>0</v>
      </c>
      <c r="J108" s="332">
        <f>'MOD-Berechnungen'!I297</f>
        <v>0</v>
      </c>
      <c r="K108" s="332">
        <f>'MOD-Berechnungen'!J297</f>
        <v>0</v>
      </c>
      <c r="L108" s="332">
        <f>'MOD-Berechnungen'!K297</f>
        <v>0.10396441189220842</v>
      </c>
      <c r="M108" s="332">
        <f>'MOD-Berechnungen'!L297</f>
        <v>0.2813361084899732</v>
      </c>
      <c r="N108" s="332">
        <f>'MOD-Berechnungen'!M297</f>
        <v>0.43987541638278288</v>
      </c>
      <c r="O108" s="332">
        <f>'MOD-Berechnungen'!N297</f>
        <v>0.64544506446885042</v>
      </c>
      <c r="P108" s="332">
        <f>'MOD-Berechnungen'!O297</f>
        <v>0.85758323006384429</v>
      </c>
      <c r="Q108" s="332">
        <f>'MOD-Berechnungen'!P297</f>
        <v>0.99651627438680257</v>
      </c>
      <c r="R108" s="332">
        <f>'MOD-Berechnungen'!Q297</f>
        <v>1.0778582496214528</v>
      </c>
      <c r="S108" s="332">
        <f>'MOD-Berechnungen'!R297</f>
        <v>1.2256868855957004</v>
      </c>
      <c r="T108" s="332">
        <f>'MOD-Berechnungen'!S297</f>
        <v>1.4431195475139411</v>
      </c>
      <c r="U108" s="332">
        <f>'MOD-Berechnungen'!T297</f>
        <v>1.644611165943948</v>
      </c>
      <c r="V108" s="332">
        <f>'MOD-Berechnungen'!U297</f>
        <v>1.8358959193916913</v>
      </c>
      <c r="W108" s="332">
        <f>'MOD-Berechnungen'!V297</f>
        <v>2.0181827303414748</v>
      </c>
      <c r="X108" s="332">
        <f>'MOD-Berechnungen'!W297</f>
        <v>2.1593472112141359</v>
      </c>
      <c r="Y108" s="332">
        <f>'MOD-Berechnungen'!X297</f>
        <v>2.2648216126972893</v>
      </c>
      <c r="Z108" s="332">
        <f>'MOD-Berechnungen'!Y297</f>
        <v>2.3692063932953111</v>
      </c>
      <c r="AA108" s="332">
        <f>'MOD-Berechnungen'!Z297</f>
        <v>2.4725117833234629</v>
      </c>
      <c r="AB108" s="332">
        <f>'MOD-Berechnungen'!AA297</f>
        <v>2.5747476154362743</v>
      </c>
      <c r="AC108" s="332">
        <f>'MOD-Berechnungen'!AB297</f>
        <v>2.6759233912636589</v>
      </c>
      <c r="AD108" s="332">
        <f>'MOD-Berechnungen'!AC297</f>
        <v>2.776048332125558</v>
      </c>
      <c r="AE108" s="332">
        <f>'MOD-Berechnungen'!AD297</f>
        <v>2.87513141814151</v>
      </c>
      <c r="AF108" s="333">
        <f>'MOD-Berechnungen'!AE297</f>
        <v>2.9744268366961522</v>
      </c>
    </row>
    <row r="109" spans="1:32" s="301" customFormat="1">
      <c r="A109" s="561">
        <v>109</v>
      </c>
      <c r="C109" s="10"/>
      <c r="D109" s="29"/>
      <c r="E109" s="574" t="s">
        <v>12</v>
      </c>
      <c r="F109" s="578"/>
      <c r="G109" s="332">
        <f>'MOD-Berechnungen'!F298</f>
        <v>0</v>
      </c>
      <c r="H109" s="332">
        <f>'MOD-Berechnungen'!G298</f>
        <v>0</v>
      </c>
      <c r="I109" s="332">
        <f>'MOD-Berechnungen'!H298</f>
        <v>0</v>
      </c>
      <c r="J109" s="332">
        <f>'MOD-Berechnungen'!I298</f>
        <v>0</v>
      </c>
      <c r="K109" s="332">
        <f>'MOD-Berechnungen'!J298</f>
        <v>0</v>
      </c>
      <c r="L109" s="332">
        <f>'MOD-Berechnungen'!K298</f>
        <v>0</v>
      </c>
      <c r="M109" s="332">
        <f>'MOD-Berechnungen'!L298</f>
        <v>2.460944045306506E-3</v>
      </c>
      <c r="N109" s="332">
        <f>'MOD-Berechnungen'!M298</f>
        <v>6.3785439625643134E-3</v>
      </c>
      <c r="O109" s="332">
        <f>'MOD-Berechnungen'!N298</f>
        <v>1.1501666698600267E-2</v>
      </c>
      <c r="P109" s="332">
        <f>'MOD-Berechnungen'!O298</f>
        <v>1.8152178172731227E-2</v>
      </c>
      <c r="Q109" s="332">
        <f>'MOD-Berechnungen'!P298</f>
        <v>2.4282413902083782E-2</v>
      </c>
      <c r="R109" s="332">
        <f>'MOD-Berechnungen'!Q298</f>
        <v>3.3231847901202337E-2</v>
      </c>
      <c r="S109" s="332">
        <f>'MOD-Berechnungen'!R298</f>
        <v>5.3182648565932536E-2</v>
      </c>
      <c r="T109" s="332">
        <f>'MOD-Berechnungen'!S298</f>
        <v>8.2737432910438349E-2</v>
      </c>
      <c r="U109" s="332">
        <f>'MOD-Berechnungen'!T298</f>
        <v>0.11437006249095438</v>
      </c>
      <c r="V109" s="332">
        <f>'MOD-Berechnungen'!U298</f>
        <v>0.14738011913505306</v>
      </c>
      <c r="W109" s="332">
        <f>'MOD-Berechnungen'!V298</f>
        <v>0.18152526045585266</v>
      </c>
      <c r="X109" s="332">
        <f>'MOD-Berechnungen'!W298</f>
        <v>0.20264589671770131</v>
      </c>
      <c r="Y109" s="332">
        <f>'MOD-Berechnungen'!X298</f>
        <v>0.20981230233756051</v>
      </c>
      <c r="Z109" s="332">
        <f>'MOD-Berechnungen'!Y298</f>
        <v>0.21661060602066098</v>
      </c>
      <c r="AA109" s="332">
        <f>'MOD-Berechnungen'!Z298</f>
        <v>0.2230602561336428</v>
      </c>
      <c r="AB109" s="332">
        <f>'MOD-Berechnungen'!AA298</f>
        <v>0.22917955894852374</v>
      </c>
      <c r="AC109" s="332">
        <f>'MOD-Berechnungen'!AB298</f>
        <v>0.23498576895371168</v>
      </c>
      <c r="AD109" s="332">
        <f>'MOD-Berechnungen'!AC298</f>
        <v>0.24049516726541398</v>
      </c>
      <c r="AE109" s="332">
        <f>'MOD-Berechnungen'!AD298</f>
        <v>0.2457231305592035</v>
      </c>
      <c r="AF109" s="333">
        <f>'MOD-Berechnungen'!AE298</f>
        <v>0.25068419232661371</v>
      </c>
    </row>
    <row r="110" spans="1:32" s="301" customFormat="1">
      <c r="A110" s="561">
        <v>110</v>
      </c>
      <c r="C110" s="10"/>
      <c r="D110" s="29"/>
      <c r="E110" s="574" t="s">
        <v>24</v>
      </c>
      <c r="F110" s="578"/>
      <c r="G110" s="332">
        <f>'MOD-Berechnungen'!F299</f>
        <v>0</v>
      </c>
      <c r="H110" s="332">
        <f>'MOD-Berechnungen'!G299</f>
        <v>0</v>
      </c>
      <c r="I110" s="332">
        <f>'MOD-Berechnungen'!H299</f>
        <v>0</v>
      </c>
      <c r="J110" s="332">
        <f>'MOD-Berechnungen'!I299</f>
        <v>0</v>
      </c>
      <c r="K110" s="332">
        <f>'MOD-Berechnungen'!J299</f>
        <v>0</v>
      </c>
      <c r="L110" s="332">
        <f>'MOD-Berechnungen'!K299</f>
        <v>0.33926543412582211</v>
      </c>
      <c r="M110" s="332">
        <f>'MOD-Berechnungen'!L299</f>
        <v>1.0917868063780236</v>
      </c>
      <c r="N110" s="332">
        <f>'MOD-Berechnungen'!M299</f>
        <v>1.9923436763698676</v>
      </c>
      <c r="O110" s="332">
        <f>'MOD-Berechnungen'!N299</f>
        <v>2.6848309998443045</v>
      </c>
      <c r="P110" s="332">
        <f>'MOD-Berechnungen'!O299</f>
        <v>3.0028383284361975</v>
      </c>
      <c r="Q110" s="332">
        <f>'MOD-Berechnungen'!P299</f>
        <v>3.2246360473993163</v>
      </c>
      <c r="R110" s="332">
        <f>'MOD-Berechnungen'!Q299</f>
        <v>3.4426775601796202</v>
      </c>
      <c r="S110" s="332">
        <f>'MOD-Berechnungen'!R299</f>
        <v>3.6717386752722274</v>
      </c>
      <c r="T110" s="332">
        <f>'MOD-Berechnungen'!S299</f>
        <v>4.3580755697719642</v>
      </c>
      <c r="U110" s="332">
        <f>'MOD-Berechnungen'!T299</f>
        <v>4.2499570594754408</v>
      </c>
      <c r="V110" s="332">
        <f>'MOD-Berechnungen'!U299</f>
        <v>4.5563678888121011</v>
      </c>
      <c r="W110" s="332">
        <f>'MOD-Berechnungen'!V299</f>
        <v>4.8628089100767147</v>
      </c>
      <c r="X110" s="332">
        <f>'MOD-Berechnungen'!W299</f>
        <v>5.1704660310896484</v>
      </c>
      <c r="Y110" s="332">
        <f>'MOD-Berechnungen'!X299</f>
        <v>5.478866484372694</v>
      </c>
      <c r="Z110" s="332">
        <f>'MOD-Berechnungen'!Y299</f>
        <v>5.7855943607237439</v>
      </c>
      <c r="AA110" s="332">
        <f>'MOD-Berechnungen'!Z299</f>
        <v>6.0892414424607537</v>
      </c>
      <c r="AB110" s="332">
        <f>'MOD-Berechnungen'!AA299</f>
        <v>6.3889184215318613</v>
      </c>
      <c r="AC110" s="332">
        <f>'MOD-Berechnungen'!AB299</f>
        <v>6.6840297810871432</v>
      </c>
      <c r="AD110" s="332">
        <f>'MOD-Berechnungen'!AC299</f>
        <v>6.9741583438166916</v>
      </c>
      <c r="AE110" s="332">
        <f>'MOD-Berechnungen'!AD299</f>
        <v>7.2590011650097335</v>
      </c>
      <c r="AF110" s="333">
        <f>'MOD-Berechnungen'!AE299</f>
        <v>7.5441180967517631</v>
      </c>
    </row>
    <row r="111" spans="1:32" s="301" customFormat="1">
      <c r="A111" s="561">
        <v>111</v>
      </c>
      <c r="C111" s="10"/>
      <c r="D111" s="29"/>
      <c r="E111" s="574" t="s">
        <v>26</v>
      </c>
      <c r="F111" s="578"/>
      <c r="G111" s="332">
        <f>'MOD-Berechnungen'!F300</f>
        <v>0</v>
      </c>
      <c r="H111" s="332">
        <f>'MOD-Berechnungen'!G300</f>
        <v>0</v>
      </c>
      <c r="I111" s="332">
        <f>'MOD-Berechnungen'!H300</f>
        <v>0</v>
      </c>
      <c r="J111" s="332">
        <f>'MOD-Berechnungen'!I300</f>
        <v>0</v>
      </c>
      <c r="K111" s="332">
        <f>'MOD-Berechnungen'!J300</f>
        <v>0</v>
      </c>
      <c r="L111" s="332">
        <f>'MOD-Berechnungen'!K300</f>
        <v>0.68519349688351627</v>
      </c>
      <c r="M111" s="332">
        <f>'MOD-Berechnungen'!L300</f>
        <v>1.6401606379583997</v>
      </c>
      <c r="N111" s="332">
        <f>'MOD-Berechnungen'!M300</f>
        <v>2.320538035737322</v>
      </c>
      <c r="O111" s="332">
        <f>'MOD-Berechnungen'!N300</f>
        <v>2.9910061316476497</v>
      </c>
      <c r="P111" s="332">
        <f>'MOD-Berechnungen'!O300</f>
        <v>3.5564616338227362</v>
      </c>
      <c r="Q111" s="332">
        <f>'MOD-Berechnungen'!P300</f>
        <v>3.9204079517598349</v>
      </c>
      <c r="R111" s="332">
        <f>'MOD-Berechnungen'!Q300</f>
        <v>3.9676106193504852</v>
      </c>
      <c r="S111" s="332">
        <f>'MOD-Berechnungen'!R300</f>
        <v>3.9915372504567288</v>
      </c>
      <c r="T111" s="332">
        <f>'MOD-Berechnungen'!S300</f>
        <v>4.1005631293236666</v>
      </c>
      <c r="U111" s="332">
        <f>'MOD-Berechnungen'!T300</f>
        <v>4.0396485387484029</v>
      </c>
      <c r="V111" s="332">
        <f>'MOD-Berechnungen'!U300</f>
        <v>4.1153103015118369</v>
      </c>
      <c r="W111" s="332">
        <f>'MOD-Berechnungen'!V300</f>
        <v>3.9857332834491306</v>
      </c>
      <c r="X111" s="332">
        <f>'MOD-Berechnungen'!W300</f>
        <v>3.3078821584528511</v>
      </c>
      <c r="Y111" s="332">
        <f>'MOD-Berechnungen'!X300</f>
        <v>3.2278611104713111</v>
      </c>
      <c r="Z111" s="332">
        <f>'MOD-Berechnungen'!Y300</f>
        <v>3.0417061886200107</v>
      </c>
      <c r="AA111" s="332">
        <f>'MOD-Berechnungen'!Z300</f>
        <v>3.245740334713894</v>
      </c>
      <c r="AB111" s="332">
        <f>'MOD-Berechnungen'!AA300</f>
        <v>3.5329568667166282</v>
      </c>
      <c r="AC111" s="332">
        <f>'MOD-Berechnungen'!AB300</f>
        <v>3.8426566266403457</v>
      </c>
      <c r="AD111" s="332">
        <f>'MOD-Berechnungen'!AC300</f>
        <v>4.1496709277778914</v>
      </c>
      <c r="AE111" s="332">
        <f>'MOD-Berechnungen'!AD300</f>
        <v>4.1314868507655076</v>
      </c>
      <c r="AF111" s="333">
        <f>'MOD-Berechnungen'!AE300</f>
        <v>4.173226503510592</v>
      </c>
    </row>
    <row r="112" spans="1:32" s="301" customFormat="1">
      <c r="A112" s="561">
        <v>112</v>
      </c>
      <c r="C112" s="10"/>
      <c r="D112" s="29"/>
      <c r="E112" s="576" t="s">
        <v>74</v>
      </c>
      <c r="F112" s="579"/>
      <c r="G112" s="309">
        <f>'MOD-Berechnungen'!F301</f>
        <v>0</v>
      </c>
      <c r="H112" s="309">
        <f>'MOD-Berechnungen'!G301</f>
        <v>0</v>
      </c>
      <c r="I112" s="309">
        <f>'MOD-Berechnungen'!H301</f>
        <v>0</v>
      </c>
      <c r="J112" s="309">
        <f>'MOD-Berechnungen'!I301</f>
        <v>0</v>
      </c>
      <c r="K112" s="309">
        <f>'MOD-Berechnungen'!J301</f>
        <v>0</v>
      </c>
      <c r="L112" s="309">
        <f>'MOD-Berechnungen'!K301</f>
        <v>4.9676870018863978E-2</v>
      </c>
      <c r="M112" s="309">
        <f>'MOD-Berechnungen'!L301</f>
        <v>0.14383874341315595</v>
      </c>
      <c r="N112" s="309">
        <f>'MOD-Berechnungen'!M301</f>
        <v>0.2955444718546984</v>
      </c>
      <c r="O112" s="309">
        <f>'MOD-Berechnungen'!N301</f>
        <v>0.48328473586709264</v>
      </c>
      <c r="P112" s="309">
        <f>'MOD-Berechnungen'!O301</f>
        <v>0.80757311765457584</v>
      </c>
      <c r="Q112" s="309">
        <f>'MOD-Berechnungen'!P301</f>
        <v>1.1976680999851399</v>
      </c>
      <c r="R112" s="309">
        <f>'MOD-Berechnungen'!Q301</f>
        <v>1.5749583996563103</v>
      </c>
      <c r="S112" s="309">
        <f>'MOD-Berechnungen'!R301</f>
        <v>1.9327983346296826</v>
      </c>
      <c r="T112" s="309">
        <f>'MOD-Berechnungen'!S301</f>
        <v>2.380930361402954</v>
      </c>
      <c r="U112" s="309">
        <f>'MOD-Berechnungen'!T301</f>
        <v>2.8732778094098697</v>
      </c>
      <c r="V112" s="309">
        <f>'MOD-Berechnungen'!U301</f>
        <v>3.3422379817594572</v>
      </c>
      <c r="W112" s="309">
        <f>'MOD-Berechnungen'!V301</f>
        <v>3.7907762053661087</v>
      </c>
      <c r="X112" s="309">
        <f>'MOD-Berechnungen'!W301</f>
        <v>4.0946773968230019</v>
      </c>
      <c r="Y112" s="309">
        <f>'MOD-Berechnungen'!X301</f>
        <v>4.2575963501382343</v>
      </c>
      <c r="Z112" s="309">
        <f>'MOD-Berechnungen'!Y301</f>
        <v>4.416222925111958</v>
      </c>
      <c r="AA112" s="309">
        <f>'MOD-Berechnungen'!Z301</f>
        <v>4.5706950561923287</v>
      </c>
      <c r="AB112" s="309">
        <f>'MOD-Berechnungen'!AA301</f>
        <v>4.7212634055410252</v>
      </c>
      <c r="AC112" s="309">
        <f>'MOD-Berechnungen'!AB301</f>
        <v>4.8679398804184961</v>
      </c>
      <c r="AD112" s="309">
        <f>'MOD-Berechnungen'!AC301</f>
        <v>5.010585098678094</v>
      </c>
      <c r="AE112" s="309">
        <f>'MOD-Berechnungen'!AD301</f>
        <v>5.1493392283866584</v>
      </c>
      <c r="AF112" s="56">
        <f>'MOD-Berechnungen'!AE301</f>
        <v>5.2832324621940776</v>
      </c>
    </row>
    <row r="113" spans="1:32" s="301" customFormat="1">
      <c r="A113" s="561">
        <v>113</v>
      </c>
      <c r="C113" s="10"/>
      <c r="D113" s="29"/>
      <c r="E113" s="29"/>
      <c r="F113" s="36"/>
      <c r="G113" s="331"/>
      <c r="H113" s="331"/>
      <c r="I113" s="331"/>
      <c r="J113" s="331"/>
      <c r="K113" s="331"/>
      <c r="L113" s="331"/>
      <c r="M113" s="331"/>
      <c r="N113" s="331"/>
      <c r="O113" s="331"/>
      <c r="P113" s="331"/>
      <c r="Q113" s="331"/>
      <c r="R113" s="331"/>
      <c r="S113" s="331"/>
      <c r="T113" s="331"/>
      <c r="U113" s="331"/>
      <c r="V113" s="331"/>
      <c r="W113" s="331"/>
      <c r="X113" s="331"/>
      <c r="Y113" s="331"/>
      <c r="Z113" s="331"/>
      <c r="AA113" s="331"/>
      <c r="AB113" s="331"/>
      <c r="AC113" s="331"/>
      <c r="AD113" s="331"/>
      <c r="AE113" s="331"/>
      <c r="AF113" s="331"/>
    </row>
    <row r="114" spans="1:32" s="301" customFormat="1">
      <c r="A114" s="561">
        <v>114</v>
      </c>
      <c r="C114" s="10"/>
      <c r="D114" s="29"/>
      <c r="E114" s="29"/>
      <c r="F114" s="199" t="s">
        <v>689</v>
      </c>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row>
    <row r="115" spans="1:32" s="301" customFormat="1">
      <c r="A115" s="561">
        <v>115</v>
      </c>
      <c r="C115" s="10"/>
      <c r="D115" s="29"/>
      <c r="E115" s="568"/>
      <c r="F115" s="569"/>
      <c r="G115" s="570">
        <v>2010</v>
      </c>
      <c r="H115" s="570">
        <v>2011</v>
      </c>
      <c r="I115" s="570">
        <v>2012</v>
      </c>
      <c r="J115" s="570">
        <v>2013</v>
      </c>
      <c r="K115" s="570">
        <v>2014</v>
      </c>
      <c r="L115" s="570">
        <v>2015</v>
      </c>
      <c r="M115" s="570">
        <v>2016</v>
      </c>
      <c r="N115" s="570">
        <v>2017</v>
      </c>
      <c r="O115" s="570">
        <v>2018</v>
      </c>
      <c r="P115" s="570">
        <v>2019</v>
      </c>
      <c r="Q115" s="570">
        <v>2020</v>
      </c>
      <c r="R115" s="570">
        <v>2021</v>
      </c>
      <c r="S115" s="570">
        <v>2022</v>
      </c>
      <c r="T115" s="570">
        <v>2023</v>
      </c>
      <c r="U115" s="570">
        <v>2024</v>
      </c>
      <c r="V115" s="570">
        <v>2025</v>
      </c>
      <c r="W115" s="570">
        <v>2026</v>
      </c>
      <c r="X115" s="570">
        <v>2027</v>
      </c>
      <c r="Y115" s="570">
        <v>2028</v>
      </c>
      <c r="Z115" s="570">
        <v>2029</v>
      </c>
      <c r="AA115" s="570">
        <v>2030</v>
      </c>
      <c r="AB115" s="570">
        <v>2031</v>
      </c>
      <c r="AC115" s="570">
        <v>2032</v>
      </c>
      <c r="AD115" s="570">
        <v>2033</v>
      </c>
      <c r="AE115" s="570">
        <v>2034</v>
      </c>
      <c r="AF115" s="571">
        <v>2035</v>
      </c>
    </row>
    <row r="116" spans="1:32" s="301" customFormat="1">
      <c r="A116" s="561">
        <v>116</v>
      </c>
      <c r="C116" s="10"/>
      <c r="D116" s="29"/>
      <c r="E116" s="572" t="s">
        <v>391</v>
      </c>
      <c r="F116" s="573" t="s">
        <v>387</v>
      </c>
      <c r="G116" s="323">
        <f>G99+G100+G102</f>
        <v>0.54889440999999994</v>
      </c>
      <c r="H116" s="323">
        <f t="shared" ref="H116:AF116" si="28">H99+H100+H102</f>
        <v>0.18980264099999999</v>
      </c>
      <c r="I116" s="323">
        <f t="shared" si="28"/>
        <v>0.48820272557425998</v>
      </c>
      <c r="J116" s="323">
        <f t="shared" si="28"/>
        <v>0.61301588725074996</v>
      </c>
      <c r="K116" s="323">
        <f t="shared" si="28"/>
        <v>0.60642435829859997</v>
      </c>
      <c r="L116" s="323">
        <f t="shared" si="28"/>
        <v>0.73447194826254969</v>
      </c>
      <c r="M116" s="323">
        <f t="shared" si="28"/>
        <v>0.73447194826254969</v>
      </c>
      <c r="N116" s="323">
        <f t="shared" si="28"/>
        <v>0.73447194826254969</v>
      </c>
      <c r="O116" s="323">
        <f t="shared" si="28"/>
        <v>0.73447194826254969</v>
      </c>
      <c r="P116" s="323">
        <f t="shared" si="28"/>
        <v>0.73447194826254969</v>
      </c>
      <c r="Q116" s="323">
        <f t="shared" si="28"/>
        <v>0.73447194826254969</v>
      </c>
      <c r="R116" s="323">
        <f t="shared" si="28"/>
        <v>0.71244427810650712</v>
      </c>
      <c r="S116" s="323">
        <f t="shared" si="28"/>
        <v>0.70503788340212292</v>
      </c>
      <c r="T116" s="323">
        <f t="shared" si="28"/>
        <v>0.68617481858120644</v>
      </c>
      <c r="U116" s="323">
        <f t="shared" si="28"/>
        <v>0.66466866205843744</v>
      </c>
      <c r="V116" s="323">
        <f t="shared" si="28"/>
        <v>0.64463301785603477</v>
      </c>
      <c r="W116" s="323">
        <f t="shared" si="28"/>
        <v>0.64237580865388666</v>
      </c>
      <c r="X116" s="323">
        <f t="shared" si="28"/>
        <v>0.64055530761048152</v>
      </c>
      <c r="Y116" s="323">
        <f t="shared" si="28"/>
        <v>0.64028073158224885</v>
      </c>
      <c r="Z116" s="323">
        <f t="shared" si="28"/>
        <v>0.64005216266779397</v>
      </c>
      <c r="AA116" s="323">
        <f t="shared" si="28"/>
        <v>0.58105307518943095</v>
      </c>
      <c r="AB116" s="323">
        <f t="shared" si="28"/>
        <v>0.54378836761166227</v>
      </c>
      <c r="AC116" s="323">
        <f t="shared" si="28"/>
        <v>0.50896570919824857</v>
      </c>
      <c r="AD116" s="323">
        <f t="shared" si="28"/>
        <v>0.47192068473533527</v>
      </c>
      <c r="AE116" s="323">
        <f t="shared" si="28"/>
        <v>0.40858053479627798</v>
      </c>
      <c r="AF116" s="324">
        <f t="shared" si="28"/>
        <v>0.39783057582039583</v>
      </c>
    </row>
    <row r="117" spans="1:32" s="301" customFormat="1">
      <c r="A117" s="561">
        <v>117</v>
      </c>
      <c r="C117" s="10"/>
      <c r="D117" s="29"/>
      <c r="E117" s="574" t="s">
        <v>13</v>
      </c>
      <c r="F117" s="575" t="s">
        <v>387</v>
      </c>
      <c r="G117" s="332">
        <f>G101</f>
        <v>3.9508552799999999</v>
      </c>
      <c r="H117" s="332">
        <f t="shared" ref="H117:AF117" si="29">H101</f>
        <v>4.2497729089999998</v>
      </c>
      <c r="I117" s="332">
        <f t="shared" si="29"/>
        <v>5.0895666185599993</v>
      </c>
      <c r="J117" s="332">
        <f t="shared" si="29"/>
        <v>6.0503774180499983</v>
      </c>
      <c r="K117" s="332">
        <f t="shared" si="29"/>
        <v>6.4394082612499988</v>
      </c>
      <c r="L117" s="332">
        <f t="shared" si="29"/>
        <v>7.2822097617115737</v>
      </c>
      <c r="M117" s="332">
        <f t="shared" si="29"/>
        <v>7.2822097617115746</v>
      </c>
      <c r="N117" s="332">
        <f t="shared" si="29"/>
        <v>7.2822097617115737</v>
      </c>
      <c r="O117" s="332">
        <f t="shared" si="29"/>
        <v>7.2822097617115737</v>
      </c>
      <c r="P117" s="332">
        <f t="shared" si="29"/>
        <v>7.2822097617115737</v>
      </c>
      <c r="Q117" s="332">
        <f t="shared" si="29"/>
        <v>7.2822097617115737</v>
      </c>
      <c r="R117" s="332">
        <f t="shared" si="29"/>
        <v>7.1835599193497597</v>
      </c>
      <c r="S117" s="332">
        <f t="shared" si="29"/>
        <v>7.0063821479103723</v>
      </c>
      <c r="T117" s="332">
        <f t="shared" si="29"/>
        <v>6.8884682715222976</v>
      </c>
      <c r="U117" s="332">
        <f t="shared" si="29"/>
        <v>6.7127656435478666</v>
      </c>
      <c r="V117" s="332">
        <f t="shared" si="29"/>
        <v>6.2423181166542427</v>
      </c>
      <c r="W117" s="332">
        <f t="shared" si="29"/>
        <v>5.4761455165830508</v>
      </c>
      <c r="X117" s="332">
        <f t="shared" si="29"/>
        <v>4.5511637155272862</v>
      </c>
      <c r="Y117" s="332">
        <f t="shared" si="29"/>
        <v>3.8293232180234988</v>
      </c>
      <c r="Z117" s="332">
        <f t="shared" si="29"/>
        <v>3.4436416618349535</v>
      </c>
      <c r="AA117" s="332">
        <f t="shared" si="29"/>
        <v>2.9305329049374462</v>
      </c>
      <c r="AB117" s="332">
        <f t="shared" si="29"/>
        <v>2.1644259699180277</v>
      </c>
      <c r="AC117" s="332">
        <f t="shared" si="29"/>
        <v>0.89513810954450024</v>
      </c>
      <c r="AD117" s="332">
        <f t="shared" si="29"/>
        <v>0.51884364039180542</v>
      </c>
      <c r="AE117" s="332">
        <f t="shared" si="29"/>
        <v>0.23001388790139352</v>
      </c>
      <c r="AF117" s="333">
        <f t="shared" si="29"/>
        <v>0</v>
      </c>
    </row>
    <row r="118" spans="1:32" s="301" customFormat="1">
      <c r="A118" s="561">
        <v>118</v>
      </c>
      <c r="C118" s="10"/>
      <c r="D118" s="29"/>
      <c r="E118" s="574" t="s">
        <v>24</v>
      </c>
      <c r="F118" s="575" t="s">
        <v>387</v>
      </c>
      <c r="G118" s="332">
        <f>G103</f>
        <v>4.1869800800000005</v>
      </c>
      <c r="H118" s="332">
        <f t="shared" ref="H118:AF118" si="30">H103</f>
        <v>4.4946196810000005</v>
      </c>
      <c r="I118" s="332">
        <f t="shared" si="30"/>
        <v>4.3533828439027991</v>
      </c>
      <c r="J118" s="332">
        <f t="shared" si="30"/>
        <v>5.3593675109834491</v>
      </c>
      <c r="K118" s="332">
        <f t="shared" si="30"/>
        <v>6.1037070259736002</v>
      </c>
      <c r="L118" s="332">
        <f t="shared" si="30"/>
        <v>5.9080181485994006</v>
      </c>
      <c r="M118" s="332">
        <f t="shared" si="30"/>
        <v>5.8559783800617975</v>
      </c>
      <c r="N118" s="332">
        <f t="shared" si="30"/>
        <v>5.7958207532086137</v>
      </c>
      <c r="O118" s="332">
        <f t="shared" si="30"/>
        <v>5.7206040650143537</v>
      </c>
      <c r="P118" s="332">
        <f t="shared" si="30"/>
        <v>5.5391983038891324</v>
      </c>
      <c r="Q118" s="332">
        <f t="shared" si="30"/>
        <v>5.3450702699699582</v>
      </c>
      <c r="R118" s="332">
        <f t="shared" si="30"/>
        <v>5.0040482709215501</v>
      </c>
      <c r="S118" s="332">
        <f t="shared" si="30"/>
        <v>4.5933769461465612</v>
      </c>
      <c r="T118" s="332">
        <f t="shared" si="30"/>
        <v>4.1397134228611003</v>
      </c>
      <c r="U118" s="332">
        <f t="shared" si="30"/>
        <v>3.7472829262103087</v>
      </c>
      <c r="V118" s="332">
        <f t="shared" si="30"/>
        <v>3.4352475905939217</v>
      </c>
      <c r="W118" s="332">
        <f t="shared" si="30"/>
        <v>3.1723216082086347</v>
      </c>
      <c r="X118" s="332">
        <f t="shared" si="30"/>
        <v>2.9186027412083968</v>
      </c>
      <c r="Y118" s="332">
        <f t="shared" si="30"/>
        <v>2.5442182293103834</v>
      </c>
      <c r="Z118" s="332">
        <f t="shared" si="30"/>
        <v>2.3488502345062381</v>
      </c>
      <c r="AA118" s="332">
        <f t="shared" si="30"/>
        <v>1.9616616738554147</v>
      </c>
      <c r="AB118" s="332">
        <f t="shared" si="30"/>
        <v>1.6397653312195617</v>
      </c>
      <c r="AC118" s="332">
        <f t="shared" si="30"/>
        <v>1.2122219074373628</v>
      </c>
      <c r="AD118" s="332">
        <f t="shared" si="30"/>
        <v>0.62948449664969264</v>
      </c>
      <c r="AE118" s="332">
        <f t="shared" si="30"/>
        <v>0.38775441579484493</v>
      </c>
      <c r="AF118" s="333">
        <f t="shared" si="30"/>
        <v>0</v>
      </c>
    </row>
    <row r="119" spans="1:32" s="301" customFormat="1">
      <c r="A119" s="561">
        <v>119</v>
      </c>
      <c r="C119" s="10"/>
      <c r="D119" s="29"/>
      <c r="E119" s="574" t="s">
        <v>26</v>
      </c>
      <c r="F119" s="575" t="s">
        <v>387</v>
      </c>
      <c r="G119" s="332">
        <f t="shared" ref="G119:AF119" si="31">G104</f>
        <v>9.8100000000000007E-2</v>
      </c>
      <c r="H119" s="332">
        <f t="shared" si="31"/>
        <v>0.17201868399999998</v>
      </c>
      <c r="I119" s="332">
        <f t="shared" si="31"/>
        <v>0.21721885938639998</v>
      </c>
      <c r="J119" s="332">
        <f t="shared" si="31"/>
        <v>0.47161680655509991</v>
      </c>
      <c r="K119" s="332">
        <f t="shared" si="31"/>
        <v>1.4138436736538</v>
      </c>
      <c r="L119" s="332">
        <f t="shared" si="31"/>
        <v>0.60356357547678685</v>
      </c>
      <c r="M119" s="332">
        <f t="shared" si="31"/>
        <v>0.60356357547678685</v>
      </c>
      <c r="N119" s="332">
        <f t="shared" si="31"/>
        <v>0.60356357547678685</v>
      </c>
      <c r="O119" s="332">
        <f t="shared" si="31"/>
        <v>0.60356357547678685</v>
      </c>
      <c r="P119" s="332">
        <f t="shared" si="31"/>
        <v>0.60356357547678685</v>
      </c>
      <c r="Q119" s="332">
        <f t="shared" si="31"/>
        <v>0.60356357547678685</v>
      </c>
      <c r="R119" s="332">
        <f t="shared" si="31"/>
        <v>0.59254805064153393</v>
      </c>
      <c r="S119" s="332">
        <f t="shared" si="31"/>
        <v>0.56103308229646875</v>
      </c>
      <c r="T119" s="332">
        <f t="shared" si="31"/>
        <v>0.49277975552190662</v>
      </c>
      <c r="U119" s="332">
        <f t="shared" si="31"/>
        <v>0.46000856913702937</v>
      </c>
      <c r="V119" s="332">
        <f t="shared" si="31"/>
        <v>0.35126853272283842</v>
      </c>
      <c r="W119" s="332">
        <f t="shared" si="31"/>
        <v>0.15540393694483204</v>
      </c>
      <c r="X119" s="332">
        <f t="shared" si="31"/>
        <v>0.10890415353008552</v>
      </c>
      <c r="Y119" s="332">
        <f t="shared" si="31"/>
        <v>0.10880177353992368</v>
      </c>
      <c r="Z119" s="332">
        <f t="shared" si="31"/>
        <v>0.10865322218164962</v>
      </c>
      <c r="AA119" s="332">
        <f t="shared" si="31"/>
        <v>0.1045481204783134</v>
      </c>
      <c r="AB119" s="332">
        <f t="shared" si="31"/>
        <v>9.8851901663614142E-2</v>
      </c>
      <c r="AC119" s="332">
        <f t="shared" si="31"/>
        <v>8.5362751275515861E-2</v>
      </c>
      <c r="AD119" s="332">
        <f t="shared" si="31"/>
        <v>7.5324521014464643E-2</v>
      </c>
      <c r="AE119" s="332">
        <f t="shared" si="31"/>
        <v>4.6121585919529411E-2</v>
      </c>
      <c r="AF119" s="333">
        <f t="shared" si="31"/>
        <v>0</v>
      </c>
    </row>
    <row r="120" spans="1:32" s="301" customFormat="1">
      <c r="A120" s="561">
        <v>120</v>
      </c>
      <c r="C120" s="10"/>
      <c r="D120" s="29"/>
      <c r="E120" s="576" t="s">
        <v>74</v>
      </c>
      <c r="F120" s="577" t="s">
        <v>387</v>
      </c>
      <c r="G120" s="309">
        <f t="shared" ref="G120:AF120" si="32">G105</f>
        <v>3.8826109599999996</v>
      </c>
      <c r="H120" s="309">
        <f t="shared" si="32"/>
        <v>8.0206210149999997</v>
      </c>
      <c r="I120" s="309">
        <f t="shared" si="32"/>
        <v>8.7892939436962809</v>
      </c>
      <c r="J120" s="309">
        <f t="shared" si="32"/>
        <v>10.302513792381449</v>
      </c>
      <c r="K120" s="309">
        <f t="shared" si="32"/>
        <v>10.72971006440835</v>
      </c>
      <c r="L120" s="309">
        <f t="shared" si="32"/>
        <v>10.908026153270542</v>
      </c>
      <c r="M120" s="309">
        <f t="shared" si="32"/>
        <v>10.908026153270542</v>
      </c>
      <c r="N120" s="309">
        <f t="shared" si="32"/>
        <v>10.908026153270542</v>
      </c>
      <c r="O120" s="309">
        <f t="shared" si="32"/>
        <v>10.908026153270542</v>
      </c>
      <c r="P120" s="309">
        <f t="shared" si="32"/>
        <v>10.908026153270542</v>
      </c>
      <c r="Q120" s="309">
        <f t="shared" si="32"/>
        <v>10.908026153270542</v>
      </c>
      <c r="R120" s="309">
        <f t="shared" si="32"/>
        <v>10.86119713155138</v>
      </c>
      <c r="S120" s="309">
        <f t="shared" si="32"/>
        <v>10.811821691314007</v>
      </c>
      <c r="T120" s="309">
        <f t="shared" si="32"/>
        <v>10.762723491319454</v>
      </c>
      <c r="U120" s="309">
        <f t="shared" si="32"/>
        <v>10.700911781188493</v>
      </c>
      <c r="V120" s="309">
        <f t="shared" si="32"/>
        <v>10.350049468665192</v>
      </c>
      <c r="W120" s="309">
        <f t="shared" si="32"/>
        <v>9.8807645450106261</v>
      </c>
      <c r="X120" s="309">
        <f t="shared" si="32"/>
        <v>9.4713339193349313</v>
      </c>
      <c r="Y120" s="309">
        <f t="shared" si="32"/>
        <v>8.8991898717387148</v>
      </c>
      <c r="Z120" s="309">
        <f t="shared" si="32"/>
        <v>8.0374772613756083</v>
      </c>
      <c r="AA120" s="309">
        <f t="shared" si="32"/>
        <v>6.2929346397361767</v>
      </c>
      <c r="AB120" s="309">
        <f t="shared" si="32"/>
        <v>3.7425659024949907</v>
      </c>
      <c r="AC120" s="309">
        <f t="shared" si="32"/>
        <v>1.7293195011654334</v>
      </c>
      <c r="AD120" s="309">
        <f t="shared" si="32"/>
        <v>0.49607269647010133</v>
      </c>
      <c r="AE120" s="309">
        <f t="shared" si="32"/>
        <v>0.15176649063590028</v>
      </c>
      <c r="AF120" s="56">
        <f t="shared" si="32"/>
        <v>0</v>
      </c>
    </row>
    <row r="121" spans="1:32" s="301" customFormat="1">
      <c r="A121" s="561">
        <v>121</v>
      </c>
      <c r="C121" s="10"/>
      <c r="D121" s="29"/>
      <c r="E121" s="574" t="s">
        <v>391</v>
      </c>
      <c r="F121" s="575"/>
      <c r="G121" s="332">
        <f>G106+G107+G109</f>
        <v>0</v>
      </c>
      <c r="H121" s="332">
        <f t="shared" ref="H121:AF121" si="33">H106+H107+H109</f>
        <v>0</v>
      </c>
      <c r="I121" s="332">
        <f t="shared" si="33"/>
        <v>0</v>
      </c>
      <c r="J121" s="332">
        <f t="shared" si="33"/>
        <v>0</v>
      </c>
      <c r="K121" s="332">
        <f t="shared" si="33"/>
        <v>0</v>
      </c>
      <c r="L121" s="332">
        <f t="shared" si="33"/>
        <v>6.5067945229896187E-2</v>
      </c>
      <c r="M121" s="332">
        <f t="shared" si="33"/>
        <v>0.13765303124724995</v>
      </c>
      <c r="N121" s="332">
        <f t="shared" si="33"/>
        <v>0.1480174064837885</v>
      </c>
      <c r="O121" s="332">
        <f t="shared" si="33"/>
        <v>0.15850097830696519</v>
      </c>
      <c r="P121" s="332">
        <f t="shared" si="33"/>
        <v>0.17301269650249701</v>
      </c>
      <c r="Q121" s="332">
        <f t="shared" si="33"/>
        <v>0.18599939210303459</v>
      </c>
      <c r="R121" s="332">
        <f t="shared" si="33"/>
        <v>0.20114838543503077</v>
      </c>
      <c r="S121" s="332">
        <f t="shared" si="33"/>
        <v>0.22839657196948437</v>
      </c>
      <c r="T121" s="332">
        <f t="shared" si="33"/>
        <v>0.27514293359699987</v>
      </c>
      <c r="U121" s="332">
        <f t="shared" si="33"/>
        <v>0.2983337700352513</v>
      </c>
      <c r="V121" s="332">
        <f t="shared" si="33"/>
        <v>0.33611316999264312</v>
      </c>
      <c r="W121" s="332">
        <f t="shared" si="33"/>
        <v>0.3750369079793171</v>
      </c>
      <c r="X121" s="332">
        <f t="shared" si="33"/>
        <v>0.40235463186436238</v>
      </c>
      <c r="Y121" s="332">
        <f t="shared" si="33"/>
        <v>0.41681700364169016</v>
      </c>
      <c r="Z121" s="332">
        <f t="shared" si="33"/>
        <v>0.43084288663296966</v>
      </c>
      <c r="AA121" s="332">
        <f t="shared" si="33"/>
        <v>0.44456578428252846</v>
      </c>
      <c r="AB121" s="332">
        <f t="shared" si="33"/>
        <v>0.45787838329080371</v>
      </c>
      <c r="AC121" s="332">
        <f t="shared" si="33"/>
        <v>0.47063459930599527</v>
      </c>
      <c r="AD121" s="332">
        <f t="shared" si="33"/>
        <v>0.4830007238069069</v>
      </c>
      <c r="AE121" s="332">
        <f t="shared" si="33"/>
        <v>0.49499228127342199</v>
      </c>
      <c r="AF121" s="333">
        <f t="shared" si="33"/>
        <v>0.5066239490045148</v>
      </c>
    </row>
    <row r="122" spans="1:32" s="301" customFormat="1">
      <c r="A122" s="561">
        <v>122</v>
      </c>
      <c r="C122" s="10"/>
      <c r="D122" s="29"/>
      <c r="E122" s="574" t="s">
        <v>13</v>
      </c>
      <c r="F122" s="575"/>
      <c r="G122" s="332">
        <f>G108</f>
        <v>0</v>
      </c>
      <c r="H122" s="332">
        <f t="shared" ref="H122:AF122" si="34">H108</f>
        <v>0</v>
      </c>
      <c r="I122" s="332">
        <f t="shared" si="34"/>
        <v>0</v>
      </c>
      <c r="J122" s="332">
        <f t="shared" si="34"/>
        <v>0</v>
      </c>
      <c r="K122" s="332">
        <f t="shared" si="34"/>
        <v>0</v>
      </c>
      <c r="L122" s="332">
        <f t="shared" si="34"/>
        <v>0.10396441189220842</v>
      </c>
      <c r="M122" s="332">
        <f t="shared" si="34"/>
        <v>0.2813361084899732</v>
      </c>
      <c r="N122" s="332">
        <f t="shared" si="34"/>
        <v>0.43987541638278288</v>
      </c>
      <c r="O122" s="332">
        <f t="shared" si="34"/>
        <v>0.64544506446885042</v>
      </c>
      <c r="P122" s="332">
        <f t="shared" si="34"/>
        <v>0.85758323006384429</v>
      </c>
      <c r="Q122" s="332">
        <f t="shared" si="34"/>
        <v>0.99651627438680257</v>
      </c>
      <c r="R122" s="332">
        <f t="shared" si="34"/>
        <v>1.0778582496214528</v>
      </c>
      <c r="S122" s="332">
        <f t="shared" si="34"/>
        <v>1.2256868855957004</v>
      </c>
      <c r="T122" s="332">
        <f t="shared" si="34"/>
        <v>1.4431195475139411</v>
      </c>
      <c r="U122" s="332">
        <f t="shared" si="34"/>
        <v>1.644611165943948</v>
      </c>
      <c r="V122" s="332">
        <f t="shared" si="34"/>
        <v>1.8358959193916913</v>
      </c>
      <c r="W122" s="332">
        <f t="shared" si="34"/>
        <v>2.0181827303414748</v>
      </c>
      <c r="X122" s="332">
        <f t="shared" si="34"/>
        <v>2.1593472112141359</v>
      </c>
      <c r="Y122" s="332">
        <f t="shared" si="34"/>
        <v>2.2648216126972893</v>
      </c>
      <c r="Z122" s="332">
        <f t="shared" si="34"/>
        <v>2.3692063932953111</v>
      </c>
      <c r="AA122" s="332">
        <f t="shared" si="34"/>
        <v>2.4725117833234629</v>
      </c>
      <c r="AB122" s="332">
        <f t="shared" si="34"/>
        <v>2.5747476154362743</v>
      </c>
      <c r="AC122" s="332">
        <f t="shared" si="34"/>
        <v>2.6759233912636589</v>
      </c>
      <c r="AD122" s="332">
        <f t="shared" si="34"/>
        <v>2.776048332125558</v>
      </c>
      <c r="AE122" s="332">
        <f t="shared" si="34"/>
        <v>2.87513141814151</v>
      </c>
      <c r="AF122" s="333">
        <f t="shared" si="34"/>
        <v>2.9744268366961522</v>
      </c>
    </row>
    <row r="123" spans="1:32" s="301" customFormat="1">
      <c r="A123" s="561">
        <v>123</v>
      </c>
      <c r="C123" s="10"/>
      <c r="D123" s="29"/>
      <c r="E123" s="574" t="s">
        <v>24</v>
      </c>
      <c r="F123" s="578"/>
      <c r="G123" s="332">
        <f>G110</f>
        <v>0</v>
      </c>
      <c r="H123" s="332">
        <f t="shared" ref="H123:AF123" si="35">H110</f>
        <v>0</v>
      </c>
      <c r="I123" s="332">
        <f t="shared" si="35"/>
        <v>0</v>
      </c>
      <c r="J123" s="332">
        <f t="shared" si="35"/>
        <v>0</v>
      </c>
      <c r="K123" s="332">
        <f t="shared" si="35"/>
        <v>0</v>
      </c>
      <c r="L123" s="332">
        <f t="shared" si="35"/>
        <v>0.33926543412582211</v>
      </c>
      <c r="M123" s="332">
        <f t="shared" si="35"/>
        <v>1.0917868063780236</v>
      </c>
      <c r="N123" s="332">
        <f t="shared" si="35"/>
        <v>1.9923436763698676</v>
      </c>
      <c r="O123" s="332">
        <f t="shared" si="35"/>
        <v>2.6848309998443045</v>
      </c>
      <c r="P123" s="332">
        <f t="shared" si="35"/>
        <v>3.0028383284361975</v>
      </c>
      <c r="Q123" s="332">
        <f t="shared" si="35"/>
        <v>3.2246360473993163</v>
      </c>
      <c r="R123" s="332">
        <f t="shared" si="35"/>
        <v>3.4426775601796202</v>
      </c>
      <c r="S123" s="332">
        <f t="shared" si="35"/>
        <v>3.6717386752722274</v>
      </c>
      <c r="T123" s="332">
        <f t="shared" si="35"/>
        <v>4.3580755697719642</v>
      </c>
      <c r="U123" s="332">
        <f t="shared" si="35"/>
        <v>4.2499570594754408</v>
      </c>
      <c r="V123" s="332">
        <f t="shared" si="35"/>
        <v>4.5563678888121011</v>
      </c>
      <c r="W123" s="332">
        <f t="shared" si="35"/>
        <v>4.8628089100767147</v>
      </c>
      <c r="X123" s="332">
        <f t="shared" si="35"/>
        <v>5.1704660310896484</v>
      </c>
      <c r="Y123" s="332">
        <f t="shared" si="35"/>
        <v>5.478866484372694</v>
      </c>
      <c r="Z123" s="332">
        <f t="shared" si="35"/>
        <v>5.7855943607237439</v>
      </c>
      <c r="AA123" s="332">
        <f t="shared" si="35"/>
        <v>6.0892414424607537</v>
      </c>
      <c r="AB123" s="332">
        <f t="shared" si="35"/>
        <v>6.3889184215318613</v>
      </c>
      <c r="AC123" s="332">
        <f t="shared" si="35"/>
        <v>6.6840297810871432</v>
      </c>
      <c r="AD123" s="332">
        <f t="shared" si="35"/>
        <v>6.9741583438166916</v>
      </c>
      <c r="AE123" s="332">
        <f t="shared" si="35"/>
        <v>7.2590011650097335</v>
      </c>
      <c r="AF123" s="333">
        <f t="shared" si="35"/>
        <v>7.5441180967517631</v>
      </c>
    </row>
    <row r="124" spans="1:32" s="301" customFormat="1">
      <c r="A124" s="561">
        <v>124</v>
      </c>
      <c r="C124" s="10"/>
      <c r="D124" s="29"/>
      <c r="E124" s="574" t="s">
        <v>26</v>
      </c>
      <c r="F124" s="578"/>
      <c r="G124" s="332">
        <f t="shared" ref="G124:AF124" si="36">G111</f>
        <v>0</v>
      </c>
      <c r="H124" s="332">
        <f t="shared" si="36"/>
        <v>0</v>
      </c>
      <c r="I124" s="332">
        <f t="shared" si="36"/>
        <v>0</v>
      </c>
      <c r="J124" s="332">
        <f t="shared" si="36"/>
        <v>0</v>
      </c>
      <c r="K124" s="332">
        <f t="shared" si="36"/>
        <v>0</v>
      </c>
      <c r="L124" s="332">
        <f t="shared" si="36"/>
        <v>0.68519349688351627</v>
      </c>
      <c r="M124" s="332">
        <f t="shared" si="36"/>
        <v>1.6401606379583997</v>
      </c>
      <c r="N124" s="332">
        <f t="shared" si="36"/>
        <v>2.320538035737322</v>
      </c>
      <c r="O124" s="332">
        <f t="shared" si="36"/>
        <v>2.9910061316476497</v>
      </c>
      <c r="P124" s="332">
        <f t="shared" si="36"/>
        <v>3.5564616338227362</v>
      </c>
      <c r="Q124" s="332">
        <f t="shared" si="36"/>
        <v>3.9204079517598349</v>
      </c>
      <c r="R124" s="332">
        <f t="shared" si="36"/>
        <v>3.9676106193504852</v>
      </c>
      <c r="S124" s="332">
        <f t="shared" si="36"/>
        <v>3.9915372504567288</v>
      </c>
      <c r="T124" s="332">
        <f t="shared" si="36"/>
        <v>4.1005631293236666</v>
      </c>
      <c r="U124" s="332">
        <f t="shared" si="36"/>
        <v>4.0396485387484029</v>
      </c>
      <c r="V124" s="332">
        <f t="shared" si="36"/>
        <v>4.1153103015118369</v>
      </c>
      <c r="W124" s="332">
        <f t="shared" si="36"/>
        <v>3.9857332834491306</v>
      </c>
      <c r="X124" s="332">
        <f t="shared" si="36"/>
        <v>3.3078821584528511</v>
      </c>
      <c r="Y124" s="332">
        <f t="shared" si="36"/>
        <v>3.2278611104713111</v>
      </c>
      <c r="Z124" s="332">
        <f t="shared" si="36"/>
        <v>3.0417061886200107</v>
      </c>
      <c r="AA124" s="332">
        <f t="shared" si="36"/>
        <v>3.245740334713894</v>
      </c>
      <c r="AB124" s="332">
        <f t="shared" si="36"/>
        <v>3.5329568667166282</v>
      </c>
      <c r="AC124" s="332">
        <f t="shared" si="36"/>
        <v>3.8426566266403457</v>
      </c>
      <c r="AD124" s="332">
        <f t="shared" si="36"/>
        <v>4.1496709277778914</v>
      </c>
      <c r="AE124" s="332">
        <f t="shared" si="36"/>
        <v>4.1314868507655076</v>
      </c>
      <c r="AF124" s="333">
        <f t="shared" si="36"/>
        <v>4.173226503510592</v>
      </c>
    </row>
    <row r="125" spans="1:32" s="301" customFormat="1">
      <c r="A125" s="561">
        <v>125</v>
      </c>
      <c r="C125" s="10"/>
      <c r="D125" s="29"/>
      <c r="E125" s="576" t="s">
        <v>74</v>
      </c>
      <c r="F125" s="579"/>
      <c r="G125" s="309">
        <f t="shared" ref="G125:AF125" si="37">G112</f>
        <v>0</v>
      </c>
      <c r="H125" s="309">
        <f t="shared" si="37"/>
        <v>0</v>
      </c>
      <c r="I125" s="309">
        <f t="shared" si="37"/>
        <v>0</v>
      </c>
      <c r="J125" s="309">
        <f t="shared" si="37"/>
        <v>0</v>
      </c>
      <c r="K125" s="309">
        <f t="shared" si="37"/>
        <v>0</v>
      </c>
      <c r="L125" s="309">
        <f t="shared" si="37"/>
        <v>4.9676870018863978E-2</v>
      </c>
      <c r="M125" s="309">
        <f t="shared" si="37"/>
        <v>0.14383874341315595</v>
      </c>
      <c r="N125" s="309">
        <f t="shared" si="37"/>
        <v>0.2955444718546984</v>
      </c>
      <c r="O125" s="309">
        <f t="shared" si="37"/>
        <v>0.48328473586709264</v>
      </c>
      <c r="P125" s="309">
        <f t="shared" si="37"/>
        <v>0.80757311765457584</v>
      </c>
      <c r="Q125" s="309">
        <f t="shared" si="37"/>
        <v>1.1976680999851399</v>
      </c>
      <c r="R125" s="309">
        <f t="shared" si="37"/>
        <v>1.5749583996563103</v>
      </c>
      <c r="S125" s="309">
        <f t="shared" si="37"/>
        <v>1.9327983346296826</v>
      </c>
      <c r="T125" s="309">
        <f t="shared" si="37"/>
        <v>2.380930361402954</v>
      </c>
      <c r="U125" s="309">
        <f t="shared" si="37"/>
        <v>2.8732778094098697</v>
      </c>
      <c r="V125" s="309">
        <f t="shared" si="37"/>
        <v>3.3422379817594572</v>
      </c>
      <c r="W125" s="309">
        <f t="shared" si="37"/>
        <v>3.7907762053661087</v>
      </c>
      <c r="X125" s="309">
        <f t="shared" si="37"/>
        <v>4.0946773968230019</v>
      </c>
      <c r="Y125" s="309">
        <f t="shared" si="37"/>
        <v>4.2575963501382343</v>
      </c>
      <c r="Z125" s="309">
        <f t="shared" si="37"/>
        <v>4.416222925111958</v>
      </c>
      <c r="AA125" s="309">
        <f t="shared" si="37"/>
        <v>4.5706950561923287</v>
      </c>
      <c r="AB125" s="309">
        <f t="shared" si="37"/>
        <v>4.7212634055410252</v>
      </c>
      <c r="AC125" s="309">
        <f t="shared" si="37"/>
        <v>4.8679398804184961</v>
      </c>
      <c r="AD125" s="309">
        <f t="shared" si="37"/>
        <v>5.010585098678094</v>
      </c>
      <c r="AE125" s="309">
        <f t="shared" si="37"/>
        <v>5.1493392283866584</v>
      </c>
      <c r="AF125" s="56">
        <f t="shared" si="37"/>
        <v>5.2832324621940776</v>
      </c>
    </row>
    <row r="126" spans="1:32" s="301" customFormat="1">
      <c r="A126" s="561">
        <v>126</v>
      </c>
      <c r="C126" s="10"/>
      <c r="D126" s="29"/>
      <c r="E126" s="29"/>
      <c r="F126" s="36"/>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row>
    <row r="127" spans="1:32" s="301" customFormat="1">
      <c r="A127" s="561">
        <v>127</v>
      </c>
      <c r="C127" s="10"/>
      <c r="D127" s="29"/>
      <c r="E127" s="29"/>
      <c r="F127" s="36"/>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331"/>
      <c r="AE127" s="331"/>
      <c r="AF127" s="331"/>
    </row>
    <row r="128" spans="1:32" s="301" customFormat="1">
      <c r="A128" s="561">
        <v>128</v>
      </c>
      <c r="C128" s="10"/>
      <c r="D128" s="29"/>
      <c r="E128" s="29"/>
      <c r="F128" s="36"/>
      <c r="G128" s="331"/>
      <c r="H128" s="331"/>
      <c r="I128" s="58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331"/>
    </row>
    <row r="129" spans="1:35" s="301" customFormat="1">
      <c r="A129" s="561">
        <v>129</v>
      </c>
      <c r="C129" s="10"/>
      <c r="D129" s="29"/>
      <c r="E129" s="29"/>
      <c r="F129" s="36"/>
      <c r="G129" s="331"/>
      <c r="H129" s="331"/>
      <c r="I129" s="58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row>
    <row r="130" spans="1:35" s="301" customFormat="1">
      <c r="A130" s="561">
        <v>130</v>
      </c>
      <c r="C130" s="10"/>
      <c r="D130" s="29"/>
      <c r="E130" s="29"/>
      <c r="F130" s="199" t="s">
        <v>690</v>
      </c>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row>
    <row r="131" spans="1:35" s="301" customFormat="1">
      <c r="A131" s="561">
        <v>131</v>
      </c>
      <c r="C131" s="10"/>
      <c r="D131" s="29"/>
      <c r="E131" s="568"/>
      <c r="F131" s="569"/>
      <c r="G131" s="570">
        <v>2010</v>
      </c>
      <c r="H131" s="570">
        <v>2011</v>
      </c>
      <c r="I131" s="570">
        <v>2012</v>
      </c>
      <c r="J131" s="570">
        <v>2013</v>
      </c>
      <c r="K131" s="570">
        <v>2014</v>
      </c>
      <c r="L131" s="570">
        <v>2015</v>
      </c>
      <c r="M131" s="570">
        <v>2016</v>
      </c>
      <c r="N131" s="570">
        <v>2017</v>
      </c>
      <c r="O131" s="570">
        <v>2018</v>
      </c>
      <c r="P131" s="570">
        <v>2019</v>
      </c>
      <c r="Q131" s="570">
        <v>2020</v>
      </c>
      <c r="R131" s="570">
        <v>2021</v>
      </c>
      <c r="S131" s="570">
        <v>2022</v>
      </c>
      <c r="T131" s="570">
        <v>2023</v>
      </c>
      <c r="U131" s="570">
        <v>2024</v>
      </c>
      <c r="V131" s="570">
        <v>2025</v>
      </c>
      <c r="W131" s="570">
        <v>2026</v>
      </c>
      <c r="X131" s="570">
        <v>2027</v>
      </c>
      <c r="Y131" s="570">
        <v>2028</v>
      </c>
      <c r="Z131" s="570">
        <v>2029</v>
      </c>
      <c r="AA131" s="570">
        <v>2030</v>
      </c>
      <c r="AB131" s="570">
        <v>2031</v>
      </c>
      <c r="AC131" s="570">
        <v>2032</v>
      </c>
      <c r="AD131" s="570">
        <v>2033</v>
      </c>
      <c r="AE131" s="570">
        <v>2034</v>
      </c>
      <c r="AF131" s="571">
        <v>2035</v>
      </c>
      <c r="AH131" s="301" t="s">
        <v>632</v>
      </c>
      <c r="AI131" s="10"/>
    </row>
    <row r="132" spans="1:35" s="301" customFormat="1">
      <c r="A132" s="561">
        <v>132</v>
      </c>
      <c r="C132" s="10"/>
      <c r="D132" s="29"/>
      <c r="E132" s="572" t="s">
        <v>391</v>
      </c>
      <c r="F132" s="573" t="s">
        <v>387</v>
      </c>
      <c r="G132" s="323">
        <f>IF(ControlPanel!$T$5="nominal",G116,G86)</f>
        <v>0.54889440999999994</v>
      </c>
      <c r="H132" s="323">
        <f>IF(ControlPanel!$T$5="nominal",H116,H86)</f>
        <v>0.18980264099999999</v>
      </c>
      <c r="I132" s="323">
        <f>IF(ControlPanel!$T$5="nominal",I116,I86)</f>
        <v>0.48820272557425998</v>
      </c>
      <c r="J132" s="323">
        <f>IF(ControlPanel!$T$5="nominal",J116,J86)</f>
        <v>0.61301588725074996</v>
      </c>
      <c r="K132" s="323">
        <f>IF(ControlPanel!$T$5="nominal",K116,K86)</f>
        <v>0.60642435829859997</v>
      </c>
      <c r="L132" s="323">
        <f>IF(ControlPanel!$T$5="nominal",L116,L86)</f>
        <v>0.73447194826254969</v>
      </c>
      <c r="M132" s="323">
        <f>IF(ControlPanel!$T$5="nominal",M116,M86)</f>
        <v>0.73447194826254969</v>
      </c>
      <c r="N132" s="323">
        <f>IF(ControlPanel!$T$5="nominal",N116,N86)</f>
        <v>0.73447194826254969</v>
      </c>
      <c r="O132" s="323">
        <f>IF(ControlPanel!$T$5="nominal",O116,O86)</f>
        <v>0.73447194826254969</v>
      </c>
      <c r="P132" s="323">
        <f>IF(ControlPanel!$T$5="nominal",P116,P86)</f>
        <v>0.73447194826254969</v>
      </c>
      <c r="Q132" s="323">
        <f>IF(ControlPanel!$T$5="nominal",Q116,Q86)</f>
        <v>0.73447194826254969</v>
      </c>
      <c r="R132" s="323">
        <f>IF(ControlPanel!$T$5="nominal",R116,R86)</f>
        <v>0.71244427810650712</v>
      </c>
      <c r="S132" s="323">
        <f>IF(ControlPanel!$T$5="nominal",S116,S86)</f>
        <v>0.70503788340212292</v>
      </c>
      <c r="T132" s="323">
        <f>IF(ControlPanel!$T$5="nominal",T116,T86)</f>
        <v>0.68617481858120644</v>
      </c>
      <c r="U132" s="323">
        <f>IF(ControlPanel!$T$5="nominal",U116,U86)</f>
        <v>0.66466866205843744</v>
      </c>
      <c r="V132" s="323">
        <f>IF(ControlPanel!$T$5="nominal",V116,V86)</f>
        <v>0.64463301785603477</v>
      </c>
      <c r="W132" s="323">
        <f>IF(ControlPanel!$T$5="nominal",W116,W86)</f>
        <v>0.64237580865388666</v>
      </c>
      <c r="X132" s="323">
        <f>IF(ControlPanel!$T$5="nominal",X116,X86)</f>
        <v>0.64055530761048152</v>
      </c>
      <c r="Y132" s="323">
        <f>IF(ControlPanel!$T$5="nominal",Y116,Y86)</f>
        <v>0.64028073158224885</v>
      </c>
      <c r="Z132" s="323">
        <f>IF(ControlPanel!$T$5="nominal",Z116,Z86)</f>
        <v>0.64005216266779397</v>
      </c>
      <c r="AA132" s="323">
        <f>IF(ControlPanel!$T$5="nominal",AA116,AA86)</f>
        <v>0.58105307518943095</v>
      </c>
      <c r="AB132" s="323">
        <f>IF(ControlPanel!$T$5="nominal",AB116,AB86)</f>
        <v>0.54378836761166227</v>
      </c>
      <c r="AC132" s="323">
        <f>IF(ControlPanel!$T$5="nominal",AC116,AC86)</f>
        <v>0.50896570919824857</v>
      </c>
      <c r="AD132" s="323">
        <f>IF(ControlPanel!$T$5="nominal",AD116,AD86)</f>
        <v>0.47192068473533527</v>
      </c>
      <c r="AE132" s="323">
        <f>IF(ControlPanel!$T$5="nominal",AE116,AE86)</f>
        <v>0.40858053479627798</v>
      </c>
      <c r="AF132" s="324">
        <f>IF(ControlPanel!$T$5="nominal",AF116,AF86)</f>
        <v>0.39783057582039583</v>
      </c>
      <c r="AH132" s="301" t="s">
        <v>632</v>
      </c>
    </row>
    <row r="133" spans="1:35" s="301" customFormat="1">
      <c r="A133" s="561">
        <v>133</v>
      </c>
      <c r="C133" s="10"/>
      <c r="D133" s="29"/>
      <c r="E133" s="574" t="s">
        <v>13</v>
      </c>
      <c r="F133" s="575" t="s">
        <v>387</v>
      </c>
      <c r="G133" s="332">
        <f>IF(ControlPanel!$T$5="nominal",G117,G87)</f>
        <v>3.9508552799999999</v>
      </c>
      <c r="H133" s="332">
        <f>IF(ControlPanel!$T$5="nominal",H117,H87)</f>
        <v>4.2497729089999998</v>
      </c>
      <c r="I133" s="332">
        <f>IF(ControlPanel!$T$5="nominal",I117,I87)</f>
        <v>5.0895666185599993</v>
      </c>
      <c r="J133" s="332">
        <f>IF(ControlPanel!$T$5="nominal",J117,J87)</f>
        <v>6.0503774180499983</v>
      </c>
      <c r="K133" s="332">
        <f>IF(ControlPanel!$T$5="nominal",K117,K87)</f>
        <v>6.4394082612499988</v>
      </c>
      <c r="L133" s="332">
        <f>IF(ControlPanel!$T$5="nominal",L117,L87)</f>
        <v>7.2822097617115737</v>
      </c>
      <c r="M133" s="332">
        <f>IF(ControlPanel!$T$5="nominal",M117,M87)</f>
        <v>7.2822097617115746</v>
      </c>
      <c r="N133" s="332">
        <f>IF(ControlPanel!$T$5="nominal",N117,N87)</f>
        <v>7.2822097617115737</v>
      </c>
      <c r="O133" s="332">
        <f>IF(ControlPanel!$T$5="nominal",O117,O87)</f>
        <v>7.2822097617115737</v>
      </c>
      <c r="P133" s="332">
        <f>IF(ControlPanel!$T$5="nominal",P117,P87)</f>
        <v>7.2822097617115737</v>
      </c>
      <c r="Q133" s="332">
        <f>IF(ControlPanel!$T$5="nominal",Q117,Q87)</f>
        <v>7.2822097617115737</v>
      </c>
      <c r="R133" s="332">
        <f>IF(ControlPanel!$T$5="nominal",R117,R87)</f>
        <v>7.1835599193497597</v>
      </c>
      <c r="S133" s="332">
        <f>IF(ControlPanel!$T$5="nominal",S117,S87)</f>
        <v>7.0063821479103723</v>
      </c>
      <c r="T133" s="332">
        <f>IF(ControlPanel!$T$5="nominal",T117,T87)</f>
        <v>6.8884682715222976</v>
      </c>
      <c r="U133" s="332">
        <f>IF(ControlPanel!$T$5="nominal",U117,U87)</f>
        <v>6.7127656435478666</v>
      </c>
      <c r="V133" s="332">
        <f>IF(ControlPanel!$T$5="nominal",V117,V87)</f>
        <v>6.2423181166542427</v>
      </c>
      <c r="W133" s="332">
        <f>IF(ControlPanel!$T$5="nominal",W117,W87)</f>
        <v>5.4761455165830508</v>
      </c>
      <c r="X133" s="332">
        <f>IF(ControlPanel!$T$5="nominal",X117,X87)</f>
        <v>4.5511637155272862</v>
      </c>
      <c r="Y133" s="332">
        <f>IF(ControlPanel!$T$5="nominal",Y117,Y87)</f>
        <v>3.8293232180234988</v>
      </c>
      <c r="Z133" s="332">
        <f>IF(ControlPanel!$T$5="nominal",Z117,Z87)</f>
        <v>3.4436416618349535</v>
      </c>
      <c r="AA133" s="332">
        <f>IF(ControlPanel!$T$5="nominal",AA117,AA87)</f>
        <v>2.9305329049374462</v>
      </c>
      <c r="AB133" s="332">
        <f>IF(ControlPanel!$T$5="nominal",AB117,AB87)</f>
        <v>2.1644259699180277</v>
      </c>
      <c r="AC133" s="332">
        <f>IF(ControlPanel!$T$5="nominal",AC117,AC87)</f>
        <v>0.89513810954450024</v>
      </c>
      <c r="AD133" s="332">
        <f>IF(ControlPanel!$T$5="nominal",AD117,AD87)</f>
        <v>0.51884364039180542</v>
      </c>
      <c r="AE133" s="332">
        <f>IF(ControlPanel!$T$5="nominal",AE117,AE87)</f>
        <v>0.23001388790139352</v>
      </c>
      <c r="AF133" s="333">
        <f>IF(ControlPanel!$T$5="nominal",AF117,AF87)</f>
        <v>0</v>
      </c>
      <c r="AH133" s="301" t="s">
        <v>632</v>
      </c>
    </row>
    <row r="134" spans="1:35" s="301" customFormat="1">
      <c r="A134" s="561">
        <v>134</v>
      </c>
      <c r="C134" s="10"/>
      <c r="D134" s="29"/>
      <c r="E134" s="574" t="s">
        <v>24</v>
      </c>
      <c r="F134" s="575" t="s">
        <v>387</v>
      </c>
      <c r="G134" s="332">
        <f>IF(ControlPanel!$T$5="nominal",G118,G88)</f>
        <v>4.1869800800000005</v>
      </c>
      <c r="H134" s="332">
        <f>IF(ControlPanel!$T$5="nominal",H118,H88)</f>
        <v>4.4946196810000005</v>
      </c>
      <c r="I134" s="332">
        <f>IF(ControlPanel!$T$5="nominal",I118,I88)</f>
        <v>4.3533828439027991</v>
      </c>
      <c r="J134" s="332">
        <f>IF(ControlPanel!$T$5="nominal",J118,J88)</f>
        <v>5.3593675109834491</v>
      </c>
      <c r="K134" s="332">
        <f>IF(ControlPanel!$T$5="nominal",K118,K88)</f>
        <v>6.1037070259736002</v>
      </c>
      <c r="L134" s="332">
        <f>IF(ControlPanel!$T$5="nominal",L118,L88)</f>
        <v>5.9080181485994006</v>
      </c>
      <c r="M134" s="332">
        <f>IF(ControlPanel!$T$5="nominal",M118,M88)</f>
        <v>5.8559783800617975</v>
      </c>
      <c r="N134" s="332">
        <f>IF(ControlPanel!$T$5="nominal",N118,N88)</f>
        <v>5.7958207532086137</v>
      </c>
      <c r="O134" s="332">
        <f>IF(ControlPanel!$T$5="nominal",O118,O88)</f>
        <v>5.7206040650143537</v>
      </c>
      <c r="P134" s="332">
        <f>IF(ControlPanel!$T$5="nominal",P118,P88)</f>
        <v>5.5391983038891324</v>
      </c>
      <c r="Q134" s="332">
        <f>IF(ControlPanel!$T$5="nominal",Q118,Q88)</f>
        <v>5.3450702699699582</v>
      </c>
      <c r="R134" s="332">
        <f>IF(ControlPanel!$T$5="nominal",R118,R88)</f>
        <v>5.0040482709215501</v>
      </c>
      <c r="S134" s="332">
        <f>IF(ControlPanel!$T$5="nominal",S118,S88)</f>
        <v>4.5933769461465612</v>
      </c>
      <c r="T134" s="332">
        <f>IF(ControlPanel!$T$5="nominal",T118,T88)</f>
        <v>4.1397134228611003</v>
      </c>
      <c r="U134" s="332">
        <f>IF(ControlPanel!$T$5="nominal",U118,U88)</f>
        <v>3.7472829262103087</v>
      </c>
      <c r="V134" s="332">
        <f>IF(ControlPanel!$T$5="nominal",V118,V88)</f>
        <v>3.4352475905939217</v>
      </c>
      <c r="W134" s="332">
        <f>IF(ControlPanel!$T$5="nominal",W118,W88)</f>
        <v>3.1723216082086347</v>
      </c>
      <c r="X134" s="332">
        <f>IF(ControlPanel!$T$5="nominal",X118,X88)</f>
        <v>2.9186027412083968</v>
      </c>
      <c r="Y134" s="332">
        <f>IF(ControlPanel!$T$5="nominal",Y118,Y88)</f>
        <v>2.5442182293103834</v>
      </c>
      <c r="Z134" s="332">
        <f>IF(ControlPanel!$T$5="nominal",Z118,Z88)</f>
        <v>2.3488502345062381</v>
      </c>
      <c r="AA134" s="332">
        <f>IF(ControlPanel!$T$5="nominal",AA118,AA88)</f>
        <v>1.9616616738554147</v>
      </c>
      <c r="AB134" s="332">
        <f>IF(ControlPanel!$T$5="nominal",AB118,AB88)</f>
        <v>1.6397653312195617</v>
      </c>
      <c r="AC134" s="332">
        <f>IF(ControlPanel!$T$5="nominal",AC118,AC88)</f>
        <v>1.2122219074373628</v>
      </c>
      <c r="AD134" s="332">
        <f>IF(ControlPanel!$T$5="nominal",AD118,AD88)</f>
        <v>0.62948449664969264</v>
      </c>
      <c r="AE134" s="332">
        <f>IF(ControlPanel!$T$5="nominal",AE118,AE88)</f>
        <v>0.38775441579484493</v>
      </c>
      <c r="AF134" s="333">
        <f>IF(ControlPanel!$T$5="nominal",AF118,AF88)</f>
        <v>0</v>
      </c>
      <c r="AH134" s="301" t="s">
        <v>632</v>
      </c>
    </row>
    <row r="135" spans="1:35" s="301" customFormat="1">
      <c r="A135" s="561">
        <v>135</v>
      </c>
      <c r="C135" s="10"/>
      <c r="D135" s="29"/>
      <c r="E135" s="574" t="s">
        <v>26</v>
      </c>
      <c r="F135" s="575" t="s">
        <v>387</v>
      </c>
      <c r="G135" s="332">
        <f>IF(ControlPanel!$T$5="nominal",G119,G89)</f>
        <v>9.8100000000000007E-2</v>
      </c>
      <c r="H135" s="332">
        <f>IF(ControlPanel!$T$5="nominal",H119,H89)</f>
        <v>0.17201868399999998</v>
      </c>
      <c r="I135" s="332">
        <f>IF(ControlPanel!$T$5="nominal",I119,I89)</f>
        <v>0.21721885938639998</v>
      </c>
      <c r="J135" s="332">
        <f>IF(ControlPanel!$T$5="nominal",J119,J89)</f>
        <v>0.47161680655509991</v>
      </c>
      <c r="K135" s="332">
        <f>IF(ControlPanel!$T$5="nominal",K119,K89)</f>
        <v>1.4138436736538</v>
      </c>
      <c r="L135" s="332">
        <f>IF(ControlPanel!$T$5="nominal",L119,L89)</f>
        <v>0.60356357547678685</v>
      </c>
      <c r="M135" s="332">
        <f>IF(ControlPanel!$T$5="nominal",M119,M89)</f>
        <v>0.60356357547678685</v>
      </c>
      <c r="N135" s="332">
        <f>IF(ControlPanel!$T$5="nominal",N119,N89)</f>
        <v>0.60356357547678685</v>
      </c>
      <c r="O135" s="332">
        <f>IF(ControlPanel!$T$5="nominal",O119,O89)</f>
        <v>0.60356357547678685</v>
      </c>
      <c r="P135" s="332">
        <f>IF(ControlPanel!$T$5="nominal",P119,P89)</f>
        <v>0.60356357547678685</v>
      </c>
      <c r="Q135" s="332">
        <f>IF(ControlPanel!$T$5="nominal",Q119,Q89)</f>
        <v>0.60356357547678685</v>
      </c>
      <c r="R135" s="332">
        <f>IF(ControlPanel!$T$5="nominal",R119,R89)</f>
        <v>0.59254805064153393</v>
      </c>
      <c r="S135" s="332">
        <f>IF(ControlPanel!$T$5="nominal",S119,S89)</f>
        <v>0.56103308229646875</v>
      </c>
      <c r="T135" s="332">
        <f>IF(ControlPanel!$T$5="nominal",T119,T89)</f>
        <v>0.49277975552190662</v>
      </c>
      <c r="U135" s="332">
        <f>IF(ControlPanel!$T$5="nominal",U119,U89)</f>
        <v>0.46000856913702937</v>
      </c>
      <c r="V135" s="332">
        <f>IF(ControlPanel!$T$5="nominal",V119,V89)</f>
        <v>0.35126853272283842</v>
      </c>
      <c r="W135" s="332">
        <f>IF(ControlPanel!$T$5="nominal",W119,W89)</f>
        <v>0.15540393694483204</v>
      </c>
      <c r="X135" s="332">
        <f>IF(ControlPanel!$T$5="nominal",X119,X89)</f>
        <v>0.10890415353008552</v>
      </c>
      <c r="Y135" s="332">
        <f>IF(ControlPanel!$T$5="nominal",Y119,Y89)</f>
        <v>0.10880177353992368</v>
      </c>
      <c r="Z135" s="332">
        <f>IF(ControlPanel!$T$5="nominal",Z119,Z89)</f>
        <v>0.10865322218164962</v>
      </c>
      <c r="AA135" s="332">
        <f>IF(ControlPanel!$T$5="nominal",AA119,AA89)</f>
        <v>0.1045481204783134</v>
      </c>
      <c r="AB135" s="332">
        <f>IF(ControlPanel!$T$5="nominal",AB119,AB89)</f>
        <v>9.8851901663614142E-2</v>
      </c>
      <c r="AC135" s="332">
        <f>IF(ControlPanel!$T$5="nominal",AC119,AC89)</f>
        <v>8.5362751275515861E-2</v>
      </c>
      <c r="AD135" s="332">
        <f>IF(ControlPanel!$T$5="nominal",AD119,AD89)</f>
        <v>7.5324521014464643E-2</v>
      </c>
      <c r="AE135" s="332">
        <f>IF(ControlPanel!$T$5="nominal",AE119,AE89)</f>
        <v>4.6121585919529411E-2</v>
      </c>
      <c r="AF135" s="333">
        <f>IF(ControlPanel!$T$5="nominal",AF119,AF89)</f>
        <v>0</v>
      </c>
      <c r="AH135" s="301" t="s">
        <v>632</v>
      </c>
    </row>
    <row r="136" spans="1:35" s="301" customFormat="1">
      <c r="A136" s="561">
        <v>136</v>
      </c>
      <c r="C136" s="10"/>
      <c r="D136" s="29"/>
      <c r="E136" s="576" t="s">
        <v>74</v>
      </c>
      <c r="F136" s="577" t="s">
        <v>387</v>
      </c>
      <c r="G136" s="309">
        <f>IF(ControlPanel!$T$5="nominal",G120,G90)</f>
        <v>3.8826109599999996</v>
      </c>
      <c r="H136" s="309">
        <f>IF(ControlPanel!$T$5="nominal",H120,H90)</f>
        <v>8.0206210149999997</v>
      </c>
      <c r="I136" s="309">
        <f>IF(ControlPanel!$T$5="nominal",I120,I90)</f>
        <v>8.7892939436962809</v>
      </c>
      <c r="J136" s="309">
        <f>IF(ControlPanel!$T$5="nominal",J120,J90)</f>
        <v>10.302513792381449</v>
      </c>
      <c r="K136" s="309">
        <f>IF(ControlPanel!$T$5="nominal",K120,K90)</f>
        <v>10.72971006440835</v>
      </c>
      <c r="L136" s="309">
        <f>IF(ControlPanel!$T$5="nominal",L120,L90)</f>
        <v>10.908026153270542</v>
      </c>
      <c r="M136" s="309">
        <f>IF(ControlPanel!$T$5="nominal",M120,M90)</f>
        <v>10.908026153270542</v>
      </c>
      <c r="N136" s="309">
        <f>IF(ControlPanel!$T$5="nominal",N120,N90)</f>
        <v>10.908026153270542</v>
      </c>
      <c r="O136" s="309">
        <f>IF(ControlPanel!$T$5="nominal",O120,O90)</f>
        <v>10.908026153270542</v>
      </c>
      <c r="P136" s="309">
        <f>IF(ControlPanel!$T$5="nominal",P120,P90)</f>
        <v>10.908026153270542</v>
      </c>
      <c r="Q136" s="309">
        <f>IF(ControlPanel!$T$5="nominal",Q120,Q90)</f>
        <v>10.908026153270542</v>
      </c>
      <c r="R136" s="309">
        <f>IF(ControlPanel!$T$5="nominal",R120,R90)</f>
        <v>10.86119713155138</v>
      </c>
      <c r="S136" s="309">
        <f>IF(ControlPanel!$T$5="nominal",S120,S90)</f>
        <v>10.811821691314007</v>
      </c>
      <c r="T136" s="309">
        <f>IF(ControlPanel!$T$5="nominal",T120,T90)</f>
        <v>10.762723491319454</v>
      </c>
      <c r="U136" s="309">
        <f>IF(ControlPanel!$T$5="nominal",U120,U90)</f>
        <v>10.700911781188493</v>
      </c>
      <c r="V136" s="309">
        <f>IF(ControlPanel!$T$5="nominal",V120,V90)</f>
        <v>10.350049468665192</v>
      </c>
      <c r="W136" s="309">
        <f>IF(ControlPanel!$T$5="nominal",W120,W90)</f>
        <v>9.8807645450106261</v>
      </c>
      <c r="X136" s="309">
        <f>IF(ControlPanel!$T$5="nominal",X120,X90)</f>
        <v>9.4713339193349313</v>
      </c>
      <c r="Y136" s="309">
        <f>IF(ControlPanel!$T$5="nominal",Y120,Y90)</f>
        <v>8.8991898717387148</v>
      </c>
      <c r="Z136" s="309">
        <f>IF(ControlPanel!$T$5="nominal",Z120,Z90)</f>
        <v>8.0374772613756083</v>
      </c>
      <c r="AA136" s="309">
        <f>IF(ControlPanel!$T$5="nominal",AA120,AA90)</f>
        <v>6.2929346397361767</v>
      </c>
      <c r="AB136" s="309">
        <f>IF(ControlPanel!$T$5="nominal",AB120,AB90)</f>
        <v>3.7425659024949907</v>
      </c>
      <c r="AC136" s="309">
        <f>IF(ControlPanel!$T$5="nominal",AC120,AC90)</f>
        <v>1.7293195011654334</v>
      </c>
      <c r="AD136" s="309">
        <f>IF(ControlPanel!$T$5="nominal",AD120,AD90)</f>
        <v>0.49607269647010133</v>
      </c>
      <c r="AE136" s="309">
        <f>IF(ControlPanel!$T$5="nominal",AE120,AE90)</f>
        <v>0.15176649063590028</v>
      </c>
      <c r="AF136" s="56">
        <f>IF(ControlPanel!$T$5="nominal",AF120,AF90)</f>
        <v>0</v>
      </c>
      <c r="AH136" s="301" t="s">
        <v>632</v>
      </c>
    </row>
    <row r="137" spans="1:35" s="301" customFormat="1">
      <c r="A137" s="561">
        <v>137</v>
      </c>
      <c r="C137" s="10"/>
      <c r="D137" s="29"/>
      <c r="E137" s="574" t="s">
        <v>391</v>
      </c>
      <c r="F137" s="575"/>
      <c r="G137" s="332">
        <f>IF(ControlPanel!$T$5="nominal",G121,G91)</f>
        <v>0</v>
      </c>
      <c r="H137" s="332">
        <f>IF(ControlPanel!$T$5="nominal",H121,H91)</f>
        <v>0</v>
      </c>
      <c r="I137" s="332">
        <f>IF(ControlPanel!$T$5="nominal",I121,I91)</f>
        <v>0</v>
      </c>
      <c r="J137" s="332">
        <f>IF(ControlPanel!$T$5="nominal",J121,J91)</f>
        <v>0</v>
      </c>
      <c r="K137" s="332">
        <f>IF(ControlPanel!$T$5="nominal",K121,K91)</f>
        <v>0</v>
      </c>
      <c r="L137" s="332">
        <f>IF(ControlPanel!$T$5="nominal",L121,L91)</f>
        <v>6.5067945229896187E-2</v>
      </c>
      <c r="M137" s="332">
        <f>IF(ControlPanel!$T$5="nominal",M121,M91)</f>
        <v>0.13765303124724995</v>
      </c>
      <c r="N137" s="332">
        <f>IF(ControlPanel!$T$5="nominal",N121,N91)</f>
        <v>0.1480174064837885</v>
      </c>
      <c r="O137" s="332">
        <f>IF(ControlPanel!$T$5="nominal",O121,O91)</f>
        <v>0.15850097830696519</v>
      </c>
      <c r="P137" s="332">
        <f>IF(ControlPanel!$T$5="nominal",P121,P91)</f>
        <v>0.17301269650249701</v>
      </c>
      <c r="Q137" s="332">
        <f>IF(ControlPanel!$T$5="nominal",Q121,Q91)</f>
        <v>0.18599939210303459</v>
      </c>
      <c r="R137" s="332">
        <f>IF(ControlPanel!$T$5="nominal",R121,R91)</f>
        <v>0.20114838543503077</v>
      </c>
      <c r="S137" s="332">
        <f>IF(ControlPanel!$T$5="nominal",S121,S91)</f>
        <v>0.22839657196948437</v>
      </c>
      <c r="T137" s="332">
        <f>IF(ControlPanel!$T$5="nominal",T121,T91)</f>
        <v>0.27514293359699987</v>
      </c>
      <c r="U137" s="332">
        <f>IF(ControlPanel!$T$5="nominal",U121,U91)</f>
        <v>0.2983337700352513</v>
      </c>
      <c r="V137" s="332">
        <f>IF(ControlPanel!$T$5="nominal",V121,V91)</f>
        <v>0.33611316999264312</v>
      </c>
      <c r="W137" s="332">
        <f>IF(ControlPanel!$T$5="nominal",W121,W91)</f>
        <v>0.3750369079793171</v>
      </c>
      <c r="X137" s="332">
        <f>IF(ControlPanel!$T$5="nominal",X121,X91)</f>
        <v>0.40235463186436238</v>
      </c>
      <c r="Y137" s="332">
        <f>IF(ControlPanel!$T$5="nominal",Y121,Y91)</f>
        <v>0.41681700364169016</v>
      </c>
      <c r="Z137" s="332">
        <f>IF(ControlPanel!$T$5="nominal",Z121,Z91)</f>
        <v>0.43084288663296966</v>
      </c>
      <c r="AA137" s="332">
        <f>IF(ControlPanel!$T$5="nominal",AA121,AA91)</f>
        <v>0.44456578428252846</v>
      </c>
      <c r="AB137" s="332">
        <f>IF(ControlPanel!$T$5="nominal",AB121,AB91)</f>
        <v>0.45787838329080371</v>
      </c>
      <c r="AC137" s="332">
        <f>IF(ControlPanel!$T$5="nominal",AC121,AC91)</f>
        <v>0.47063459930599527</v>
      </c>
      <c r="AD137" s="332">
        <f>IF(ControlPanel!$T$5="nominal",AD121,AD91)</f>
        <v>0.4830007238069069</v>
      </c>
      <c r="AE137" s="332">
        <f>IF(ControlPanel!$T$5="nominal",AE121,AE91)</f>
        <v>0.49499228127342199</v>
      </c>
      <c r="AF137" s="333">
        <f>IF(ControlPanel!$T$5="nominal",AF121,AF91)</f>
        <v>0.5066239490045148</v>
      </c>
      <c r="AH137" s="301" t="s">
        <v>632</v>
      </c>
    </row>
    <row r="138" spans="1:35" s="301" customFormat="1">
      <c r="A138" s="561">
        <v>138</v>
      </c>
      <c r="C138" s="10"/>
      <c r="D138" s="29"/>
      <c r="E138" s="574" t="s">
        <v>13</v>
      </c>
      <c r="F138" s="575"/>
      <c r="G138" s="332">
        <f>IF(ControlPanel!$T$5="nominal",G122,G92)</f>
        <v>0</v>
      </c>
      <c r="H138" s="332">
        <f>IF(ControlPanel!$T$5="nominal",H122,H92)</f>
        <v>0</v>
      </c>
      <c r="I138" s="332">
        <f>IF(ControlPanel!$T$5="nominal",I122,I92)</f>
        <v>0</v>
      </c>
      <c r="J138" s="332">
        <f>IF(ControlPanel!$T$5="nominal",J122,J92)</f>
        <v>0</v>
      </c>
      <c r="K138" s="332">
        <f>IF(ControlPanel!$T$5="nominal",K122,K92)</f>
        <v>0</v>
      </c>
      <c r="L138" s="332">
        <f>IF(ControlPanel!$T$5="nominal",L122,L92)</f>
        <v>0.10396441189220842</v>
      </c>
      <c r="M138" s="332">
        <f>IF(ControlPanel!$T$5="nominal",M122,M92)</f>
        <v>0.2813361084899732</v>
      </c>
      <c r="N138" s="332">
        <f>IF(ControlPanel!$T$5="nominal",N122,N92)</f>
        <v>0.43987541638278288</v>
      </c>
      <c r="O138" s="332">
        <f>IF(ControlPanel!$T$5="nominal",O122,O92)</f>
        <v>0.64544506446885042</v>
      </c>
      <c r="P138" s="332">
        <f>IF(ControlPanel!$T$5="nominal",P122,P92)</f>
        <v>0.85758323006384429</v>
      </c>
      <c r="Q138" s="332">
        <f>IF(ControlPanel!$T$5="nominal",Q122,Q92)</f>
        <v>0.99651627438680257</v>
      </c>
      <c r="R138" s="332">
        <f>IF(ControlPanel!$T$5="nominal",R122,R92)</f>
        <v>1.0778582496214528</v>
      </c>
      <c r="S138" s="332">
        <f>IF(ControlPanel!$T$5="nominal",S122,S92)</f>
        <v>1.2256868855957004</v>
      </c>
      <c r="T138" s="332">
        <f>IF(ControlPanel!$T$5="nominal",T122,T92)</f>
        <v>1.4431195475139411</v>
      </c>
      <c r="U138" s="332">
        <f>IF(ControlPanel!$T$5="nominal",U122,U92)</f>
        <v>1.644611165943948</v>
      </c>
      <c r="V138" s="332">
        <f>IF(ControlPanel!$T$5="nominal",V122,V92)</f>
        <v>1.8358959193916913</v>
      </c>
      <c r="W138" s="332">
        <f>IF(ControlPanel!$T$5="nominal",W122,W92)</f>
        <v>2.0181827303414748</v>
      </c>
      <c r="X138" s="332">
        <f>IF(ControlPanel!$T$5="nominal",X122,X92)</f>
        <v>2.1593472112141359</v>
      </c>
      <c r="Y138" s="332">
        <f>IF(ControlPanel!$T$5="nominal",Y122,Y92)</f>
        <v>2.2648216126972893</v>
      </c>
      <c r="Z138" s="332">
        <f>IF(ControlPanel!$T$5="nominal",Z122,Z92)</f>
        <v>2.3692063932953111</v>
      </c>
      <c r="AA138" s="332">
        <f>IF(ControlPanel!$T$5="nominal",AA122,AA92)</f>
        <v>2.4725117833234629</v>
      </c>
      <c r="AB138" s="332">
        <f>IF(ControlPanel!$T$5="nominal",AB122,AB92)</f>
        <v>2.5747476154362743</v>
      </c>
      <c r="AC138" s="332">
        <f>IF(ControlPanel!$T$5="nominal",AC122,AC92)</f>
        <v>2.6759233912636589</v>
      </c>
      <c r="AD138" s="332">
        <f>IF(ControlPanel!$T$5="nominal",AD122,AD92)</f>
        <v>2.776048332125558</v>
      </c>
      <c r="AE138" s="332">
        <f>IF(ControlPanel!$T$5="nominal",AE122,AE92)</f>
        <v>2.87513141814151</v>
      </c>
      <c r="AF138" s="333">
        <f>IF(ControlPanel!$T$5="nominal",AF122,AF92)</f>
        <v>2.9744268366961522</v>
      </c>
      <c r="AH138" s="301" t="s">
        <v>632</v>
      </c>
    </row>
    <row r="139" spans="1:35" s="301" customFormat="1">
      <c r="A139" s="561">
        <v>139</v>
      </c>
      <c r="C139" s="10"/>
      <c r="D139" s="29"/>
      <c r="E139" s="574" t="s">
        <v>24</v>
      </c>
      <c r="F139" s="578"/>
      <c r="G139" s="332">
        <f>IF(ControlPanel!$T$5="nominal",G123,G93)</f>
        <v>0</v>
      </c>
      <c r="H139" s="332">
        <f>IF(ControlPanel!$T$5="nominal",H123,H93)</f>
        <v>0</v>
      </c>
      <c r="I139" s="332">
        <f>IF(ControlPanel!$T$5="nominal",I123,I93)</f>
        <v>0</v>
      </c>
      <c r="J139" s="332">
        <f>IF(ControlPanel!$T$5="nominal",J123,J93)</f>
        <v>0</v>
      </c>
      <c r="K139" s="332">
        <f>IF(ControlPanel!$T$5="nominal",K123,K93)</f>
        <v>0</v>
      </c>
      <c r="L139" s="332">
        <f>IF(ControlPanel!$T$5="nominal",L123,L93)</f>
        <v>0.33926543412582211</v>
      </c>
      <c r="M139" s="332">
        <f>IF(ControlPanel!$T$5="nominal",M123,M93)</f>
        <v>1.0917868063780236</v>
      </c>
      <c r="N139" s="332">
        <f>IF(ControlPanel!$T$5="nominal",N123,N93)</f>
        <v>1.9923436763698676</v>
      </c>
      <c r="O139" s="332">
        <f>IF(ControlPanel!$T$5="nominal",O123,O93)</f>
        <v>2.6848309998443045</v>
      </c>
      <c r="P139" s="332">
        <f>IF(ControlPanel!$T$5="nominal",P123,P93)</f>
        <v>3.0028383284361975</v>
      </c>
      <c r="Q139" s="332">
        <f>IF(ControlPanel!$T$5="nominal",Q123,Q93)</f>
        <v>3.2246360473993163</v>
      </c>
      <c r="R139" s="332">
        <f>IF(ControlPanel!$T$5="nominal",R123,R93)</f>
        <v>3.4426775601796202</v>
      </c>
      <c r="S139" s="332">
        <f>IF(ControlPanel!$T$5="nominal",S123,S93)</f>
        <v>3.6717386752722274</v>
      </c>
      <c r="T139" s="332">
        <f>IF(ControlPanel!$T$5="nominal",T123,T93)</f>
        <v>4.3580755697719642</v>
      </c>
      <c r="U139" s="332">
        <f>IF(ControlPanel!$T$5="nominal",U123,U93)</f>
        <v>4.2499570594754408</v>
      </c>
      <c r="V139" s="332">
        <f>IF(ControlPanel!$T$5="nominal",V123,V93)</f>
        <v>4.5563678888121011</v>
      </c>
      <c r="W139" s="332">
        <f>IF(ControlPanel!$T$5="nominal",W123,W93)</f>
        <v>4.8628089100767147</v>
      </c>
      <c r="X139" s="332">
        <f>IF(ControlPanel!$T$5="nominal",X123,X93)</f>
        <v>5.1704660310896484</v>
      </c>
      <c r="Y139" s="332">
        <f>IF(ControlPanel!$T$5="nominal",Y123,Y93)</f>
        <v>5.478866484372694</v>
      </c>
      <c r="Z139" s="332">
        <f>IF(ControlPanel!$T$5="nominal",Z123,Z93)</f>
        <v>5.7855943607237439</v>
      </c>
      <c r="AA139" s="332">
        <f>IF(ControlPanel!$T$5="nominal",AA123,AA93)</f>
        <v>6.0892414424607537</v>
      </c>
      <c r="AB139" s="332">
        <f>IF(ControlPanel!$T$5="nominal",AB123,AB93)</f>
        <v>6.3889184215318613</v>
      </c>
      <c r="AC139" s="332">
        <f>IF(ControlPanel!$T$5="nominal",AC123,AC93)</f>
        <v>6.6840297810871432</v>
      </c>
      <c r="AD139" s="332">
        <f>IF(ControlPanel!$T$5="nominal",AD123,AD93)</f>
        <v>6.9741583438166916</v>
      </c>
      <c r="AE139" s="332">
        <f>IF(ControlPanel!$T$5="nominal",AE123,AE93)</f>
        <v>7.2590011650097335</v>
      </c>
      <c r="AF139" s="333">
        <f>IF(ControlPanel!$T$5="nominal",AF123,AF93)</f>
        <v>7.5441180967517631</v>
      </c>
      <c r="AH139" s="301" t="s">
        <v>632</v>
      </c>
    </row>
    <row r="140" spans="1:35" s="301" customFormat="1">
      <c r="A140" s="561">
        <v>140</v>
      </c>
      <c r="C140" s="10"/>
      <c r="D140" s="29"/>
      <c r="E140" s="574" t="s">
        <v>26</v>
      </c>
      <c r="F140" s="578"/>
      <c r="G140" s="332">
        <f>IF(ControlPanel!$T$5="nominal",G124,G94)</f>
        <v>0</v>
      </c>
      <c r="H140" s="332">
        <f>IF(ControlPanel!$T$5="nominal",H124,H94)</f>
        <v>0</v>
      </c>
      <c r="I140" s="332">
        <f>IF(ControlPanel!$T$5="nominal",I124,I94)</f>
        <v>0</v>
      </c>
      <c r="J140" s="332">
        <f>IF(ControlPanel!$T$5="nominal",J124,J94)</f>
        <v>0</v>
      </c>
      <c r="K140" s="332">
        <f>IF(ControlPanel!$T$5="nominal",K124,K94)</f>
        <v>0</v>
      </c>
      <c r="L140" s="332">
        <f>IF(ControlPanel!$T$5="nominal",L124,L94)</f>
        <v>0.68519349688351627</v>
      </c>
      <c r="M140" s="332">
        <f>IF(ControlPanel!$T$5="nominal",M124,M94)</f>
        <v>1.6401606379583997</v>
      </c>
      <c r="N140" s="332">
        <f>IF(ControlPanel!$T$5="nominal",N124,N94)</f>
        <v>2.320538035737322</v>
      </c>
      <c r="O140" s="332">
        <f>IF(ControlPanel!$T$5="nominal",O124,O94)</f>
        <v>2.9910061316476497</v>
      </c>
      <c r="P140" s="332">
        <f>IF(ControlPanel!$T$5="nominal",P124,P94)</f>
        <v>3.5564616338227362</v>
      </c>
      <c r="Q140" s="332">
        <f>IF(ControlPanel!$T$5="nominal",Q124,Q94)</f>
        <v>3.9204079517598349</v>
      </c>
      <c r="R140" s="332">
        <f>IF(ControlPanel!$T$5="nominal",R124,R94)</f>
        <v>3.9676106193504852</v>
      </c>
      <c r="S140" s="332">
        <f>IF(ControlPanel!$T$5="nominal",S124,S94)</f>
        <v>3.9915372504567288</v>
      </c>
      <c r="T140" s="332">
        <f>IF(ControlPanel!$T$5="nominal",T124,T94)</f>
        <v>4.1005631293236666</v>
      </c>
      <c r="U140" s="332">
        <f>IF(ControlPanel!$T$5="nominal",U124,U94)</f>
        <v>4.0396485387484029</v>
      </c>
      <c r="V140" s="332">
        <f>IF(ControlPanel!$T$5="nominal",V124,V94)</f>
        <v>4.1153103015118369</v>
      </c>
      <c r="W140" s="332">
        <f>IF(ControlPanel!$T$5="nominal",W124,W94)</f>
        <v>3.9857332834491306</v>
      </c>
      <c r="X140" s="332">
        <f>IF(ControlPanel!$T$5="nominal",X124,X94)</f>
        <v>3.3078821584528511</v>
      </c>
      <c r="Y140" s="332">
        <f>IF(ControlPanel!$T$5="nominal",Y124,Y94)</f>
        <v>3.2278611104713111</v>
      </c>
      <c r="Z140" s="332">
        <f>IF(ControlPanel!$T$5="nominal",Z124,Z94)</f>
        <v>3.0417061886200107</v>
      </c>
      <c r="AA140" s="332">
        <f>IF(ControlPanel!$T$5="nominal",AA124,AA94)</f>
        <v>3.245740334713894</v>
      </c>
      <c r="AB140" s="332">
        <f>IF(ControlPanel!$T$5="nominal",AB124,AB94)</f>
        <v>3.5329568667166282</v>
      </c>
      <c r="AC140" s="332">
        <f>IF(ControlPanel!$T$5="nominal",AC124,AC94)</f>
        <v>3.8426566266403457</v>
      </c>
      <c r="AD140" s="332">
        <f>IF(ControlPanel!$T$5="nominal",AD124,AD94)</f>
        <v>4.1496709277778914</v>
      </c>
      <c r="AE140" s="332">
        <f>IF(ControlPanel!$T$5="nominal",AE124,AE94)</f>
        <v>4.1314868507655076</v>
      </c>
      <c r="AF140" s="333">
        <f>IF(ControlPanel!$T$5="nominal",AF124,AF94)</f>
        <v>4.173226503510592</v>
      </c>
      <c r="AH140" s="301" t="s">
        <v>632</v>
      </c>
    </row>
    <row r="141" spans="1:35" s="301" customFormat="1">
      <c r="A141" s="561">
        <v>141</v>
      </c>
      <c r="C141" s="10"/>
      <c r="D141" s="29"/>
      <c r="E141" s="576" t="s">
        <v>74</v>
      </c>
      <c r="F141" s="579"/>
      <c r="G141" s="309">
        <f>IF(ControlPanel!$T$5="nominal",G125,G95)</f>
        <v>0</v>
      </c>
      <c r="H141" s="309">
        <f>IF(ControlPanel!$T$5="nominal",H125,H95)</f>
        <v>0</v>
      </c>
      <c r="I141" s="309">
        <f>IF(ControlPanel!$T$5="nominal",I125,I95)</f>
        <v>0</v>
      </c>
      <c r="J141" s="309">
        <f>IF(ControlPanel!$T$5="nominal",J125,J95)</f>
        <v>0</v>
      </c>
      <c r="K141" s="309">
        <f>IF(ControlPanel!$T$5="nominal",K125,K95)</f>
        <v>0</v>
      </c>
      <c r="L141" s="309">
        <f>IF(ControlPanel!$T$5="nominal",L125,L95)</f>
        <v>4.9676870018863978E-2</v>
      </c>
      <c r="M141" s="309">
        <f>IF(ControlPanel!$T$5="nominal",M125,M95)</f>
        <v>0.14383874341315595</v>
      </c>
      <c r="N141" s="309">
        <f>IF(ControlPanel!$T$5="nominal",N125,N95)</f>
        <v>0.2955444718546984</v>
      </c>
      <c r="O141" s="309">
        <f>IF(ControlPanel!$T$5="nominal",O125,O95)</f>
        <v>0.48328473586709264</v>
      </c>
      <c r="P141" s="309">
        <f>IF(ControlPanel!$T$5="nominal",P125,P95)</f>
        <v>0.80757311765457584</v>
      </c>
      <c r="Q141" s="309">
        <f>IF(ControlPanel!$T$5="nominal",Q125,Q95)</f>
        <v>1.1976680999851399</v>
      </c>
      <c r="R141" s="309">
        <f>IF(ControlPanel!$T$5="nominal",R125,R95)</f>
        <v>1.5749583996563103</v>
      </c>
      <c r="S141" s="309">
        <f>IF(ControlPanel!$T$5="nominal",S125,S95)</f>
        <v>1.9327983346296826</v>
      </c>
      <c r="T141" s="309">
        <f>IF(ControlPanel!$T$5="nominal",T125,T95)</f>
        <v>2.380930361402954</v>
      </c>
      <c r="U141" s="309">
        <f>IF(ControlPanel!$T$5="nominal",U125,U95)</f>
        <v>2.8732778094098697</v>
      </c>
      <c r="V141" s="309">
        <f>IF(ControlPanel!$T$5="nominal",V125,V95)</f>
        <v>3.3422379817594572</v>
      </c>
      <c r="W141" s="309">
        <f>IF(ControlPanel!$T$5="nominal",W125,W95)</f>
        <v>3.7907762053661087</v>
      </c>
      <c r="X141" s="309">
        <f>IF(ControlPanel!$T$5="nominal",X125,X95)</f>
        <v>4.0946773968230019</v>
      </c>
      <c r="Y141" s="309">
        <f>IF(ControlPanel!$T$5="nominal",Y125,Y95)</f>
        <v>4.2575963501382343</v>
      </c>
      <c r="Z141" s="309">
        <f>IF(ControlPanel!$T$5="nominal",Z125,Z95)</f>
        <v>4.416222925111958</v>
      </c>
      <c r="AA141" s="309">
        <f>IF(ControlPanel!$T$5="nominal",AA125,AA95)</f>
        <v>4.5706950561923287</v>
      </c>
      <c r="AB141" s="309">
        <f>IF(ControlPanel!$T$5="nominal",AB125,AB95)</f>
        <v>4.7212634055410252</v>
      </c>
      <c r="AC141" s="309">
        <f>IF(ControlPanel!$T$5="nominal",AC125,AC95)</f>
        <v>4.8679398804184961</v>
      </c>
      <c r="AD141" s="309">
        <f>IF(ControlPanel!$T$5="nominal",AD125,AD95)</f>
        <v>5.010585098678094</v>
      </c>
      <c r="AE141" s="309">
        <f>IF(ControlPanel!$T$5="nominal",AE125,AE95)</f>
        <v>5.1493392283866584</v>
      </c>
      <c r="AF141" s="56">
        <f>IF(ControlPanel!$T$5="nominal",AF125,AF95)</f>
        <v>5.2832324621940776</v>
      </c>
      <c r="AH141" s="301" t="s">
        <v>632</v>
      </c>
    </row>
    <row r="142" spans="1:35" s="301" customFormat="1">
      <c r="A142" s="561">
        <v>142</v>
      </c>
      <c r="C142" s="10"/>
      <c r="D142" s="29"/>
      <c r="E142" s="29"/>
      <c r="F142" s="36"/>
      <c r="G142" s="331">
        <f t="shared" ref="G142:AF142" si="38">SUM(G132:G136)</f>
        <v>12.667440729999999</v>
      </c>
      <c r="H142" s="331">
        <f t="shared" si="38"/>
        <v>17.126834930000001</v>
      </c>
      <c r="I142" s="331">
        <f t="shared" si="38"/>
        <v>18.937664991119739</v>
      </c>
      <c r="J142" s="331">
        <f t="shared" si="38"/>
        <v>22.796891415220745</v>
      </c>
      <c r="K142" s="331">
        <f t="shared" si="38"/>
        <v>25.293093383584349</v>
      </c>
      <c r="L142" s="331">
        <f t="shared" si="38"/>
        <v>25.436289587320857</v>
      </c>
      <c r="M142" s="331">
        <f t="shared" si="38"/>
        <v>25.384249818783253</v>
      </c>
      <c r="N142" s="331">
        <f t="shared" si="38"/>
        <v>25.32409219193007</v>
      </c>
      <c r="O142" s="331">
        <f t="shared" si="38"/>
        <v>25.24887550373581</v>
      </c>
      <c r="P142" s="331">
        <f t="shared" si="38"/>
        <v>25.067469742610584</v>
      </c>
      <c r="Q142" s="331">
        <f t="shared" si="38"/>
        <v>24.873341708691413</v>
      </c>
      <c r="R142" s="331">
        <f t="shared" si="38"/>
        <v>24.353797650570733</v>
      </c>
      <c r="S142" s="331">
        <f t="shared" si="38"/>
        <v>23.677651751069533</v>
      </c>
      <c r="T142" s="331">
        <f t="shared" si="38"/>
        <v>22.969859759805964</v>
      </c>
      <c r="U142" s="331">
        <f t="shared" si="38"/>
        <v>22.285637582142137</v>
      </c>
      <c r="V142" s="331">
        <f t="shared" si="38"/>
        <v>21.023516726492232</v>
      </c>
      <c r="W142" s="331">
        <f t="shared" si="38"/>
        <v>19.327011415401032</v>
      </c>
      <c r="X142" s="331">
        <f t="shared" si="38"/>
        <v>17.690559837211183</v>
      </c>
      <c r="Y142" s="331">
        <f t="shared" si="38"/>
        <v>16.021813824194769</v>
      </c>
      <c r="Z142" s="331">
        <f t="shared" si="38"/>
        <v>14.578674542566244</v>
      </c>
      <c r="AA142" s="331">
        <f t="shared" si="38"/>
        <v>11.870730414196782</v>
      </c>
      <c r="AB142" s="331">
        <f t="shared" si="38"/>
        <v>8.1893974729078565</v>
      </c>
      <c r="AC142" s="331">
        <f t="shared" si="38"/>
        <v>4.4310079786210608</v>
      </c>
      <c r="AD142" s="331">
        <f t="shared" si="38"/>
        <v>2.1916460392613994</v>
      </c>
      <c r="AE142" s="331">
        <f t="shared" si="38"/>
        <v>1.224236915047946</v>
      </c>
      <c r="AF142" s="331">
        <f t="shared" si="38"/>
        <v>0.39783057582039583</v>
      </c>
    </row>
    <row r="143" spans="1:35" s="301" customFormat="1">
      <c r="A143" s="561">
        <v>143</v>
      </c>
      <c r="C143" s="10"/>
      <c r="D143" s="29"/>
      <c r="E143" s="29"/>
      <c r="F143" s="36"/>
      <c r="G143" s="331">
        <f t="shared" ref="G143:AF143" si="39">SUM(G137:G141)</f>
        <v>0</v>
      </c>
      <c r="H143" s="331">
        <f t="shared" si="39"/>
        <v>0</v>
      </c>
      <c r="I143" s="331">
        <f t="shared" si="39"/>
        <v>0</v>
      </c>
      <c r="J143" s="331">
        <f t="shared" si="39"/>
        <v>0</v>
      </c>
      <c r="K143" s="331">
        <f t="shared" si="39"/>
        <v>0</v>
      </c>
      <c r="L143" s="331">
        <f t="shared" si="39"/>
        <v>1.2431681581503069</v>
      </c>
      <c r="M143" s="331">
        <f t="shared" si="39"/>
        <v>3.2947753274868026</v>
      </c>
      <c r="N143" s="331">
        <f t="shared" si="39"/>
        <v>5.1963190068284595</v>
      </c>
      <c r="O143" s="331">
        <f t="shared" si="39"/>
        <v>6.9630679101348623</v>
      </c>
      <c r="P143" s="331">
        <f t="shared" si="39"/>
        <v>8.3974690064798505</v>
      </c>
      <c r="Q143" s="331">
        <f t="shared" si="39"/>
        <v>9.5252277656341278</v>
      </c>
      <c r="R143" s="331">
        <f t="shared" si="39"/>
        <v>10.264253214242899</v>
      </c>
      <c r="S143" s="331">
        <f t="shared" si="39"/>
        <v>11.050157717923822</v>
      </c>
      <c r="T143" s="331">
        <f t="shared" si="39"/>
        <v>12.557831541609524</v>
      </c>
      <c r="U143" s="331">
        <f t="shared" si="39"/>
        <v>13.105828343612913</v>
      </c>
      <c r="V143" s="331">
        <f t="shared" si="39"/>
        <v>14.185925261467728</v>
      </c>
      <c r="W143" s="331">
        <f t="shared" si="39"/>
        <v>15.032538037212747</v>
      </c>
      <c r="X143" s="331">
        <f t="shared" si="39"/>
        <v>15.134727429443998</v>
      </c>
      <c r="Y143" s="331">
        <f t="shared" si="39"/>
        <v>15.64596256132122</v>
      </c>
      <c r="Z143" s="331">
        <f t="shared" si="39"/>
        <v>16.043572754383995</v>
      </c>
      <c r="AA143" s="331">
        <f t="shared" si="39"/>
        <v>16.822754400972968</v>
      </c>
      <c r="AB143" s="331">
        <f t="shared" si="39"/>
        <v>17.675764692516594</v>
      </c>
      <c r="AC143" s="331">
        <f t="shared" si="39"/>
        <v>18.54118427871564</v>
      </c>
      <c r="AD143" s="331">
        <f t="shared" si="39"/>
        <v>19.393463426205145</v>
      </c>
      <c r="AE143" s="331">
        <f t="shared" si="39"/>
        <v>19.909950943576831</v>
      </c>
      <c r="AF143" s="331">
        <f t="shared" si="39"/>
        <v>20.4816278481571</v>
      </c>
    </row>
    <row r="144" spans="1:35" s="301" customFormat="1">
      <c r="A144" s="561">
        <v>144</v>
      </c>
      <c r="C144" s="10"/>
      <c r="D144" s="29"/>
      <c r="E144" s="29"/>
      <c r="F144" s="36"/>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331"/>
    </row>
    <row r="145" spans="1:32" s="301" customFormat="1">
      <c r="A145" s="561">
        <v>145</v>
      </c>
      <c r="C145" s="10"/>
      <c r="D145" s="29"/>
      <c r="E145" s="29"/>
      <c r="F145" s="199" t="s">
        <v>691</v>
      </c>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331"/>
    </row>
    <row r="146" spans="1:32" s="301" customFormat="1">
      <c r="A146" s="561">
        <v>146</v>
      </c>
      <c r="C146" s="10"/>
      <c r="D146" s="29"/>
      <c r="E146" s="29"/>
      <c r="F146" s="627"/>
      <c r="G146" s="570">
        <v>2010</v>
      </c>
      <c r="H146" s="570">
        <v>2011</v>
      </c>
      <c r="I146" s="570">
        <v>2012</v>
      </c>
      <c r="J146" s="570">
        <v>2013</v>
      </c>
      <c r="K146" s="570">
        <v>2014</v>
      </c>
      <c r="L146" s="570">
        <v>2015</v>
      </c>
      <c r="M146" s="570">
        <v>2016</v>
      </c>
      <c r="N146" s="570">
        <v>2017</v>
      </c>
      <c r="O146" s="570">
        <v>2018</v>
      </c>
      <c r="P146" s="570">
        <v>2019</v>
      </c>
      <c r="Q146" s="570">
        <v>2020</v>
      </c>
      <c r="R146" s="570">
        <v>2021</v>
      </c>
      <c r="S146" s="570">
        <v>2022</v>
      </c>
      <c r="T146" s="570">
        <v>2023</v>
      </c>
      <c r="U146" s="570">
        <v>2024</v>
      </c>
      <c r="V146" s="570">
        <v>2025</v>
      </c>
      <c r="W146" s="570">
        <v>2026</v>
      </c>
      <c r="X146" s="570">
        <v>2027</v>
      </c>
      <c r="Y146" s="570">
        <v>2028</v>
      </c>
      <c r="Z146" s="570">
        <v>2029</v>
      </c>
      <c r="AA146" s="570">
        <v>2030</v>
      </c>
      <c r="AB146" s="570">
        <v>2031</v>
      </c>
      <c r="AC146" s="570">
        <v>2032</v>
      </c>
      <c r="AD146" s="570">
        <v>2033</v>
      </c>
      <c r="AE146" s="570">
        <v>2034</v>
      </c>
      <c r="AF146" s="571">
        <v>2035</v>
      </c>
    </row>
    <row r="147" spans="1:32" s="301" customFormat="1">
      <c r="A147" s="561">
        <v>147</v>
      </c>
      <c r="C147" s="10"/>
      <c r="D147" s="29"/>
      <c r="E147" s="29"/>
      <c r="F147" s="574" t="s">
        <v>391</v>
      </c>
      <c r="G147" s="323">
        <f>'MOD-Berechnungen'!F56+'MOD-Berechnungen'!F57+'MOD-Berechnungen'!F59</f>
        <v>0.12954600000000022</v>
      </c>
      <c r="H147" s="323">
        <f>'MOD-Berechnungen'!G56+'MOD-Berechnungen'!G57+'MOD-Berechnungen'!G59</f>
        <v>0.10471489999999974</v>
      </c>
      <c r="I147" s="323">
        <f>'MOD-Berechnungen'!H56+'MOD-Berechnungen'!H57+'MOD-Berechnungen'!H59</f>
        <v>7.042649999999992E-2</v>
      </c>
      <c r="J147" s="323">
        <f>'MOD-Berechnungen'!I56+'MOD-Berechnungen'!I57+'MOD-Berechnungen'!I59</f>
        <v>9.3620800000000282E-2</v>
      </c>
      <c r="K147" s="323">
        <f>'MOD-Berechnungen'!J56+'MOD-Berechnungen'!J57+'MOD-Berechnungen'!J59</f>
        <v>3.7300000000000041E-3</v>
      </c>
      <c r="L147" s="323">
        <f>'MOD-Berechnungen'!K56+'MOD-Berechnungen'!K57+'MOD-Berechnungen'!K59</f>
        <v>0.33660678499999952</v>
      </c>
      <c r="M147" s="323">
        <f>'MOD-Berechnungen'!L56+'MOD-Berechnungen'!L57+'MOD-Berechnungen'!L59</f>
        <v>3.0717774999999795E-2</v>
      </c>
      <c r="N147" s="323">
        <f>'MOD-Berechnungen'!M56+'MOD-Berechnungen'!M57+'MOD-Berechnungen'!M59</f>
        <v>9.1000000000000004E-3</v>
      </c>
      <c r="O147" s="323">
        <f>'MOD-Berechnungen'!N56+'MOD-Berechnungen'!N57+'MOD-Berechnungen'!N59</f>
        <v>2.5999999999999999E-2</v>
      </c>
      <c r="P147" s="323">
        <f>'MOD-Berechnungen'!O56+'MOD-Berechnungen'!O57+'MOD-Berechnungen'!O59</f>
        <v>2.3000000000000003E-2</v>
      </c>
      <c r="Q147" s="323">
        <f>'MOD-Berechnungen'!P56+'MOD-Berechnungen'!P57+'MOD-Berechnungen'!P59</f>
        <v>0.02</v>
      </c>
      <c r="R147" s="323">
        <f>'MOD-Berechnungen'!Q56+'MOD-Berechnungen'!Q57+'MOD-Berechnungen'!Q59</f>
        <v>2.4899999999999999E-2</v>
      </c>
      <c r="S147" s="323">
        <f>'MOD-Berechnungen'!R56+'MOD-Berechnungen'!R57+'MOD-Berechnungen'!R59</f>
        <v>4.2900000000000001E-2</v>
      </c>
      <c r="T147" s="323">
        <f>'MOD-Berechnungen'!S56+'MOD-Berechnungen'!S57+'MOD-Berechnungen'!S59</f>
        <v>4.6900000000000004E-2</v>
      </c>
      <c r="U147" s="323">
        <f>'MOD-Berechnungen'!T56+'MOD-Berechnungen'!T57+'MOD-Berechnungen'!T59</f>
        <v>5.0900000000000001E-2</v>
      </c>
      <c r="V147" s="323">
        <f>'MOD-Berechnungen'!U56+'MOD-Berechnungen'!U57+'MOD-Berechnungen'!U59</f>
        <v>5.3900000000000003E-2</v>
      </c>
      <c r="W147" s="323">
        <f>'MOD-Berechnungen'!V56+'MOD-Berechnungen'!V57+'MOD-Berechnungen'!V59</f>
        <v>5.79E-2</v>
      </c>
      <c r="X147" s="323">
        <f>'MOD-Berechnungen'!W56+'MOD-Berechnungen'!W57+'MOD-Berechnungen'!W59</f>
        <v>3.1E-2</v>
      </c>
      <c r="Y147" s="323">
        <f>'MOD-Berechnungen'!X56+'MOD-Berechnungen'!X57+'MOD-Berechnungen'!X59</f>
        <v>3.1E-2</v>
      </c>
      <c r="Z147" s="323">
        <f>'MOD-Berechnungen'!Y56+'MOD-Berechnungen'!Y57+'MOD-Berechnungen'!Y59</f>
        <v>3.1E-2</v>
      </c>
      <c r="AA147" s="323">
        <f>'MOD-Berechnungen'!Z56+'MOD-Berechnungen'!Z57+'MOD-Berechnungen'!Z59</f>
        <v>3.1E-2</v>
      </c>
      <c r="AB147" s="323">
        <f>'MOD-Berechnungen'!AA56+'MOD-Berechnungen'!AA57+'MOD-Berechnungen'!AA59</f>
        <v>3.1E-2</v>
      </c>
      <c r="AC147" s="323">
        <f>'MOD-Berechnungen'!AB56+'MOD-Berechnungen'!AB57+'MOD-Berechnungen'!AB59</f>
        <v>3.1E-2</v>
      </c>
      <c r="AD147" s="323">
        <f>'MOD-Berechnungen'!AC56+'MOD-Berechnungen'!AC57+'MOD-Berechnungen'!AC59</f>
        <v>3.1E-2</v>
      </c>
      <c r="AE147" s="323">
        <f>'MOD-Berechnungen'!AD56+'MOD-Berechnungen'!AD57+'MOD-Berechnungen'!AD59</f>
        <v>3.1E-2</v>
      </c>
      <c r="AF147" s="324">
        <f>'MOD-Berechnungen'!AE56+'MOD-Berechnungen'!AE57+'MOD-Berechnungen'!AE59</f>
        <v>3.1E-2</v>
      </c>
    </row>
    <row r="148" spans="1:32" s="301" customFormat="1">
      <c r="A148" s="561">
        <v>148</v>
      </c>
      <c r="C148" s="10"/>
      <c r="D148" s="29"/>
      <c r="E148" s="29"/>
      <c r="F148" s="574" t="s">
        <v>13</v>
      </c>
      <c r="G148" s="332">
        <f>'MOD-Berechnungen'!F58</f>
        <v>0.41799999999999998</v>
      </c>
      <c r="H148" s="332">
        <f>'MOD-Berechnungen'!G58</f>
        <v>0.86586812999999996</v>
      </c>
      <c r="I148" s="332">
        <f>'MOD-Berechnungen'!H58</f>
        <v>0.32809184000000102</v>
      </c>
      <c r="J148" s="332">
        <f>'MOD-Berechnungen'!I58</f>
        <v>0.67685502999999902</v>
      </c>
      <c r="K148" s="332">
        <f>'MOD-Berechnungen'!J58</f>
        <v>0.21741000000000099</v>
      </c>
      <c r="L148" s="332">
        <f>'MOD-Berechnungen'!K58</f>
        <v>0.23461600000000002</v>
      </c>
      <c r="M148" s="332">
        <f>'MOD-Berechnungen'!L58</f>
        <v>0.22497200000000001</v>
      </c>
      <c r="N148" s="332">
        <f>'MOD-Berechnungen'!M58</f>
        <v>0.30678699999999998</v>
      </c>
      <c r="O148" s="332">
        <f>'MOD-Berechnungen'!N58</f>
        <v>0.42751108100000101</v>
      </c>
      <c r="P148" s="332">
        <f>'MOD-Berechnungen'!O58</f>
        <v>0.33253365899999998</v>
      </c>
      <c r="Q148" s="332">
        <f>'MOD-Berechnungen'!P58</f>
        <v>0.17599999999999999</v>
      </c>
      <c r="R148" s="332">
        <f>'MOD-Berechnungen'!Q58</f>
        <v>0.124</v>
      </c>
      <c r="S148" s="332">
        <f>'MOD-Berechnungen'!R58</f>
        <v>0.36699999999999999</v>
      </c>
      <c r="T148" s="332">
        <f>'MOD-Berechnungen'!S58</f>
        <v>0.36699999999999999</v>
      </c>
      <c r="U148" s="332">
        <f>'MOD-Berechnungen'!T58</f>
        <v>0.36699999999999999</v>
      </c>
      <c r="V148" s="332">
        <f>'MOD-Berechnungen'!U58</f>
        <v>0.36699999999999999</v>
      </c>
      <c r="W148" s="332">
        <f>'MOD-Berechnungen'!V58</f>
        <v>0.36699999999999999</v>
      </c>
      <c r="X148" s="332">
        <f>'MOD-Berechnungen'!W58</f>
        <v>0.2</v>
      </c>
      <c r="Y148" s="332">
        <f>'MOD-Berechnungen'!X58</f>
        <v>0.2</v>
      </c>
      <c r="Z148" s="332">
        <f>'MOD-Berechnungen'!Y58</f>
        <v>0.2</v>
      </c>
      <c r="AA148" s="332">
        <f>'MOD-Berechnungen'!Z58</f>
        <v>0.2</v>
      </c>
      <c r="AB148" s="332">
        <f>'MOD-Berechnungen'!AA58</f>
        <v>0.2</v>
      </c>
      <c r="AC148" s="332">
        <f>'MOD-Berechnungen'!AB58</f>
        <v>0.2</v>
      </c>
      <c r="AD148" s="332">
        <f>'MOD-Berechnungen'!AC58</f>
        <v>0.2</v>
      </c>
      <c r="AE148" s="332">
        <f>'MOD-Berechnungen'!AD58</f>
        <v>0.2</v>
      </c>
      <c r="AF148" s="333">
        <f>'MOD-Berechnungen'!AE58</f>
        <v>0.2</v>
      </c>
    </row>
    <row r="149" spans="1:32" s="301" customFormat="1">
      <c r="A149" s="561">
        <v>149</v>
      </c>
      <c r="C149" s="10"/>
      <c r="D149" s="29"/>
      <c r="E149" s="29"/>
      <c r="F149" s="574" t="s">
        <v>24</v>
      </c>
      <c r="G149" s="332">
        <f>'MOD-Berechnungen'!F60</f>
        <v>1.411797</v>
      </c>
      <c r="H149" s="332">
        <f>'MOD-Berechnungen'!G60</f>
        <v>1.8712979999999999</v>
      </c>
      <c r="I149" s="332">
        <f>'MOD-Berechnungen'!H60</f>
        <v>2.4085290000000001</v>
      </c>
      <c r="J149" s="332">
        <f>'MOD-Berechnungen'!I60</f>
        <v>2.9965709999999999</v>
      </c>
      <c r="K149" s="332">
        <f>'MOD-Berechnungen'!J60</f>
        <v>4.6522969999999999</v>
      </c>
      <c r="L149" s="332">
        <f>'MOD-Berechnungen'!K60</f>
        <v>3.7872080000000001</v>
      </c>
      <c r="M149" s="332">
        <f>'MOD-Berechnungen'!L60</f>
        <v>4.4454030000000007</v>
      </c>
      <c r="N149" s="332">
        <f>'MOD-Berechnungen'!M60</f>
        <v>5.5017449999999997</v>
      </c>
      <c r="O149" s="332">
        <f>'MOD-Berechnungen'!N60</f>
        <v>2.4031500000000001</v>
      </c>
      <c r="P149" s="332">
        <f>'MOD-Berechnungen'!O60</f>
        <v>1.5</v>
      </c>
      <c r="Q149" s="332">
        <f>'MOD-Berechnungen'!P60</f>
        <v>1.5</v>
      </c>
      <c r="R149" s="332">
        <f>'MOD-Berechnungen'!Q60</f>
        <v>1.5</v>
      </c>
      <c r="S149" s="332">
        <f>'MOD-Berechnungen'!R60</f>
        <v>2</v>
      </c>
      <c r="T149" s="332">
        <f>'MOD-Berechnungen'!S60</f>
        <v>2.5</v>
      </c>
      <c r="U149" s="332">
        <f>'MOD-Berechnungen'!T60</f>
        <v>2.5</v>
      </c>
      <c r="V149" s="332">
        <f>'MOD-Berechnungen'!U60</f>
        <v>2.5</v>
      </c>
      <c r="W149" s="332">
        <f>'MOD-Berechnungen'!V60</f>
        <v>2.5</v>
      </c>
      <c r="X149" s="332">
        <f>'MOD-Berechnungen'!W60</f>
        <v>2.5</v>
      </c>
      <c r="Y149" s="332">
        <f>'MOD-Berechnungen'!X60</f>
        <v>2.5</v>
      </c>
      <c r="Z149" s="332">
        <f>'MOD-Berechnungen'!Y60</f>
        <v>2.5</v>
      </c>
      <c r="AA149" s="332">
        <f>'MOD-Berechnungen'!Z60</f>
        <v>2.5</v>
      </c>
      <c r="AB149" s="332">
        <f>'MOD-Berechnungen'!AA60</f>
        <v>2.5</v>
      </c>
      <c r="AC149" s="332">
        <f>'MOD-Berechnungen'!AB60</f>
        <v>2.5</v>
      </c>
      <c r="AD149" s="332">
        <f>'MOD-Berechnungen'!AC60</f>
        <v>2.5</v>
      </c>
      <c r="AE149" s="332">
        <f>'MOD-Berechnungen'!AD60</f>
        <v>2.5</v>
      </c>
      <c r="AF149" s="333">
        <f>'MOD-Berechnungen'!AE60</f>
        <v>2.5</v>
      </c>
    </row>
    <row r="150" spans="1:32" s="301" customFormat="1">
      <c r="A150" s="561">
        <v>150</v>
      </c>
      <c r="C150" s="10"/>
      <c r="D150" s="29"/>
      <c r="E150" s="29"/>
      <c r="F150" s="574" t="s">
        <v>26</v>
      </c>
      <c r="G150" s="332">
        <f>'MOD-Berechnungen'!F61</f>
        <v>4.4999999999999998E-2</v>
      </c>
      <c r="H150" s="332">
        <f>'MOD-Berechnungen'!G61</f>
        <v>0.108</v>
      </c>
      <c r="I150" s="332">
        <f>'MOD-Berechnungen'!H61</f>
        <v>0.08</v>
      </c>
      <c r="J150" s="332">
        <f>'MOD-Berechnungen'!I61</f>
        <v>0.24</v>
      </c>
      <c r="K150" s="332">
        <f>'MOD-Berechnungen'!J61</f>
        <v>0.48599999999999999</v>
      </c>
      <c r="L150" s="332">
        <f>'MOD-Berechnungen'!K61</f>
        <v>2.2890000000000001</v>
      </c>
      <c r="M150" s="332">
        <f>'MOD-Berechnungen'!L61</f>
        <v>0.86899999999999999</v>
      </c>
      <c r="N150" s="332">
        <f>'MOD-Berechnungen'!M61</f>
        <v>1.254</v>
      </c>
      <c r="O150" s="332">
        <f>'MOD-Berechnungen'!N61</f>
        <v>0.98699999999999999</v>
      </c>
      <c r="P150" s="332">
        <f>'MOD-Berechnungen'!O61</f>
        <v>1.135</v>
      </c>
      <c r="Q150" s="332">
        <f>'MOD-Berechnungen'!P61</f>
        <v>0.219</v>
      </c>
      <c r="R150" s="332">
        <f>'MOD-Berechnungen'!Q61</f>
        <v>0</v>
      </c>
      <c r="S150" s="332">
        <f>'MOD-Berechnungen'!R61</f>
        <v>0.34200000000000003</v>
      </c>
      <c r="T150" s="332">
        <f>'MOD-Berechnungen'!S61</f>
        <v>0.749</v>
      </c>
      <c r="U150" s="332">
        <f>'MOD-Berechnungen'!T61</f>
        <v>1.1259999999999999</v>
      </c>
      <c r="V150" s="332">
        <f>'MOD-Berechnungen'!U61</f>
        <v>0.9</v>
      </c>
      <c r="W150" s="332">
        <f>'MOD-Berechnungen'!V61</f>
        <v>0.95799999999999996</v>
      </c>
      <c r="X150" s="332">
        <f>'MOD-Berechnungen'!W61</f>
        <v>0.95799999999999996</v>
      </c>
      <c r="Y150" s="332">
        <f>'MOD-Berechnungen'!X61</f>
        <v>0.95799999999999996</v>
      </c>
      <c r="Z150" s="332">
        <f>'MOD-Berechnungen'!Y61</f>
        <v>0.95799999999999996</v>
      </c>
      <c r="AA150" s="332">
        <f>'MOD-Berechnungen'!Z61</f>
        <v>0.95799999999999996</v>
      </c>
      <c r="AB150" s="332">
        <f>'MOD-Berechnungen'!AA61</f>
        <v>0.95799999999999996</v>
      </c>
      <c r="AC150" s="332">
        <f>'MOD-Berechnungen'!AB61</f>
        <v>0.95799999999999996</v>
      </c>
      <c r="AD150" s="332">
        <f>'MOD-Berechnungen'!AC61</f>
        <v>0.95799999999999996</v>
      </c>
      <c r="AE150" s="332">
        <f>'MOD-Berechnungen'!AD61</f>
        <v>0.95799999999999996</v>
      </c>
      <c r="AF150" s="333">
        <f>'MOD-Berechnungen'!AE61</f>
        <v>0.95799999999999996</v>
      </c>
    </row>
    <row r="151" spans="1:32" s="301" customFormat="1">
      <c r="A151" s="561">
        <v>151</v>
      </c>
      <c r="C151" s="10"/>
      <c r="D151" s="29"/>
      <c r="E151" s="29"/>
      <c r="F151" s="576" t="s">
        <v>74</v>
      </c>
      <c r="G151" s="309">
        <f>'MOD-Berechnungen'!F62</f>
        <v>7.44</v>
      </c>
      <c r="H151" s="309">
        <f>'MOD-Berechnungen'!G62</f>
        <v>7.91</v>
      </c>
      <c r="I151" s="309">
        <f>'MOD-Berechnungen'!H62</f>
        <v>8.1609999999999996</v>
      </c>
      <c r="J151" s="309">
        <f>'MOD-Berechnungen'!I62</f>
        <v>2.633</v>
      </c>
      <c r="K151" s="309">
        <f>'MOD-Berechnungen'!J62</f>
        <v>1.19</v>
      </c>
      <c r="L151" s="309">
        <f>'MOD-Berechnungen'!K62</f>
        <v>1.3240000000000001</v>
      </c>
      <c r="M151" s="309">
        <f>'MOD-Berechnungen'!L62</f>
        <v>1.4550000000000001</v>
      </c>
      <c r="N151" s="309">
        <f>'MOD-Berechnungen'!M62</f>
        <v>1.6140000000000001</v>
      </c>
      <c r="O151" s="309">
        <f>'MOD-Berechnungen'!N62</f>
        <v>2.8650000000000002</v>
      </c>
      <c r="P151" s="309">
        <f>'MOD-Berechnungen'!O62</f>
        <v>3.8889999999999998</v>
      </c>
      <c r="Q151" s="309">
        <f>'MOD-Berechnungen'!P62</f>
        <v>4.8010000000000002</v>
      </c>
      <c r="R151" s="309">
        <f>'MOD-Berechnungen'!Q62</f>
        <v>5.4139999999999997</v>
      </c>
      <c r="S151" s="309">
        <f>'MOD-Berechnungen'!R62</f>
        <v>6.335</v>
      </c>
      <c r="T151" s="309">
        <f>'MOD-Berechnungen'!S62</f>
        <v>8.33</v>
      </c>
      <c r="U151" s="309">
        <f>'MOD-Berechnungen'!T62</f>
        <v>8.1289999999999996</v>
      </c>
      <c r="V151" s="309">
        <f>'MOD-Berechnungen'!U62</f>
        <v>7.766</v>
      </c>
      <c r="W151" s="309">
        <f>'MOD-Berechnungen'!V62</f>
        <v>7.8319999999999999</v>
      </c>
      <c r="X151" s="309">
        <f>'MOD-Berechnungen'!W62</f>
        <v>3</v>
      </c>
      <c r="Y151" s="309">
        <f>'MOD-Berechnungen'!X62</f>
        <v>3</v>
      </c>
      <c r="Z151" s="309">
        <f>'MOD-Berechnungen'!Y62</f>
        <v>3</v>
      </c>
      <c r="AA151" s="309">
        <f>'MOD-Berechnungen'!Z62</f>
        <v>3</v>
      </c>
      <c r="AB151" s="309">
        <f>'MOD-Berechnungen'!AA62</f>
        <v>3</v>
      </c>
      <c r="AC151" s="309">
        <f>'MOD-Berechnungen'!AB62</f>
        <v>3</v>
      </c>
      <c r="AD151" s="309">
        <f>'MOD-Berechnungen'!AC62</f>
        <v>3</v>
      </c>
      <c r="AE151" s="309">
        <f>'MOD-Berechnungen'!AD62</f>
        <v>3</v>
      </c>
      <c r="AF151" s="56">
        <f>'MOD-Berechnungen'!AE62</f>
        <v>3</v>
      </c>
    </row>
    <row r="152" spans="1:32" s="301" customFormat="1">
      <c r="A152" s="561">
        <v>152</v>
      </c>
      <c r="C152" s="10"/>
      <c r="D152" s="29"/>
      <c r="E152" s="29"/>
      <c r="F152" s="36"/>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331"/>
    </row>
    <row r="153" spans="1:32" s="301" customFormat="1">
      <c r="A153" s="561">
        <v>153</v>
      </c>
      <c r="C153" s="10"/>
      <c r="D153" s="29"/>
      <c r="E153" s="29"/>
      <c r="F153" s="199" t="s">
        <v>692</v>
      </c>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331"/>
      <c r="AF153" s="331"/>
    </row>
    <row r="154" spans="1:32" s="301" customFormat="1">
      <c r="A154" s="561">
        <v>154</v>
      </c>
      <c r="C154" s="10"/>
      <c r="D154" s="29"/>
      <c r="E154" s="29"/>
      <c r="F154" s="627"/>
      <c r="G154" s="570">
        <v>2010</v>
      </c>
      <c r="H154" s="570">
        <v>2011</v>
      </c>
      <c r="I154" s="570">
        <v>2012</v>
      </c>
      <c r="J154" s="570">
        <v>2013</v>
      </c>
      <c r="K154" s="570">
        <v>2014</v>
      </c>
      <c r="L154" s="570">
        <v>2015</v>
      </c>
      <c r="M154" s="570">
        <v>2016</v>
      </c>
      <c r="N154" s="570">
        <v>2017</v>
      </c>
      <c r="O154" s="570">
        <v>2018</v>
      </c>
      <c r="P154" s="570">
        <v>2019</v>
      </c>
      <c r="Q154" s="570">
        <v>2020</v>
      </c>
      <c r="R154" s="570">
        <v>2021</v>
      </c>
      <c r="S154" s="570">
        <v>2022</v>
      </c>
      <c r="T154" s="570">
        <v>2023</v>
      </c>
      <c r="U154" s="570">
        <v>2024</v>
      </c>
      <c r="V154" s="570">
        <v>2025</v>
      </c>
      <c r="W154" s="570">
        <v>2026</v>
      </c>
      <c r="X154" s="570">
        <v>2027</v>
      </c>
      <c r="Y154" s="570">
        <v>2028</v>
      </c>
      <c r="Z154" s="570">
        <v>2029</v>
      </c>
      <c r="AA154" s="570">
        <v>2030</v>
      </c>
      <c r="AB154" s="570">
        <v>2031</v>
      </c>
      <c r="AC154" s="570">
        <v>2032</v>
      </c>
      <c r="AD154" s="570">
        <v>2033</v>
      </c>
      <c r="AE154" s="570">
        <v>2034</v>
      </c>
      <c r="AF154" s="571">
        <v>2035</v>
      </c>
    </row>
    <row r="155" spans="1:32" s="301" customFormat="1">
      <c r="A155" s="561">
        <v>155</v>
      </c>
      <c r="C155" s="10"/>
      <c r="D155" s="29"/>
      <c r="E155" s="29"/>
      <c r="F155" s="574" t="s">
        <v>391</v>
      </c>
      <c r="G155" s="323">
        <f ca="1">'MOD-Berechnungen'!F199+'MOD-Berechnungen'!F200+'MOD-Berechnungen'!F202</f>
        <v>0.10599999999999994</v>
      </c>
      <c r="H155" s="323">
        <f ca="1">'MOD-Berechnungen'!G199+'MOD-Berechnungen'!G200+'MOD-Berechnungen'!G202</f>
        <v>8.2999999999999866E-2</v>
      </c>
      <c r="I155" s="323">
        <f ca="1">'MOD-Berechnungen'!H199+'MOD-Berechnungen'!H200+'MOD-Berechnungen'!H202</f>
        <v>4.8800000000000045E-2</v>
      </c>
      <c r="J155" s="323">
        <f ca="1">'MOD-Berechnungen'!I199+'MOD-Berechnungen'!I200+'MOD-Berechnungen'!I202</f>
        <v>7.3320000000000163E-2</v>
      </c>
      <c r="K155" s="323">
        <f ca="1">'MOD-Berechnungen'!J199+'MOD-Berechnungen'!J200+'MOD-Berechnungen'!J202</f>
        <v>-1.7142300000000062E-2</v>
      </c>
      <c r="L155" s="323">
        <f ca="1">'MOD-Berechnungen'!K199+'MOD-Berechnungen'!K200+'MOD-Berechnungen'!K202</f>
        <v>0.33660678499999952</v>
      </c>
      <c r="M155" s="323">
        <f ca="1">'MOD-Berechnungen'!L199+'MOD-Berechnungen'!L200+'MOD-Berechnungen'!L202</f>
        <v>3.0717774999999795E-2</v>
      </c>
      <c r="N155" s="323">
        <f ca="1">'MOD-Berechnungen'!M199+'MOD-Berechnungen'!M200+'MOD-Berechnungen'!M202</f>
        <v>9.1000000000000004E-3</v>
      </c>
      <c r="O155" s="323">
        <f ca="1">'MOD-Berechnungen'!N199+'MOD-Berechnungen'!N200+'MOD-Berechnungen'!N202</f>
        <v>2.5999999999999999E-2</v>
      </c>
      <c r="P155" s="323">
        <f ca="1">'MOD-Berechnungen'!O199+'MOD-Berechnungen'!O200+'MOD-Berechnungen'!O202</f>
        <v>2.3000000000000003E-2</v>
      </c>
      <c r="Q155" s="323">
        <f ca="1">'MOD-Berechnungen'!P199+'MOD-Berechnungen'!P200+'MOD-Berechnungen'!P202</f>
        <v>0.02</v>
      </c>
      <c r="R155" s="323">
        <f ca="1">'MOD-Berechnungen'!Q199+'MOD-Berechnungen'!Q200+'MOD-Berechnungen'!Q202</f>
        <v>-0.15275019999999989</v>
      </c>
      <c r="S155" s="323">
        <f ca="1">'MOD-Berechnungen'!R199+'MOD-Berechnungen'!R200+'MOD-Berechnungen'!R202</f>
        <v>-1.0137000000000007E-2</v>
      </c>
      <c r="T155" s="323">
        <f ca="1">'MOD-Berechnungen'!S199+'MOD-Berechnungen'!S200+'MOD-Berechnungen'!S202</f>
        <v>-1.5801000000000009E-2</v>
      </c>
      <c r="U155" s="323">
        <f ca="1">'MOD-Berechnungen'!T199+'MOD-Berechnungen'!T200+'MOD-Berechnungen'!T202</f>
        <v>-2.7015000000000018E-2</v>
      </c>
      <c r="V155" s="323">
        <f ca="1">'MOD-Berechnungen'!U199+'MOD-Berechnungen'!U200+'MOD-Berechnungen'!U202</f>
        <v>-1.2717299999999994E-2</v>
      </c>
      <c r="W155" s="323">
        <f ca="1">'MOD-Berechnungen'!V199+'MOD-Berechnungen'!V200+'MOD-Berechnungen'!V202</f>
        <v>4.4283000000000003E-2</v>
      </c>
      <c r="X155" s="323">
        <f ca="1">'MOD-Berechnungen'!W199+'MOD-Berechnungen'!W200+'MOD-Berechnungen'!W202</f>
        <v>2.2463999999999998E-2</v>
      </c>
      <c r="Y155" s="323">
        <f ca="1">'MOD-Berechnungen'!X199+'MOD-Berechnungen'!X200+'MOD-Berechnungen'!X202</f>
        <v>1.9484999999999995E-2</v>
      </c>
      <c r="Z155" s="323">
        <f ca="1">'MOD-Berechnungen'!Y199+'MOD-Berechnungen'!Y200+'MOD-Berechnungen'!Y202</f>
        <v>2.5295999999999999E-2</v>
      </c>
      <c r="AA155" s="323">
        <f ca="1">'MOD-Berechnungen'!Z199+'MOD-Berechnungen'!Z200+'MOD-Berechnungen'!Z202</f>
        <v>-9.3534619999999832E-2</v>
      </c>
      <c r="AB155" s="323">
        <f ca="1">'MOD-Berechnungen'!AA199+'MOD-Berechnungen'!AA200+'MOD-Berechnungen'!AA202</f>
        <v>-6.327019000000017E-2</v>
      </c>
      <c r="AC155" s="323">
        <f ca="1">'MOD-Berechnungen'!AB199+'MOD-Berechnungen'!AB200+'MOD-Berechnungen'!AB202</f>
        <v>-5.1644749999999795E-2</v>
      </c>
      <c r="AD155" s="323">
        <f ca="1">'MOD-Berechnungen'!AC199+'MOD-Berechnungen'!AC200+'MOD-Berechnungen'!AC202</f>
        <v>-2.9115350000000251E-2</v>
      </c>
      <c r="AE155" s="323">
        <f ca="1">'MOD-Berechnungen'!AD199+'MOD-Berechnungen'!AD200+'MOD-Berechnungen'!AD202</f>
        <v>-8.9350339999999903E-2</v>
      </c>
      <c r="AF155" s="324">
        <f ca="1">'MOD-Berechnungen'!AE199+'MOD-Berechnungen'!AE200+'MOD-Berechnungen'!AE202</f>
        <v>-0.30560678499999949</v>
      </c>
    </row>
    <row r="156" spans="1:32" s="301" customFormat="1">
      <c r="A156" s="561">
        <v>156</v>
      </c>
      <c r="C156" s="10"/>
      <c r="D156" s="29"/>
      <c r="E156" s="29"/>
      <c r="F156" s="574" t="s">
        <v>13</v>
      </c>
      <c r="G156" s="332">
        <f ca="1">'MOD-Berechnungen'!F201</f>
        <v>0.41799999999999998</v>
      </c>
      <c r="H156" s="332">
        <f ca="1">'MOD-Berechnungen'!G201</f>
        <v>0.86586812999999996</v>
      </c>
      <c r="I156" s="332">
        <f ca="1">'MOD-Berechnungen'!H201</f>
        <v>0.32809184000000102</v>
      </c>
      <c r="J156" s="332">
        <f ca="1">'MOD-Berechnungen'!I201</f>
        <v>0.67685502999999902</v>
      </c>
      <c r="K156" s="332">
        <f ca="1">'MOD-Berechnungen'!J201</f>
        <v>0.21741000000000099</v>
      </c>
      <c r="L156" s="332">
        <f ca="1">'MOD-Berechnungen'!K201</f>
        <v>0.23461600000000002</v>
      </c>
      <c r="M156" s="332">
        <f ca="1">'MOD-Berechnungen'!L201</f>
        <v>0.22497200000000001</v>
      </c>
      <c r="N156" s="332">
        <f ca="1">'MOD-Berechnungen'!M201</f>
        <v>0.30678699999999998</v>
      </c>
      <c r="O156" s="332">
        <f ca="1">'MOD-Berechnungen'!N201</f>
        <v>0.42751108100000101</v>
      </c>
      <c r="P156" s="332">
        <f ca="1">'MOD-Berechnungen'!O201</f>
        <v>0.33253365899999998</v>
      </c>
      <c r="Q156" s="332">
        <f ca="1">'MOD-Berechnungen'!P201</f>
        <v>0.17599999999999999</v>
      </c>
      <c r="R156" s="332">
        <f ca="1">'MOD-Berechnungen'!Q201</f>
        <v>-5.1810770000000006E-2</v>
      </c>
      <c r="S156" s="332">
        <f ca="1">'MOD-Berechnungen'!R201</f>
        <v>0.17876619999999832</v>
      </c>
      <c r="T156" s="332">
        <f ca="1">'MOD-Berechnungen'!S201</f>
        <v>0.22675084000000112</v>
      </c>
      <c r="U156" s="332">
        <f ca="1">'MOD-Berechnungen'!T201</f>
        <v>0.13504164999999979</v>
      </c>
      <c r="V156" s="332">
        <f ca="1">'MOD-Berechnungen'!U201</f>
        <v>-0.20550698999999994</v>
      </c>
      <c r="W156" s="332">
        <f ca="1">'MOD-Berechnungen'!V201</f>
        <v>-0.32873850000000004</v>
      </c>
      <c r="X156" s="332">
        <f ca="1">'MOD-Berechnungen'!W201</f>
        <v>-0.64800203000000089</v>
      </c>
      <c r="Y156" s="332">
        <f ca="1">'MOD-Berechnungen'!X201</f>
        <v>-0.4404923999999994</v>
      </c>
      <c r="Z156" s="332">
        <f ca="1">'MOD-Berechnungen'!Y201</f>
        <v>-0.15727639999999993</v>
      </c>
      <c r="AA156" s="332">
        <f ca="1">'MOD-Berechnungen'!Z201</f>
        <v>-0.25520799999999938</v>
      </c>
      <c r="AB156" s="332">
        <f ca="1">'MOD-Berechnungen'!AA201</f>
        <v>-0.43709159999999975</v>
      </c>
      <c r="AC156" s="332">
        <f ca="1">'MOD-Berechnungen'!AB201</f>
        <v>-0.85617406000000029</v>
      </c>
      <c r="AD156" s="332">
        <f ca="1">'MOD-Berechnungen'!AC201</f>
        <v>-0.13386470000000006</v>
      </c>
      <c r="AE156" s="332">
        <f ca="1">'MOD-Berechnungen'!AD201</f>
        <v>-5.6353910000000063E-2</v>
      </c>
      <c r="AF156" s="333">
        <f ca="1">'MOD-Berechnungen'!AE201</f>
        <v>-3.4616000000000008E-2</v>
      </c>
    </row>
    <row r="157" spans="1:32" s="301" customFormat="1">
      <c r="A157" s="561">
        <v>157</v>
      </c>
      <c r="C157" s="10"/>
      <c r="D157" s="29"/>
      <c r="E157" s="29"/>
      <c r="F157" s="574" t="s">
        <v>24</v>
      </c>
      <c r="G157" s="332">
        <f ca="1">'MOD-Berechnungen'!F203</f>
        <v>1.1357969999999999</v>
      </c>
      <c r="H157" s="332">
        <f ca="1">'MOD-Berechnungen'!G203</f>
        <v>1.4802979999999999</v>
      </c>
      <c r="I157" s="332">
        <f ca="1">'MOD-Berechnungen'!H203</f>
        <v>2.1865290000000002</v>
      </c>
      <c r="J157" s="332">
        <f ca="1">'MOD-Berechnungen'!I203</f>
        <v>2.2585709999999999</v>
      </c>
      <c r="K157" s="332">
        <f ca="1">'MOD-Berechnungen'!J203</f>
        <v>4.6522969999999999</v>
      </c>
      <c r="L157" s="332">
        <f ca="1">'MOD-Berechnungen'!K203</f>
        <v>3.6757774800000012</v>
      </c>
      <c r="M157" s="332">
        <f ca="1">'MOD-Berechnungen'!L203</f>
        <v>4.1014029999999995</v>
      </c>
      <c r="N157" s="332">
        <f ca="1">'MOD-Berechnungen'!M203</f>
        <v>5.1017450000000011</v>
      </c>
      <c r="O157" s="332">
        <f ca="1">'MOD-Berechnungen'!N203</f>
        <v>1.9031500000000001</v>
      </c>
      <c r="P157" s="332">
        <f ca="1">'MOD-Berechnungen'!O203</f>
        <v>0.89999999999999858</v>
      </c>
      <c r="Q157" s="332">
        <f ca="1">'MOD-Berechnungen'!P203</f>
        <v>0.80000000000000426</v>
      </c>
      <c r="R157" s="332">
        <f ca="1">'MOD-Berechnungen'!Q203</f>
        <v>-0.30579311000000331</v>
      </c>
      <c r="S157" s="332">
        <f ca="1">'MOD-Berechnungen'!R203</f>
        <v>-0.5936737999999977</v>
      </c>
      <c r="T157" s="332">
        <f ca="1">'MOD-Berechnungen'!S203</f>
        <v>-0.55020309000000012</v>
      </c>
      <c r="U157" s="332">
        <f ca="1">'MOD-Berechnungen'!T203</f>
        <v>-0.21786799999999928</v>
      </c>
      <c r="V157" s="332">
        <f ca="1">'MOD-Berechnungen'!U203</f>
        <v>0.44622899999999888</v>
      </c>
      <c r="W157" s="332">
        <f ca="1">'MOD-Berechnungen'!V203</f>
        <v>0.68595649999999964</v>
      </c>
      <c r="X157" s="332">
        <f ca="1">'MOD-Berechnungen'!W203</f>
        <v>0.27016200000000268</v>
      </c>
      <c r="Y157" s="332">
        <f ca="1">'MOD-Berechnungen'!X203</f>
        <v>0.81375379999999709</v>
      </c>
      <c r="Z157" s="332">
        <f ca="1">'MOD-Berechnungen'!Y203</f>
        <v>1.7281359999999992</v>
      </c>
      <c r="AA157" s="332">
        <f ca="1">'MOD-Berechnungen'!Z203</f>
        <v>-0.19933991999999989</v>
      </c>
      <c r="AB157" s="332">
        <f ca="1">'MOD-Berechnungen'!AA203</f>
        <v>1.0733403500000005</v>
      </c>
      <c r="AC157" s="332">
        <f ca="1">'MOD-Berechnungen'!AB203</f>
        <v>0.62351773999999871</v>
      </c>
      <c r="AD157" s="332">
        <f ca="1">'MOD-Berechnungen'!AC203</f>
        <v>7.8875470000000725E-2</v>
      </c>
      <c r="AE157" s="332">
        <f ca="1">'MOD-Berechnungen'!AD203</f>
        <v>-0.53243178999999952</v>
      </c>
      <c r="AF157" s="333">
        <f ca="1">'MOD-Berechnungen'!AE203</f>
        <v>-1.2872080000000001</v>
      </c>
    </row>
    <row r="158" spans="1:32" s="301" customFormat="1">
      <c r="A158" s="561">
        <v>158</v>
      </c>
      <c r="C158" s="10"/>
      <c r="D158" s="29"/>
      <c r="E158" s="29"/>
      <c r="F158" s="574" t="s">
        <v>26</v>
      </c>
      <c r="G158" s="332">
        <f ca="1">'MOD-Berechnungen'!F204</f>
        <v>4.4999999999999998E-2</v>
      </c>
      <c r="H158" s="332">
        <f ca="1">'MOD-Berechnungen'!G204</f>
        <v>0.108</v>
      </c>
      <c r="I158" s="332">
        <f ca="1">'MOD-Berechnungen'!H204</f>
        <v>0.08</v>
      </c>
      <c r="J158" s="332">
        <f ca="1">'MOD-Berechnungen'!I204</f>
        <v>0.24</v>
      </c>
      <c r="K158" s="332">
        <f ca="1">'MOD-Berechnungen'!J204</f>
        <v>0.48599999999999999</v>
      </c>
      <c r="L158" s="332">
        <f ca="1">'MOD-Berechnungen'!K204</f>
        <v>2.2890000000000001</v>
      </c>
      <c r="M158" s="332">
        <f ca="1">'MOD-Berechnungen'!L204</f>
        <v>0.86899999999999999</v>
      </c>
      <c r="N158" s="332">
        <f ca="1">'MOD-Berechnungen'!M204</f>
        <v>1.254</v>
      </c>
      <c r="O158" s="332">
        <f ca="1">'MOD-Berechnungen'!N204</f>
        <v>0.98699999999999999</v>
      </c>
      <c r="P158" s="332">
        <f ca="1">'MOD-Berechnungen'!O204</f>
        <v>1.135</v>
      </c>
      <c r="Q158" s="332">
        <f ca="1">'MOD-Berechnungen'!P204</f>
        <v>0.219</v>
      </c>
      <c r="R158" s="332">
        <f ca="1">'MOD-Berechnungen'!Q204</f>
        <v>0</v>
      </c>
      <c r="S158" s="332">
        <f ca="1">'MOD-Berechnungen'!R204</f>
        <v>0.34200000000000003</v>
      </c>
      <c r="T158" s="332">
        <f ca="1">'MOD-Berechnungen'!S204</f>
        <v>0.749</v>
      </c>
      <c r="U158" s="332">
        <f ca="1">'MOD-Berechnungen'!T204</f>
        <v>1.1259999999999999</v>
      </c>
      <c r="V158" s="332">
        <f ca="1">'MOD-Berechnungen'!U204</f>
        <v>0.9</v>
      </c>
      <c r="W158" s="332">
        <f ca="1">'MOD-Berechnungen'!V204</f>
        <v>0.95799999999999996</v>
      </c>
      <c r="X158" s="332">
        <f ca="1">'MOD-Berechnungen'!W204</f>
        <v>0.95799999999999996</v>
      </c>
      <c r="Y158" s="332">
        <f ca="1">'MOD-Berechnungen'!X204</f>
        <v>0.95799999999999996</v>
      </c>
      <c r="Z158" s="332">
        <f ca="1">'MOD-Berechnungen'!Y204</f>
        <v>0.95799999999999996</v>
      </c>
      <c r="AA158" s="332">
        <f ca="1">'MOD-Berechnungen'!Z204</f>
        <v>0.92619999999999991</v>
      </c>
      <c r="AB158" s="332">
        <f ca="1">'MOD-Berechnungen'!AA204</f>
        <v>0.91299999999999992</v>
      </c>
      <c r="AC158" s="332">
        <f ca="1">'MOD-Berechnungen'!AB204</f>
        <v>0.84970000000000001</v>
      </c>
      <c r="AD158" s="332">
        <f ca="1">'MOD-Berechnungen'!AC204</f>
        <v>0.878</v>
      </c>
      <c r="AE158" s="332">
        <f ca="1">'MOD-Berechnungen'!AD204</f>
        <v>0.71799999999999997</v>
      </c>
      <c r="AF158" s="333">
        <f ca="1">'MOD-Berechnungen'!AE204</f>
        <v>-1.3310000000000002</v>
      </c>
    </row>
    <row r="159" spans="1:32" s="301" customFormat="1">
      <c r="A159" s="561">
        <v>159</v>
      </c>
      <c r="C159" s="10"/>
      <c r="D159" s="29"/>
      <c r="E159" s="29"/>
      <c r="F159" s="576" t="s">
        <v>74</v>
      </c>
      <c r="G159" s="309">
        <f ca="1">'MOD-Berechnungen'!F205</f>
        <v>7.44</v>
      </c>
      <c r="H159" s="309">
        <f ca="1">'MOD-Berechnungen'!G205</f>
        <v>7.91</v>
      </c>
      <c r="I159" s="309">
        <f ca="1">'MOD-Berechnungen'!H205</f>
        <v>8.1609999999999996</v>
      </c>
      <c r="J159" s="309">
        <f ca="1">'MOD-Berechnungen'!I205</f>
        <v>2.633</v>
      </c>
      <c r="K159" s="309">
        <f ca="1">'MOD-Berechnungen'!J205</f>
        <v>1.19</v>
      </c>
      <c r="L159" s="309">
        <f ca="1">'MOD-Berechnungen'!K205</f>
        <v>1.3240000000000001</v>
      </c>
      <c r="M159" s="309">
        <f ca="1">'MOD-Berechnungen'!L205</f>
        <v>1.4550000000000001</v>
      </c>
      <c r="N159" s="309">
        <f ca="1">'MOD-Berechnungen'!M205</f>
        <v>1.6140000000000001</v>
      </c>
      <c r="O159" s="309">
        <f ca="1">'MOD-Berechnungen'!N205</f>
        <v>2.8650000000000002</v>
      </c>
      <c r="P159" s="309">
        <f ca="1">'MOD-Berechnungen'!O205</f>
        <v>3.8889999999999998</v>
      </c>
      <c r="Q159" s="309">
        <f ca="1">'MOD-Berechnungen'!P205</f>
        <v>4.8010000000000002</v>
      </c>
      <c r="R159" s="309">
        <f ca="1">'MOD-Berechnungen'!Q205</f>
        <v>5.2900275060000634</v>
      </c>
      <c r="S159" s="309">
        <f ca="1">'MOD-Berechnungen'!R205</f>
        <v>6.2263613100000006</v>
      </c>
      <c r="T159" s="309">
        <f ca="1">'MOD-Berechnungen'!S205</f>
        <v>8.2197784500000015</v>
      </c>
      <c r="U159" s="309">
        <f ca="1">'MOD-Berechnungen'!T205</f>
        <v>7.9865534499999971</v>
      </c>
      <c r="V159" s="309">
        <f ca="1">'MOD-Berechnungen'!U205</f>
        <v>7.1099706999999999</v>
      </c>
      <c r="W159" s="309">
        <f ca="1">'MOD-Berechnungen'!V205</f>
        <v>6.9073979400000018</v>
      </c>
      <c r="X159" s="309">
        <f ca="1">'MOD-Berechnungen'!W205</f>
        <v>2.1554050499999988</v>
      </c>
      <c r="Y159" s="309">
        <f ca="1">'MOD-Berechnungen'!X205</f>
        <v>1.7462488739999955</v>
      </c>
      <c r="Z159" s="309">
        <f ca="1">'MOD-Berechnungen'!Y205</f>
        <v>1.0204568900000019</v>
      </c>
      <c r="AA159" s="309">
        <f ca="1">'MOD-Berechnungen'!Z205</f>
        <v>-1.4384598400000144</v>
      </c>
      <c r="AB159" s="309">
        <f ca="1">'MOD-Berechnungen'!AA205</f>
        <v>-4.5938763400000333</v>
      </c>
      <c r="AC159" s="309">
        <f ca="1">'MOD-Berechnungen'!AB205</f>
        <v>-5.0003900600000044</v>
      </c>
      <c r="AD159" s="309">
        <f ca="1">'MOD-Berechnungen'!AC205</f>
        <v>-3.8422938800000237</v>
      </c>
      <c r="AE159" s="309">
        <f ca="1">'MOD-Berechnungen'!AD205</f>
        <v>-0.1356207599999868</v>
      </c>
      <c r="AF159" s="56">
        <f ca="1">'MOD-Berechnungen'!AE205</f>
        <v>1.6759999999999999</v>
      </c>
    </row>
    <row r="160" spans="1:32" s="301" customFormat="1">
      <c r="A160" s="561">
        <v>160</v>
      </c>
      <c r="C160" s="10"/>
      <c r="D160" s="29"/>
      <c r="E160" s="29"/>
      <c r="F160" s="36"/>
      <c r="G160" s="331"/>
      <c r="H160" s="331"/>
      <c r="I160" s="331"/>
      <c r="J160" s="331"/>
      <c r="K160" s="331"/>
      <c r="L160" s="331"/>
      <c r="M160" s="331"/>
      <c r="N160" s="331"/>
      <c r="O160" s="331"/>
      <c r="P160" s="331"/>
      <c r="Q160" s="331"/>
      <c r="R160" s="331"/>
      <c r="S160" s="331"/>
      <c r="T160" s="331"/>
      <c r="U160" s="331"/>
      <c r="V160" s="331"/>
      <c r="W160" s="331"/>
      <c r="X160" s="331"/>
      <c r="Y160" s="331"/>
      <c r="Z160" s="331"/>
      <c r="AA160" s="331"/>
      <c r="AB160" s="331"/>
      <c r="AC160" s="331"/>
      <c r="AD160" s="331"/>
      <c r="AE160" s="331"/>
      <c r="AF160" s="331"/>
    </row>
    <row r="161" spans="1:32" s="301" customFormat="1">
      <c r="A161" s="561">
        <v>161</v>
      </c>
      <c r="C161" s="10"/>
      <c r="D161" s="29"/>
      <c r="E161" s="29"/>
      <c r="F161" s="36"/>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row>
    <row r="162" spans="1:32" s="301" customFormat="1">
      <c r="A162" s="561">
        <v>162</v>
      </c>
      <c r="C162" s="10"/>
      <c r="D162" s="29"/>
      <c r="E162" s="29"/>
      <c r="F162" s="36"/>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F162" s="331"/>
    </row>
    <row r="163" spans="1:32" s="301" customFormat="1">
      <c r="A163" s="561">
        <v>163</v>
      </c>
      <c r="C163" s="10"/>
      <c r="D163" s="29"/>
      <c r="F163" s="199" t="s">
        <v>693</v>
      </c>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331"/>
      <c r="AF163" s="331"/>
    </row>
    <row r="164" spans="1:32" s="301" customFormat="1">
      <c r="A164" s="561">
        <v>164</v>
      </c>
      <c r="C164" s="10"/>
      <c r="D164" s="29"/>
      <c r="F164" s="627"/>
      <c r="G164" s="570">
        <v>2010</v>
      </c>
      <c r="H164" s="570">
        <v>2011</v>
      </c>
      <c r="I164" s="570">
        <v>2012</v>
      </c>
      <c r="J164" s="570">
        <v>2013</v>
      </c>
      <c r="K164" s="570">
        <v>2014</v>
      </c>
      <c r="L164" s="570">
        <v>2015</v>
      </c>
      <c r="M164" s="570">
        <v>2016</v>
      </c>
      <c r="N164" s="570">
        <v>2017</v>
      </c>
      <c r="O164" s="570">
        <v>2018</v>
      </c>
      <c r="P164" s="570">
        <v>2019</v>
      </c>
      <c r="Q164" s="570">
        <v>2020</v>
      </c>
      <c r="R164" s="570">
        <v>2021</v>
      </c>
      <c r="S164" s="570">
        <v>2022</v>
      </c>
      <c r="T164" s="570">
        <v>2023</v>
      </c>
      <c r="U164" s="570">
        <v>2024</v>
      </c>
      <c r="V164" s="570">
        <v>2025</v>
      </c>
      <c r="W164" s="570">
        <v>2026</v>
      </c>
      <c r="X164" s="570">
        <v>2027</v>
      </c>
      <c r="Y164" s="570">
        <v>2028</v>
      </c>
      <c r="Z164" s="570">
        <v>2029</v>
      </c>
      <c r="AA164" s="570">
        <v>2030</v>
      </c>
      <c r="AB164" s="570">
        <v>2031</v>
      </c>
      <c r="AC164" s="570">
        <v>2032</v>
      </c>
      <c r="AD164" s="570">
        <v>2033</v>
      </c>
      <c r="AE164" s="570">
        <v>2034</v>
      </c>
      <c r="AF164" s="571">
        <v>2035</v>
      </c>
    </row>
    <row r="165" spans="1:32" s="301" customFormat="1">
      <c r="A165" s="561">
        <v>165</v>
      </c>
      <c r="C165" s="10"/>
      <c r="D165" s="29"/>
      <c r="E165" s="29"/>
      <c r="F165" s="574" t="s">
        <v>394</v>
      </c>
      <c r="G165" s="323">
        <f t="shared" ref="G165" ca="1" si="40">G167-G166</f>
        <v>0</v>
      </c>
      <c r="H165" s="323">
        <f t="shared" ref="H165:AF165" ca="1" si="41">H167-H166</f>
        <v>0</v>
      </c>
      <c r="I165" s="323">
        <f t="shared" ca="1" si="41"/>
        <v>0</v>
      </c>
      <c r="J165" s="323">
        <f t="shared" ca="1" si="41"/>
        <v>0</v>
      </c>
      <c r="K165" s="323">
        <f t="shared" ca="1" si="41"/>
        <v>0</v>
      </c>
      <c r="L165" s="323">
        <f t="shared" ca="1" si="41"/>
        <v>0</v>
      </c>
      <c r="M165" s="323">
        <f t="shared" ca="1" si="41"/>
        <v>0</v>
      </c>
      <c r="N165" s="323">
        <f t="shared" ca="1" si="41"/>
        <v>0</v>
      </c>
      <c r="O165" s="323">
        <f t="shared" ca="1" si="41"/>
        <v>0</v>
      </c>
      <c r="P165" s="323">
        <f t="shared" ca="1" si="41"/>
        <v>0</v>
      </c>
      <c r="Q165" s="323">
        <f t="shared" ca="1" si="41"/>
        <v>0</v>
      </c>
      <c r="R165" s="323">
        <f t="shared" ca="1" si="41"/>
        <v>0.12397249399993626</v>
      </c>
      <c r="S165" s="323">
        <f t="shared" ca="1" si="41"/>
        <v>0.10863868999999937</v>
      </c>
      <c r="T165" s="323">
        <f t="shared" ca="1" si="41"/>
        <v>0.11022154999999856</v>
      </c>
      <c r="U165" s="323">
        <f t="shared" ca="1" si="41"/>
        <v>0.1424465500000025</v>
      </c>
      <c r="V165" s="323">
        <f t="shared" ca="1" si="41"/>
        <v>0.65602930000000015</v>
      </c>
      <c r="W165" s="323">
        <f t="shared" ca="1" si="41"/>
        <v>0.924602059999998</v>
      </c>
      <c r="X165" s="323">
        <f t="shared" ca="1" si="41"/>
        <v>0.84459495000000118</v>
      </c>
      <c r="Y165" s="323">
        <f t="shared" ca="1" si="41"/>
        <v>1.2537511260000045</v>
      </c>
      <c r="Z165" s="323">
        <f t="shared" ca="1" si="41"/>
        <v>1.9795431099999981</v>
      </c>
      <c r="AA165" s="323">
        <f t="shared" ca="1" si="41"/>
        <v>4.4384598400000144</v>
      </c>
      <c r="AB165" s="323">
        <f t="shared" ca="1" si="41"/>
        <v>7.5938763400000333</v>
      </c>
      <c r="AC165" s="323">
        <f t="shared" ca="1" si="41"/>
        <v>8.0003900600000044</v>
      </c>
      <c r="AD165" s="323">
        <f t="shared" ca="1" si="41"/>
        <v>6.8422938800000237</v>
      </c>
      <c r="AE165" s="323">
        <f t="shared" ca="1" si="41"/>
        <v>3.1356207599999868</v>
      </c>
      <c r="AF165" s="324">
        <f t="shared" ca="1" si="41"/>
        <v>1.3240000000000001</v>
      </c>
    </row>
    <row r="166" spans="1:32" s="301" customFormat="1">
      <c r="A166" s="561">
        <v>166</v>
      </c>
      <c r="C166" s="10"/>
      <c r="D166" s="29"/>
      <c r="E166" s="29"/>
      <c r="F166" s="574" t="s">
        <v>393</v>
      </c>
      <c r="G166" s="332">
        <f ca="1">VLOOKUP(Ergebnisse!$P$58,$F$155:$AF$159,G$154-$G$154+2,FALSE)</f>
        <v>7.44</v>
      </c>
      <c r="H166" s="332">
        <f ca="1">VLOOKUP(Ergebnisse!$P$58,$F$155:$AF$159,H$154-$G$154+2,FALSE)</f>
        <v>7.91</v>
      </c>
      <c r="I166" s="332">
        <f ca="1">VLOOKUP(Ergebnisse!$P$58,$F$155:$AF$159,I$154-$G$154+2,FALSE)</f>
        <v>8.1609999999999996</v>
      </c>
      <c r="J166" s="332">
        <f ca="1">VLOOKUP(Ergebnisse!$P$58,$F$155:$AF$159,J$154-$G$154+2,FALSE)</f>
        <v>2.633</v>
      </c>
      <c r="K166" s="332">
        <f ca="1">VLOOKUP(Ergebnisse!$P$58,$F$155:$AF$159,K$154-$G$154+2,FALSE)</f>
        <v>1.19</v>
      </c>
      <c r="L166" s="332">
        <f ca="1">VLOOKUP(Ergebnisse!$P$58,$F$155:$AF$159,L$154-$G$154+2,FALSE)</f>
        <v>1.3240000000000001</v>
      </c>
      <c r="M166" s="332">
        <f ca="1">VLOOKUP(Ergebnisse!$P$58,$F$155:$AF$159,M$154-$G$154+2,FALSE)</f>
        <v>1.4550000000000001</v>
      </c>
      <c r="N166" s="332">
        <f ca="1">VLOOKUP(Ergebnisse!$P$58,$F$155:$AF$159,N$154-$G$154+2,FALSE)</f>
        <v>1.6140000000000001</v>
      </c>
      <c r="O166" s="332">
        <f ca="1">VLOOKUP(Ergebnisse!$P$58,$F$155:$AF$159,O$154-$G$154+2,FALSE)</f>
        <v>2.8650000000000002</v>
      </c>
      <c r="P166" s="332">
        <f ca="1">VLOOKUP(Ergebnisse!$P$58,$F$155:$AF$159,P$154-$G$154+2,FALSE)</f>
        <v>3.8889999999999998</v>
      </c>
      <c r="Q166" s="332">
        <f ca="1">VLOOKUP(Ergebnisse!$P$58,$F$155:$AF$159,Q$154-$G$154+2,FALSE)</f>
        <v>4.8010000000000002</v>
      </c>
      <c r="R166" s="332">
        <f ca="1">VLOOKUP(Ergebnisse!$P$58,$F$155:$AF$159,R$154-$G$154+2,FALSE)</f>
        <v>5.2900275060000634</v>
      </c>
      <c r="S166" s="332">
        <f ca="1">VLOOKUP(Ergebnisse!$P$58,$F$155:$AF$159,S$154-$G$154+2,FALSE)</f>
        <v>6.2263613100000006</v>
      </c>
      <c r="T166" s="332">
        <f ca="1">VLOOKUP(Ergebnisse!$P$58,$F$155:$AF$159,T$154-$G$154+2,FALSE)</f>
        <v>8.2197784500000015</v>
      </c>
      <c r="U166" s="332">
        <f ca="1">VLOOKUP(Ergebnisse!$P$58,$F$155:$AF$159,U$154-$G$154+2,FALSE)</f>
        <v>7.9865534499999971</v>
      </c>
      <c r="V166" s="332">
        <f ca="1">VLOOKUP(Ergebnisse!$P$58,$F$155:$AF$159,V$154-$G$154+2,FALSE)</f>
        <v>7.1099706999999999</v>
      </c>
      <c r="W166" s="332">
        <f ca="1">VLOOKUP(Ergebnisse!$P$58,$F$155:$AF$159,W$154-$G$154+2,FALSE)</f>
        <v>6.9073979400000018</v>
      </c>
      <c r="X166" s="332">
        <f ca="1">VLOOKUP(Ergebnisse!$P$58,$F$155:$AF$159,X$154-$G$154+2,FALSE)</f>
        <v>2.1554050499999988</v>
      </c>
      <c r="Y166" s="332">
        <f ca="1">VLOOKUP(Ergebnisse!$P$58,$F$155:$AF$159,Y$154-$G$154+2,FALSE)</f>
        <v>1.7462488739999955</v>
      </c>
      <c r="Z166" s="332">
        <f ca="1">VLOOKUP(Ergebnisse!$P$58,$F$155:$AF$159,Z$154-$G$154+2,FALSE)</f>
        <v>1.0204568900000019</v>
      </c>
      <c r="AA166" s="332">
        <f ca="1">VLOOKUP(Ergebnisse!$P$58,$F$155:$AF$159,AA$154-$G$154+2,FALSE)</f>
        <v>-1.4384598400000144</v>
      </c>
      <c r="AB166" s="332">
        <f ca="1">VLOOKUP(Ergebnisse!$P$58,$F$155:$AF$159,AB$154-$G$154+2,FALSE)</f>
        <v>-4.5938763400000333</v>
      </c>
      <c r="AC166" s="332">
        <f ca="1">VLOOKUP(Ergebnisse!$P$58,$F$155:$AF$159,AC$154-$G$154+2,FALSE)</f>
        <v>-5.0003900600000044</v>
      </c>
      <c r="AD166" s="332">
        <f ca="1">VLOOKUP(Ergebnisse!$P$58,$F$155:$AF$159,AD$154-$G$154+2,FALSE)</f>
        <v>-3.8422938800000237</v>
      </c>
      <c r="AE166" s="332">
        <f ca="1">VLOOKUP(Ergebnisse!$P$58,$F$155:$AF$159,AE$154-$G$154+2,FALSE)</f>
        <v>-0.1356207599999868</v>
      </c>
      <c r="AF166" s="333">
        <f ca="1">VLOOKUP(Ergebnisse!$P$58,$F$155:$AF$159,AF$154-$G$154+2,FALSE)</f>
        <v>1.6759999999999999</v>
      </c>
    </row>
    <row r="167" spans="1:32" s="301" customFormat="1">
      <c r="A167" s="561">
        <v>167</v>
      </c>
      <c r="C167" s="10"/>
      <c r="D167" s="29"/>
      <c r="E167" s="29"/>
      <c r="F167" s="574" t="s">
        <v>392</v>
      </c>
      <c r="G167" s="332">
        <f>VLOOKUP(Ergebnisse!$P$58,$F$147:$AF$151,G$146-$G$146+2,FALSE)</f>
        <v>7.44</v>
      </c>
      <c r="H167" s="332">
        <f>VLOOKUP(Ergebnisse!$P$58,$F$147:$AF$151,H$146-$G$146+2,FALSE)</f>
        <v>7.91</v>
      </c>
      <c r="I167" s="332">
        <f>VLOOKUP(Ergebnisse!$P$58,$F$147:$AF$151,I$146-$G$146+2,FALSE)</f>
        <v>8.1609999999999996</v>
      </c>
      <c r="J167" s="332">
        <f>VLOOKUP(Ergebnisse!$P$58,$F$147:$AF$151,J$146-$G$146+2,FALSE)</f>
        <v>2.633</v>
      </c>
      <c r="K167" s="332">
        <f>VLOOKUP(Ergebnisse!$P$58,$F$147:$AF$151,K$146-$G$146+2,FALSE)</f>
        <v>1.19</v>
      </c>
      <c r="L167" s="332">
        <f>VLOOKUP(Ergebnisse!$P$58,$F$147:$AF$151,L$146-$G$146+2,FALSE)</f>
        <v>1.3240000000000001</v>
      </c>
      <c r="M167" s="332">
        <f>VLOOKUP(Ergebnisse!$P$58,$F$147:$AF$151,M$146-$G$146+2,FALSE)</f>
        <v>1.4550000000000001</v>
      </c>
      <c r="N167" s="332">
        <f>VLOOKUP(Ergebnisse!$P$58,$F$147:$AF$151,N$146-$G$146+2,FALSE)</f>
        <v>1.6140000000000001</v>
      </c>
      <c r="O167" s="332">
        <f>VLOOKUP(Ergebnisse!$P$58,$F$147:$AF$151,O$146-$G$146+2,FALSE)</f>
        <v>2.8650000000000002</v>
      </c>
      <c r="P167" s="332">
        <f>VLOOKUP(Ergebnisse!$P$58,$F$147:$AF$151,P$146-$G$146+2,FALSE)</f>
        <v>3.8889999999999998</v>
      </c>
      <c r="Q167" s="332">
        <f>VLOOKUP(Ergebnisse!$P$58,$F$147:$AF$151,Q$146-$G$146+2,FALSE)</f>
        <v>4.8010000000000002</v>
      </c>
      <c r="R167" s="332">
        <f>VLOOKUP(Ergebnisse!$P$58,$F$147:$AF$151,R$146-$G$146+2,FALSE)</f>
        <v>5.4139999999999997</v>
      </c>
      <c r="S167" s="332">
        <f>VLOOKUP(Ergebnisse!$P$58,$F$147:$AF$151,S$146-$G$146+2,FALSE)</f>
        <v>6.335</v>
      </c>
      <c r="T167" s="332">
        <f>VLOOKUP(Ergebnisse!$P$58,$F$147:$AF$151,T$146-$G$146+2,FALSE)</f>
        <v>8.33</v>
      </c>
      <c r="U167" s="332">
        <f>VLOOKUP(Ergebnisse!$P$58,$F$147:$AF$151,U$146-$G$146+2,FALSE)</f>
        <v>8.1289999999999996</v>
      </c>
      <c r="V167" s="332">
        <f>VLOOKUP(Ergebnisse!$P$58,$F$147:$AF$151,V$146-$G$146+2,FALSE)</f>
        <v>7.766</v>
      </c>
      <c r="W167" s="332">
        <f>VLOOKUP(Ergebnisse!$P$58,$F$147:$AF$151,W$146-$G$146+2,FALSE)</f>
        <v>7.8319999999999999</v>
      </c>
      <c r="X167" s="332">
        <f>VLOOKUP(Ergebnisse!$P$58,$F$147:$AF$151,X$146-$G$146+2,FALSE)</f>
        <v>3</v>
      </c>
      <c r="Y167" s="332">
        <f>VLOOKUP(Ergebnisse!$P$58,$F$147:$AF$151,Y$146-$G$146+2,FALSE)</f>
        <v>3</v>
      </c>
      <c r="Z167" s="332">
        <f>VLOOKUP(Ergebnisse!$P$58,$F$147:$AF$151,Z$146-$G$146+2,FALSE)</f>
        <v>3</v>
      </c>
      <c r="AA167" s="332">
        <f>VLOOKUP(Ergebnisse!$P$58,$F$147:$AF$151,AA$146-$G$146+2,FALSE)</f>
        <v>3</v>
      </c>
      <c r="AB167" s="332">
        <f>VLOOKUP(Ergebnisse!$P$58,$F$147:$AF$151,AB$146-$G$146+2,FALSE)</f>
        <v>3</v>
      </c>
      <c r="AC167" s="332">
        <f>VLOOKUP(Ergebnisse!$P$58,$F$147:$AF$151,AC$146-$G$146+2,FALSE)</f>
        <v>3</v>
      </c>
      <c r="AD167" s="332">
        <f>VLOOKUP(Ergebnisse!$P$58,$F$147:$AF$151,AD$146-$G$146+2,FALSE)</f>
        <v>3</v>
      </c>
      <c r="AE167" s="332">
        <f>VLOOKUP(Ergebnisse!$P$58,$F$147:$AF$151,AE$146-$G$146+2,FALSE)</f>
        <v>3</v>
      </c>
      <c r="AF167" s="333">
        <f>VLOOKUP(Ergebnisse!$P$58,$F$147:$AF$151,AF$146-$G$146+2,FALSE)</f>
        <v>3</v>
      </c>
    </row>
    <row r="168" spans="1:32" s="301" customFormat="1" ht="25.5">
      <c r="A168" s="561">
        <v>168</v>
      </c>
      <c r="C168" s="10"/>
      <c r="D168" s="29"/>
      <c r="E168" s="29"/>
      <c r="F168" s="646" t="s">
        <v>572</v>
      </c>
      <c r="G168" s="309">
        <f ca="1">-G165</f>
        <v>0</v>
      </c>
      <c r="H168" s="309">
        <f t="shared" ref="H168:AF168" ca="1" si="42">-H165</f>
        <v>0</v>
      </c>
      <c r="I168" s="309">
        <f t="shared" ca="1" si="42"/>
        <v>0</v>
      </c>
      <c r="J168" s="309">
        <f t="shared" ca="1" si="42"/>
        <v>0</v>
      </c>
      <c r="K168" s="309">
        <f t="shared" ca="1" si="42"/>
        <v>0</v>
      </c>
      <c r="L168" s="309">
        <f t="shared" ca="1" si="42"/>
        <v>0</v>
      </c>
      <c r="M168" s="309">
        <f t="shared" ca="1" si="42"/>
        <v>0</v>
      </c>
      <c r="N168" s="309">
        <f t="shared" ca="1" si="42"/>
        <v>0</v>
      </c>
      <c r="O168" s="309">
        <f t="shared" ca="1" si="42"/>
        <v>0</v>
      </c>
      <c r="P168" s="309">
        <f t="shared" ca="1" si="42"/>
        <v>0</v>
      </c>
      <c r="Q168" s="309">
        <f t="shared" ca="1" si="42"/>
        <v>0</v>
      </c>
      <c r="R168" s="309">
        <f t="shared" ca="1" si="42"/>
        <v>-0.12397249399993626</v>
      </c>
      <c r="S168" s="309">
        <f t="shared" ca="1" si="42"/>
        <v>-0.10863868999999937</v>
      </c>
      <c r="T168" s="309">
        <f t="shared" ca="1" si="42"/>
        <v>-0.11022154999999856</v>
      </c>
      <c r="U168" s="309">
        <f t="shared" ca="1" si="42"/>
        <v>-0.1424465500000025</v>
      </c>
      <c r="V168" s="309">
        <f t="shared" ca="1" si="42"/>
        <v>-0.65602930000000015</v>
      </c>
      <c r="W168" s="309">
        <f t="shared" ca="1" si="42"/>
        <v>-0.924602059999998</v>
      </c>
      <c r="X168" s="309">
        <f t="shared" ca="1" si="42"/>
        <v>-0.84459495000000118</v>
      </c>
      <c r="Y168" s="309">
        <f t="shared" ca="1" si="42"/>
        <v>-1.2537511260000045</v>
      </c>
      <c r="Z168" s="309">
        <f t="shared" ca="1" si="42"/>
        <v>-1.9795431099999981</v>
      </c>
      <c r="AA168" s="309">
        <f t="shared" ca="1" si="42"/>
        <v>-4.4384598400000144</v>
      </c>
      <c r="AB168" s="309">
        <f t="shared" ca="1" si="42"/>
        <v>-7.5938763400000333</v>
      </c>
      <c r="AC168" s="309">
        <f t="shared" ca="1" si="42"/>
        <v>-8.0003900600000044</v>
      </c>
      <c r="AD168" s="309">
        <f t="shared" ca="1" si="42"/>
        <v>-6.8422938800000237</v>
      </c>
      <c r="AE168" s="309">
        <f t="shared" ca="1" si="42"/>
        <v>-3.1356207599999868</v>
      </c>
      <c r="AF168" s="56">
        <f t="shared" ca="1" si="42"/>
        <v>-1.3240000000000001</v>
      </c>
    </row>
    <row r="169" spans="1:32" s="301" customFormat="1">
      <c r="A169" s="561">
        <v>169</v>
      </c>
      <c r="C169" s="10"/>
      <c r="D169" s="29"/>
      <c r="E169" s="29"/>
      <c r="F169" s="36"/>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row>
    <row r="170" spans="1:32" s="301" customFormat="1">
      <c r="C170" s="10"/>
      <c r="D170" s="29"/>
      <c r="E170" s="29"/>
      <c r="F170" s="36"/>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row>
    <row r="171" spans="1:32" s="301" customFormat="1">
      <c r="C171" s="10"/>
      <c r="D171" s="29"/>
      <c r="E171" s="29"/>
      <c r="F171" s="36"/>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row>
    <row r="172" spans="1:32" s="301" customFormat="1">
      <c r="C172" s="10"/>
      <c r="D172" s="29"/>
      <c r="E172" s="29"/>
      <c r="F172" s="322" t="s">
        <v>906</v>
      </c>
      <c r="G172" s="331"/>
      <c r="H172" s="331"/>
      <c r="I172" s="331"/>
      <c r="J172" s="331"/>
      <c r="K172" s="331"/>
      <c r="L172" s="331"/>
      <c r="M172" s="331"/>
      <c r="N172" s="331"/>
      <c r="O172" s="331"/>
      <c r="P172" s="331"/>
      <c r="Q172" s="331"/>
      <c r="R172" s="331"/>
      <c r="S172" s="331"/>
      <c r="T172" s="331"/>
      <c r="U172" s="331"/>
      <c r="V172" s="331"/>
      <c r="W172" s="331"/>
      <c r="X172" s="331"/>
      <c r="Y172" s="331"/>
      <c r="Z172" s="331"/>
      <c r="AA172" s="331"/>
      <c r="AB172" s="331"/>
      <c r="AC172" s="331"/>
      <c r="AD172" s="331"/>
      <c r="AE172" s="331"/>
      <c r="AF172" s="331"/>
    </row>
    <row r="173" spans="1:32" s="301" customFormat="1">
      <c r="C173" s="10"/>
      <c r="D173" s="29"/>
      <c r="E173" s="29"/>
      <c r="F173" s="302" t="s">
        <v>25</v>
      </c>
      <c r="G173" s="331">
        <f>'MOD-Berechnungen'!F74*'MOD-Berechnungen'!F47+'MOD-Berechnungen'!F228</f>
        <v>0</v>
      </c>
      <c r="H173" s="331">
        <f>'MOD-Berechnungen'!G74*'MOD-Berechnungen'!G47+'MOD-Berechnungen'!G228</f>
        <v>0</v>
      </c>
      <c r="I173" s="331">
        <f>'MOD-Berechnungen'!H74*'MOD-Berechnungen'!H47+'MOD-Berechnungen'!H228</f>
        <v>0</v>
      </c>
      <c r="J173" s="331">
        <f>'MOD-Berechnungen'!I74*'MOD-Berechnungen'!I47+'MOD-Berechnungen'!I228</f>
        <v>0</v>
      </c>
      <c r="K173" s="331">
        <f>'MOD-Berechnungen'!J74*'MOD-Berechnungen'!J47+'MOD-Berechnungen'!J228</f>
        <v>6.3400577197004209</v>
      </c>
      <c r="L173" s="331">
        <f>'MOD-Berechnungen'!K74*'MOD-Berechnungen'!K47+(0.5*'MOD-Berechnungen'!K56*'MOD-Berechnungen'!K92)*'MOD-Berechnungen'!K47/1000</f>
        <v>6.9406353256876816</v>
      </c>
      <c r="M173" s="331">
        <f>'MOD-Berechnungen'!L74*'MOD-Berechnungen'!L47+(SUMPRODUCT('MOD-Berechnungen'!$K56:K56,'MOD-Berechnungen'!$K92:K92) + 0.5*'MOD-Berechnungen'!L56*'MOD-Berechnungen'!L92)*'MOD-Berechnungen'!L47/1000</f>
        <v>7.5586783573676808</v>
      </c>
      <c r="N173" s="331">
        <f>'MOD-Berechnungen'!M74*'MOD-Berechnungen'!M47+(SUMPRODUCT('MOD-Berechnungen'!$K56:L56,'MOD-Berechnungen'!$K92:L92) + 0.5*'MOD-Berechnungen'!M56*'MOD-Berechnungen'!M92)*'MOD-Berechnungen'!M47/1000</f>
        <v>7.6121511643176802</v>
      </c>
      <c r="O173" s="331">
        <f>'MOD-Berechnungen'!N74*'MOD-Berechnungen'!N47+(SUMPRODUCT('MOD-Berechnungen'!$K56:M56,'MOD-Berechnungen'!$K92:M92) + 0.5*'MOD-Berechnungen'!N56*'MOD-Berechnungen'!N92)*'MOD-Berechnungen'!N47/1000</f>
        <v>7.6525023643176802</v>
      </c>
      <c r="P173" s="331">
        <f>'MOD-Berechnungen'!O74*'MOD-Berechnungen'!O47+(SUMPRODUCT('MOD-Berechnungen'!$K56:N56,'MOD-Berechnungen'!$K92:N92) + 0.5*'MOD-Berechnungen'!O56*'MOD-Berechnungen'!O92)*'MOD-Berechnungen'!O47/1000</f>
        <v>7.7157983643176804</v>
      </c>
      <c r="Q173" s="331">
        <f>'MOD-Berechnungen'!P74*'MOD-Berechnungen'!P47+(SUMPRODUCT('MOD-Berechnungen'!$K56:O56,'MOD-Berechnungen'!$K92:O92) + 0.5*'MOD-Berechnungen'!P56*'MOD-Berechnungen'!P92)*'MOD-Berechnungen'!P47/1000</f>
        <v>7.7751383643176801</v>
      </c>
      <c r="R173" s="331">
        <f>'MOD-Berechnungen'!Q74*'MOD-Berechnungen'!Q47+(SUMPRODUCT('MOD-Berechnungen'!$K56:P56,'MOD-Berechnungen'!$K92:P92) + 0.5*'MOD-Berechnungen'!Q56*'MOD-Berechnungen'!Q92)*'MOD-Berechnungen'!Q47/1000</f>
        <v>7.8285023643176803</v>
      </c>
      <c r="S173" s="331">
        <f>'MOD-Berechnungen'!R74*'MOD-Berechnungen'!R47+(SUMPRODUCT('MOD-Berechnungen'!$K56:Q56,'MOD-Berechnungen'!$K92:Q92) + 0.5*'MOD-Berechnungen'!R56*'MOD-Berechnungen'!R92)*'MOD-Berechnungen'!R47/1000</f>
        <v>7.8768543643176798</v>
      </c>
      <c r="T173" s="331">
        <f>'MOD-Berechnungen'!S74*'MOD-Berechnungen'!S47+(SUMPRODUCT('MOD-Berechnungen'!$K56:R56,'MOD-Berechnungen'!$K92:R92) + 0.5*'MOD-Berechnungen'!S56*'MOD-Berechnungen'!S92)*'MOD-Berechnungen'!S47/1000</f>
        <v>7.9182748643176799</v>
      </c>
      <c r="U173" s="331">
        <f>'MOD-Berechnungen'!T74*'MOD-Berechnungen'!T47+(SUMPRODUCT('MOD-Berechnungen'!$K56:S56,'MOD-Berechnungen'!$K92:S92) + 0.5*'MOD-Berechnungen'!T56*'MOD-Berechnungen'!T92)*'MOD-Berechnungen'!T47/1000</f>
        <v>7.9597228643176798</v>
      </c>
      <c r="V173" s="331">
        <f>'MOD-Berechnungen'!U74*'MOD-Berechnungen'!U47+(SUMPRODUCT('MOD-Berechnungen'!$K56:T56,'MOD-Berechnungen'!$K92:T92) + 0.5*'MOD-Berechnungen'!U56*'MOD-Berechnungen'!U92)*'MOD-Berechnungen'!U47/1000</f>
        <v>8.0011983643176805</v>
      </c>
      <c r="W173" s="331">
        <f>'MOD-Berechnungen'!V74*'MOD-Berechnungen'!V47+(SUMPRODUCT('MOD-Berechnungen'!$K56:U56,'MOD-Berechnungen'!$K92:U92) + 0.5*'MOD-Berechnungen'!V56*'MOD-Berechnungen'!V92)*'MOD-Berechnungen'!V47/1000</f>
        <v>8.0427013643176792</v>
      </c>
      <c r="X173" s="331">
        <f>'MOD-Berechnungen'!W74*'MOD-Berechnungen'!W47+(SUMPRODUCT('MOD-Berechnungen'!$K56:V56,'MOD-Berechnungen'!$K92:V92) + 0.5*'MOD-Berechnungen'!W56*'MOD-Berechnungen'!W92)*'MOD-Berechnungen'!W47/1000</f>
        <v>8.0842153643176804</v>
      </c>
      <c r="Y173" s="331">
        <f>'MOD-Berechnungen'!X74*'MOD-Berechnungen'!X47+(SUMPRODUCT('MOD-Berechnungen'!$K56:W56,'MOD-Berechnungen'!$K92:W92) + 0.5*'MOD-Berechnungen'!X56*'MOD-Berechnungen'!X92)*'MOD-Berechnungen'!X47/1000</f>
        <v>8.1257293643176798</v>
      </c>
      <c r="Z173" s="331">
        <f>'MOD-Berechnungen'!Y74*'MOD-Berechnungen'!Y47+(SUMPRODUCT('MOD-Berechnungen'!$K56:X56,'MOD-Berechnungen'!$K92:X92) + 0.5*'MOD-Berechnungen'!Y56*'MOD-Berechnungen'!Y92)*'MOD-Berechnungen'!Y47/1000</f>
        <v>8.1672433643176792</v>
      </c>
      <c r="AA173" s="331">
        <f>'MOD-Berechnungen'!Z74*'MOD-Berechnungen'!Z47+(SUMPRODUCT('MOD-Berechnungen'!$K56:Y56,'MOD-Berechnungen'!$K92:Y92) + 0.5*'MOD-Berechnungen'!Z56*'MOD-Berechnungen'!Z92)*'MOD-Berechnungen'!Z47/1000</f>
        <v>7.6697753311220049</v>
      </c>
      <c r="AB173" s="331">
        <f>'MOD-Berechnungen'!AA74*'MOD-Berechnungen'!AA47+(SUMPRODUCT('MOD-Berechnungen'!$K56:Z56,'MOD-Berechnungen'!$K92:Z92) + 0.5*'MOD-Berechnungen'!AA56*'MOD-Berechnungen'!AA92)*'MOD-Berechnungen'!AA47/1000</f>
        <v>7.2455546923876017</v>
      </c>
      <c r="AC173" s="331">
        <f>'MOD-Berechnungen'!AB74*'MOD-Berechnungen'!AB47+(SUMPRODUCT('MOD-Berechnungen'!$K56:AA56,'MOD-Berechnungen'!$K92:AA92) + 0.5*'MOD-Berechnungen'!AB56*'MOD-Berechnungen'!AB92)*'MOD-Berechnungen'!AB47/1000</f>
        <v>6.9661238299348236</v>
      </c>
      <c r="AD173" s="331">
        <f>'MOD-Berechnungen'!AC74*'MOD-Berechnungen'!AC47+(SUMPRODUCT('MOD-Berechnungen'!$K56:AB56,'MOD-Berechnungen'!$K92:AB92) + 0.5*'MOD-Berechnungen'!AC56*'MOD-Berechnungen'!AC92)*'MOD-Berechnungen'!AC47/1000</f>
        <v>6.8216376223524584</v>
      </c>
      <c r="AE173" s="331">
        <f>'MOD-Berechnungen'!AD74*'MOD-Berechnungen'!AD47+(SUMPRODUCT('MOD-Berechnungen'!$K56:AC56,'MOD-Berechnungen'!$K92:AC92) + 0.5*'MOD-Berechnungen'!AD56*'MOD-Berechnungen'!AD92)*'MOD-Berechnungen'!AD47/1000</f>
        <v>6.262486395106631</v>
      </c>
      <c r="AF173" s="331">
        <f>'MOD-Berechnungen'!AE74*'MOD-Berechnungen'!AE47+(SUMPRODUCT('MOD-Berechnungen'!$K56:AD56,'MOD-Berechnungen'!$K92:AD92) + 0.5*'MOD-Berechnungen'!AE56*'MOD-Berechnungen'!AE92)*'MOD-Berechnungen'!AE47/1000</f>
        <v>6.2533480325921094</v>
      </c>
    </row>
    <row r="174" spans="1:32" s="301" customFormat="1">
      <c r="C174" s="10"/>
      <c r="D174" s="29"/>
      <c r="E174" s="29"/>
      <c r="F174" s="304" t="s">
        <v>50</v>
      </c>
      <c r="G174" s="331">
        <f>'MOD-Berechnungen'!F75*'MOD-Berechnungen'!F48+'MOD-Berechnungen'!F229</f>
        <v>0</v>
      </c>
      <c r="H174" s="331">
        <f>'MOD-Berechnungen'!G75*'MOD-Berechnungen'!G48+'MOD-Berechnungen'!G229</f>
        <v>0</v>
      </c>
      <c r="I174" s="331">
        <f>'MOD-Berechnungen'!H75*'MOD-Berechnungen'!H48+'MOD-Berechnungen'!H229</f>
        <v>0</v>
      </c>
      <c r="J174" s="331">
        <f>'MOD-Berechnungen'!I75*'MOD-Berechnungen'!I48+'MOD-Berechnungen'!I229</f>
        <v>0</v>
      </c>
      <c r="K174" s="331">
        <f>'MOD-Berechnungen'!J75*'MOD-Berechnungen'!J48+'MOD-Berechnungen'!J229</f>
        <v>1.4340048917520307</v>
      </c>
      <c r="L174" s="331">
        <f>'MOD-Berechnungen'!K75*'MOD-Berechnungen'!K48+(0.5*'MOD-Berechnungen'!K57*'MOD-Berechnungen'!K93)*'MOD-Berechnungen'!K48/1000</f>
        <v>1.5044718322409674</v>
      </c>
      <c r="M174" s="331">
        <f>'MOD-Berechnungen'!L75*'MOD-Berechnungen'!L48+(SUMPRODUCT('MOD-Berechnungen'!$K57:K57,'MOD-Berechnungen'!$K93:K93) + 0.5*'MOD-Berechnungen'!L57*'MOD-Berechnungen'!L93)*'MOD-Berechnungen'!L48/1000</f>
        <v>1.5768024652409671</v>
      </c>
      <c r="N174" s="331">
        <f>'MOD-Berechnungen'!M75*'MOD-Berechnungen'!M48+(SUMPRODUCT('MOD-Berechnungen'!$K57:L57,'MOD-Berechnungen'!$K93:L93) + 0.5*'MOD-Berechnungen'!M57*'MOD-Berechnungen'!M93)*'MOD-Berechnungen'!M48/1000</f>
        <v>1.586078707240967</v>
      </c>
      <c r="O174" s="331">
        <f>'MOD-Berechnungen'!N75*'MOD-Berechnungen'!N48+(SUMPRODUCT('MOD-Berechnungen'!$K57:M57,'MOD-Berechnungen'!$K93:M93) + 0.5*'MOD-Berechnungen'!N57*'MOD-Berechnungen'!N93)*'MOD-Berechnungen'!N48/1000</f>
        <v>1.600732107240967</v>
      </c>
      <c r="P174" s="331">
        <f>'MOD-Berechnungen'!O75*'MOD-Berechnungen'!O48+(SUMPRODUCT('MOD-Berechnungen'!$K57:N57,'MOD-Berechnungen'!$K93:N93) + 0.5*'MOD-Berechnungen'!O57*'MOD-Berechnungen'!O93)*'MOD-Berechnungen'!O48/1000</f>
        <v>1.615718107240967</v>
      </c>
      <c r="Q174" s="331">
        <f>'MOD-Berechnungen'!P75*'MOD-Berechnungen'!P48+(SUMPRODUCT('MOD-Berechnungen'!$K57:O57,'MOD-Berechnungen'!$K93:O93) + 0.5*'MOD-Berechnungen'!P57*'MOD-Berechnungen'!P93)*'MOD-Berechnungen'!P48/1000</f>
        <v>1.6227754725805457</v>
      </c>
      <c r="R174" s="331">
        <f>'MOD-Berechnungen'!Q75*'MOD-Berechnungen'!Q48+(SUMPRODUCT('MOD-Berechnungen'!$K57:P57,'MOD-Berechnungen'!$K93:P93) + 0.5*'MOD-Berechnungen'!Q57*'MOD-Berechnungen'!Q93)*'MOD-Berechnungen'!Q48/1000</f>
        <v>1.3036473548642735</v>
      </c>
      <c r="S174" s="331">
        <f>'MOD-Berechnungen'!R75*'MOD-Berechnungen'!R48+(SUMPRODUCT('MOD-Berechnungen'!$K57:Q57,'MOD-Berechnungen'!$K93:Q93) + 0.5*'MOD-Berechnungen'!R57*'MOD-Berechnungen'!R93)*'MOD-Berechnungen'!R48/1000</f>
        <v>1.2101837322958595</v>
      </c>
      <c r="T174" s="331">
        <f>'MOD-Berechnungen'!S75*'MOD-Berechnungen'!S48+(SUMPRODUCT('MOD-Berechnungen'!$K57:R57,'MOD-Berechnungen'!$K93:R93) + 0.5*'MOD-Berechnungen'!S57*'MOD-Berechnungen'!S93)*'MOD-Berechnungen'!S48/1000</f>
        <v>0.94870852436085795</v>
      </c>
      <c r="U174" s="331">
        <f>'MOD-Berechnungen'!T75*'MOD-Berechnungen'!T48+(SUMPRODUCT('MOD-Berechnungen'!$K57:S57,'MOD-Berechnungen'!$K93:S93) + 0.5*'MOD-Berechnungen'!T57*'MOD-Berechnungen'!T93)*'MOD-Berechnungen'!T48/1000</f>
        <v>0.65301023634562494</v>
      </c>
      <c r="V174" s="331">
        <f>'MOD-Berechnungen'!U75*'MOD-Berechnungen'!U48+(SUMPRODUCT('MOD-Berechnungen'!$K57:T57,'MOD-Berechnungen'!$K93:T93) + 0.5*'MOD-Berechnungen'!U57*'MOD-Berechnungen'!U93)*'MOD-Berechnungen'!U48/1000</f>
        <v>0.3772665231693284</v>
      </c>
      <c r="W174" s="331">
        <f>'MOD-Berechnungen'!V75*'MOD-Berechnungen'!V48+(SUMPRODUCT('MOD-Berechnungen'!$K57:U57,'MOD-Berechnungen'!$K93:U93) + 0.5*'MOD-Berechnungen'!V57*'MOD-Berechnungen'!V93)*'MOD-Berechnungen'!V48/1000</f>
        <v>0.35529649515235129</v>
      </c>
      <c r="X174" s="331">
        <f>'MOD-Berechnungen'!W75*'MOD-Berechnungen'!W48+(SUMPRODUCT('MOD-Berechnungen'!$K57:V57,'MOD-Berechnungen'!$K93:V93) + 0.5*'MOD-Berechnungen'!W57*'MOD-Berechnungen'!W93)*'MOD-Berechnungen'!W48/1000</f>
        <v>0.35718880733497282</v>
      </c>
      <c r="Y174" s="331">
        <f>'MOD-Berechnungen'!X75*'MOD-Berechnungen'!X48+(SUMPRODUCT('MOD-Berechnungen'!$K57:W57,'MOD-Berechnungen'!$K93:W93) + 0.5*'MOD-Berechnungen'!X57*'MOD-Berechnungen'!X93)*'MOD-Berechnungen'!X48/1000</f>
        <v>0.39849041413603148</v>
      </c>
      <c r="Z174" s="331">
        <f>'MOD-Berechnungen'!Y75*'MOD-Berechnungen'!Y48+(SUMPRODUCT('MOD-Berechnungen'!$K57:X57,'MOD-Berechnungen'!$K93:X93) + 0.5*'MOD-Berechnungen'!Y57*'MOD-Berechnungen'!Y93)*'MOD-Berechnungen'!Y48/1000</f>
        <v>0.44038157120179588</v>
      </c>
      <c r="AA174" s="331">
        <f>'MOD-Berechnungen'!Z75*'MOD-Berechnungen'!Z48+(SUMPRODUCT('MOD-Berechnungen'!$K57:Y57,'MOD-Berechnungen'!$K93:Y93) + 0.5*'MOD-Berechnungen'!Z57*'MOD-Berechnungen'!Z93)*'MOD-Berechnungen'!Z48/1000</f>
        <v>0.44686601596092967</v>
      </c>
      <c r="AB174" s="331">
        <f>'MOD-Berechnungen'!AA75*'MOD-Berechnungen'!AA48+(SUMPRODUCT('MOD-Berechnungen'!$K57:Z57,'MOD-Berechnungen'!$K93:Z93) + 0.5*'MOD-Berechnungen'!AA57*'MOD-Berechnungen'!AA93)*'MOD-Berechnungen'!AA48/1000</f>
        <v>0.48516261436536323</v>
      </c>
      <c r="AC174" s="331">
        <f>'MOD-Berechnungen'!AB75*'MOD-Berechnungen'!AB48+(SUMPRODUCT('MOD-Berechnungen'!$K57:AA57,'MOD-Berechnungen'!$K93:AA93) + 0.5*'MOD-Berechnungen'!AB57*'MOD-Berechnungen'!AB93)*'MOD-Berechnungen'!AB48/1000</f>
        <v>0.49693888717165019</v>
      </c>
      <c r="AD174" s="331">
        <f>'MOD-Berechnungen'!AC75*'MOD-Berechnungen'!AC48+(SUMPRODUCT('MOD-Berechnungen'!$K57:AB57,'MOD-Berechnungen'!$K93:AB93) + 0.5*'MOD-Berechnungen'!AC57*'MOD-Berechnungen'!AC93)*'MOD-Berechnungen'!AC48/1000</f>
        <v>0.53922571679652342</v>
      </c>
      <c r="AE174" s="331">
        <f>'MOD-Berechnungen'!AD75*'MOD-Berechnungen'!AD48+(SUMPRODUCT('MOD-Berechnungen'!$K57:AC57,'MOD-Berechnungen'!$K93:AC93) + 0.5*'MOD-Berechnungen'!AD57*'MOD-Berechnungen'!AD93)*'MOD-Berechnungen'!AD48/1000</f>
        <v>0.58000293991172824</v>
      </c>
      <c r="AF174" s="331">
        <f>'MOD-Berechnungen'!AE75*'MOD-Berechnungen'!AE48+(SUMPRODUCT('MOD-Berechnungen'!$K57:AD57,'MOD-Berechnungen'!$K93:AD93) + 0.5*'MOD-Berechnungen'!AE57*'MOD-Berechnungen'!AE93)*'MOD-Berechnungen'!AE48/1000</f>
        <v>0.61690679552322614</v>
      </c>
    </row>
    <row r="175" spans="1:32" s="301" customFormat="1">
      <c r="C175" s="10"/>
      <c r="D175" s="29"/>
      <c r="E175" s="29"/>
      <c r="F175" s="304" t="s">
        <v>13</v>
      </c>
      <c r="G175" s="331">
        <f>'MOD-Berechnungen'!F76*'MOD-Berechnungen'!F49+'MOD-Berechnungen'!F230</f>
        <v>0</v>
      </c>
      <c r="H175" s="331">
        <f>'MOD-Berechnungen'!G76*'MOD-Berechnungen'!G49+'MOD-Berechnungen'!G230</f>
        <v>0</v>
      </c>
      <c r="I175" s="331">
        <f>'MOD-Berechnungen'!H76*'MOD-Berechnungen'!H49+'MOD-Berechnungen'!H230</f>
        <v>0</v>
      </c>
      <c r="J175" s="331">
        <f>'MOD-Berechnungen'!I76*'MOD-Berechnungen'!I49+'MOD-Berechnungen'!I230</f>
        <v>0</v>
      </c>
      <c r="K175" s="331">
        <f>'MOD-Berechnungen'!J76*'MOD-Berechnungen'!J49+'MOD-Berechnungen'!J230</f>
        <v>38.108395000000002</v>
      </c>
      <c r="L175" s="331">
        <f>'MOD-Berechnungen'!K76*'MOD-Berechnungen'!K49+(0.5*'MOD-Berechnungen'!K58*'MOD-Berechnungen'!K94)*'MOD-Berechnungen'!K49/1000</f>
        <v>38.765906340000001</v>
      </c>
      <c r="M175" s="331">
        <f>'MOD-Berechnungen'!L76*'MOD-Berechnungen'!L49+(SUMPRODUCT('MOD-Berechnungen'!$K58:K58,'MOD-Berechnungen'!$K94:K94) + 0.5*'MOD-Berechnungen'!L58*'MOD-Berechnungen'!L94)*'MOD-Berechnungen'!L49/1000</f>
        <v>39.873361680000002</v>
      </c>
      <c r="N175" s="331">
        <f>'MOD-Berechnungen'!M76*'MOD-Berechnungen'!M49+(SUMPRODUCT('MOD-Berechnungen'!$K58:L58,'MOD-Berechnungen'!$K94:L94) + 0.5*'MOD-Berechnungen'!M58*'MOD-Berechnungen'!M94)*'MOD-Berechnungen'!M49/1000</f>
        <v>40.936879680000004</v>
      </c>
      <c r="O175" s="331">
        <f>'MOD-Berechnungen'!N76*'MOD-Berechnungen'!N49+(SUMPRODUCT('MOD-Berechnungen'!$K58:M58,'MOD-Berechnungen'!$K94:M94) + 0.5*'MOD-Berechnungen'!N58*'MOD-Berechnungen'!N94)*'MOD-Berechnungen'!N49/1000</f>
        <v>42.405475842000001</v>
      </c>
      <c r="P175" s="331">
        <f>'MOD-Berechnungen'!O76*'MOD-Berechnungen'!O49+(SUMPRODUCT('MOD-Berechnungen'!$K58:N58,'MOD-Berechnungen'!$K94:N94) + 0.5*'MOD-Berechnungen'!O58*'MOD-Berechnungen'!O94)*'MOD-Berechnungen'!O49/1000</f>
        <v>43.925565322000004</v>
      </c>
      <c r="Q175" s="331">
        <f>'MOD-Berechnungen'!P76*'MOD-Berechnungen'!P49+(SUMPRODUCT('MOD-Berechnungen'!$K58:O58,'MOD-Berechnungen'!$K94:O94) + 0.5*'MOD-Berechnungen'!P58*'MOD-Berechnungen'!P94)*'MOD-Berechnungen'!P49/1000</f>
        <v>44.942632640000006</v>
      </c>
      <c r="R175" s="331">
        <f>'MOD-Berechnungen'!Q76*'MOD-Berechnungen'!Q49+(SUMPRODUCT('MOD-Berechnungen'!$K58:P58,'MOD-Berechnungen'!$K94:P94) + 0.5*'MOD-Berechnungen'!Q58*'MOD-Berechnungen'!Q94)*'MOD-Berechnungen'!Q49/1000</f>
        <v>44.557213274150008</v>
      </c>
      <c r="S175" s="331">
        <f>'MOD-Berechnungen'!R76*'MOD-Berechnungen'!R49+(SUMPRODUCT('MOD-Berechnungen'!$K58:Q58,'MOD-Berechnungen'!$K94:Q94) + 0.5*'MOD-Berechnungen'!R58*'MOD-Berechnungen'!R94)*'MOD-Berechnungen'!R49/1000</f>
        <v>44.568022325149997</v>
      </c>
      <c r="T175" s="331">
        <f>'MOD-Berechnungen'!S76*'MOD-Berechnungen'!S49+(SUMPRODUCT('MOD-Berechnungen'!$K58:R58,'MOD-Berechnungen'!$K94:R94) + 0.5*'MOD-Berechnungen'!S58*'MOD-Berechnungen'!S94)*'MOD-Berechnungen'!S49/1000</f>
        <v>45.374889283350001</v>
      </c>
      <c r="U175" s="331">
        <f>'MOD-Berechnungen'!T76*'MOD-Berechnungen'!T49+(SUMPRODUCT('MOD-Berechnungen'!$K58:S58,'MOD-Berechnungen'!$K94:S94) + 0.5*'MOD-Berechnungen'!T58*'MOD-Berechnungen'!T94)*'MOD-Berechnungen'!T49/1000</f>
        <v>45.585518231600005</v>
      </c>
      <c r="V175" s="331">
        <f>'MOD-Berechnungen'!U76*'MOD-Berechnungen'!U49+(SUMPRODUCT('MOD-Berechnungen'!$K58:T58,'MOD-Berechnungen'!$K94:T94) + 0.5*'MOD-Berechnungen'!U58*'MOD-Berechnungen'!U94)*'MOD-Berechnungen'!U49/1000</f>
        <v>43.810302052650002</v>
      </c>
      <c r="W175" s="331">
        <f>'MOD-Berechnungen'!V76*'MOD-Berechnungen'!V49+(SUMPRODUCT('MOD-Berechnungen'!$K58:U58,'MOD-Berechnungen'!$K94:U94) + 0.5*'MOD-Berechnungen'!V58*'MOD-Berechnungen'!V94)*'MOD-Berechnungen'!V49/1000</f>
        <v>41.270422760149998</v>
      </c>
      <c r="X175" s="331">
        <f>'MOD-Berechnungen'!W76*'MOD-Berechnungen'!W49+(SUMPRODUCT('MOD-Berechnungen'!$K58:V58,'MOD-Berechnungen'!$K94:V94) + 0.5*'MOD-Berechnungen'!W58*'MOD-Berechnungen'!W94)*'MOD-Berechnungen'!W49/1000</f>
        <v>37.579072382</v>
      </c>
      <c r="Y175" s="331">
        <f>'MOD-Berechnungen'!X76*'MOD-Berechnungen'!X49+(SUMPRODUCT('MOD-Berechnungen'!$K58:W58,'MOD-Berechnungen'!$K94:W94) + 0.5*'MOD-Berechnungen'!X58*'MOD-Berechnungen'!X94)*'MOD-Berechnungen'!X49/1000</f>
        <v>34.78911248</v>
      </c>
      <c r="Z175" s="331">
        <f>'MOD-Berechnungen'!Y76*'MOD-Berechnungen'!Y49+(SUMPRODUCT('MOD-Berechnungen'!$K58:X58,'MOD-Berechnungen'!$K94:X94) + 0.5*'MOD-Berechnungen'!Y58*'MOD-Berechnungen'!Y94)*'MOD-Berechnungen'!Y49/1000</f>
        <v>33.586578258000003</v>
      </c>
      <c r="AA175" s="331">
        <f>'MOD-Berechnungen'!Z76*'MOD-Berechnungen'!Z49+(SUMPRODUCT('MOD-Berechnungen'!$K58:Y58,'MOD-Berechnungen'!$K94:Y94) + 0.5*'MOD-Berechnungen'!Z58*'MOD-Berechnungen'!Z94)*'MOD-Berechnungen'!Z49/1000</f>
        <v>31.835137418000002</v>
      </c>
      <c r="AB175" s="331">
        <f>'MOD-Berechnungen'!AA76*'MOD-Berechnungen'!AA49+(SUMPRODUCT('MOD-Berechnungen'!$K58:Z58,'MOD-Berechnungen'!$K94:Z94) + 0.5*'MOD-Berechnungen'!AA58*'MOD-Berechnungen'!AA94)*'MOD-Berechnungen'!AA49/1000</f>
        <v>29.064239000000008</v>
      </c>
      <c r="AC175" s="331">
        <f>'MOD-Berechnungen'!AB76*'MOD-Berechnungen'!AB49+(SUMPRODUCT('MOD-Berechnungen'!$K58:AA58,'MOD-Berechnungen'!$K94:AA94) + 0.5*'MOD-Berechnungen'!AB58*'MOD-Berechnungen'!AB94)*'MOD-Berechnungen'!AB49/1000</f>
        <v>23.944383393700001</v>
      </c>
      <c r="AD175" s="331">
        <f>'MOD-Berechnungen'!AC76*'MOD-Berechnungen'!AC49+(SUMPRODUCT('MOD-Berechnungen'!$K58:AB58,'MOD-Berechnungen'!$K94:AB94) + 0.5*'MOD-Berechnungen'!AC58*'MOD-Berechnungen'!AC94)*'MOD-Berechnungen'!AC49/1000</f>
        <v>22.873071750200005</v>
      </c>
      <c r="AE175" s="331">
        <f>'MOD-Berechnungen'!AD76*'MOD-Berechnungen'!AD49+(SUMPRODUCT('MOD-Berechnungen'!$K58:AC58,'MOD-Berechnungen'!$K94:AC94) + 0.5*'MOD-Berechnungen'!AD58*'MOD-Berechnungen'!AD94)*'MOD-Berechnungen'!AD49/1000</f>
        <v>22.236208084650002</v>
      </c>
      <c r="AF175" s="331">
        <f>'MOD-Berechnungen'!AE76*'MOD-Berechnungen'!AE49+(SUMPRODUCT('MOD-Berechnungen'!$K58:AD58,'MOD-Berechnungen'!$K94:AD94) + 0.5*'MOD-Berechnungen'!AE58*'MOD-Berechnungen'!AE94)*'MOD-Berechnungen'!AE49/1000</f>
        <v>21.858937640000004</v>
      </c>
    </row>
    <row r="176" spans="1:32" s="301" customFormat="1">
      <c r="C176" s="10"/>
      <c r="D176" s="29"/>
      <c r="E176" s="29"/>
      <c r="F176" s="304" t="s">
        <v>12</v>
      </c>
      <c r="G176" s="331">
        <f>'MOD-Berechnungen'!F77*'MOD-Berechnungen'!F50+'MOD-Berechnungen'!F231</f>
        <v>0</v>
      </c>
      <c r="H176" s="331">
        <f>'MOD-Berechnungen'!G77*'MOD-Berechnungen'!G50+'MOD-Berechnungen'!G231</f>
        <v>0</v>
      </c>
      <c r="I176" s="331">
        <f>'MOD-Berechnungen'!H77*'MOD-Berechnungen'!H50+'MOD-Berechnungen'!H231</f>
        <v>0</v>
      </c>
      <c r="J176" s="331">
        <f>'MOD-Berechnungen'!I77*'MOD-Berechnungen'!I50+'MOD-Berechnungen'!I231</f>
        <v>0</v>
      </c>
      <c r="K176" s="331">
        <f>'MOD-Berechnungen'!J77*'MOD-Berechnungen'!J50+'MOD-Berechnungen'!J231</f>
        <v>0.14134193593954347</v>
      </c>
      <c r="L176" s="331">
        <f>'MOD-Berechnungen'!K77*'MOD-Berechnungen'!K50+(0.5*'MOD-Berechnungen'!K59*'MOD-Berechnungen'!K95)*'MOD-Berechnungen'!K50/1000</f>
        <v>0.14968884020373421</v>
      </c>
      <c r="M176" s="331">
        <f>'MOD-Berechnungen'!L77*'MOD-Berechnungen'!L50+(SUMPRODUCT('MOD-Berechnungen'!$K59:K59,'MOD-Berechnungen'!$K95:K95) + 0.5*'MOD-Berechnungen'!L59*'MOD-Berechnungen'!L95)*'MOD-Berechnungen'!L50/1000</f>
        <v>0.1605413402037342</v>
      </c>
      <c r="N176" s="331">
        <f>'MOD-Berechnungen'!M77*'MOD-Berechnungen'!M50+(SUMPRODUCT('MOD-Berechnungen'!$K59:L59,'MOD-Berechnungen'!$K95:L95) + 0.5*'MOD-Berechnungen'!M59*'MOD-Berechnungen'!M95)*'MOD-Berechnungen'!M50/1000</f>
        <v>0.17769784020373419</v>
      </c>
      <c r="O176" s="331">
        <f>'MOD-Berechnungen'!N77*'MOD-Berechnungen'!N50+(SUMPRODUCT('MOD-Berechnungen'!$K59:M59,'MOD-Berechnungen'!$K95:M95) + 0.5*'MOD-Berechnungen'!N59*'MOD-Berechnungen'!N95)*'MOD-Berechnungen'!N50/1000</f>
        <v>0.19976184020373419</v>
      </c>
      <c r="P176" s="331">
        <f>'MOD-Berechnungen'!O77*'MOD-Berechnungen'!O50+(SUMPRODUCT('MOD-Berechnungen'!$K59:N59,'MOD-Berechnungen'!$K95:N95) + 0.5*'MOD-Berechnungen'!O59*'MOD-Berechnungen'!O95)*'MOD-Berechnungen'!O50/1000</f>
        <v>0.22833384020373421</v>
      </c>
      <c r="Q176" s="331">
        <f>'MOD-Berechnungen'!P77*'MOD-Berechnungen'!P50+(SUMPRODUCT('MOD-Berechnungen'!$K59:O59,'MOD-Berechnungen'!$K95:O95) + 0.5*'MOD-Berechnungen'!P59*'MOD-Berechnungen'!P95)*'MOD-Berechnungen'!P50/1000</f>
        <v>0.2547883402037342</v>
      </c>
      <c r="R176" s="331">
        <f>'MOD-Berechnungen'!Q77*'MOD-Berechnungen'!Q50+(SUMPRODUCT('MOD-Berechnungen'!$K59:P59,'MOD-Berechnungen'!$K95:P95) + 0.5*'MOD-Berechnungen'!Q59*'MOD-Berechnungen'!Q95)*'MOD-Berechnungen'!Q50/1000</f>
        <v>0.29451734020373421</v>
      </c>
      <c r="S176" s="331">
        <f>'MOD-Berechnungen'!R77*'MOD-Berechnungen'!R50+(SUMPRODUCT('MOD-Berechnungen'!$K59:Q59,'MOD-Berechnungen'!$K95:Q95) + 0.5*'MOD-Berechnungen'!R59*'MOD-Berechnungen'!R95)*'MOD-Berechnungen'!R50/1000</f>
        <v>0.38858384020373415</v>
      </c>
      <c r="T176" s="331">
        <f>'MOD-Berechnungen'!S77*'MOD-Berechnungen'!S50+(SUMPRODUCT('MOD-Berechnungen'!$K59:R59,'MOD-Berechnungen'!$K95:R95) + 0.5*'MOD-Berechnungen'!S59*'MOD-Berechnungen'!S95)*'MOD-Berechnungen'!S50/1000</f>
        <v>0.5336078402037342</v>
      </c>
      <c r="U176" s="331">
        <f>'MOD-Berechnungen'!T77*'MOD-Berechnungen'!T50+(SUMPRODUCT('MOD-Berechnungen'!$K59:S59,'MOD-Berechnungen'!$K95:S95) + 0.5*'MOD-Berechnungen'!T59*'MOD-Berechnungen'!T95)*'MOD-Berechnungen'!T50/1000</f>
        <v>0.69675984020373416</v>
      </c>
      <c r="V176" s="331">
        <f>'MOD-Berechnungen'!U77*'MOD-Berechnungen'!U50+(SUMPRODUCT('MOD-Berechnungen'!$K59:T59,'MOD-Berechnungen'!$K95:T95) + 0.5*'MOD-Berechnungen'!U59*'MOD-Berechnungen'!U95)*'MOD-Berechnungen'!U50/1000</f>
        <v>0.87577384020373428</v>
      </c>
      <c r="W176" s="331">
        <f>'MOD-Berechnungen'!V77*'MOD-Berechnungen'!V50+(SUMPRODUCT('MOD-Berechnungen'!$K59:U59,'MOD-Berechnungen'!$K95:U95) + 0.5*'MOD-Berechnungen'!V59*'MOD-Berechnungen'!V95)*'MOD-Berechnungen'!V50/1000</f>
        <v>1.0706498402037343</v>
      </c>
      <c r="X176" s="331">
        <f>'MOD-Berechnungen'!W77*'MOD-Berechnungen'!W50+(SUMPRODUCT('MOD-Berechnungen'!$K59:V59,'MOD-Berechnungen'!$K95:V95) + 0.5*'MOD-Berechnungen'!W59*'MOD-Berechnungen'!W95)*'MOD-Berechnungen'!W50/1000</f>
        <v>1.1952798402037343</v>
      </c>
      <c r="Y176" s="331">
        <f>'MOD-Berechnungen'!X77*'MOD-Berechnungen'!X50+(SUMPRODUCT('MOD-Berechnungen'!$K59:W59,'MOD-Berechnungen'!$K95:W95) + 0.5*'MOD-Berechnungen'!X59*'MOD-Berechnungen'!X95)*'MOD-Berechnungen'!X50/1000</f>
        <v>1.2405998402037341</v>
      </c>
      <c r="Z176" s="331">
        <f>'MOD-Berechnungen'!Y77*'MOD-Berechnungen'!Y50+(SUMPRODUCT('MOD-Berechnungen'!$K59:X59,'MOD-Berechnungen'!$K95:X95) + 0.5*'MOD-Berechnungen'!Y59*'MOD-Berechnungen'!Y95)*'MOD-Berechnungen'!Y50/1000</f>
        <v>1.2859198402037342</v>
      </c>
      <c r="AA176" s="331">
        <f>'MOD-Berechnungen'!Z77*'MOD-Berechnungen'!Z50+(SUMPRODUCT('MOD-Berechnungen'!$K59:Y59,'MOD-Berechnungen'!$K95:Y95) + 0.5*'MOD-Berechnungen'!Z59*'MOD-Berechnungen'!Z95)*'MOD-Berechnungen'!Z50/1000</f>
        <v>1.3218237974711629</v>
      </c>
      <c r="AB176" s="331">
        <f>'MOD-Berechnungen'!AA77*'MOD-Berechnungen'!AA50+(SUMPRODUCT('MOD-Berechnungen'!$K59:Z59,'MOD-Berechnungen'!$K95:Z95) + 0.5*'MOD-Berechnungen'!AA59*'MOD-Berechnungen'!AA95)*'MOD-Berechnungen'!AA50/1000</f>
        <v>1.3671437974711627</v>
      </c>
      <c r="AC176" s="331">
        <f>'MOD-Berechnungen'!AB77*'MOD-Berechnungen'!AB50+(SUMPRODUCT('MOD-Berechnungen'!$K59:AA59,'MOD-Berechnungen'!$K95:AA95) + 0.5*'MOD-Berechnungen'!AB59*'MOD-Berechnungen'!AB95)*'MOD-Berechnungen'!AB50/1000</f>
        <v>1.4124637974711627</v>
      </c>
      <c r="AD176" s="331">
        <f>'MOD-Berechnungen'!AC77*'MOD-Berechnungen'!AC50+(SUMPRODUCT('MOD-Berechnungen'!$K59:AB59,'MOD-Berechnungen'!$K95:AB95) + 0.5*'MOD-Berechnungen'!AC59*'MOD-Berechnungen'!AC95)*'MOD-Berechnungen'!AC50/1000</f>
        <v>1.3976857104820137</v>
      </c>
      <c r="AE176" s="331">
        <f>'MOD-Berechnungen'!AD77*'MOD-Berechnungen'!AD50+(SUMPRODUCT('MOD-Berechnungen'!$K59:AC59,'MOD-Berechnungen'!$K95:AC95) + 0.5*'MOD-Berechnungen'!AD59*'MOD-Berechnungen'!AD95)*'MOD-Berechnungen'!AD50/1000</f>
        <v>1.3795248085283811</v>
      </c>
      <c r="AF176" s="331">
        <f>'MOD-Berechnungen'!AE77*'MOD-Berechnungen'!AE50+(SUMPRODUCT('MOD-Berechnungen'!$K59:AD59,'MOD-Berechnungen'!$K95:AD95) + 0.5*'MOD-Berechnungen'!AE59*'MOD-Berechnungen'!AE95)*'MOD-Berechnungen'!AE50/1000</f>
        <v>1.4081509999999997</v>
      </c>
    </row>
    <row r="177" spans="3:32" s="301" customFormat="1">
      <c r="C177" s="10"/>
      <c r="D177" s="29"/>
      <c r="E177" s="29"/>
      <c r="F177" s="304" t="s">
        <v>24</v>
      </c>
      <c r="G177" s="331">
        <f>'MOD-Berechnungen'!F78*'MOD-Berechnungen'!F51+'MOD-Berechnungen'!F232</f>
        <v>0</v>
      </c>
      <c r="H177" s="331">
        <f>'MOD-Berechnungen'!G78*'MOD-Berechnungen'!G51+'MOD-Berechnungen'!G232</f>
        <v>0</v>
      </c>
      <c r="I177" s="331">
        <f>'MOD-Berechnungen'!H78*'MOD-Berechnungen'!H51+'MOD-Berechnungen'!H232</f>
        <v>0</v>
      </c>
      <c r="J177" s="331">
        <f>'MOD-Berechnungen'!I78*'MOD-Berechnungen'!I51+'MOD-Berechnungen'!I232</f>
        <v>0</v>
      </c>
      <c r="K177" s="331">
        <f>'MOD-Berechnungen'!J78*'MOD-Berechnungen'!J51+'MOD-Berechnungen'!J232</f>
        <v>61.583939999999998</v>
      </c>
      <c r="L177" s="331">
        <f>'MOD-Berechnungen'!K78*'MOD-Berechnungen'!K51+(0.5*'MOD-Berechnungen'!K60*'MOD-Berechnungen'!K96)*'MOD-Berechnungen'!K51/1000</f>
        <v>65.677954279067578</v>
      </c>
      <c r="M177" s="331">
        <f>'MOD-Berechnungen'!L78*'MOD-Berechnungen'!L51+(SUMPRODUCT('MOD-Berechnungen'!$K60:K60,'MOD-Berechnungen'!$K96:K96) + 0.5*'MOD-Berechnungen'!L60*'MOD-Berechnungen'!L96)*'MOD-Berechnungen'!L51/1000</f>
        <v>74.540582551365191</v>
      </c>
      <c r="N177" s="331">
        <f>'MOD-Berechnungen'!M78*'MOD-Berechnungen'!M51+(SUMPRODUCT('MOD-Berechnungen'!$K60:L60,'MOD-Berechnungen'!$K96:L96) + 0.5*'MOD-Berechnungen'!M60*'MOD-Berechnungen'!M96)*'MOD-Berechnungen'!M51/1000</f>
        <v>85.56855882674995</v>
      </c>
      <c r="O177" s="331">
        <f>'MOD-Berechnungen'!N78*'MOD-Berechnungen'!N51+(SUMPRODUCT('MOD-Berechnungen'!$K60:M60,'MOD-Berechnungen'!$K96:M96) + 0.5*'MOD-Berechnungen'!N60*'MOD-Berechnungen'!N96)*'MOD-Berechnungen'!N51/1000</f>
        <v>94.207406778838191</v>
      </c>
      <c r="P177" s="331">
        <f>'MOD-Berechnungen'!O78*'MOD-Berechnungen'!O51+(SUMPRODUCT('MOD-Berechnungen'!$K60:N60,'MOD-Berechnungen'!$K96:N96) + 0.5*'MOD-Berechnungen'!O60*'MOD-Berechnungen'!O96)*'MOD-Berechnungen'!O51/1000</f>
        <v>98.017911566507593</v>
      </c>
      <c r="Q177" s="331">
        <f>'MOD-Berechnungen'!P78*'MOD-Berechnungen'!P51+(SUMPRODUCT('MOD-Berechnungen'!$K60:O60,'MOD-Berechnungen'!$K96:O96) + 0.5*'MOD-Berechnungen'!P60*'MOD-Berechnungen'!P96)*'MOD-Berechnungen'!P51/1000</f>
        <v>100.60961732445935</v>
      </c>
      <c r="R177" s="331">
        <f>'MOD-Berechnungen'!Q78*'MOD-Berechnungen'!Q51+(SUMPRODUCT('MOD-Berechnungen'!$K60:P60,'MOD-Berechnungen'!$K96:P96) + 0.5*'MOD-Berechnungen'!Q60*'MOD-Berechnungen'!Q96)*'MOD-Berechnungen'!Q51/1000</f>
        <v>101.39113976134109</v>
      </c>
      <c r="S177" s="331">
        <f>'MOD-Berechnungen'!R78*'MOD-Berechnungen'!R51+(SUMPRODUCT('MOD-Berechnungen'!$K60:Q60,'MOD-Berechnungen'!$K96:Q96) + 0.5*'MOD-Berechnungen'!R60*'MOD-Berechnungen'!R96)*'MOD-Berechnungen'!R51/1000</f>
        <v>101.20109862971697</v>
      </c>
      <c r="T177" s="331">
        <f>'MOD-Berechnungen'!S78*'MOD-Berechnungen'!S51+(SUMPRODUCT('MOD-Berechnungen'!$K60:R60,'MOD-Berechnungen'!$K96:R96) + 0.5*'MOD-Berechnungen'!S60*'MOD-Berechnungen'!S96)*'MOD-Berechnungen'!S51/1000</f>
        <v>101.18491617138696</v>
      </c>
      <c r="U177" s="331">
        <f>'MOD-Berechnungen'!T78*'MOD-Berechnungen'!T51+(SUMPRODUCT('MOD-Berechnungen'!$K60:S60,'MOD-Berechnungen'!$K96:S96) + 0.5*'MOD-Berechnungen'!T60*'MOD-Berechnungen'!T96)*'MOD-Berechnungen'!T51/1000</f>
        <v>102.36826625538697</v>
      </c>
      <c r="V177" s="331">
        <f>'MOD-Berechnungen'!U78*'MOD-Berechnungen'!U51+(SUMPRODUCT('MOD-Berechnungen'!$K60:T60,'MOD-Berechnungen'!$K96:T96) + 0.5*'MOD-Berechnungen'!U60*'MOD-Berechnungen'!U96)*'MOD-Berechnungen'!U51/1000</f>
        <v>104.73249312838698</v>
      </c>
      <c r="W177" s="331">
        <f>'MOD-Berechnungen'!V78*'MOD-Berechnungen'!V51+(SUMPRODUCT('MOD-Berechnungen'!$K60:U60,'MOD-Berechnungen'!$K96:U96) + 0.5*'MOD-Berechnungen'!V60*'MOD-Berechnungen'!V96)*'MOD-Berechnungen'!V51/1000</f>
        <v>107.57540391888696</v>
      </c>
      <c r="X177" s="331">
        <f>'MOD-Berechnungen'!W78*'MOD-Berechnungen'!W51+(SUMPRODUCT('MOD-Berechnungen'!$K60:V60,'MOD-Berechnungen'!$K96:V96) + 0.5*'MOD-Berechnungen'!W60*'MOD-Berechnungen'!W96)*'MOD-Berechnungen'!W51/1000</f>
        <v>109.84690911288698</v>
      </c>
      <c r="Y177" s="331">
        <f>'MOD-Berechnungen'!X78*'MOD-Berechnungen'!X51+(SUMPRODUCT('MOD-Berechnungen'!$K60:W60,'MOD-Berechnungen'!$K96:W96) + 0.5*'MOD-Berechnungen'!X60*'MOD-Berechnungen'!X96)*'MOD-Berechnungen'!X51/1000</f>
        <v>113.1153574168203</v>
      </c>
      <c r="Z177" s="331">
        <f>'MOD-Berechnungen'!Y78*'MOD-Berechnungen'!Y51+(SUMPRODUCT('MOD-Berechnungen'!$K60:X60,'MOD-Berechnungen'!$K96:X96) + 0.5*'MOD-Berechnungen'!Y60*'MOD-Berechnungen'!Y96)*'MOD-Berechnungen'!Y51/1000</f>
        <v>117.95407795358221</v>
      </c>
      <c r="AA177" s="331">
        <f>'MOD-Berechnungen'!Z78*'MOD-Berechnungen'!Z51+(SUMPRODUCT('MOD-Berechnungen'!$K60:Y60,'MOD-Berechnungen'!$K96:Y96) + 0.5*'MOD-Berechnungen'!Z60*'MOD-Berechnungen'!Z96)*'MOD-Berechnungen'!Z51/1000</f>
        <v>119.69106207597079</v>
      </c>
      <c r="AB177" s="331">
        <f>'MOD-Berechnungen'!AA78*'MOD-Berechnungen'!AA51+(SUMPRODUCT('MOD-Berechnungen'!$K60:Z60,'MOD-Berechnungen'!$K96:Z96) + 0.5*'MOD-Berechnungen'!AA60*'MOD-Berechnungen'!AA96)*'MOD-Berechnungen'!AA51/1000</f>
        <v>123.55221745114301</v>
      </c>
      <c r="AC177" s="331">
        <f>'MOD-Berechnungen'!AB78*'MOD-Berechnungen'!AB51+(SUMPRODUCT('MOD-Berechnungen'!$K60:AA60,'MOD-Berechnungen'!$K96:AA96) + 0.5*'MOD-Berechnungen'!AB60*'MOD-Berechnungen'!AB96)*'MOD-Berechnungen'!AB51/1000</f>
        <v>126.70913821374523</v>
      </c>
      <c r="AD177" s="331">
        <f>'MOD-Berechnungen'!AC78*'MOD-Berechnungen'!AC51+(SUMPRODUCT('MOD-Berechnungen'!$K60:AB60,'MOD-Berechnungen'!$K96:AB96) + 0.5*'MOD-Berechnungen'!AC60*'MOD-Berechnungen'!AC96)*'MOD-Berechnungen'!AC51/1000</f>
        <v>129.00043917631706</v>
      </c>
      <c r="AE177" s="331">
        <f>'MOD-Berechnungen'!AD78*'MOD-Berechnungen'!AD51+(SUMPRODUCT('MOD-Berechnungen'!$K60:AC60,'MOD-Berechnungen'!$K96:AC96) + 0.5*'MOD-Berechnungen'!AD60*'MOD-Berechnungen'!AD96)*'MOD-Berechnungen'!AD51/1000</f>
        <v>130.31244682093552</v>
      </c>
      <c r="AF177" s="331">
        <f>'MOD-Berechnungen'!AE78*'MOD-Berechnungen'!AE51+(SUMPRODUCT('MOD-Berechnungen'!$K60:AD60,'MOD-Berechnungen'!$K96:AD96) + 0.5*'MOD-Berechnungen'!AE60*'MOD-Berechnungen'!AE96)*'MOD-Berechnungen'!AE51/1000</f>
        <v>128.8719409462922</v>
      </c>
    </row>
    <row r="178" spans="3:32" s="301" customFormat="1">
      <c r="C178" s="10"/>
      <c r="D178" s="29"/>
      <c r="E178" s="29"/>
      <c r="F178" s="304" t="s">
        <v>26</v>
      </c>
      <c r="G178" s="331">
        <f>'MOD-Berechnungen'!F79*'MOD-Berechnungen'!F52+'MOD-Berechnungen'!F233</f>
        <v>0</v>
      </c>
      <c r="H178" s="331">
        <f>'MOD-Berechnungen'!G79*'MOD-Berechnungen'!G52+'MOD-Berechnungen'!G233</f>
        <v>0</v>
      </c>
      <c r="I178" s="331">
        <f>'MOD-Berechnungen'!H79*'MOD-Berechnungen'!H52+'MOD-Berechnungen'!H233</f>
        <v>0</v>
      </c>
      <c r="J178" s="331">
        <f>'MOD-Berechnungen'!I79*'MOD-Berechnungen'!I52+'MOD-Berechnungen'!I233</f>
        <v>0</v>
      </c>
      <c r="K178" s="331">
        <f>'MOD-Berechnungen'!J79*'MOD-Berechnungen'!J52+'MOD-Berechnungen'!J233</f>
        <v>3.4412280000000002</v>
      </c>
      <c r="L178" s="331">
        <f>'MOD-Berechnungen'!K79*'MOD-Berechnungen'!K52+(0.5*'MOD-Berechnungen'!K61*'MOD-Berechnungen'!K97)*'MOD-Berechnungen'!K52/1000</f>
        <v>7.4034870000000002</v>
      </c>
      <c r="M178" s="331">
        <f>'MOD-Berechnungen'!L79*'MOD-Berechnungen'!L52+(SUMPRODUCT('MOD-Berechnungen'!$K61:K61,'MOD-Berechnungen'!$K97:K97) + 0.5*'MOD-Berechnungen'!L61*'MOD-Berechnungen'!L97)*'MOD-Berechnungen'!L52/1000</f>
        <v>12.913435000000002</v>
      </c>
      <c r="N178" s="331">
        <f>'MOD-Berechnungen'!M79*'MOD-Berechnungen'!M52+(SUMPRODUCT('MOD-Berechnungen'!$K61:L61,'MOD-Berechnungen'!$K97:L97) + 0.5*'MOD-Berechnungen'!M61*'MOD-Berechnungen'!M97)*'MOD-Berechnungen'!M52/1000</f>
        <v>16.757198000000002</v>
      </c>
      <c r="O178" s="331">
        <f>'MOD-Berechnungen'!N79*'MOD-Berechnungen'!N52+(SUMPRODUCT('MOD-Berechnungen'!$K61:M61,'MOD-Berechnungen'!$K97:M97) + 0.5*'MOD-Berechnungen'!N61*'MOD-Berechnungen'!N97)*'MOD-Berechnungen'!N52/1000</f>
        <v>20.909818999999999</v>
      </c>
      <c r="P178" s="331">
        <f>'MOD-Berechnungen'!O79*'MOD-Berechnungen'!O52+(SUMPRODUCT('MOD-Berechnungen'!$K61:N61,'MOD-Berechnungen'!$K97:N97) + 0.5*'MOD-Berechnungen'!O61*'MOD-Berechnungen'!O97)*'MOD-Berechnungen'!O52/1000</f>
        <v>24.958051000000001</v>
      </c>
      <c r="Q178" s="331">
        <f>'MOD-Berechnungen'!P79*'MOD-Berechnungen'!P52+(SUMPRODUCT('MOD-Berechnungen'!$K61:O61,'MOD-Berechnungen'!$K97:O97) + 0.5*'MOD-Berechnungen'!P61*'MOD-Berechnungen'!P97)*'MOD-Berechnungen'!P52/1000</f>
        <v>27.583575</v>
      </c>
      <c r="R178" s="331">
        <f>'MOD-Berechnungen'!Q79*'MOD-Berechnungen'!Q52+(SUMPRODUCT('MOD-Berechnungen'!$K61:P61,'MOD-Berechnungen'!$K97:P97) + 0.5*'MOD-Berechnungen'!Q61*'MOD-Berechnungen'!Q97)*'MOD-Berechnungen'!Q52/1000</f>
        <v>28.017413999999999</v>
      </c>
      <c r="S178" s="331">
        <f>'MOD-Berechnungen'!R79*'MOD-Berechnungen'!R52+(SUMPRODUCT('MOD-Berechnungen'!$K61:Q61,'MOD-Berechnungen'!$K97:Q97) + 0.5*'MOD-Berechnungen'!R61*'MOD-Berechnungen'!R97)*'MOD-Berechnungen'!R52/1000</f>
        <v>28.744506000000001</v>
      </c>
      <c r="T178" s="331">
        <f>'MOD-Berechnungen'!S79*'MOD-Berechnungen'!S52+(SUMPRODUCT('MOD-Berechnungen'!$K61:R61,'MOD-Berechnungen'!$K97:R97) + 0.5*'MOD-Berechnungen'!S61*'MOD-Berechnungen'!S97)*'MOD-Berechnungen'!S52/1000</f>
        <v>31.066219</v>
      </c>
      <c r="U178" s="331">
        <f>'MOD-Berechnungen'!T79*'MOD-Berechnungen'!T52+(SUMPRODUCT('MOD-Berechnungen'!$K61:S61,'MOD-Berechnungen'!$K97:S97) + 0.5*'MOD-Berechnungen'!T61*'MOD-Berechnungen'!T97)*'MOD-Berechnungen'!T52/1000</f>
        <v>35.068227999999998</v>
      </c>
      <c r="V178" s="331">
        <f>'MOD-Berechnungen'!U79*'MOD-Berechnungen'!U52+(SUMPRODUCT('MOD-Berechnungen'!$K61:T61,'MOD-Berechnungen'!$K97:T97) + 0.5*'MOD-Berechnungen'!U61*'MOD-Berechnungen'!U97)*'MOD-Berechnungen'!U52/1000</f>
        <v>39.407016000000006</v>
      </c>
      <c r="W178" s="331">
        <f>'MOD-Berechnungen'!V79*'MOD-Berechnungen'!V52+(SUMPRODUCT('MOD-Berechnungen'!$K61:U61,'MOD-Berechnungen'!$K97:U97) + 0.5*'MOD-Berechnungen'!V61*'MOD-Berechnungen'!V97)*'MOD-Berechnungen'!V52/1000</f>
        <v>43.443142000000009</v>
      </c>
      <c r="X178" s="331">
        <f>'MOD-Berechnungen'!W79*'MOD-Berechnungen'!W52+(SUMPRODUCT('MOD-Berechnungen'!$K61:V61,'MOD-Berechnungen'!$K97:V97) + 0.5*'MOD-Berechnungen'!W61*'MOD-Berechnungen'!W97)*'MOD-Berechnungen'!W52/1000</f>
        <v>47.681908800000002</v>
      </c>
      <c r="Y178" s="331">
        <f>'MOD-Berechnungen'!X79*'MOD-Berechnungen'!X52+(SUMPRODUCT('MOD-Berechnungen'!$K61:W61,'MOD-Berechnungen'!$K97:W97) + 0.5*'MOD-Berechnungen'!X61*'MOD-Berechnungen'!X97)*'MOD-Berechnungen'!X52/1000</f>
        <v>51.969533600000005</v>
      </c>
      <c r="Z178" s="331">
        <f>'MOD-Berechnungen'!Y79*'MOD-Berechnungen'!Y52+(SUMPRODUCT('MOD-Berechnungen'!$K61:X61,'MOD-Berechnungen'!$K97:X97) + 0.5*'MOD-Berechnungen'!Y61*'MOD-Berechnungen'!Y97)*'MOD-Berechnungen'!Y52/1000</f>
        <v>56.290661028571428</v>
      </c>
      <c r="AA178" s="331">
        <f>'MOD-Berechnungen'!Z79*'MOD-Berechnungen'!Z52+(SUMPRODUCT('MOD-Berechnungen'!$K61:Y61,'MOD-Berechnungen'!$K97:Y97) + 0.5*'MOD-Berechnungen'!Z61*'MOD-Berechnungen'!Z97)*'MOD-Berechnungen'!Z52/1000</f>
        <v>60.526125857142851</v>
      </c>
      <c r="AB178" s="331">
        <f>'MOD-Berechnungen'!AA79*'MOD-Berechnungen'!AA52+(SUMPRODUCT('MOD-Berechnungen'!$K61:Z61,'MOD-Berechnungen'!$K97:Z97) + 0.5*'MOD-Berechnungen'!AA61*'MOD-Berechnungen'!AA97)*'MOD-Berechnungen'!AA52/1000</f>
        <v>64.734504857142852</v>
      </c>
      <c r="AC178" s="331">
        <f>'MOD-Berechnungen'!AB79*'MOD-Berechnungen'!AB52+(SUMPRODUCT('MOD-Berechnungen'!$K61:AA61,'MOD-Berechnungen'!$K97:AA97) + 0.5*'MOD-Berechnungen'!AB61*'MOD-Berechnungen'!AB97)*'MOD-Berechnungen'!AB52/1000</f>
        <v>68.738396657142857</v>
      </c>
      <c r="AD178" s="331">
        <f>'MOD-Berechnungen'!AC79*'MOD-Berechnungen'!AC52+(SUMPRODUCT('MOD-Berechnungen'!$K61:AB61,'MOD-Berechnungen'!$K97:AB97) + 0.5*'MOD-Berechnungen'!AC61*'MOD-Berechnungen'!AC97)*'MOD-Berechnungen'!AC52/1000</f>
        <v>72.85210742077922</v>
      </c>
      <c r="AE178" s="331">
        <f>'MOD-Berechnungen'!AD79*'MOD-Berechnungen'!AD52+(SUMPRODUCT('MOD-Berechnungen'!$K61:AC61,'MOD-Berechnungen'!$K97:AC97) + 0.5*'MOD-Berechnungen'!AD61*'MOD-Berechnungen'!AD97)*'MOD-Berechnungen'!AD52/1000</f>
        <v>76.421669784415556</v>
      </c>
      <c r="AF178" s="331">
        <f>'MOD-Berechnungen'!AE79*'MOD-Berechnungen'!AE52+(SUMPRODUCT('MOD-Berechnungen'!$K61:AD61,'MOD-Berechnungen'!$K97:AD97) + 0.5*'MOD-Berechnungen'!AE61*'MOD-Berechnungen'!AE97)*'MOD-Berechnungen'!AE52/1000</f>
        <v>79.18283998441558</v>
      </c>
    </row>
    <row r="179" spans="3:32" s="301" customFormat="1">
      <c r="C179" s="10"/>
      <c r="D179" s="29"/>
      <c r="E179" s="29"/>
      <c r="F179" s="305" t="s">
        <v>74</v>
      </c>
      <c r="G179" s="331">
        <f>'MOD-Berechnungen'!F80*'MOD-Berechnungen'!F53+'MOD-Berechnungen'!F234</f>
        <v>0</v>
      </c>
      <c r="H179" s="331">
        <f>'MOD-Berechnungen'!G80*'MOD-Berechnungen'!G53+'MOD-Berechnungen'!G234</f>
        <v>0</v>
      </c>
      <c r="I179" s="331">
        <f>'MOD-Berechnungen'!H80*'MOD-Berechnungen'!H53+'MOD-Berechnungen'!H234</f>
        <v>0</v>
      </c>
      <c r="J179" s="331">
        <f>'MOD-Berechnungen'!I80*'MOD-Berechnungen'!I53+'MOD-Berechnungen'!I234</f>
        <v>0</v>
      </c>
      <c r="K179" s="331">
        <f>'MOD-Berechnungen'!J80*'MOD-Berechnungen'!J53+'MOD-Berechnungen'!J234</f>
        <v>36.384</v>
      </c>
      <c r="L179" s="331">
        <f>'MOD-Berechnungen'!K80*'MOD-Berechnungen'!K53+(0.5*'MOD-Berechnungen'!K62*'MOD-Berechnungen'!K98)*'MOD-Berechnungen'!K53/1000</f>
        <v>37.01952</v>
      </c>
      <c r="M179" s="331">
        <f>'MOD-Berechnungen'!L80*'MOD-Berechnungen'!L53+(SUMPRODUCT('MOD-Berechnungen'!$K62:K62,'MOD-Berechnungen'!$K98:K98) + 0.5*'MOD-Berechnungen'!L62*'MOD-Berechnungen'!L98)*'MOD-Berechnungen'!L53/1000</f>
        <v>38.353439999999999</v>
      </c>
      <c r="N179" s="331">
        <f>'MOD-Berechnungen'!M80*'MOD-Berechnungen'!M53+(SUMPRODUCT('MOD-Berechnungen'!$K62:L62,'MOD-Berechnungen'!$K98:L98) + 0.5*'MOD-Berechnungen'!M62*'MOD-Berechnungen'!M98)*'MOD-Berechnungen'!M53/1000</f>
        <v>39.826560000000001</v>
      </c>
      <c r="O179" s="331">
        <f>'MOD-Berechnungen'!N80*'MOD-Berechnungen'!N53+(SUMPRODUCT('MOD-Berechnungen'!$K62:M62,'MOD-Berechnungen'!$K98:M98) + 0.5*'MOD-Berechnungen'!N62*'MOD-Berechnungen'!N98)*'MOD-Berechnungen'!N53/1000</f>
        <v>41.983642500000002</v>
      </c>
      <c r="P179" s="331">
        <f>'MOD-Berechnungen'!O80*'MOD-Berechnungen'!O53+(SUMPRODUCT('MOD-Berechnungen'!$K62:N62,'MOD-Berechnungen'!$K98:N98) + 0.5*'MOD-Berechnungen'!O62*'MOD-Berechnungen'!O98)*'MOD-Berechnungen'!O53/1000</f>
        <v>45.242447499999997</v>
      </c>
      <c r="Q179" s="331">
        <f>'MOD-Berechnungen'!P80*'MOD-Berechnungen'!P53+(SUMPRODUCT('MOD-Berechnungen'!$K62:O62,'MOD-Berechnungen'!$K98:O98) + 0.5*'MOD-Berechnungen'!P62*'MOD-Berechnungen'!P98)*'MOD-Berechnungen'!P53/1000</f>
        <v>49.4353725</v>
      </c>
      <c r="R179" s="331">
        <f>'MOD-Berechnungen'!Q80*'MOD-Berechnungen'!Q53+(SUMPRODUCT('MOD-Berechnungen'!$K62:P62,'MOD-Berechnungen'!$K98:P98) + 0.5*'MOD-Berechnungen'!Q62*'MOD-Berechnungen'!Q98)*'MOD-Berechnungen'!Q53/1000</f>
        <v>54.245096405760052</v>
      </c>
      <c r="S179" s="331">
        <f>'MOD-Berechnungen'!R80*'MOD-Berechnungen'!R53+(SUMPRODUCT('MOD-Berechnungen'!$K62:Q62,'MOD-Berechnungen'!$K98:Q98) + 0.5*'MOD-Berechnungen'!R62*'MOD-Berechnungen'!R98)*'MOD-Berechnungen'!R53/1000</f>
        <v>59.559664214276594</v>
      </c>
      <c r="T179" s="331">
        <f>'MOD-Berechnungen'!S80*'MOD-Berechnungen'!S53+(SUMPRODUCT('MOD-Berechnungen'!$K62:R62,'MOD-Berechnungen'!$K98:R98) + 0.5*'MOD-Berechnungen'!S62*'MOD-Berechnungen'!S98)*'MOD-Berechnungen'!S53/1000</f>
        <v>65.950596318985077</v>
      </c>
      <c r="U179" s="331">
        <f>'MOD-Berechnungen'!T80*'MOD-Berechnungen'!T53+(SUMPRODUCT('MOD-Berechnungen'!$K62:S62,'MOD-Berechnungen'!$K98:S98) + 0.5*'MOD-Berechnungen'!T62*'MOD-Berechnungen'!T98)*'MOD-Berechnungen'!T53/1000</f>
        <v>73.166001446817234</v>
      </c>
      <c r="V179" s="331">
        <f>'MOD-Berechnungen'!U80*'MOD-Berechnungen'!U53+(SUMPRODUCT('MOD-Berechnungen'!$K62:T62,'MOD-Berechnungen'!$K98:T98) + 0.5*'MOD-Berechnungen'!U62*'MOD-Berechnungen'!U98)*'MOD-Berechnungen'!U53/1000</f>
        <v>79.749371489424675</v>
      </c>
      <c r="W179" s="331">
        <f>'MOD-Berechnungen'!V80*'MOD-Berechnungen'!V53+(SUMPRODUCT('MOD-Berechnungen'!$K62:U62,'MOD-Berechnungen'!$K98:U98) + 0.5*'MOD-Berechnungen'!V62*'MOD-Berechnungen'!V98)*'MOD-Berechnungen'!V53/1000</f>
        <v>85.99012412272215</v>
      </c>
      <c r="X179" s="331">
        <f>'MOD-Berechnungen'!W80*'MOD-Berechnungen'!W53+(SUMPRODUCT('MOD-Berechnungen'!$K62:V62,'MOD-Berechnungen'!$K98:V98) + 0.5*'MOD-Berechnungen'!W62*'MOD-Berechnungen'!W98)*'MOD-Berechnungen'!W53/1000</f>
        <v>90.134777140406442</v>
      </c>
      <c r="Y179" s="331">
        <f>'MOD-Berechnungen'!X80*'MOD-Berechnungen'!X53+(SUMPRODUCT('MOD-Berechnungen'!$K62:W62,'MOD-Berechnungen'!$K98:W98) + 0.5*'MOD-Berechnungen'!X62*'MOD-Berechnungen'!X98)*'MOD-Berechnungen'!X53/1000</f>
        <v>91.695651105514997</v>
      </c>
      <c r="Z179" s="331">
        <f>'MOD-Berechnungen'!Y80*'MOD-Berechnungen'!Y53+(SUMPRODUCT('MOD-Berechnungen'!$K62:X62,'MOD-Berechnungen'!$K98:X98) + 0.5*'MOD-Berechnungen'!Y62*'MOD-Berechnungen'!Y98)*'MOD-Berechnungen'!Y53/1000</f>
        <v>92.57576783670433</v>
      </c>
      <c r="AA179" s="331">
        <f>'MOD-Berechnungen'!Z80*'MOD-Berechnungen'!Z53+(SUMPRODUCT('MOD-Berechnungen'!$K62:Y62,'MOD-Berechnungen'!$K98:Y98) + 0.5*'MOD-Berechnungen'!Z62*'MOD-Berechnungen'!Z98)*'MOD-Berechnungen'!Z53/1000</f>
        <v>91.111327577814421</v>
      </c>
      <c r="AB179" s="331">
        <f>'MOD-Berechnungen'!AA80*'MOD-Berechnungen'!AA53+(SUMPRODUCT('MOD-Berechnungen'!$K62:Z62,'MOD-Berechnungen'!$K98:Z98) + 0.5*'MOD-Berechnungen'!AA62*'MOD-Berechnungen'!AA98)*'MOD-Berechnungen'!AA53/1000</f>
        <v>86.633690549645252</v>
      </c>
      <c r="AC179" s="331">
        <f>'MOD-Berechnungen'!AB80*'MOD-Berechnungen'!AB53+(SUMPRODUCT('MOD-Berechnungen'!$K62:AA62,'MOD-Berechnungen'!$K98:AA98) + 0.5*'MOD-Berechnungen'!AB62*'MOD-Berechnungen'!AB98)*'MOD-Berechnungen'!AB53/1000</f>
        <v>81.781803420996894</v>
      </c>
      <c r="AD179" s="331">
        <f>'MOD-Berechnungen'!AC80*'MOD-Berechnungen'!AC53+(SUMPRODUCT('MOD-Berechnungen'!$K62:AB62,'MOD-Berechnungen'!$K98:AB98) + 0.5*'MOD-Berechnungen'!AC62*'MOD-Berechnungen'!AC98)*'MOD-Berechnungen'!AC53/1000</f>
        <v>78.057691695869281</v>
      </c>
      <c r="AE179" s="331">
        <f>'MOD-Berechnungen'!AD80*'MOD-Berechnungen'!AD53+(SUMPRODUCT('MOD-Berechnungen'!$K62:AC62,'MOD-Berechnungen'!$K98:AC98) + 0.5*'MOD-Berechnungen'!AD62*'MOD-Berechnungen'!AD98)*'MOD-Berechnungen'!AD53/1000</f>
        <v>77.907989236662473</v>
      </c>
      <c r="AF179" s="331">
        <f>'MOD-Berechnungen'!AE80*'MOD-Berechnungen'!AE53+(SUMPRODUCT('MOD-Berechnungen'!$K62:AD62,'MOD-Berechnungen'!$K98:AD98) + 0.5*'MOD-Berechnungen'!AE62*'MOD-Berechnungen'!AE98)*'MOD-Berechnungen'!AE53/1000</f>
        <v>79.09149982113928</v>
      </c>
    </row>
    <row r="180" spans="3:32" s="301" customFormat="1">
      <c r="C180" s="10"/>
      <c r="D180" s="29"/>
      <c r="E180" s="29"/>
      <c r="F180" s="27" t="s">
        <v>55</v>
      </c>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row>
    <row r="181" spans="3:32" s="301" customFormat="1">
      <c r="C181" s="10"/>
      <c r="D181" s="29"/>
      <c r="E181" s="29"/>
      <c r="F181" s="36"/>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row>
    <row r="182" spans="3:32" s="301" customFormat="1">
      <c r="C182" s="10"/>
      <c r="D182" s="29"/>
      <c r="E182" s="29"/>
      <c r="F182" s="36"/>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row>
    <row r="183" spans="3:32" s="301" customFormat="1">
      <c r="C183" s="10"/>
      <c r="D183" s="29"/>
      <c r="E183" s="29"/>
      <c r="F183" s="36"/>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331"/>
    </row>
    <row r="184" spans="3:32" s="301" customFormat="1">
      <c r="C184" s="10"/>
      <c r="D184" s="29"/>
      <c r="E184" s="29"/>
      <c r="F184" s="36"/>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row>
    <row r="185" spans="3:32" s="301" customFormat="1">
      <c r="C185" s="10"/>
      <c r="D185" s="29"/>
      <c r="E185" s="29"/>
      <c r="F185" s="36"/>
      <c r="G185" s="331"/>
      <c r="H185" s="331"/>
      <c r="I185" s="331"/>
      <c r="J185" s="331"/>
      <c r="K185" s="331"/>
      <c r="L185" s="331"/>
      <c r="M185" s="331"/>
      <c r="N185" s="331"/>
      <c r="O185" s="331"/>
      <c r="P185" s="331"/>
      <c r="Q185" s="331"/>
      <c r="R185" s="331"/>
      <c r="S185" s="331"/>
      <c r="T185" s="331"/>
      <c r="U185" s="331"/>
      <c r="V185" s="331"/>
      <c r="W185" s="331"/>
      <c r="X185" s="331"/>
      <c r="Y185" s="331"/>
      <c r="Z185" s="331"/>
      <c r="AA185" s="331"/>
      <c r="AB185" s="331"/>
      <c r="AC185" s="331"/>
      <c r="AD185" s="331"/>
      <c r="AE185" s="331"/>
      <c r="AF185" s="331"/>
    </row>
    <row r="186" spans="3:32" s="301" customFormat="1">
      <c r="C186" s="10"/>
      <c r="D186" s="29"/>
      <c r="E186" s="29"/>
      <c r="F186" s="36"/>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row>
    <row r="187" spans="3:32" s="301" customFormat="1">
      <c r="C187" s="10"/>
      <c r="D187" s="29"/>
      <c r="E187" s="29"/>
      <c r="F187" s="36"/>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331"/>
    </row>
    <row r="188" spans="3:32" s="301" customFormat="1">
      <c r="C188" s="10"/>
      <c r="D188" s="29"/>
      <c r="E188" s="29"/>
      <c r="F188" s="36"/>
      <c r="G188" s="331"/>
      <c r="H188" s="331"/>
      <c r="I188" s="331"/>
      <c r="J188" s="331"/>
      <c r="K188" s="331"/>
      <c r="L188" s="331"/>
      <c r="M188" s="331"/>
      <c r="N188" s="331"/>
      <c r="O188" s="331"/>
      <c r="P188" s="331"/>
      <c r="Q188" s="331"/>
      <c r="R188" s="331"/>
      <c r="S188" s="331"/>
      <c r="T188" s="331"/>
      <c r="U188" s="331"/>
      <c r="V188" s="331"/>
      <c r="W188" s="331"/>
      <c r="X188" s="331"/>
      <c r="Y188" s="331"/>
      <c r="Z188" s="331"/>
      <c r="AA188" s="331"/>
      <c r="AB188" s="331"/>
      <c r="AC188" s="331"/>
      <c r="AD188" s="331"/>
      <c r="AE188" s="331"/>
      <c r="AF188" s="331"/>
    </row>
    <row r="189" spans="3:32" s="301" customFormat="1">
      <c r="C189" s="10"/>
      <c r="D189" s="29"/>
      <c r="E189" s="29"/>
      <c r="F189" s="36"/>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331"/>
      <c r="AF189" s="331"/>
    </row>
    <row r="190" spans="3:32" s="301" customFormat="1">
      <c r="C190" s="10"/>
      <c r="D190" s="29"/>
      <c r="E190" s="29"/>
      <c r="F190" s="36"/>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row>
    <row r="191" spans="3:32" s="301" customFormat="1">
      <c r="C191" s="10"/>
      <c r="D191" s="29"/>
      <c r="E191" s="29"/>
      <c r="F191" s="36"/>
      <c r="G191" s="331"/>
      <c r="H191" s="331"/>
      <c r="I191" s="331"/>
      <c r="J191" s="331"/>
      <c r="K191" s="331"/>
      <c r="L191" s="331"/>
      <c r="M191" s="331"/>
      <c r="N191" s="331"/>
      <c r="O191" s="331"/>
      <c r="P191" s="331"/>
      <c r="Q191" s="331"/>
      <c r="R191" s="331"/>
      <c r="S191" s="331"/>
      <c r="T191" s="331"/>
      <c r="U191" s="331"/>
      <c r="V191" s="331"/>
      <c r="W191" s="331"/>
      <c r="X191" s="331"/>
      <c r="Y191" s="331"/>
      <c r="Z191" s="331"/>
      <c r="AA191" s="331"/>
      <c r="AB191" s="331"/>
      <c r="AC191" s="331"/>
      <c r="AD191" s="331"/>
      <c r="AE191" s="331"/>
      <c r="AF191" s="331"/>
    </row>
    <row r="192" spans="3:32" s="301" customFormat="1">
      <c r="C192" s="10"/>
      <c r="D192" s="29"/>
      <c r="E192" s="29"/>
      <c r="F192" s="36"/>
      <c r="G192" s="331"/>
      <c r="H192" s="331"/>
      <c r="I192" s="331"/>
      <c r="J192" s="331"/>
      <c r="K192" s="331"/>
      <c r="L192" s="331"/>
      <c r="M192" s="331"/>
      <c r="N192" s="331"/>
      <c r="O192" s="331"/>
      <c r="P192" s="331"/>
      <c r="Q192" s="331"/>
      <c r="R192" s="331"/>
      <c r="S192" s="331"/>
      <c r="T192" s="331"/>
      <c r="U192" s="331"/>
      <c r="V192" s="331"/>
      <c r="W192" s="331"/>
      <c r="X192" s="331"/>
      <c r="Y192" s="331"/>
      <c r="Z192" s="331"/>
      <c r="AA192" s="331"/>
      <c r="AB192" s="331"/>
      <c r="AC192" s="331"/>
      <c r="AD192" s="331"/>
      <c r="AE192" s="331"/>
      <c r="AF192" s="331"/>
    </row>
    <row r="193" spans="3:32" s="301" customFormat="1">
      <c r="C193" s="10"/>
      <c r="D193" s="29"/>
      <c r="E193" s="29"/>
      <c r="F193" s="36"/>
      <c r="G193" s="331"/>
      <c r="H193" s="331"/>
      <c r="I193" s="331"/>
      <c r="J193" s="331"/>
      <c r="K193" s="331"/>
      <c r="L193" s="331"/>
      <c r="M193" s="331"/>
      <c r="N193" s="331"/>
      <c r="O193" s="331"/>
      <c r="P193" s="331"/>
      <c r="Q193" s="331"/>
      <c r="R193" s="331"/>
      <c r="S193" s="331"/>
      <c r="T193" s="331"/>
      <c r="U193" s="331"/>
      <c r="V193" s="331"/>
      <c r="W193" s="331"/>
      <c r="X193" s="331"/>
      <c r="Y193" s="331"/>
      <c r="Z193" s="331"/>
      <c r="AA193" s="331"/>
      <c r="AB193" s="331"/>
      <c r="AC193" s="331"/>
      <c r="AD193" s="331"/>
      <c r="AE193" s="331"/>
      <c r="AF193" s="331"/>
    </row>
    <row r="194" spans="3:32" s="301" customFormat="1">
      <c r="C194" s="10"/>
      <c r="D194" s="29"/>
      <c r="E194" s="29"/>
      <c r="F194" s="36"/>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row>
    <row r="195" spans="3:32" s="301" customFormat="1">
      <c r="C195" s="10"/>
      <c r="D195" s="29"/>
      <c r="E195" s="29"/>
      <c r="F195" s="36"/>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row>
    <row r="196" spans="3:32" s="301" customFormat="1">
      <c r="C196" s="10"/>
      <c r="D196" s="29"/>
      <c r="E196" s="29"/>
      <c r="F196" s="36"/>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row>
    <row r="197" spans="3:32" s="301" customFormat="1">
      <c r="C197" s="10"/>
      <c r="D197" s="29"/>
      <c r="E197" s="29"/>
      <c r="F197" s="36"/>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331"/>
    </row>
    <row r="198" spans="3:32" s="301" customFormat="1">
      <c r="C198" s="10"/>
      <c r="D198" s="29"/>
      <c r="E198" s="29"/>
      <c r="F198" s="36"/>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331"/>
      <c r="AF198" s="331"/>
    </row>
    <row r="199" spans="3:32" s="301" customFormat="1">
      <c r="C199" s="10"/>
      <c r="D199" s="29"/>
      <c r="E199" s="29"/>
      <c r="F199" s="36"/>
      <c r="G199" s="331"/>
      <c r="H199" s="331"/>
      <c r="I199" s="331"/>
      <c r="J199" s="331"/>
      <c r="K199" s="331"/>
      <c r="L199" s="331"/>
      <c r="M199" s="331"/>
      <c r="N199" s="331"/>
      <c r="O199" s="331"/>
      <c r="P199" s="331"/>
      <c r="Q199" s="331"/>
      <c r="R199" s="331"/>
      <c r="S199" s="331"/>
      <c r="T199" s="331"/>
      <c r="U199" s="331"/>
      <c r="V199" s="331"/>
      <c r="W199" s="331"/>
      <c r="X199" s="331"/>
      <c r="Y199" s="331"/>
      <c r="Z199" s="331"/>
      <c r="AA199" s="331"/>
      <c r="AB199" s="331"/>
      <c r="AC199" s="331"/>
      <c r="AD199" s="331"/>
      <c r="AE199" s="331"/>
      <c r="AF199" s="331"/>
    </row>
    <row r="200" spans="3:32" s="301" customFormat="1">
      <c r="C200" s="10"/>
      <c r="D200" s="29"/>
      <c r="E200" s="29"/>
      <c r="F200" s="36"/>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row>
    <row r="201" spans="3:32" s="301" customFormat="1">
      <c r="C201" s="10"/>
      <c r="D201" s="29"/>
      <c r="E201" s="29"/>
      <c r="F201" s="36"/>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331"/>
      <c r="AC201" s="331"/>
      <c r="AD201" s="331"/>
      <c r="AE201" s="331"/>
      <c r="AF201" s="331"/>
    </row>
    <row r="202" spans="3:32" s="301" customFormat="1">
      <c r="C202" s="10"/>
      <c r="D202" s="29"/>
      <c r="E202" s="29"/>
      <c r="F202" s="36"/>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331"/>
      <c r="AC202" s="331"/>
      <c r="AD202" s="331"/>
      <c r="AE202" s="331"/>
      <c r="AF202" s="331"/>
    </row>
    <row r="203" spans="3:32" s="301" customFormat="1">
      <c r="C203" s="10"/>
      <c r="D203" s="29"/>
      <c r="E203" s="29"/>
      <c r="F203" s="36"/>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331"/>
      <c r="AC203" s="331"/>
      <c r="AD203" s="331"/>
      <c r="AE203" s="331"/>
      <c r="AF203" s="331"/>
    </row>
    <row r="204" spans="3:32" s="301" customFormat="1">
      <c r="C204" s="10"/>
      <c r="D204" s="29"/>
      <c r="E204" s="29"/>
      <c r="F204" s="36"/>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1"/>
    </row>
    <row r="205" spans="3:32" s="301" customFormat="1">
      <c r="C205" s="10"/>
      <c r="D205" s="29"/>
      <c r="E205" s="29"/>
      <c r="F205" s="36"/>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331"/>
    </row>
    <row r="206" spans="3:32" s="301" customFormat="1">
      <c r="C206" s="10"/>
      <c r="D206" s="29"/>
      <c r="E206" s="29"/>
      <c r="F206" s="36"/>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331"/>
    </row>
    <row r="207" spans="3:32" s="301" customFormat="1">
      <c r="C207" s="10"/>
      <c r="D207" s="29"/>
      <c r="E207" s="29"/>
      <c r="F207" s="36"/>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331"/>
      <c r="AF207" s="331"/>
    </row>
    <row r="208" spans="3:32" s="301" customFormat="1">
      <c r="C208" s="10"/>
      <c r="D208" s="29"/>
      <c r="E208" s="29"/>
      <c r="F208" s="36"/>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row>
    <row r="209" spans="3:32" s="301" customFormat="1">
      <c r="C209" s="10"/>
      <c r="D209" s="29"/>
      <c r="E209" s="29"/>
      <c r="F209" s="36"/>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331"/>
    </row>
    <row r="210" spans="3:32" s="301" customFormat="1">
      <c r="C210" s="10"/>
      <c r="D210" s="29"/>
      <c r="E210" s="29"/>
      <c r="F210" s="36"/>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row>
    <row r="211" spans="3:32" s="301" customFormat="1">
      <c r="C211" s="10"/>
      <c r="D211" s="29"/>
      <c r="E211" s="29"/>
      <c r="F211" s="36"/>
      <c r="G211" s="331"/>
      <c r="H211" s="331"/>
      <c r="I211" s="331"/>
      <c r="J211" s="331"/>
      <c r="K211" s="331"/>
      <c r="L211" s="331"/>
      <c r="M211" s="331"/>
      <c r="N211" s="331"/>
      <c r="O211" s="331"/>
      <c r="P211" s="331"/>
      <c r="Q211" s="331"/>
      <c r="R211" s="331"/>
      <c r="S211" s="331"/>
      <c r="T211" s="331"/>
      <c r="U211" s="331"/>
      <c r="V211" s="331"/>
      <c r="W211" s="331"/>
      <c r="X211" s="331"/>
      <c r="Y211" s="331"/>
      <c r="Z211" s="331"/>
      <c r="AA211" s="331"/>
      <c r="AB211" s="331"/>
      <c r="AC211" s="331"/>
      <c r="AD211" s="331"/>
      <c r="AE211" s="331"/>
      <c r="AF211" s="331"/>
    </row>
    <row r="212" spans="3:32" s="301" customFormat="1">
      <c r="C212" s="10"/>
      <c r="D212" s="29"/>
      <c r="E212" s="29"/>
      <c r="F212" s="36"/>
      <c r="G212" s="331"/>
      <c r="H212" s="331"/>
      <c r="I212" s="331"/>
      <c r="J212" s="331"/>
      <c r="K212" s="331"/>
      <c r="L212" s="331"/>
      <c r="M212" s="331"/>
      <c r="N212" s="331"/>
      <c r="O212" s="331"/>
      <c r="P212" s="331"/>
      <c r="Q212" s="331"/>
      <c r="R212" s="331"/>
      <c r="S212" s="331"/>
      <c r="T212" s="331"/>
      <c r="U212" s="331"/>
      <c r="V212" s="331"/>
      <c r="W212" s="331"/>
      <c r="X212" s="331"/>
      <c r="Y212" s="331"/>
      <c r="Z212" s="331"/>
      <c r="AA212" s="331"/>
      <c r="AB212" s="331"/>
      <c r="AC212" s="331"/>
      <c r="AD212" s="331"/>
      <c r="AE212" s="331"/>
      <c r="AF212" s="331"/>
    </row>
    <row r="213" spans="3:32" s="301" customFormat="1">
      <c r="C213" s="10"/>
      <c r="D213" s="29"/>
      <c r="E213" s="29"/>
      <c r="F213" s="36"/>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331"/>
      <c r="AF213" s="331"/>
    </row>
    <row r="214" spans="3:32" s="301" customFormat="1">
      <c r="C214" s="10"/>
      <c r="D214" s="29"/>
      <c r="E214" s="29"/>
      <c r="F214" s="36"/>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1"/>
      <c r="AD214" s="331"/>
      <c r="AE214" s="331"/>
      <c r="AF214" s="331"/>
    </row>
    <row r="215" spans="3:32" s="301" customFormat="1">
      <c r="C215" s="10"/>
      <c r="D215" s="29"/>
      <c r="E215" s="29"/>
      <c r="F215" s="36"/>
      <c r="G215" s="331"/>
      <c r="H215" s="331"/>
      <c r="I215" s="331"/>
      <c r="J215" s="331"/>
      <c r="K215" s="331"/>
      <c r="L215" s="331"/>
      <c r="M215" s="331"/>
      <c r="N215" s="331"/>
      <c r="O215" s="331"/>
      <c r="P215" s="331"/>
      <c r="Q215" s="331"/>
      <c r="R215" s="331"/>
      <c r="S215" s="331"/>
      <c r="T215" s="331"/>
      <c r="U215" s="331"/>
      <c r="V215" s="331"/>
      <c r="W215" s="331"/>
      <c r="X215" s="331"/>
      <c r="Y215" s="331"/>
      <c r="Z215" s="331"/>
      <c r="AA215" s="331"/>
      <c r="AB215" s="331"/>
      <c r="AC215" s="331"/>
      <c r="AD215" s="331"/>
      <c r="AE215" s="331"/>
      <c r="AF215" s="331"/>
    </row>
    <row r="216" spans="3:32" s="301" customFormat="1">
      <c r="C216" s="10"/>
      <c r="D216" s="29"/>
      <c r="E216" s="29"/>
      <c r="F216" s="36"/>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331"/>
      <c r="AF216" s="331"/>
    </row>
    <row r="217" spans="3:32" s="301" customFormat="1">
      <c r="C217" s="10"/>
      <c r="D217" s="29"/>
      <c r="E217" s="29"/>
      <c r="F217" s="36"/>
      <c r="G217" s="331"/>
      <c r="H217" s="331"/>
      <c r="I217" s="331"/>
      <c r="J217" s="331"/>
      <c r="K217" s="331"/>
      <c r="L217" s="331"/>
      <c r="M217" s="331"/>
      <c r="N217" s="331"/>
      <c r="O217" s="331"/>
      <c r="P217" s="331"/>
      <c r="Q217" s="331"/>
      <c r="R217" s="331"/>
      <c r="S217" s="331"/>
      <c r="T217" s="331"/>
      <c r="U217" s="331"/>
      <c r="V217" s="331"/>
      <c r="W217" s="331"/>
      <c r="X217" s="331"/>
      <c r="Y217" s="331"/>
      <c r="Z217" s="331"/>
      <c r="AA217" s="331"/>
      <c r="AB217" s="331"/>
      <c r="AC217" s="331"/>
      <c r="AD217" s="331"/>
      <c r="AE217" s="331"/>
      <c r="AF217" s="331"/>
    </row>
    <row r="218" spans="3:32" s="301" customFormat="1">
      <c r="C218" s="10"/>
      <c r="D218" s="29"/>
      <c r="E218" s="29"/>
      <c r="F218" s="36"/>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1"/>
      <c r="AD218" s="331"/>
      <c r="AE218" s="331"/>
      <c r="AF218" s="331"/>
    </row>
    <row r="219" spans="3:32" s="301" customFormat="1">
      <c r="C219" s="10"/>
      <c r="D219" s="29"/>
      <c r="E219" s="29"/>
      <c r="F219" s="36"/>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row>
    <row r="220" spans="3:32" s="301" customFormat="1">
      <c r="C220" s="10"/>
      <c r="D220" s="29"/>
      <c r="E220" s="29"/>
      <c r="F220" s="36"/>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331"/>
      <c r="AF220" s="331"/>
    </row>
    <row r="221" spans="3:32" s="301" customFormat="1">
      <c r="C221" s="10"/>
      <c r="D221" s="29"/>
      <c r="E221" s="29"/>
      <c r="F221" s="36"/>
      <c r="G221" s="331"/>
      <c r="H221" s="331"/>
      <c r="I221" s="331"/>
      <c r="J221" s="331"/>
      <c r="K221" s="331"/>
      <c r="L221" s="331"/>
      <c r="M221" s="331"/>
      <c r="N221" s="331"/>
      <c r="O221" s="331"/>
      <c r="P221" s="331"/>
      <c r="Q221" s="331"/>
      <c r="R221" s="331"/>
      <c r="S221" s="331"/>
      <c r="T221" s="331"/>
      <c r="U221" s="331"/>
      <c r="V221" s="331"/>
      <c r="W221" s="331"/>
      <c r="X221" s="331"/>
      <c r="Y221" s="331"/>
      <c r="Z221" s="331"/>
      <c r="AA221" s="331"/>
      <c r="AB221" s="331"/>
      <c r="AC221" s="331"/>
      <c r="AD221" s="331"/>
      <c r="AE221" s="331"/>
      <c r="AF221" s="331"/>
    </row>
    <row r="222" spans="3:32" s="301" customFormat="1">
      <c r="C222" s="10"/>
      <c r="D222" s="29"/>
      <c r="E222" s="29"/>
      <c r="F222" s="36"/>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331"/>
      <c r="AF222" s="331"/>
    </row>
    <row r="223" spans="3:32" s="301" customFormat="1">
      <c r="C223" s="10"/>
      <c r="D223" s="29"/>
      <c r="E223" s="29"/>
      <c r="F223" s="36"/>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row>
    <row r="224" spans="3:32" s="301" customFormat="1">
      <c r="C224" s="10"/>
      <c r="D224" s="29"/>
      <c r="E224" s="29"/>
      <c r="F224" s="36"/>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row>
    <row r="225" spans="3:32" s="301" customFormat="1">
      <c r="C225" s="10"/>
      <c r="D225" s="29"/>
      <c r="E225" s="29"/>
      <c r="F225" s="36"/>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row>
    <row r="226" spans="3:32" s="301" customFormat="1">
      <c r="C226" s="10"/>
      <c r="D226" s="29"/>
      <c r="E226" s="29"/>
      <c r="F226" s="36"/>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c r="AF226" s="331"/>
    </row>
    <row r="227" spans="3:32" s="301" customFormat="1">
      <c r="C227" s="10"/>
      <c r="D227" s="29"/>
      <c r="E227" s="29"/>
      <c r="F227" s="36"/>
      <c r="G227" s="331"/>
      <c r="H227" s="331"/>
      <c r="I227" s="331"/>
      <c r="J227" s="331"/>
      <c r="K227" s="331"/>
      <c r="L227" s="331"/>
      <c r="M227" s="331"/>
      <c r="N227" s="331"/>
      <c r="O227" s="331"/>
      <c r="P227" s="331"/>
      <c r="Q227" s="331"/>
      <c r="R227" s="331"/>
      <c r="S227" s="331"/>
      <c r="T227" s="331"/>
      <c r="U227" s="331"/>
      <c r="V227" s="331"/>
      <c r="W227" s="331"/>
      <c r="X227" s="331"/>
      <c r="Y227" s="331"/>
      <c r="Z227" s="331"/>
      <c r="AA227" s="331"/>
      <c r="AB227" s="331"/>
      <c r="AC227" s="331"/>
      <c r="AD227" s="331"/>
      <c r="AE227" s="331"/>
      <c r="AF227" s="331"/>
    </row>
    <row r="228" spans="3:32" s="301" customFormat="1">
      <c r="C228" s="10"/>
      <c r="D228" s="29"/>
      <c r="E228" s="29"/>
      <c r="F228" s="36"/>
      <c r="G228" s="331"/>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331"/>
      <c r="AF228" s="331"/>
    </row>
    <row r="229" spans="3:32" s="301" customFormat="1">
      <c r="C229" s="10"/>
      <c r="D229" s="29"/>
      <c r="E229" s="29"/>
      <c r="F229" s="36"/>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331"/>
      <c r="AE229" s="331"/>
      <c r="AF229" s="331"/>
    </row>
    <row r="230" spans="3:32" s="301" customFormat="1">
      <c r="C230" s="10"/>
      <c r="D230" s="29"/>
      <c r="E230" s="29"/>
      <c r="F230" s="36"/>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row>
    <row r="231" spans="3:32" s="301" customFormat="1">
      <c r="C231" s="10"/>
      <c r="D231" s="29"/>
      <c r="E231" s="29"/>
      <c r="F231" s="36"/>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1"/>
      <c r="AD231" s="331"/>
      <c r="AE231" s="331"/>
      <c r="AF231" s="331"/>
    </row>
    <row r="232" spans="3:32" s="301" customFormat="1">
      <c r="C232" s="10"/>
      <c r="D232" s="29"/>
      <c r="E232" s="29"/>
      <c r="F232" s="36"/>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row>
    <row r="233" spans="3:32" s="301" customFormat="1">
      <c r="C233" s="10"/>
      <c r="D233" s="29"/>
      <c r="E233" s="29"/>
      <c r="F233" s="36"/>
      <c r="G233" s="331"/>
      <c r="H233" s="331"/>
      <c r="I233" s="331"/>
      <c r="J233" s="331"/>
      <c r="K233" s="331"/>
      <c r="L233" s="331"/>
      <c r="M233" s="331"/>
      <c r="N233" s="331"/>
      <c r="O233" s="331"/>
      <c r="P233" s="331"/>
      <c r="Q233" s="331"/>
      <c r="R233" s="331"/>
      <c r="S233" s="331"/>
      <c r="T233" s="331"/>
      <c r="U233" s="331"/>
      <c r="V233" s="331"/>
      <c r="W233" s="331"/>
      <c r="X233" s="331"/>
      <c r="Y233" s="331"/>
      <c r="Z233" s="331"/>
      <c r="AA233" s="331"/>
      <c r="AB233" s="331"/>
      <c r="AC233" s="331"/>
      <c r="AD233" s="331"/>
      <c r="AE233" s="331"/>
      <c r="AF233" s="331"/>
    </row>
    <row r="234" spans="3:32" s="301" customFormat="1">
      <c r="C234" s="10"/>
      <c r="D234" s="29"/>
      <c r="E234" s="29"/>
      <c r="F234" s="36"/>
      <c r="G234" s="331"/>
      <c r="H234" s="331"/>
      <c r="I234" s="331"/>
      <c r="J234" s="331"/>
      <c r="K234" s="331"/>
      <c r="L234" s="331"/>
      <c r="M234" s="331"/>
      <c r="N234" s="331"/>
      <c r="O234" s="331"/>
      <c r="P234" s="331"/>
      <c r="Q234" s="331"/>
      <c r="R234" s="331"/>
      <c r="S234" s="331"/>
      <c r="T234" s="331"/>
      <c r="U234" s="331"/>
      <c r="V234" s="331"/>
      <c r="W234" s="331"/>
      <c r="X234" s="331"/>
      <c r="Y234" s="331"/>
      <c r="Z234" s="331"/>
      <c r="AA234" s="331"/>
      <c r="AB234" s="331"/>
      <c r="AC234" s="331"/>
      <c r="AD234" s="331"/>
      <c r="AE234" s="331"/>
      <c r="AF234" s="331"/>
    </row>
    <row r="235" spans="3:32" s="301" customFormat="1">
      <c r="C235" s="10"/>
      <c r="D235" s="29"/>
      <c r="E235" s="29"/>
      <c r="F235" s="36"/>
      <c r="G235" s="331"/>
      <c r="H235" s="331"/>
      <c r="I235" s="331"/>
      <c r="J235" s="331"/>
      <c r="K235" s="331"/>
      <c r="L235" s="331"/>
      <c r="M235" s="331"/>
      <c r="N235" s="331"/>
      <c r="O235" s="331"/>
      <c r="P235" s="331"/>
      <c r="Q235" s="331"/>
      <c r="R235" s="331"/>
      <c r="S235" s="331"/>
      <c r="T235" s="331"/>
      <c r="U235" s="331"/>
      <c r="V235" s="331"/>
      <c r="W235" s="331"/>
      <c r="X235" s="331"/>
      <c r="Y235" s="331"/>
      <c r="Z235" s="331"/>
      <c r="AA235" s="331"/>
      <c r="AB235" s="331"/>
      <c r="AC235" s="331"/>
      <c r="AD235" s="331"/>
      <c r="AE235" s="331"/>
      <c r="AF235" s="331"/>
    </row>
    <row r="236" spans="3:32" s="301" customFormat="1">
      <c r="C236" s="10"/>
      <c r="D236" s="29"/>
      <c r="E236" s="29"/>
      <c r="F236" s="36"/>
      <c r="G236" s="331"/>
      <c r="H236" s="331"/>
      <c r="I236" s="331"/>
      <c r="J236" s="331"/>
      <c r="K236" s="331"/>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row>
    <row r="237" spans="3:32" s="301" customFormat="1">
      <c r="C237" s="10"/>
      <c r="D237" s="29"/>
      <c r="E237" s="29"/>
      <c r="F237" s="36"/>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c r="AF237" s="331"/>
    </row>
    <row r="238" spans="3:32" s="301" customFormat="1">
      <c r="C238" s="10"/>
      <c r="D238" s="29"/>
      <c r="E238" s="29"/>
      <c r="F238" s="36"/>
      <c r="G238" s="331"/>
      <c r="H238" s="331"/>
      <c r="I238" s="331"/>
      <c r="J238" s="331"/>
      <c r="K238" s="331"/>
      <c r="L238" s="331"/>
      <c r="M238" s="331"/>
      <c r="N238" s="331"/>
      <c r="O238" s="331"/>
      <c r="P238" s="331"/>
      <c r="Q238" s="331"/>
      <c r="R238" s="331"/>
      <c r="S238" s="331"/>
      <c r="T238" s="331"/>
      <c r="U238" s="331"/>
      <c r="V238" s="331"/>
      <c r="W238" s="331"/>
      <c r="X238" s="331"/>
      <c r="Y238" s="331"/>
      <c r="Z238" s="331"/>
      <c r="AA238" s="331"/>
      <c r="AB238" s="331"/>
      <c r="AC238" s="331"/>
      <c r="AD238" s="331"/>
      <c r="AE238" s="331"/>
      <c r="AF238" s="331"/>
    </row>
    <row r="239" spans="3:32" s="301" customFormat="1">
      <c r="C239" s="10"/>
      <c r="D239" s="29"/>
      <c r="E239" s="29"/>
      <c r="F239" s="36"/>
      <c r="G239" s="331"/>
      <c r="H239" s="331"/>
      <c r="I239" s="331"/>
      <c r="J239" s="331"/>
      <c r="K239" s="331"/>
      <c r="L239" s="331"/>
      <c r="M239" s="331"/>
      <c r="N239" s="331"/>
      <c r="O239" s="331"/>
      <c r="P239" s="331"/>
      <c r="Q239" s="331"/>
      <c r="R239" s="331"/>
      <c r="S239" s="331"/>
      <c r="T239" s="331"/>
      <c r="U239" s="331"/>
      <c r="V239" s="331"/>
      <c r="W239" s="331"/>
      <c r="X239" s="331"/>
      <c r="Y239" s="331"/>
      <c r="Z239" s="331"/>
      <c r="AA239" s="331"/>
      <c r="AB239" s="331"/>
      <c r="AC239" s="331"/>
      <c r="AD239" s="331"/>
      <c r="AE239" s="331"/>
      <c r="AF239" s="331"/>
    </row>
    <row r="240" spans="3:32" s="301" customFormat="1">
      <c r="C240" s="10"/>
      <c r="D240" s="29"/>
      <c r="E240" s="29"/>
      <c r="F240" s="36"/>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1"/>
      <c r="AD240" s="331"/>
      <c r="AE240" s="331"/>
      <c r="AF240" s="331"/>
    </row>
    <row r="241" spans="3:32" s="301" customFormat="1">
      <c r="C241" s="10"/>
      <c r="D241" s="29"/>
      <c r="E241" s="29"/>
      <c r="F241" s="36"/>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331"/>
      <c r="AF241" s="331"/>
    </row>
    <row r="242" spans="3:32" s="301" customFormat="1">
      <c r="C242" s="10"/>
      <c r="D242" s="29"/>
      <c r="E242" s="29"/>
      <c r="F242" s="36"/>
      <c r="G242" s="331"/>
      <c r="H242" s="331"/>
      <c r="I242" s="331"/>
      <c r="J242" s="331"/>
      <c r="K242" s="331"/>
      <c r="L242" s="331"/>
      <c r="M242" s="331"/>
      <c r="N242" s="331"/>
      <c r="O242" s="331"/>
      <c r="P242" s="331"/>
      <c r="Q242" s="331"/>
      <c r="R242" s="331"/>
      <c r="S242" s="331"/>
      <c r="T242" s="331"/>
      <c r="U242" s="331"/>
      <c r="V242" s="331"/>
      <c r="W242" s="331"/>
      <c r="X242" s="331"/>
      <c r="Y242" s="331"/>
      <c r="Z242" s="331"/>
      <c r="AA242" s="331"/>
      <c r="AB242" s="331"/>
      <c r="AC242" s="331"/>
      <c r="AD242" s="331"/>
      <c r="AE242" s="331"/>
      <c r="AF242" s="331"/>
    </row>
    <row r="243" spans="3:32" s="301" customFormat="1">
      <c r="C243" s="10"/>
      <c r="D243" s="29"/>
      <c r="E243" s="29"/>
      <c r="F243" s="36"/>
      <c r="G243" s="331"/>
      <c r="H243" s="331"/>
      <c r="I243" s="331"/>
      <c r="J243" s="331"/>
      <c r="K243" s="331"/>
      <c r="L243" s="331"/>
      <c r="M243" s="331"/>
      <c r="N243" s="331"/>
      <c r="O243" s="331"/>
      <c r="P243" s="331"/>
      <c r="Q243" s="331"/>
      <c r="R243" s="331"/>
      <c r="S243" s="331"/>
      <c r="T243" s="331"/>
      <c r="U243" s="331"/>
      <c r="V243" s="331"/>
      <c r="W243" s="331"/>
      <c r="X243" s="331"/>
      <c r="Y243" s="331"/>
      <c r="Z243" s="331"/>
      <c r="AA243" s="331"/>
      <c r="AB243" s="331"/>
      <c r="AC243" s="331"/>
      <c r="AD243" s="331"/>
      <c r="AE243" s="331"/>
      <c r="AF243" s="331"/>
    </row>
    <row r="244" spans="3:32" s="301" customFormat="1">
      <c r="C244" s="10"/>
      <c r="D244" s="29"/>
      <c r="E244" s="29"/>
      <c r="F244" s="36"/>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331"/>
      <c r="AF244" s="331"/>
    </row>
    <row r="245" spans="3:32" s="301" customFormat="1">
      <c r="C245" s="10"/>
      <c r="D245" s="29"/>
      <c r="E245" s="29"/>
      <c r="F245" s="36"/>
      <c r="G245" s="331"/>
      <c r="H245" s="331"/>
      <c r="I245" s="331"/>
      <c r="J245" s="331"/>
      <c r="K245" s="331"/>
      <c r="L245" s="331"/>
      <c r="M245" s="331"/>
      <c r="N245" s="331"/>
      <c r="O245" s="331"/>
      <c r="P245" s="331"/>
      <c r="Q245" s="331"/>
      <c r="R245" s="331"/>
      <c r="S245" s="331"/>
      <c r="T245" s="331"/>
      <c r="U245" s="331"/>
      <c r="V245" s="331"/>
      <c r="W245" s="331"/>
      <c r="X245" s="331"/>
      <c r="Y245" s="331"/>
      <c r="Z245" s="331"/>
      <c r="AA245" s="331"/>
      <c r="AB245" s="331"/>
      <c r="AC245" s="331"/>
      <c r="AD245" s="331"/>
      <c r="AE245" s="331"/>
      <c r="AF245" s="331"/>
    </row>
    <row r="246" spans="3:32" s="301" customFormat="1">
      <c r="C246" s="10"/>
      <c r="D246" s="29"/>
      <c r="E246" s="29"/>
      <c r="F246" s="36"/>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c r="AF246" s="331"/>
    </row>
    <row r="247" spans="3:32" s="301" customFormat="1">
      <c r="C247" s="10"/>
      <c r="D247" s="29"/>
      <c r="E247" s="29"/>
      <c r="F247" s="36"/>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331"/>
      <c r="AE247" s="331"/>
      <c r="AF247" s="331"/>
    </row>
    <row r="248" spans="3:32" s="301" customFormat="1">
      <c r="C248" s="10"/>
      <c r="D248" s="29"/>
      <c r="E248" s="29"/>
      <c r="F248" s="36"/>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331"/>
      <c r="AF248" s="331"/>
    </row>
    <row r="249" spans="3:32" s="301" customFormat="1">
      <c r="C249" s="10"/>
      <c r="D249" s="29"/>
      <c r="E249" s="29"/>
      <c r="F249" s="36"/>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331"/>
      <c r="AF249" s="331"/>
    </row>
    <row r="250" spans="3:32" s="301" customFormat="1">
      <c r="C250" s="10"/>
      <c r="D250" s="29"/>
      <c r="E250" s="29"/>
      <c r="F250" s="36"/>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331"/>
      <c r="AF250" s="331"/>
    </row>
    <row r="251" spans="3:32" s="301" customFormat="1">
      <c r="C251" s="10"/>
      <c r="D251" s="29"/>
      <c r="E251" s="29"/>
      <c r="F251" s="36"/>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1"/>
    </row>
    <row r="252" spans="3:32" s="301" customFormat="1">
      <c r="C252" s="10"/>
      <c r="D252" s="29"/>
      <c r="E252" s="29"/>
      <c r="F252" s="36"/>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c r="AF252" s="331"/>
    </row>
    <row r="253" spans="3:32" s="301" customFormat="1">
      <c r="C253" s="10"/>
      <c r="D253" s="29"/>
      <c r="E253" s="29"/>
      <c r="F253" s="36"/>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331"/>
      <c r="AF253" s="331"/>
    </row>
    <row r="254" spans="3:32" s="301" customFormat="1">
      <c r="C254" s="10"/>
      <c r="D254" s="29"/>
      <c r="E254" s="29"/>
      <c r="F254" s="36"/>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c r="AF254" s="331"/>
    </row>
    <row r="255" spans="3:32" s="301" customFormat="1">
      <c r="C255" s="10"/>
      <c r="D255" s="29"/>
      <c r="E255" s="29"/>
      <c r="F255" s="36"/>
      <c r="G255" s="331"/>
      <c r="H255" s="331"/>
      <c r="I255" s="331"/>
      <c r="J255" s="331"/>
      <c r="K255" s="331"/>
      <c r="L255" s="331"/>
      <c r="M255" s="331"/>
      <c r="N255" s="331"/>
      <c r="O255" s="331"/>
      <c r="P255" s="331"/>
      <c r="Q255" s="331"/>
      <c r="R255" s="331"/>
      <c r="S255" s="331"/>
      <c r="T255" s="331"/>
      <c r="U255" s="331"/>
      <c r="V255" s="331"/>
      <c r="W255" s="331"/>
      <c r="X255" s="331"/>
      <c r="Y255" s="331"/>
      <c r="Z255" s="331"/>
      <c r="AA255" s="331"/>
      <c r="AB255" s="331"/>
      <c r="AC255" s="331"/>
      <c r="AD255" s="331"/>
      <c r="AE255" s="331"/>
      <c r="AF255" s="331"/>
    </row>
    <row r="256" spans="3:32" s="301" customFormat="1">
      <c r="C256" s="10"/>
      <c r="D256" s="29"/>
      <c r="E256" s="29"/>
      <c r="F256" s="36"/>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c r="AF256" s="331"/>
    </row>
    <row r="257" spans="3:32" s="301" customFormat="1">
      <c r="C257" s="10"/>
      <c r="D257" s="29"/>
      <c r="E257" s="29"/>
      <c r="F257" s="36"/>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c r="AF257" s="331"/>
    </row>
    <row r="258" spans="3:32" s="301" customFormat="1">
      <c r="C258" s="10"/>
      <c r="D258" s="29"/>
      <c r="E258" s="29"/>
      <c r="F258" s="36"/>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c r="AF258" s="331"/>
    </row>
    <row r="259" spans="3:32" s="301" customFormat="1">
      <c r="C259" s="10"/>
      <c r="D259" s="29"/>
      <c r="E259" s="29"/>
      <c r="F259" s="36"/>
      <c r="G259" s="331"/>
      <c r="H259" s="331"/>
      <c r="I259" s="331"/>
      <c r="J259" s="331"/>
      <c r="K259" s="331"/>
      <c r="L259" s="331"/>
      <c r="M259" s="331"/>
      <c r="N259" s="331"/>
      <c r="O259" s="331"/>
      <c r="P259" s="331"/>
      <c r="Q259" s="331"/>
      <c r="R259" s="331"/>
      <c r="S259" s="331"/>
      <c r="T259" s="331"/>
      <c r="U259" s="331"/>
      <c r="V259" s="331"/>
      <c r="W259" s="331"/>
      <c r="X259" s="331"/>
      <c r="Y259" s="331"/>
      <c r="Z259" s="331"/>
      <c r="AA259" s="331"/>
      <c r="AB259" s="331"/>
      <c r="AC259" s="331"/>
      <c r="AD259" s="331"/>
      <c r="AE259" s="331"/>
      <c r="AF259" s="331"/>
    </row>
    <row r="260" spans="3:32" s="301" customFormat="1">
      <c r="C260" s="10"/>
      <c r="D260" s="29"/>
      <c r="E260" s="29"/>
      <c r="F260" s="36"/>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c r="AF260" s="331"/>
    </row>
    <row r="261" spans="3:32" s="301" customFormat="1">
      <c r="C261" s="10"/>
      <c r="D261" s="29"/>
      <c r="E261" s="29"/>
      <c r="F261" s="36"/>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331"/>
      <c r="AF261" s="331"/>
    </row>
    <row r="262" spans="3:32" s="301" customFormat="1">
      <c r="C262" s="10"/>
      <c r="D262" s="29"/>
      <c r="E262" s="29"/>
      <c r="F262" s="36"/>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F262" s="331"/>
    </row>
    <row r="263" spans="3:32" s="301" customFormat="1">
      <c r="C263" s="10"/>
      <c r="D263" s="29"/>
      <c r="E263" s="29"/>
      <c r="F263" s="36"/>
      <c r="G263" s="331"/>
      <c r="H263" s="331"/>
      <c r="I263" s="331"/>
      <c r="J263" s="331"/>
      <c r="K263" s="331"/>
      <c r="L263" s="331"/>
      <c r="M263" s="331"/>
      <c r="N263" s="331"/>
      <c r="O263" s="331"/>
      <c r="P263" s="331"/>
      <c r="Q263" s="331"/>
      <c r="R263" s="331"/>
      <c r="S263" s="331"/>
      <c r="T263" s="331"/>
      <c r="U263" s="331"/>
      <c r="V263" s="331"/>
      <c r="W263" s="331"/>
      <c r="X263" s="331"/>
      <c r="Y263" s="331"/>
      <c r="Z263" s="331"/>
      <c r="AA263" s="331"/>
      <c r="AB263" s="331"/>
      <c r="AC263" s="331"/>
      <c r="AD263" s="331"/>
      <c r="AE263" s="331"/>
      <c r="AF263" s="331"/>
    </row>
    <row r="264" spans="3:32" s="301" customFormat="1">
      <c r="C264" s="10"/>
      <c r="D264" s="29"/>
      <c r="E264" s="29"/>
      <c r="F264" s="36"/>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c r="AF264" s="331"/>
    </row>
    <row r="265" spans="3:32" s="301" customFormat="1">
      <c r="C265" s="10"/>
      <c r="D265" s="29"/>
      <c r="E265" s="29"/>
      <c r="F265" s="36"/>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331"/>
      <c r="AE265" s="331"/>
      <c r="AF265" s="331"/>
    </row>
    <row r="266" spans="3:32" s="301" customFormat="1">
      <c r="C266" s="10"/>
      <c r="D266" s="29"/>
      <c r="E266" s="29"/>
      <c r="F266" s="36"/>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1"/>
      <c r="AD266" s="331"/>
      <c r="AE266" s="331"/>
      <c r="AF266" s="331"/>
    </row>
    <row r="267" spans="3:32" s="301" customFormat="1">
      <c r="C267" s="10"/>
      <c r="D267" s="29"/>
      <c r="E267" s="29"/>
      <c r="F267" s="36"/>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1"/>
      <c r="AF267" s="331"/>
    </row>
    <row r="268" spans="3:32" s="301" customFormat="1">
      <c r="C268" s="10"/>
      <c r="D268" s="29"/>
      <c r="E268" s="29"/>
      <c r="F268" s="36"/>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c r="AF268" s="331"/>
    </row>
    <row r="269" spans="3:32" s="301" customFormat="1">
      <c r="C269" s="10"/>
      <c r="D269" s="29"/>
      <c r="E269" s="29"/>
      <c r="F269" s="36"/>
      <c r="G269" s="331"/>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c r="AF269" s="331"/>
    </row>
    <row r="270" spans="3:32" s="301" customFormat="1">
      <c r="C270" s="10"/>
      <c r="D270" s="29"/>
      <c r="E270" s="29"/>
      <c r="F270" s="36"/>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1"/>
      <c r="AD270" s="331"/>
      <c r="AE270" s="331"/>
      <c r="AF270" s="331"/>
    </row>
    <row r="271" spans="3:32" s="301" customFormat="1">
      <c r="C271" s="10"/>
      <c r="D271" s="29"/>
      <c r="E271" s="29"/>
      <c r="F271" s="36"/>
      <c r="G271" s="331"/>
      <c r="H271" s="331"/>
      <c r="I271" s="331"/>
      <c r="J271" s="331"/>
      <c r="K271" s="331"/>
      <c r="L271" s="331"/>
      <c r="M271" s="331"/>
      <c r="N271" s="331"/>
      <c r="O271" s="331"/>
      <c r="P271" s="331"/>
      <c r="Q271" s="331"/>
      <c r="R271" s="331"/>
      <c r="S271" s="331"/>
      <c r="T271" s="331"/>
      <c r="U271" s="331"/>
      <c r="V271" s="331"/>
      <c r="W271" s="331"/>
      <c r="X271" s="331"/>
      <c r="Y271" s="331"/>
      <c r="Z271" s="331"/>
      <c r="AA271" s="331"/>
      <c r="AB271" s="331"/>
      <c r="AC271" s="331"/>
      <c r="AD271" s="331"/>
      <c r="AE271" s="331"/>
      <c r="AF271" s="331"/>
    </row>
    <row r="272" spans="3:32" s="301" customFormat="1">
      <c r="C272" s="10"/>
      <c r="D272" s="29"/>
      <c r="E272" s="29"/>
      <c r="F272" s="36"/>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c r="AF272" s="331"/>
    </row>
    <row r="273" spans="3:32" s="301" customFormat="1">
      <c r="C273" s="10"/>
      <c r="D273" s="29"/>
      <c r="E273" s="29"/>
      <c r="F273" s="36"/>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row>
    <row r="274" spans="3:32" s="301" customFormat="1">
      <c r="C274" s="10"/>
      <c r="D274" s="29"/>
      <c r="E274" s="29"/>
      <c r="F274" s="36"/>
      <c r="G274" s="331"/>
      <c r="H274" s="331"/>
      <c r="I274" s="331"/>
      <c r="J274" s="331"/>
      <c r="K274" s="331"/>
      <c r="L274" s="331"/>
      <c r="M274" s="331"/>
      <c r="N274" s="331"/>
      <c r="O274" s="331"/>
      <c r="P274" s="331"/>
      <c r="Q274" s="331"/>
      <c r="R274" s="331"/>
      <c r="S274" s="331"/>
      <c r="T274" s="331"/>
      <c r="U274" s="331"/>
      <c r="V274" s="331"/>
      <c r="W274" s="331"/>
      <c r="X274" s="331"/>
      <c r="Y274" s="331"/>
      <c r="Z274" s="331"/>
      <c r="AA274" s="331"/>
      <c r="AB274" s="331"/>
      <c r="AC274" s="331"/>
      <c r="AD274" s="331"/>
      <c r="AE274" s="331"/>
      <c r="AF274" s="331"/>
    </row>
    <row r="275" spans="3:32" s="301" customFormat="1">
      <c r="C275" s="10"/>
      <c r="D275" s="29"/>
      <c r="E275" s="29"/>
      <c r="F275" s="36"/>
      <c r="G275" s="331"/>
      <c r="H275" s="331"/>
      <c r="I275" s="331"/>
      <c r="J275" s="331"/>
      <c r="K275" s="331"/>
      <c r="L275" s="331"/>
      <c r="M275" s="331"/>
      <c r="N275" s="331"/>
      <c r="O275" s="331"/>
      <c r="P275" s="331"/>
      <c r="Q275" s="331"/>
      <c r="R275" s="331"/>
      <c r="S275" s="331"/>
      <c r="T275" s="331"/>
      <c r="U275" s="331"/>
      <c r="V275" s="331"/>
      <c r="W275" s="331"/>
      <c r="X275" s="331"/>
      <c r="Y275" s="331"/>
      <c r="Z275" s="331"/>
      <c r="AA275" s="331"/>
      <c r="AB275" s="331"/>
      <c r="AC275" s="331"/>
      <c r="AD275" s="331"/>
      <c r="AE275" s="331"/>
      <c r="AF275" s="331"/>
    </row>
    <row r="276" spans="3:32" s="301" customFormat="1">
      <c r="C276" s="10"/>
      <c r="D276" s="29"/>
      <c r="E276" s="29"/>
      <c r="F276" s="36"/>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c r="AF276" s="331"/>
    </row>
    <row r="277" spans="3:32" s="301" customFormat="1">
      <c r="C277" s="10"/>
      <c r="D277" s="29"/>
      <c r="E277" s="29"/>
      <c r="F277" s="36"/>
      <c r="G277" s="331"/>
      <c r="H277" s="331"/>
      <c r="I277" s="331"/>
      <c r="J277" s="331"/>
      <c r="K277" s="331"/>
      <c r="L277" s="331"/>
      <c r="M277" s="331"/>
      <c r="N277" s="331"/>
      <c r="O277" s="331"/>
      <c r="P277" s="331"/>
      <c r="Q277" s="331"/>
      <c r="R277" s="331"/>
      <c r="S277" s="331"/>
      <c r="T277" s="331"/>
      <c r="U277" s="331"/>
      <c r="V277" s="331"/>
      <c r="W277" s="331"/>
      <c r="X277" s="331"/>
      <c r="Y277" s="331"/>
      <c r="Z277" s="331"/>
      <c r="AA277" s="331"/>
      <c r="AB277" s="331"/>
      <c r="AC277" s="331"/>
      <c r="AD277" s="331"/>
      <c r="AE277" s="331"/>
      <c r="AF277" s="331"/>
    </row>
    <row r="278" spans="3:32" s="301" customFormat="1">
      <c r="C278" s="10"/>
      <c r="D278" s="29"/>
      <c r="E278" s="29"/>
      <c r="F278" s="36"/>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c r="AF278" s="331"/>
    </row>
    <row r="279" spans="3:32" s="301" customFormat="1">
      <c r="C279" s="10"/>
      <c r="D279" s="29"/>
      <c r="E279" s="29"/>
      <c r="F279" s="36"/>
      <c r="G279" s="331"/>
      <c r="H279" s="331"/>
      <c r="I279" s="331"/>
      <c r="J279" s="331"/>
      <c r="K279" s="331"/>
      <c r="L279" s="331"/>
      <c r="M279" s="331"/>
      <c r="N279" s="331"/>
      <c r="O279" s="331"/>
      <c r="P279" s="331"/>
      <c r="Q279" s="331"/>
      <c r="R279" s="331"/>
      <c r="S279" s="331"/>
      <c r="T279" s="331"/>
      <c r="U279" s="331"/>
      <c r="V279" s="331"/>
      <c r="W279" s="331"/>
      <c r="X279" s="331"/>
      <c r="Y279" s="331"/>
      <c r="Z279" s="331"/>
      <c r="AA279" s="331"/>
      <c r="AB279" s="331"/>
      <c r="AC279" s="331"/>
      <c r="AD279" s="331"/>
      <c r="AE279" s="331"/>
      <c r="AF279" s="331"/>
    </row>
    <row r="280" spans="3:32" s="301" customFormat="1">
      <c r="C280" s="10"/>
      <c r="D280" s="29"/>
      <c r="E280" s="29"/>
      <c r="F280" s="36"/>
      <c r="G280" s="331"/>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c r="AF280" s="331"/>
    </row>
    <row r="281" spans="3:32" s="301" customFormat="1">
      <c r="C281" s="10"/>
      <c r="D281" s="29"/>
      <c r="E281" s="29"/>
      <c r="F281" s="36"/>
      <c r="G281" s="331"/>
      <c r="H281" s="331"/>
      <c r="I281" s="331"/>
      <c r="J281" s="331"/>
      <c r="K281" s="331"/>
      <c r="L281" s="331"/>
      <c r="M281" s="331"/>
      <c r="N281" s="331"/>
      <c r="O281" s="331"/>
      <c r="P281" s="331"/>
      <c r="Q281" s="331"/>
      <c r="R281" s="331"/>
      <c r="S281" s="331"/>
      <c r="T281" s="331"/>
      <c r="U281" s="331"/>
      <c r="V281" s="331"/>
      <c r="W281" s="331"/>
      <c r="X281" s="331"/>
      <c r="Y281" s="331"/>
      <c r="Z281" s="331"/>
      <c r="AA281" s="331"/>
      <c r="AB281" s="331"/>
      <c r="AC281" s="331"/>
      <c r="AD281" s="331"/>
      <c r="AE281" s="331"/>
      <c r="AF281" s="331"/>
    </row>
    <row r="282" spans="3:32" s="301" customFormat="1">
      <c r="C282" s="10"/>
      <c r="D282" s="29"/>
      <c r="E282" s="29"/>
      <c r="F282" s="36"/>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1"/>
      <c r="AD282" s="331"/>
      <c r="AE282" s="331"/>
      <c r="AF282" s="331"/>
    </row>
    <row r="283" spans="3:32" s="301" customFormat="1">
      <c r="C283" s="10"/>
      <c r="D283" s="29"/>
      <c r="E283" s="29"/>
      <c r="F283" s="36"/>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c r="AF283" s="331"/>
    </row>
    <row r="284" spans="3:32" s="301" customFormat="1">
      <c r="C284" s="10"/>
      <c r="D284" s="29"/>
      <c r="E284" s="29"/>
      <c r="F284" s="36"/>
      <c r="G284" s="331"/>
      <c r="H284" s="331"/>
      <c r="I284" s="331"/>
      <c r="J284" s="331"/>
      <c r="K284" s="331"/>
      <c r="L284" s="331"/>
      <c r="M284" s="331"/>
      <c r="N284" s="331"/>
      <c r="O284" s="331"/>
      <c r="P284" s="331"/>
      <c r="Q284" s="331"/>
      <c r="R284" s="331"/>
      <c r="S284" s="331"/>
      <c r="T284" s="331"/>
      <c r="U284" s="331"/>
      <c r="V284" s="331"/>
      <c r="W284" s="331"/>
      <c r="X284" s="331"/>
      <c r="Y284" s="331"/>
      <c r="Z284" s="331"/>
      <c r="AA284" s="331"/>
      <c r="AB284" s="331"/>
      <c r="AC284" s="331"/>
      <c r="AD284" s="331"/>
      <c r="AE284" s="331"/>
      <c r="AF284" s="331"/>
    </row>
    <row r="285" spans="3:32" s="301" customFormat="1">
      <c r="C285" s="10"/>
      <c r="D285" s="29"/>
      <c r="E285" s="29"/>
      <c r="F285" s="36"/>
      <c r="G285" s="331"/>
      <c r="H285" s="331"/>
      <c r="I285" s="331"/>
      <c r="J285" s="331"/>
      <c r="K285" s="331"/>
      <c r="L285" s="331"/>
      <c r="M285" s="331"/>
      <c r="N285" s="331"/>
      <c r="O285" s="331"/>
      <c r="P285" s="331"/>
      <c r="Q285" s="331"/>
      <c r="R285" s="331"/>
      <c r="S285" s="331"/>
      <c r="T285" s="331"/>
      <c r="U285" s="331"/>
      <c r="V285" s="331"/>
      <c r="W285" s="331"/>
      <c r="X285" s="331"/>
      <c r="Y285" s="331"/>
      <c r="Z285" s="331"/>
      <c r="AA285" s="331"/>
      <c r="AB285" s="331"/>
      <c r="AC285" s="331"/>
      <c r="AD285" s="331"/>
      <c r="AE285" s="331"/>
      <c r="AF285" s="331"/>
    </row>
    <row r="286" spans="3:32" s="301" customFormat="1">
      <c r="C286" s="10"/>
      <c r="D286" s="29"/>
      <c r="E286" s="29"/>
      <c r="F286" s="36"/>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c r="AF286" s="331"/>
    </row>
    <row r="287" spans="3:32" s="301" customFormat="1">
      <c r="C287" s="10"/>
      <c r="D287" s="29"/>
      <c r="E287" s="29"/>
      <c r="F287" s="36"/>
      <c r="G287" s="331"/>
      <c r="H287" s="331"/>
      <c r="I287" s="331"/>
      <c r="J287" s="331"/>
      <c r="K287" s="331"/>
      <c r="L287" s="331"/>
      <c r="M287" s="331"/>
      <c r="N287" s="331"/>
      <c r="O287" s="331"/>
      <c r="P287" s="331"/>
      <c r="Q287" s="331"/>
      <c r="R287" s="331"/>
      <c r="S287" s="331"/>
      <c r="T287" s="331"/>
      <c r="U287" s="331"/>
      <c r="V287" s="331"/>
      <c r="W287" s="331"/>
      <c r="X287" s="331"/>
      <c r="Y287" s="331"/>
      <c r="Z287" s="331"/>
      <c r="AA287" s="331"/>
      <c r="AB287" s="331"/>
      <c r="AC287" s="331"/>
      <c r="AD287" s="331"/>
      <c r="AE287" s="331"/>
      <c r="AF287" s="331"/>
    </row>
    <row r="288" spans="3:32" s="301" customFormat="1">
      <c r="C288" s="10"/>
      <c r="D288" s="29"/>
      <c r="E288" s="29"/>
      <c r="F288" s="36"/>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c r="AF288" s="331"/>
    </row>
    <row r="289" spans="3:32" s="301" customFormat="1">
      <c r="C289" s="10"/>
      <c r="D289" s="29"/>
      <c r="E289" s="29"/>
      <c r="F289" s="36"/>
      <c r="G289" s="331"/>
      <c r="H289" s="331"/>
      <c r="I289" s="331"/>
      <c r="J289" s="331"/>
      <c r="K289" s="331"/>
      <c r="L289" s="331"/>
      <c r="M289" s="331"/>
      <c r="N289" s="331"/>
      <c r="O289" s="331"/>
      <c r="P289" s="331"/>
      <c r="Q289" s="331"/>
      <c r="R289" s="331"/>
      <c r="S289" s="331"/>
      <c r="T289" s="331"/>
      <c r="U289" s="331"/>
      <c r="V289" s="331"/>
      <c r="W289" s="331"/>
      <c r="X289" s="331"/>
      <c r="Y289" s="331"/>
      <c r="Z289" s="331"/>
      <c r="AA289" s="331"/>
      <c r="AB289" s="331"/>
      <c r="AC289" s="331"/>
      <c r="AD289" s="331"/>
      <c r="AE289" s="331"/>
      <c r="AF289" s="331"/>
    </row>
    <row r="290" spans="3:32" s="301" customFormat="1">
      <c r="C290" s="10"/>
      <c r="D290" s="29"/>
      <c r="E290" s="29"/>
      <c r="F290" s="36"/>
      <c r="G290" s="331"/>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c r="AE290" s="331"/>
      <c r="AF290" s="331"/>
    </row>
    <row r="291" spans="3:32" s="301" customFormat="1">
      <c r="C291" s="10"/>
      <c r="D291" s="29"/>
      <c r="E291" s="29"/>
      <c r="F291" s="36"/>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331"/>
      <c r="AE291" s="331"/>
      <c r="AF291" s="331"/>
    </row>
    <row r="292" spans="3:32" s="301" customFormat="1">
      <c r="C292" s="10"/>
      <c r="D292" s="29"/>
      <c r="E292" s="29"/>
      <c r="F292" s="36"/>
      <c r="G292" s="331"/>
      <c r="H292" s="331"/>
      <c r="I292" s="331"/>
      <c r="J292" s="331"/>
      <c r="K292" s="331"/>
      <c r="L292" s="331"/>
      <c r="M292" s="331"/>
      <c r="N292" s="331"/>
      <c r="O292" s="331"/>
      <c r="P292" s="331"/>
      <c r="Q292" s="331"/>
      <c r="R292" s="331"/>
      <c r="S292" s="331"/>
      <c r="T292" s="331"/>
      <c r="U292" s="331"/>
      <c r="V292" s="331"/>
      <c r="W292" s="331"/>
      <c r="X292" s="331"/>
      <c r="Y292" s="331"/>
      <c r="Z292" s="331"/>
      <c r="AA292" s="331"/>
      <c r="AB292" s="331"/>
      <c r="AC292" s="331"/>
      <c r="AD292" s="331"/>
      <c r="AE292" s="331"/>
      <c r="AF292" s="331"/>
    </row>
    <row r="293" spans="3:32" s="301" customFormat="1">
      <c r="C293" s="10"/>
      <c r="D293" s="29"/>
      <c r="E293" s="29"/>
      <c r="F293" s="36"/>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c r="AF293" s="331"/>
    </row>
    <row r="294" spans="3:32" s="301" customFormat="1">
      <c r="C294" s="10"/>
      <c r="D294" s="29"/>
      <c r="E294" s="29"/>
      <c r="F294" s="36"/>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c r="AF294" s="331"/>
    </row>
    <row r="295" spans="3:32" s="301" customFormat="1">
      <c r="C295" s="10"/>
      <c r="D295" s="29"/>
      <c r="E295" s="29"/>
      <c r="F295" s="36"/>
      <c r="G295" s="331"/>
      <c r="H295" s="331"/>
      <c r="I295" s="331"/>
      <c r="J295" s="331"/>
      <c r="K295" s="331"/>
      <c r="L295" s="331"/>
      <c r="M295" s="331"/>
      <c r="N295" s="331"/>
      <c r="O295" s="331"/>
      <c r="P295" s="331"/>
      <c r="Q295" s="331"/>
      <c r="R295" s="331"/>
      <c r="S295" s="331"/>
      <c r="T295" s="331"/>
      <c r="U295" s="331"/>
      <c r="V295" s="331"/>
      <c r="W295" s="331"/>
      <c r="X295" s="331"/>
      <c r="Y295" s="331"/>
      <c r="Z295" s="331"/>
      <c r="AA295" s="331"/>
      <c r="AB295" s="331"/>
      <c r="AC295" s="331"/>
      <c r="AD295" s="331"/>
      <c r="AE295" s="331"/>
      <c r="AF295" s="331"/>
    </row>
    <row r="296" spans="3:32" s="301" customFormat="1">
      <c r="C296" s="10"/>
      <c r="D296" s="29"/>
      <c r="E296" s="29"/>
      <c r="F296" s="36"/>
      <c r="G296" s="331"/>
      <c r="H296" s="331"/>
      <c r="I296" s="331"/>
      <c r="J296" s="331"/>
      <c r="K296" s="331"/>
      <c r="L296" s="331"/>
      <c r="M296" s="331"/>
      <c r="N296" s="331"/>
      <c r="O296" s="331"/>
      <c r="P296" s="331"/>
      <c r="Q296" s="331"/>
      <c r="R296" s="331"/>
      <c r="S296" s="331"/>
      <c r="T296" s="331"/>
      <c r="U296" s="331"/>
      <c r="V296" s="331"/>
      <c r="W296" s="331"/>
      <c r="X296" s="331"/>
      <c r="Y296" s="331"/>
      <c r="Z296" s="331"/>
      <c r="AA296" s="331"/>
      <c r="AB296" s="331"/>
      <c r="AC296" s="331"/>
      <c r="AD296" s="331"/>
      <c r="AE296" s="331"/>
      <c r="AF296" s="331"/>
    </row>
    <row r="297" spans="3:32" s="301" customFormat="1">
      <c r="C297" s="10"/>
      <c r="D297" s="29"/>
      <c r="E297" s="29"/>
      <c r="F297" s="36"/>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1"/>
    </row>
    <row r="298" spans="3:32" s="301" customFormat="1">
      <c r="C298" s="10"/>
      <c r="D298" s="29"/>
      <c r="E298" s="29"/>
      <c r="F298" s="36"/>
      <c r="G298" s="331"/>
      <c r="H298" s="331"/>
      <c r="I298" s="331"/>
      <c r="J298" s="331"/>
      <c r="K298" s="331"/>
      <c r="L298" s="331"/>
      <c r="M298" s="331"/>
      <c r="N298" s="331"/>
      <c r="O298" s="331"/>
      <c r="P298" s="331"/>
      <c r="Q298" s="331"/>
      <c r="R298" s="331"/>
      <c r="S298" s="331"/>
      <c r="T298" s="331"/>
      <c r="U298" s="331"/>
      <c r="V298" s="331"/>
      <c r="W298" s="331"/>
      <c r="X298" s="331"/>
      <c r="Y298" s="331"/>
      <c r="Z298" s="331"/>
      <c r="AA298" s="331"/>
      <c r="AB298" s="331"/>
      <c r="AC298" s="331"/>
      <c r="AD298" s="331"/>
      <c r="AE298" s="331"/>
      <c r="AF298" s="331"/>
    </row>
    <row r="299" spans="3:32" s="301" customFormat="1">
      <c r="C299" s="10"/>
      <c r="D299" s="29"/>
      <c r="E299" s="29"/>
      <c r="F299" s="36"/>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c r="AF299" s="331"/>
    </row>
    <row r="300" spans="3:32" s="301" customFormat="1">
      <c r="C300" s="10"/>
      <c r="D300" s="29"/>
      <c r="E300" s="29"/>
      <c r="F300" s="36"/>
      <c r="G300" s="331"/>
      <c r="H300" s="331"/>
      <c r="I300" s="331"/>
      <c r="J300" s="331"/>
      <c r="K300" s="331"/>
      <c r="L300" s="331"/>
      <c r="M300" s="331"/>
      <c r="N300" s="331"/>
      <c r="O300" s="331"/>
      <c r="P300" s="331"/>
      <c r="Q300" s="331"/>
      <c r="R300" s="331"/>
      <c r="S300" s="331"/>
      <c r="T300" s="331"/>
      <c r="U300" s="331"/>
      <c r="V300" s="331"/>
      <c r="W300" s="331"/>
      <c r="X300" s="331"/>
      <c r="Y300" s="331"/>
      <c r="Z300" s="331"/>
      <c r="AA300" s="331"/>
      <c r="AB300" s="331"/>
      <c r="AC300" s="331"/>
      <c r="AD300" s="331"/>
      <c r="AE300" s="331"/>
      <c r="AF300" s="331"/>
    </row>
    <row r="301" spans="3:32" s="301" customFormat="1">
      <c r="C301" s="10"/>
      <c r="D301" s="29"/>
      <c r="E301" s="29"/>
      <c r="F301" s="36"/>
      <c r="G301" s="331"/>
      <c r="H301" s="331"/>
      <c r="I301" s="331"/>
      <c r="J301" s="331"/>
      <c r="K301" s="331"/>
      <c r="L301" s="331"/>
      <c r="M301" s="331"/>
      <c r="N301" s="331"/>
      <c r="O301" s="331"/>
      <c r="P301" s="331"/>
      <c r="Q301" s="331"/>
      <c r="R301" s="331"/>
      <c r="S301" s="331"/>
      <c r="T301" s="331"/>
      <c r="U301" s="331"/>
      <c r="V301" s="331"/>
      <c r="W301" s="331"/>
      <c r="X301" s="331"/>
      <c r="Y301" s="331"/>
      <c r="Z301" s="331"/>
      <c r="AA301" s="331"/>
      <c r="AB301" s="331"/>
      <c r="AC301" s="331"/>
      <c r="AD301" s="331"/>
      <c r="AE301" s="331"/>
      <c r="AF301" s="331"/>
    </row>
    <row r="302" spans="3:32" s="301" customFormat="1">
      <c r="C302" s="10"/>
      <c r="D302" s="29"/>
      <c r="E302" s="29"/>
      <c r="F302" s="36"/>
      <c r="G302" s="331"/>
      <c r="H302" s="331"/>
      <c r="I302" s="331"/>
      <c r="J302" s="331"/>
      <c r="K302" s="331"/>
      <c r="L302" s="331"/>
      <c r="M302" s="331"/>
      <c r="N302" s="331"/>
      <c r="O302" s="331"/>
      <c r="P302" s="331"/>
      <c r="Q302" s="331"/>
      <c r="R302" s="331"/>
      <c r="S302" s="331"/>
      <c r="T302" s="331"/>
      <c r="U302" s="331"/>
      <c r="V302" s="331"/>
      <c r="W302" s="331"/>
      <c r="X302" s="331"/>
      <c r="Y302" s="331"/>
      <c r="Z302" s="331"/>
      <c r="AA302" s="331"/>
      <c r="AB302" s="331"/>
      <c r="AC302" s="331"/>
      <c r="AD302" s="331"/>
      <c r="AE302" s="331"/>
      <c r="AF302" s="331"/>
    </row>
    <row r="303" spans="3:32" s="301" customFormat="1">
      <c r="C303" s="10"/>
      <c r="D303" s="29"/>
      <c r="E303" s="29"/>
      <c r="F303" s="36"/>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c r="AF303" s="331"/>
    </row>
    <row r="304" spans="3:32" s="301" customFormat="1">
      <c r="C304" s="10"/>
      <c r="D304" s="29"/>
      <c r="E304" s="29"/>
      <c r="F304" s="36"/>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c r="AF304" s="331"/>
    </row>
    <row r="305" spans="3:32" s="301" customFormat="1">
      <c r="C305" s="10"/>
      <c r="D305" s="29"/>
      <c r="E305" s="29"/>
      <c r="F305" s="36"/>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row>
    <row r="306" spans="3:32" s="301" customFormat="1">
      <c r="C306" s="10"/>
      <c r="D306" s="29"/>
      <c r="E306" s="29"/>
      <c r="F306" s="36"/>
      <c r="G306" s="331"/>
      <c r="H306" s="331"/>
      <c r="I306" s="331"/>
      <c r="J306" s="331"/>
      <c r="K306" s="331"/>
      <c r="L306" s="331"/>
      <c r="M306" s="331"/>
      <c r="N306" s="331"/>
      <c r="O306" s="331"/>
      <c r="P306" s="331"/>
      <c r="Q306" s="331"/>
      <c r="R306" s="331"/>
      <c r="S306" s="331"/>
      <c r="T306" s="331"/>
      <c r="U306" s="331"/>
      <c r="V306" s="331"/>
      <c r="W306" s="331"/>
      <c r="X306" s="331"/>
      <c r="Y306" s="331"/>
      <c r="Z306" s="331"/>
      <c r="AA306" s="331"/>
      <c r="AB306" s="331"/>
      <c r="AC306" s="331"/>
      <c r="AD306" s="331"/>
      <c r="AE306" s="331"/>
      <c r="AF306" s="331"/>
    </row>
    <row r="307" spans="3:32" s="301" customFormat="1">
      <c r="C307" s="10"/>
      <c r="D307" s="29"/>
      <c r="E307" s="29"/>
      <c r="F307" s="36"/>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c r="AF307" s="331"/>
    </row>
    <row r="308" spans="3:32" s="301" customFormat="1">
      <c r="C308" s="10"/>
      <c r="D308" s="29"/>
      <c r="E308" s="29"/>
      <c r="F308" s="36"/>
      <c r="G308" s="331"/>
      <c r="H308" s="331"/>
      <c r="I308" s="331"/>
      <c r="J308" s="331"/>
      <c r="K308" s="331"/>
      <c r="L308" s="331"/>
      <c r="M308" s="331"/>
      <c r="N308" s="331"/>
      <c r="O308" s="331"/>
      <c r="P308" s="331"/>
      <c r="Q308" s="331"/>
      <c r="R308" s="331"/>
      <c r="S308" s="331"/>
      <c r="T308" s="331"/>
      <c r="U308" s="331"/>
      <c r="V308" s="331"/>
      <c r="W308" s="331"/>
      <c r="X308" s="331"/>
      <c r="Y308" s="331"/>
      <c r="Z308" s="331"/>
      <c r="AA308" s="331"/>
      <c r="AB308" s="331"/>
      <c r="AC308" s="331"/>
      <c r="AD308" s="331"/>
      <c r="AE308" s="331"/>
      <c r="AF308" s="331"/>
    </row>
    <row r="309" spans="3:32" s="301" customFormat="1">
      <c r="C309" s="10"/>
      <c r="D309" s="29"/>
      <c r="E309" s="29"/>
      <c r="F309" s="36"/>
      <c r="G309" s="331"/>
      <c r="H309" s="331"/>
      <c r="I309" s="331"/>
      <c r="J309" s="331"/>
      <c r="K309" s="331"/>
      <c r="L309" s="331"/>
      <c r="M309" s="331"/>
      <c r="N309" s="331"/>
      <c r="O309" s="331"/>
      <c r="P309" s="331"/>
      <c r="Q309" s="331"/>
      <c r="R309" s="331"/>
      <c r="S309" s="331"/>
      <c r="T309" s="331"/>
      <c r="U309" s="331"/>
      <c r="V309" s="331"/>
      <c r="W309" s="331"/>
      <c r="X309" s="331"/>
      <c r="Y309" s="331"/>
      <c r="Z309" s="331"/>
      <c r="AA309" s="331"/>
      <c r="AB309" s="331"/>
      <c r="AC309" s="331"/>
      <c r="AD309" s="331"/>
      <c r="AE309" s="331"/>
      <c r="AF309" s="331"/>
    </row>
    <row r="310" spans="3:32" s="301" customFormat="1">
      <c r="C310" s="10"/>
      <c r="D310" s="29"/>
      <c r="E310" s="29"/>
      <c r="F310" s="36"/>
      <c r="G310" s="331"/>
      <c r="H310" s="331"/>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c r="AF310" s="331"/>
    </row>
    <row r="311" spans="3:32" s="301" customFormat="1">
      <c r="C311" s="10"/>
      <c r="D311" s="29"/>
      <c r="E311" s="29"/>
      <c r="F311" s="36"/>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c r="AF311" s="331"/>
    </row>
    <row r="312" spans="3:32" s="301" customFormat="1">
      <c r="C312" s="10"/>
      <c r="D312" s="29"/>
      <c r="E312" s="29"/>
      <c r="F312" s="36"/>
      <c r="G312" s="331"/>
      <c r="H312" s="331"/>
      <c r="I312" s="331"/>
      <c r="J312" s="331"/>
      <c r="K312" s="331"/>
      <c r="L312" s="331"/>
      <c r="M312" s="331"/>
      <c r="N312" s="331"/>
      <c r="O312" s="331"/>
      <c r="P312" s="331"/>
      <c r="Q312" s="331"/>
      <c r="R312" s="331"/>
      <c r="S312" s="331"/>
      <c r="T312" s="331"/>
      <c r="U312" s="331"/>
      <c r="V312" s="331"/>
      <c r="W312" s="331"/>
      <c r="X312" s="331"/>
      <c r="Y312" s="331"/>
      <c r="Z312" s="331"/>
      <c r="AA312" s="331"/>
      <c r="AB312" s="331"/>
      <c r="AC312" s="331"/>
      <c r="AD312" s="331"/>
      <c r="AE312" s="331"/>
      <c r="AF312" s="331"/>
    </row>
    <row r="313" spans="3:32" s="301" customFormat="1">
      <c r="C313" s="10"/>
      <c r="D313" s="29"/>
      <c r="E313" s="29"/>
      <c r="F313" s="36"/>
      <c r="G313" s="331"/>
      <c r="H313" s="331"/>
      <c r="I313" s="331"/>
      <c r="J313" s="331"/>
      <c r="K313" s="331"/>
      <c r="L313" s="331"/>
      <c r="M313" s="331"/>
      <c r="N313" s="331"/>
      <c r="O313" s="331"/>
      <c r="P313" s="331"/>
      <c r="Q313" s="331"/>
      <c r="R313" s="331"/>
      <c r="S313" s="331"/>
      <c r="T313" s="331"/>
      <c r="U313" s="331"/>
      <c r="V313" s="331"/>
      <c r="W313" s="331"/>
      <c r="X313" s="331"/>
      <c r="Y313" s="331"/>
      <c r="Z313" s="331"/>
      <c r="AA313" s="331"/>
      <c r="AB313" s="331"/>
      <c r="AC313" s="331"/>
      <c r="AD313" s="331"/>
      <c r="AE313" s="331"/>
      <c r="AF313" s="331"/>
    </row>
    <row r="314" spans="3:32" s="301" customFormat="1">
      <c r="C314" s="10"/>
      <c r="D314" s="29"/>
      <c r="E314" s="29"/>
      <c r="F314" s="36"/>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331"/>
      <c r="AF314" s="331"/>
    </row>
    <row r="315" spans="3:32" s="301" customFormat="1">
      <c r="C315" s="10"/>
      <c r="D315" s="29"/>
      <c r="E315" s="29"/>
      <c r="F315" s="36"/>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c r="AF315" s="331"/>
    </row>
    <row r="316" spans="3:32" s="301" customFormat="1">
      <c r="C316" s="10"/>
      <c r="D316" s="29"/>
      <c r="E316" s="29"/>
      <c r="F316" s="36"/>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331"/>
      <c r="AF316" s="331"/>
    </row>
    <row r="317" spans="3:32" s="301" customFormat="1">
      <c r="C317" s="10"/>
      <c r="D317" s="29"/>
      <c r="E317" s="29"/>
      <c r="F317" s="36"/>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331"/>
      <c r="AF317" s="331"/>
    </row>
    <row r="318" spans="3:32" s="301" customFormat="1">
      <c r="C318" s="10"/>
      <c r="D318" s="29"/>
      <c r="E318" s="29"/>
      <c r="F318" s="36"/>
      <c r="G318" s="331"/>
      <c r="H318" s="331"/>
      <c r="I318" s="331"/>
      <c r="J318" s="331"/>
      <c r="K318" s="331"/>
      <c r="L318" s="331"/>
      <c r="M318" s="331"/>
      <c r="N318" s="331"/>
      <c r="O318" s="331"/>
      <c r="P318" s="331"/>
      <c r="Q318" s="331"/>
      <c r="R318" s="331"/>
      <c r="S318" s="331"/>
      <c r="T318" s="331"/>
      <c r="U318" s="331"/>
      <c r="V318" s="331"/>
      <c r="W318" s="331"/>
      <c r="X318" s="331"/>
      <c r="Y318" s="331"/>
      <c r="Z318" s="331"/>
      <c r="AA318" s="331"/>
      <c r="AB318" s="331"/>
      <c r="AC318" s="331"/>
      <c r="AD318" s="331"/>
      <c r="AE318" s="331"/>
      <c r="AF318" s="331"/>
    </row>
    <row r="319" spans="3:32" s="301" customFormat="1">
      <c r="C319" s="10"/>
      <c r="D319" s="29"/>
      <c r="E319" s="29"/>
      <c r="F319" s="36"/>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c r="AF319" s="331"/>
    </row>
    <row r="320" spans="3:32" s="301" customFormat="1">
      <c r="C320" s="10"/>
      <c r="D320" s="29"/>
      <c r="E320" s="29"/>
      <c r="F320" s="36"/>
      <c r="G320" s="331"/>
      <c r="H320" s="331"/>
      <c r="I320" s="331"/>
      <c r="J320" s="331"/>
      <c r="K320" s="331"/>
      <c r="L320" s="331"/>
      <c r="M320" s="331"/>
      <c r="N320" s="331"/>
      <c r="O320" s="331"/>
      <c r="P320" s="331"/>
      <c r="Q320" s="331"/>
      <c r="R320" s="331"/>
      <c r="S320" s="331"/>
      <c r="T320" s="331"/>
      <c r="U320" s="331"/>
      <c r="V320" s="331"/>
      <c r="W320" s="331"/>
      <c r="X320" s="331"/>
      <c r="Y320" s="331"/>
      <c r="Z320" s="331"/>
      <c r="AA320" s="331"/>
      <c r="AB320" s="331"/>
      <c r="AC320" s="331"/>
      <c r="AD320" s="331"/>
      <c r="AE320" s="331"/>
      <c r="AF320" s="331"/>
    </row>
    <row r="321" spans="3:32" s="301" customFormat="1">
      <c r="C321" s="10"/>
      <c r="D321" s="29"/>
      <c r="E321" s="29"/>
      <c r="F321" s="36"/>
      <c r="G321" s="331"/>
      <c r="H321" s="331"/>
      <c r="I321" s="331"/>
      <c r="J321" s="331"/>
      <c r="K321" s="331"/>
      <c r="L321" s="331"/>
      <c r="M321" s="331"/>
      <c r="N321" s="331"/>
      <c r="O321" s="331"/>
      <c r="P321" s="331"/>
      <c r="Q321" s="331"/>
      <c r="R321" s="331"/>
      <c r="S321" s="331"/>
      <c r="T321" s="331"/>
      <c r="U321" s="331"/>
      <c r="V321" s="331"/>
      <c r="W321" s="331"/>
      <c r="X321" s="331"/>
      <c r="Y321" s="331"/>
      <c r="Z321" s="331"/>
      <c r="AA321" s="331"/>
      <c r="AB321" s="331"/>
      <c r="AC321" s="331"/>
      <c r="AD321" s="331"/>
      <c r="AE321" s="331"/>
      <c r="AF321" s="331"/>
    </row>
    <row r="322" spans="3:32" s="301" customFormat="1">
      <c r="C322" s="10"/>
      <c r="D322" s="29"/>
      <c r="E322" s="29"/>
      <c r="F322" s="36"/>
      <c r="G322" s="331"/>
      <c r="H322" s="331"/>
      <c r="I322" s="331"/>
      <c r="J322" s="331"/>
      <c r="K322" s="331"/>
      <c r="L322" s="331"/>
      <c r="M322" s="331"/>
      <c r="N322" s="331"/>
      <c r="O322" s="331"/>
      <c r="P322" s="331"/>
      <c r="Q322" s="331"/>
      <c r="R322" s="331"/>
      <c r="S322" s="331"/>
      <c r="T322" s="331"/>
      <c r="U322" s="331"/>
      <c r="V322" s="331"/>
      <c r="W322" s="331"/>
      <c r="X322" s="331"/>
      <c r="Y322" s="331"/>
      <c r="Z322" s="331"/>
      <c r="AA322" s="331"/>
      <c r="AB322" s="331"/>
      <c r="AC322" s="331"/>
      <c r="AD322" s="331"/>
      <c r="AE322" s="331"/>
      <c r="AF322" s="331"/>
    </row>
    <row r="323" spans="3:32" s="301" customFormat="1">
      <c r="C323" s="10"/>
      <c r="D323" s="29"/>
      <c r="E323" s="29"/>
      <c r="F323" s="36"/>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c r="AF323" s="331"/>
    </row>
    <row r="324" spans="3:32" s="301" customFormat="1">
      <c r="C324" s="10"/>
      <c r="D324" s="29"/>
      <c r="E324" s="29"/>
      <c r="F324" s="36"/>
      <c r="G324" s="331"/>
      <c r="H324" s="331"/>
      <c r="I324" s="331"/>
      <c r="J324" s="331"/>
      <c r="K324" s="331"/>
      <c r="L324" s="331"/>
      <c r="M324" s="331"/>
      <c r="N324" s="331"/>
      <c r="O324" s="331"/>
      <c r="P324" s="331"/>
      <c r="Q324" s="331"/>
      <c r="R324" s="331"/>
      <c r="S324" s="331"/>
      <c r="T324" s="331"/>
      <c r="U324" s="331"/>
      <c r="V324" s="331"/>
      <c r="W324" s="331"/>
      <c r="X324" s="331"/>
      <c r="Y324" s="331"/>
      <c r="Z324" s="331"/>
      <c r="AA324" s="331"/>
      <c r="AB324" s="331"/>
      <c r="AC324" s="331"/>
      <c r="AD324" s="331"/>
      <c r="AE324" s="331"/>
      <c r="AF324" s="331"/>
    </row>
    <row r="325" spans="3:32" s="301" customFormat="1">
      <c r="C325" s="10"/>
      <c r="D325" s="29"/>
      <c r="E325" s="29"/>
      <c r="F325" s="36"/>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331"/>
      <c r="AF325" s="331"/>
    </row>
    <row r="326" spans="3:32" s="301" customFormat="1">
      <c r="C326" s="10"/>
      <c r="D326" s="29"/>
      <c r="E326" s="29"/>
      <c r="F326" s="36"/>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331"/>
      <c r="AF326" s="331"/>
    </row>
    <row r="327" spans="3:32" s="301" customFormat="1">
      <c r="C327" s="10"/>
      <c r="D327" s="29"/>
      <c r="E327" s="29"/>
      <c r="F327" s="36"/>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F327" s="331"/>
    </row>
    <row r="328" spans="3:32" s="301" customFormat="1">
      <c r="C328" s="10"/>
      <c r="D328" s="29"/>
      <c r="E328" s="29"/>
      <c r="F328" s="36"/>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c r="AF328" s="331"/>
    </row>
    <row r="329" spans="3:32" s="301" customFormat="1">
      <c r="C329" s="10"/>
      <c r="D329" s="29"/>
      <c r="E329" s="29"/>
      <c r="F329" s="36"/>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c r="AF329" s="331"/>
    </row>
    <row r="330" spans="3:32" s="301" customFormat="1">
      <c r="C330" s="10"/>
      <c r="D330" s="29"/>
      <c r="E330" s="29"/>
      <c r="F330" s="36"/>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331"/>
      <c r="AE330" s="331"/>
      <c r="AF330" s="331"/>
    </row>
    <row r="331" spans="3:32" s="301" customFormat="1">
      <c r="C331" s="10"/>
      <c r="D331" s="29"/>
      <c r="E331" s="29"/>
      <c r="F331" s="36"/>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c r="AF331" s="331"/>
    </row>
    <row r="332" spans="3:32" s="301" customFormat="1">
      <c r="C332" s="10"/>
      <c r="D332" s="29"/>
      <c r="E332" s="29"/>
      <c r="F332" s="36"/>
      <c r="G332" s="331"/>
      <c r="H332" s="331"/>
      <c r="I332" s="331"/>
      <c r="J332" s="331"/>
      <c r="K332" s="331"/>
      <c r="L332" s="331"/>
      <c r="M332" s="331"/>
      <c r="N332" s="331"/>
      <c r="O332" s="331"/>
      <c r="P332" s="331"/>
      <c r="Q332" s="331"/>
      <c r="R332" s="331"/>
      <c r="S332" s="331"/>
      <c r="T332" s="331"/>
      <c r="U332" s="331"/>
      <c r="V332" s="331"/>
      <c r="W332" s="331"/>
      <c r="X332" s="331"/>
      <c r="Y332" s="331"/>
      <c r="Z332" s="331"/>
      <c r="AA332" s="331"/>
      <c r="AB332" s="331"/>
      <c r="AC332" s="331"/>
      <c r="AD332" s="331"/>
      <c r="AE332" s="331"/>
      <c r="AF332" s="331"/>
    </row>
    <row r="333" spans="3:32" s="301" customFormat="1">
      <c r="C333" s="10"/>
      <c r="D333" s="29"/>
      <c r="E333" s="29"/>
      <c r="F333" s="36"/>
      <c r="G333" s="331"/>
      <c r="H333" s="331"/>
      <c r="I333" s="331"/>
      <c r="J333" s="331"/>
      <c r="K333" s="331"/>
      <c r="L333" s="331"/>
      <c r="M333" s="331"/>
      <c r="N333" s="331"/>
      <c r="O333" s="331"/>
      <c r="P333" s="331"/>
      <c r="Q333" s="331"/>
      <c r="R333" s="331"/>
      <c r="S333" s="331"/>
      <c r="T333" s="331"/>
      <c r="U333" s="331"/>
      <c r="V333" s="331"/>
      <c r="W333" s="331"/>
      <c r="X333" s="331"/>
      <c r="Y333" s="331"/>
      <c r="Z333" s="331"/>
      <c r="AA333" s="331"/>
      <c r="AB333" s="331"/>
      <c r="AC333" s="331"/>
      <c r="AD333" s="331"/>
      <c r="AE333" s="331"/>
      <c r="AF333" s="331"/>
    </row>
    <row r="334" spans="3:32" s="301" customFormat="1">
      <c r="C334" s="10"/>
      <c r="D334" s="29"/>
      <c r="E334" s="29"/>
      <c r="F334" s="36"/>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331"/>
      <c r="AF334" s="331"/>
    </row>
    <row r="335" spans="3:32" s="301" customFormat="1">
      <c r="C335" s="10"/>
      <c r="D335" s="29"/>
      <c r="E335" s="29"/>
      <c r="F335" s="36"/>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c r="AF335" s="331"/>
    </row>
    <row r="336" spans="3:32" s="301" customFormat="1">
      <c r="C336" s="10"/>
      <c r="D336" s="29"/>
      <c r="E336" s="29"/>
      <c r="F336" s="36"/>
      <c r="G336" s="331"/>
      <c r="H336" s="331"/>
      <c r="I336" s="331"/>
      <c r="J336" s="331"/>
      <c r="K336" s="331"/>
      <c r="L336" s="331"/>
      <c r="M336" s="331"/>
      <c r="N336" s="331"/>
      <c r="O336" s="331"/>
      <c r="P336" s="331"/>
      <c r="Q336" s="331"/>
      <c r="R336" s="331"/>
      <c r="S336" s="331"/>
      <c r="T336" s="331"/>
      <c r="U336" s="331"/>
      <c r="V336" s="331"/>
      <c r="W336" s="331"/>
      <c r="X336" s="331"/>
      <c r="Y336" s="331"/>
      <c r="Z336" s="331"/>
      <c r="AA336" s="331"/>
      <c r="AB336" s="331"/>
      <c r="AC336" s="331"/>
      <c r="AD336" s="331"/>
      <c r="AE336" s="331"/>
      <c r="AF336" s="331"/>
    </row>
    <row r="337" spans="3:32" s="301" customFormat="1">
      <c r="C337" s="10"/>
      <c r="D337" s="29"/>
      <c r="E337" s="29"/>
      <c r="F337" s="36"/>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331"/>
      <c r="AE337" s="331"/>
      <c r="AF337" s="331"/>
    </row>
    <row r="338" spans="3:32" s="301" customFormat="1">
      <c r="C338" s="10"/>
      <c r="D338" s="29"/>
      <c r="E338" s="29"/>
      <c r="F338" s="36"/>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331"/>
      <c r="AF338" s="331"/>
    </row>
    <row r="339" spans="3:32" s="301" customFormat="1">
      <c r="C339" s="10"/>
      <c r="D339" s="29"/>
      <c r="E339" s="29"/>
      <c r="F339" s="36"/>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c r="AF339" s="331"/>
    </row>
    <row r="340" spans="3:32" s="301" customFormat="1">
      <c r="C340" s="10"/>
      <c r="D340" s="29"/>
      <c r="E340" s="29"/>
      <c r="F340" s="36"/>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331"/>
      <c r="AF340" s="331"/>
    </row>
    <row r="341" spans="3:32" s="301" customFormat="1">
      <c r="C341" s="10"/>
      <c r="D341" s="29"/>
      <c r="E341" s="29"/>
      <c r="F341" s="36"/>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331"/>
      <c r="AF341" s="331"/>
    </row>
    <row r="342" spans="3:32" s="301" customFormat="1">
      <c r="C342" s="10"/>
      <c r="D342" s="29"/>
      <c r="E342" s="29"/>
      <c r="F342" s="36"/>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331"/>
      <c r="AF342" s="331"/>
    </row>
    <row r="343" spans="3:32" s="301" customFormat="1">
      <c r="C343" s="10"/>
      <c r="D343" s="29"/>
      <c r="E343" s="29"/>
      <c r="F343" s="36"/>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c r="AF343" s="331"/>
    </row>
    <row r="344" spans="3:32" s="301" customFormat="1">
      <c r="C344" s="10"/>
      <c r="D344" s="29"/>
      <c r="E344" s="29"/>
      <c r="F344" s="36"/>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c r="AF344" s="331"/>
    </row>
    <row r="345" spans="3:32" s="301" customFormat="1">
      <c r="C345" s="10"/>
      <c r="D345" s="29"/>
      <c r="E345" s="29"/>
      <c r="F345" s="36"/>
      <c r="G345" s="331"/>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c r="AF345" s="331"/>
    </row>
    <row r="346" spans="3:32" s="301" customFormat="1">
      <c r="C346" s="10"/>
      <c r="D346" s="29"/>
      <c r="E346" s="29"/>
      <c r="F346" s="36"/>
      <c r="G346" s="331"/>
      <c r="H346" s="331"/>
      <c r="I346" s="331"/>
      <c r="J346" s="331"/>
      <c r="K346" s="331"/>
      <c r="L346" s="331"/>
      <c r="M346" s="331"/>
      <c r="N346" s="331"/>
      <c r="O346" s="331"/>
      <c r="P346" s="331"/>
      <c r="Q346" s="331"/>
      <c r="R346" s="331"/>
      <c r="S346" s="331"/>
      <c r="T346" s="331"/>
      <c r="U346" s="331"/>
      <c r="V346" s="331"/>
      <c r="W346" s="331"/>
      <c r="X346" s="331"/>
      <c r="Y346" s="331"/>
      <c r="Z346" s="331"/>
      <c r="AA346" s="331"/>
      <c r="AB346" s="331"/>
      <c r="AC346" s="331"/>
      <c r="AD346" s="331"/>
      <c r="AE346" s="331"/>
      <c r="AF346" s="331"/>
    </row>
    <row r="347" spans="3:32" s="301" customFormat="1">
      <c r="C347" s="10"/>
      <c r="D347" s="29"/>
      <c r="E347" s="29"/>
      <c r="F347" s="36"/>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331"/>
      <c r="AF347" s="331"/>
    </row>
    <row r="348" spans="3:32" s="301" customFormat="1">
      <c r="C348" s="10"/>
      <c r="D348" s="29"/>
      <c r="E348" s="29"/>
      <c r="F348" s="36"/>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331"/>
      <c r="AF348" s="331"/>
    </row>
    <row r="349" spans="3:32" s="301" customFormat="1">
      <c r="C349" s="10"/>
      <c r="D349" s="29"/>
      <c r="E349" s="29"/>
      <c r="F349" s="36"/>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331"/>
      <c r="AE349" s="331"/>
      <c r="AF349" s="331"/>
    </row>
    <row r="350" spans="3:32" s="301" customFormat="1">
      <c r="C350" s="10"/>
      <c r="D350" s="29"/>
      <c r="E350" s="29"/>
      <c r="F350" s="36"/>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331"/>
      <c r="AF350" s="331"/>
    </row>
    <row r="351" spans="3:32" s="301" customFormat="1">
      <c r="C351" s="10"/>
      <c r="D351" s="29"/>
      <c r="E351" s="29"/>
      <c r="F351" s="36"/>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331"/>
      <c r="AF351" s="331"/>
    </row>
    <row r="352" spans="3:32" s="301" customFormat="1">
      <c r="C352" s="10"/>
      <c r="D352" s="29"/>
      <c r="E352" s="29"/>
      <c r="F352" s="36"/>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F352" s="331"/>
    </row>
    <row r="353" spans="3:32" s="301" customFormat="1">
      <c r="C353" s="10"/>
      <c r="D353" s="29"/>
      <c r="E353" s="29"/>
      <c r="F353" s="36"/>
      <c r="G353" s="331"/>
      <c r="H353" s="331"/>
      <c r="I353" s="331"/>
      <c r="J353" s="331"/>
      <c r="K353" s="331"/>
      <c r="L353" s="331"/>
      <c r="M353" s="331"/>
      <c r="N353" s="331"/>
      <c r="O353" s="331"/>
      <c r="P353" s="331"/>
      <c r="Q353" s="331"/>
      <c r="R353" s="331"/>
      <c r="S353" s="331"/>
      <c r="T353" s="331"/>
      <c r="U353" s="331"/>
      <c r="V353" s="331"/>
      <c r="W353" s="331"/>
      <c r="X353" s="331"/>
      <c r="Y353" s="331"/>
      <c r="Z353" s="331"/>
      <c r="AA353" s="331"/>
      <c r="AB353" s="331"/>
      <c r="AC353" s="331"/>
      <c r="AD353" s="331"/>
      <c r="AE353" s="331"/>
      <c r="AF353" s="331"/>
    </row>
    <row r="354" spans="3:32" s="301" customFormat="1">
      <c r="C354" s="10"/>
      <c r="D354" s="29"/>
      <c r="E354" s="29"/>
      <c r="F354" s="36"/>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331"/>
      <c r="AE354" s="331"/>
      <c r="AF354" s="331"/>
    </row>
    <row r="355" spans="3:32" s="301" customFormat="1">
      <c r="C355" s="10"/>
      <c r="D355" s="29"/>
      <c r="E355" s="29"/>
      <c r="F355" s="36"/>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331"/>
      <c r="AE355" s="331"/>
      <c r="AF355" s="331"/>
    </row>
    <row r="356" spans="3:32" s="301" customFormat="1">
      <c r="C356" s="10"/>
      <c r="D356" s="29"/>
      <c r="E356" s="29"/>
      <c r="F356" s="36"/>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1"/>
      <c r="AD356" s="331"/>
      <c r="AE356" s="331"/>
      <c r="AF356" s="331"/>
    </row>
    <row r="357" spans="3:32" s="301" customFormat="1">
      <c r="C357" s="10"/>
      <c r="D357" s="29"/>
      <c r="E357" s="29"/>
      <c r="F357" s="36"/>
      <c r="G357" s="331"/>
      <c r="H357" s="331"/>
      <c r="I357" s="331"/>
      <c r="J357" s="331"/>
      <c r="K357" s="331"/>
      <c r="L357" s="331"/>
      <c r="M357" s="331"/>
      <c r="N357" s="331"/>
      <c r="O357" s="331"/>
      <c r="P357" s="331"/>
      <c r="Q357" s="331"/>
      <c r="R357" s="331"/>
      <c r="S357" s="331"/>
      <c r="T357" s="331"/>
      <c r="U357" s="331"/>
      <c r="V357" s="331"/>
      <c r="W357" s="331"/>
      <c r="X357" s="331"/>
      <c r="Y357" s="331"/>
      <c r="Z357" s="331"/>
      <c r="AA357" s="331"/>
      <c r="AB357" s="331"/>
      <c r="AC357" s="331"/>
      <c r="AD357" s="331"/>
      <c r="AE357" s="331"/>
      <c r="AF357" s="331"/>
    </row>
    <row r="358" spans="3:32" s="301" customFormat="1">
      <c r="C358" s="10"/>
      <c r="D358" s="29"/>
      <c r="E358" s="29"/>
      <c r="F358" s="36"/>
      <c r="G358" s="331"/>
      <c r="H358" s="331"/>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row>
    <row r="359" spans="3:32" s="301" customFormat="1">
      <c r="C359" s="10"/>
      <c r="D359" s="29"/>
      <c r="E359" s="29"/>
      <c r="F359" s="36"/>
      <c r="G359" s="331"/>
      <c r="H359" s="331"/>
      <c r="I359" s="331"/>
      <c r="J359" s="331"/>
      <c r="K359" s="331"/>
      <c r="L359" s="331"/>
      <c r="M359" s="331"/>
      <c r="N359" s="331"/>
      <c r="O359" s="331"/>
      <c r="P359" s="331"/>
      <c r="Q359" s="331"/>
      <c r="R359" s="331"/>
      <c r="S359" s="331"/>
      <c r="T359" s="331"/>
      <c r="U359" s="331"/>
      <c r="V359" s="331"/>
      <c r="W359" s="331"/>
      <c r="X359" s="331"/>
      <c r="Y359" s="331"/>
      <c r="Z359" s="331"/>
      <c r="AA359" s="331"/>
      <c r="AB359" s="331"/>
      <c r="AC359" s="331"/>
      <c r="AD359" s="331"/>
      <c r="AE359" s="331"/>
      <c r="AF359" s="331"/>
    </row>
    <row r="360" spans="3:32" s="301" customFormat="1">
      <c r="C360" s="10"/>
      <c r="D360" s="29"/>
      <c r="E360" s="29"/>
      <c r="F360" s="36"/>
      <c r="G360" s="331"/>
      <c r="H360" s="331"/>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c r="AF360" s="331"/>
    </row>
    <row r="361" spans="3:32" s="301" customFormat="1">
      <c r="C361" s="10"/>
      <c r="D361" s="29"/>
      <c r="E361" s="29"/>
      <c r="F361" s="36"/>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1"/>
      <c r="AD361" s="331"/>
      <c r="AE361" s="331"/>
      <c r="AF361" s="331"/>
    </row>
    <row r="362" spans="3:32" s="301" customFormat="1">
      <c r="C362" s="10"/>
      <c r="D362" s="29"/>
      <c r="E362" s="29"/>
      <c r="F362" s="36"/>
      <c r="G362" s="331"/>
      <c r="H362" s="331"/>
      <c r="I362" s="331"/>
      <c r="J362" s="331"/>
      <c r="K362" s="331"/>
      <c r="L362" s="331"/>
      <c r="M362" s="331"/>
      <c r="N362" s="331"/>
      <c r="O362" s="331"/>
      <c r="P362" s="331"/>
      <c r="Q362" s="331"/>
      <c r="R362" s="331"/>
      <c r="S362" s="331"/>
      <c r="T362" s="331"/>
      <c r="U362" s="331"/>
      <c r="V362" s="331"/>
      <c r="W362" s="331"/>
      <c r="X362" s="331"/>
      <c r="Y362" s="331"/>
      <c r="Z362" s="331"/>
      <c r="AA362" s="331"/>
      <c r="AB362" s="331"/>
      <c r="AC362" s="331"/>
      <c r="AD362" s="331"/>
      <c r="AE362" s="331"/>
      <c r="AF362" s="331"/>
    </row>
    <row r="363" spans="3:32" s="301" customFormat="1">
      <c r="C363" s="10"/>
      <c r="D363" s="29"/>
      <c r="E363" s="29"/>
      <c r="F363" s="36"/>
      <c r="G363" s="331"/>
      <c r="H363" s="331"/>
      <c r="I363" s="331"/>
      <c r="J363" s="331"/>
      <c r="K363" s="331"/>
      <c r="L363" s="331"/>
      <c r="M363" s="331"/>
      <c r="N363" s="331"/>
      <c r="O363" s="331"/>
      <c r="P363" s="331"/>
      <c r="Q363" s="331"/>
      <c r="R363" s="331"/>
      <c r="S363" s="331"/>
      <c r="T363" s="331"/>
      <c r="U363" s="331"/>
      <c r="V363" s="331"/>
      <c r="W363" s="331"/>
      <c r="X363" s="331"/>
      <c r="Y363" s="331"/>
      <c r="Z363" s="331"/>
      <c r="AA363" s="331"/>
      <c r="AB363" s="331"/>
      <c r="AC363" s="331"/>
      <c r="AD363" s="331"/>
      <c r="AE363" s="331"/>
      <c r="AF363" s="331"/>
    </row>
    <row r="364" spans="3:32" s="301" customFormat="1">
      <c r="C364" s="10"/>
      <c r="D364" s="29"/>
      <c r="E364" s="29"/>
      <c r="F364" s="36"/>
      <c r="G364" s="331"/>
      <c r="H364" s="331"/>
      <c r="I364" s="331"/>
      <c r="J364" s="331"/>
      <c r="K364" s="331"/>
      <c r="L364" s="331"/>
      <c r="M364" s="331"/>
      <c r="N364" s="331"/>
      <c r="O364" s="331"/>
      <c r="P364" s="331"/>
      <c r="Q364" s="331"/>
      <c r="R364" s="331"/>
      <c r="S364" s="331"/>
      <c r="T364" s="331"/>
      <c r="U364" s="331"/>
      <c r="V364" s="331"/>
      <c r="W364" s="331"/>
      <c r="X364" s="331"/>
      <c r="Y364" s="331"/>
      <c r="Z364" s="331"/>
      <c r="AA364" s="331"/>
      <c r="AB364" s="331"/>
      <c r="AC364" s="331"/>
      <c r="AD364" s="331"/>
      <c r="AE364" s="331"/>
      <c r="AF364" s="331"/>
    </row>
    <row r="365" spans="3:32" s="301" customFormat="1">
      <c r="C365" s="10"/>
      <c r="D365" s="29"/>
      <c r="E365" s="29"/>
      <c r="F365" s="36"/>
      <c r="G365" s="331"/>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c r="AE365" s="331"/>
      <c r="AF365" s="331"/>
    </row>
    <row r="366" spans="3:32" s="301" customFormat="1">
      <c r="C366" s="10"/>
      <c r="D366" s="29"/>
      <c r="E366" s="29"/>
      <c r="F366" s="36"/>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c r="AF366" s="331"/>
    </row>
    <row r="367" spans="3:32" s="301" customFormat="1">
      <c r="C367" s="10"/>
      <c r="D367" s="29"/>
      <c r="E367" s="29"/>
      <c r="F367" s="36"/>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1"/>
      <c r="AD367" s="331"/>
      <c r="AE367" s="331"/>
      <c r="AF367" s="331"/>
    </row>
    <row r="368" spans="3:32" s="301" customFormat="1">
      <c r="C368" s="10"/>
      <c r="D368" s="29"/>
      <c r="E368" s="29"/>
      <c r="F368" s="36"/>
      <c r="G368" s="331"/>
      <c r="H368" s="331"/>
      <c r="I368" s="331"/>
      <c r="J368" s="331"/>
      <c r="K368" s="331"/>
      <c r="L368" s="331"/>
      <c r="M368" s="331"/>
      <c r="N368" s="331"/>
      <c r="O368" s="331"/>
      <c r="P368" s="331"/>
      <c r="Q368" s="331"/>
      <c r="R368" s="331"/>
      <c r="S368" s="331"/>
      <c r="T368" s="331"/>
      <c r="U368" s="331"/>
      <c r="V368" s="331"/>
      <c r="W368" s="331"/>
      <c r="X368" s="331"/>
      <c r="Y368" s="331"/>
      <c r="Z368" s="331"/>
      <c r="AA368" s="331"/>
      <c r="AB368" s="331"/>
      <c r="AC368" s="331"/>
      <c r="AD368" s="331"/>
      <c r="AE368" s="331"/>
      <c r="AF368" s="331"/>
    </row>
    <row r="369" spans="3:32" s="301" customFormat="1">
      <c r="C369" s="10"/>
      <c r="D369" s="29"/>
      <c r="E369" s="29"/>
      <c r="F369" s="36"/>
      <c r="G369" s="331"/>
      <c r="H369" s="331"/>
      <c r="I369" s="331"/>
      <c r="J369" s="331"/>
      <c r="K369" s="331"/>
      <c r="L369" s="331"/>
      <c r="M369" s="331"/>
      <c r="N369" s="331"/>
      <c r="O369" s="331"/>
      <c r="P369" s="331"/>
      <c r="Q369" s="331"/>
      <c r="R369" s="331"/>
      <c r="S369" s="331"/>
      <c r="T369" s="331"/>
      <c r="U369" s="331"/>
      <c r="V369" s="331"/>
      <c r="W369" s="331"/>
      <c r="X369" s="331"/>
      <c r="Y369" s="331"/>
      <c r="Z369" s="331"/>
      <c r="AA369" s="331"/>
      <c r="AB369" s="331"/>
      <c r="AC369" s="331"/>
      <c r="AD369" s="331"/>
      <c r="AE369" s="331"/>
      <c r="AF369" s="331"/>
    </row>
    <row r="370" spans="3:32" s="301" customFormat="1">
      <c r="C370" s="10"/>
      <c r="D370" s="29"/>
      <c r="E370" s="29"/>
      <c r="F370" s="36"/>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c r="AF370" s="331"/>
    </row>
    <row r="371" spans="3:32" s="301" customFormat="1">
      <c r="C371" s="10"/>
      <c r="D371" s="29"/>
      <c r="E371" s="29"/>
      <c r="F371" s="36"/>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c r="AF371" s="331"/>
    </row>
    <row r="372" spans="3:32" s="301" customFormat="1">
      <c r="C372" s="10"/>
      <c r="D372" s="29"/>
      <c r="E372" s="29"/>
      <c r="F372" s="36"/>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c r="AF372" s="331"/>
    </row>
    <row r="373" spans="3:32" s="301" customFormat="1">
      <c r="C373" s="10"/>
      <c r="D373" s="29"/>
      <c r="E373" s="29"/>
      <c r="F373" s="36"/>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c r="AF373" s="331"/>
    </row>
    <row r="374" spans="3:32" s="301" customFormat="1">
      <c r="C374" s="10"/>
      <c r="D374" s="29"/>
      <c r="E374" s="29"/>
      <c r="F374" s="36"/>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c r="AF374" s="331"/>
    </row>
    <row r="375" spans="3:32" s="301" customFormat="1">
      <c r="C375" s="10"/>
      <c r="D375" s="29"/>
      <c r="E375" s="29"/>
      <c r="F375" s="36"/>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c r="AF375" s="331"/>
    </row>
    <row r="376" spans="3:32" s="301" customFormat="1">
      <c r="C376" s="10"/>
      <c r="D376" s="29"/>
      <c r="E376" s="29"/>
      <c r="F376" s="36"/>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c r="AF376" s="331"/>
    </row>
    <row r="377" spans="3:32" s="301" customFormat="1">
      <c r="C377" s="10"/>
      <c r="D377" s="29"/>
      <c r="E377" s="29"/>
      <c r="F377" s="36"/>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c r="AF377" s="331"/>
    </row>
    <row r="378" spans="3:32" s="301" customFormat="1">
      <c r="C378" s="10"/>
      <c r="D378" s="29"/>
      <c r="E378" s="29"/>
      <c r="F378" s="36"/>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row>
    <row r="379" spans="3:32" s="301" customFormat="1">
      <c r="C379" s="10"/>
      <c r="D379" s="29"/>
      <c r="E379" s="29"/>
      <c r="F379" s="36"/>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c r="AF379" s="331"/>
    </row>
    <row r="380" spans="3:32" s="301" customFormat="1">
      <c r="C380" s="10"/>
      <c r="D380" s="29"/>
      <c r="E380" s="29"/>
      <c r="F380" s="36"/>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c r="AF380" s="331"/>
    </row>
    <row r="381" spans="3:32" s="301" customFormat="1">
      <c r="C381" s="10"/>
      <c r="D381" s="29"/>
      <c r="E381" s="29"/>
      <c r="F381" s="36"/>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c r="AF381" s="331"/>
    </row>
    <row r="382" spans="3:32" s="301" customFormat="1">
      <c r="C382" s="10"/>
      <c r="D382" s="29"/>
      <c r="E382" s="29"/>
      <c r="F382" s="36"/>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c r="AF382" s="331"/>
    </row>
    <row r="383" spans="3:32" s="301" customFormat="1">
      <c r="C383" s="10"/>
      <c r="D383" s="29"/>
      <c r="E383" s="29"/>
      <c r="F383" s="36"/>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c r="AF383" s="331"/>
    </row>
    <row r="384" spans="3:32" s="301" customFormat="1">
      <c r="C384" s="10"/>
      <c r="D384" s="29"/>
      <c r="E384" s="29"/>
      <c r="F384" s="36"/>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c r="AF384" s="331"/>
    </row>
    <row r="385" spans="3:32" s="301" customFormat="1">
      <c r="C385" s="10"/>
      <c r="D385" s="29"/>
      <c r="E385" s="29"/>
      <c r="F385" s="36"/>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c r="AF385" s="331"/>
    </row>
    <row r="386" spans="3:32" s="301" customFormat="1">
      <c r="C386" s="10"/>
      <c r="D386" s="29"/>
      <c r="E386" s="29"/>
      <c r="F386" s="36"/>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c r="AF386" s="331"/>
    </row>
    <row r="387" spans="3:32" s="301" customFormat="1">
      <c r="C387" s="10"/>
      <c r="D387" s="29"/>
      <c r="E387" s="29"/>
      <c r="F387" s="36"/>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c r="AF387" s="331"/>
    </row>
    <row r="388" spans="3:32" s="301" customFormat="1">
      <c r="C388" s="10"/>
      <c r="D388" s="29"/>
      <c r="E388" s="29"/>
      <c r="F388" s="36"/>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c r="AF388" s="331"/>
    </row>
    <row r="389" spans="3:32" s="301" customFormat="1">
      <c r="C389" s="10"/>
      <c r="D389" s="29"/>
      <c r="E389" s="29"/>
      <c r="F389" s="36"/>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c r="AF389" s="331"/>
    </row>
    <row r="390" spans="3:32" s="301" customFormat="1">
      <c r="C390" s="10"/>
      <c r="D390" s="29"/>
      <c r="E390" s="29"/>
      <c r="F390" s="36"/>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c r="AF390" s="331"/>
    </row>
    <row r="391" spans="3:32" s="301" customFormat="1">
      <c r="C391" s="10"/>
      <c r="D391" s="29"/>
      <c r="E391" s="29"/>
      <c r="F391" s="36"/>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c r="AF391" s="331"/>
    </row>
    <row r="392" spans="3:32" s="301" customFormat="1">
      <c r="C392" s="10"/>
      <c r="D392" s="29"/>
      <c r="E392" s="29"/>
      <c r="F392" s="36"/>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F392" s="331"/>
    </row>
    <row r="393" spans="3:32" s="301" customFormat="1">
      <c r="C393" s="10"/>
      <c r="D393" s="29"/>
      <c r="E393" s="29"/>
      <c r="F393" s="36"/>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row>
    <row r="394" spans="3:32" s="301" customFormat="1">
      <c r="C394" s="10"/>
      <c r="D394" s="29"/>
      <c r="E394" s="29"/>
      <c r="F394" s="36"/>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row>
    <row r="395" spans="3:32" s="301" customFormat="1">
      <c r="C395" s="10"/>
      <c r="D395" s="29"/>
      <c r="E395" s="29"/>
      <c r="F395" s="36"/>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c r="AF395" s="331"/>
    </row>
    <row r="396" spans="3:32" s="301" customFormat="1">
      <c r="C396" s="10"/>
      <c r="D396" s="29"/>
      <c r="E396" s="29"/>
      <c r="F396" s="36"/>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c r="AF396" s="331"/>
    </row>
    <row r="397" spans="3:32" s="301" customFormat="1">
      <c r="C397" s="10"/>
      <c r="D397" s="29"/>
      <c r="E397" s="29"/>
      <c r="F397" s="36"/>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c r="AF397" s="331"/>
    </row>
    <row r="398" spans="3:32" s="301" customFormat="1">
      <c r="C398" s="10"/>
      <c r="D398" s="29"/>
      <c r="E398" s="29"/>
      <c r="F398" s="36"/>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row>
    <row r="399" spans="3:32" s="301" customFormat="1">
      <c r="C399" s="10"/>
      <c r="D399" s="29"/>
      <c r="E399" s="29"/>
      <c r="F399" s="36"/>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c r="AF399" s="331"/>
    </row>
    <row r="400" spans="3:32" s="301" customFormat="1">
      <c r="C400" s="10"/>
      <c r="D400" s="29"/>
      <c r="E400" s="29"/>
      <c r="F400" s="36"/>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c r="AF400" s="331"/>
    </row>
    <row r="401" spans="3:32" s="301" customFormat="1">
      <c r="C401" s="10"/>
      <c r="D401" s="29"/>
      <c r="E401" s="29"/>
      <c r="F401" s="36"/>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c r="AF401" s="331"/>
    </row>
    <row r="402" spans="3:32" s="301" customFormat="1">
      <c r="C402" s="10"/>
      <c r="D402" s="29"/>
      <c r="E402" s="29"/>
      <c r="F402" s="36"/>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c r="AF402" s="331"/>
    </row>
    <row r="403" spans="3:32" s="301" customFormat="1">
      <c r="C403" s="10"/>
      <c r="D403" s="29"/>
      <c r="E403" s="29"/>
      <c r="F403" s="36"/>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c r="AF403" s="331"/>
    </row>
    <row r="404" spans="3:32" s="301" customFormat="1">
      <c r="C404" s="10"/>
      <c r="D404" s="29"/>
      <c r="E404" s="29"/>
      <c r="F404" s="36"/>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c r="AF404" s="331"/>
    </row>
    <row r="405" spans="3:32" s="301" customFormat="1">
      <c r="C405" s="10"/>
      <c r="D405" s="29"/>
      <c r="E405" s="29"/>
      <c r="F405" s="36"/>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c r="AF405" s="331"/>
    </row>
    <row r="406" spans="3:32" s="301" customFormat="1">
      <c r="C406" s="10"/>
      <c r="D406" s="29"/>
      <c r="E406" s="29"/>
      <c r="F406" s="36"/>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row>
    <row r="407" spans="3:32" s="301" customFormat="1">
      <c r="C407" s="10"/>
      <c r="D407" s="29"/>
      <c r="E407" s="29"/>
      <c r="F407" s="36"/>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c r="AF407" s="331"/>
    </row>
    <row r="408" spans="3:32" s="301" customFormat="1">
      <c r="C408" s="10"/>
      <c r="D408" s="29"/>
      <c r="E408" s="29"/>
      <c r="F408" s="36"/>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c r="AF408" s="331"/>
    </row>
    <row r="409" spans="3:32" s="301" customFormat="1">
      <c r="C409" s="10"/>
      <c r="D409" s="29"/>
      <c r="E409" s="29"/>
      <c r="F409" s="36"/>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c r="AF409" s="331"/>
    </row>
    <row r="410" spans="3:32" s="301" customFormat="1">
      <c r="C410" s="10"/>
      <c r="D410" s="29"/>
      <c r="E410" s="29"/>
      <c r="F410" s="36"/>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row>
    <row r="411" spans="3:32" s="301" customFormat="1">
      <c r="C411" s="10"/>
      <c r="D411" s="29"/>
      <c r="E411" s="29"/>
      <c r="F411" s="36"/>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c r="AF411" s="331"/>
    </row>
    <row r="412" spans="3:32" s="301" customFormat="1">
      <c r="C412" s="10"/>
      <c r="D412" s="29"/>
      <c r="E412" s="29"/>
      <c r="F412" s="36"/>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c r="AF412" s="331"/>
    </row>
    <row r="413" spans="3:32" s="301" customFormat="1">
      <c r="C413" s="10"/>
      <c r="D413" s="29"/>
      <c r="E413" s="29"/>
      <c r="F413" s="36"/>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c r="AF413" s="331"/>
    </row>
    <row r="414" spans="3:32" s="301" customFormat="1">
      <c r="C414" s="10"/>
      <c r="D414" s="29"/>
      <c r="E414" s="29"/>
      <c r="F414" s="36"/>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c r="AF414" s="331"/>
    </row>
    <row r="415" spans="3:32" s="301" customFormat="1">
      <c r="C415" s="10"/>
      <c r="D415" s="29"/>
      <c r="E415" s="29"/>
      <c r="F415" s="36"/>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c r="AF415" s="331"/>
    </row>
    <row r="416" spans="3:32" s="301" customFormat="1">
      <c r="C416" s="10"/>
      <c r="D416" s="29"/>
      <c r="E416" s="29"/>
      <c r="F416" s="36"/>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c r="AF416" s="331"/>
    </row>
    <row r="417" spans="3:32" s="301" customFormat="1">
      <c r="C417" s="10"/>
      <c r="D417" s="29"/>
      <c r="E417" s="29"/>
      <c r="F417" s="36"/>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c r="AF417" s="331"/>
    </row>
    <row r="418" spans="3:32" s="301" customFormat="1">
      <c r="C418" s="10"/>
      <c r="D418" s="29"/>
      <c r="E418" s="29"/>
      <c r="F418" s="36"/>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c r="AF418" s="331"/>
    </row>
    <row r="419" spans="3:32" s="301" customFormat="1">
      <c r="C419" s="10"/>
      <c r="D419" s="29"/>
      <c r="E419" s="29"/>
      <c r="F419" s="36"/>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c r="AF419" s="331"/>
    </row>
    <row r="420" spans="3:32" s="301" customFormat="1">
      <c r="C420" s="10"/>
      <c r="D420" s="29"/>
      <c r="E420" s="29"/>
      <c r="F420" s="36"/>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c r="AF420" s="331"/>
    </row>
    <row r="421" spans="3:32" s="301" customFormat="1">
      <c r="C421" s="10"/>
      <c r="D421" s="29"/>
      <c r="E421" s="29"/>
      <c r="F421" s="36"/>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c r="AF421" s="331"/>
    </row>
    <row r="422" spans="3:32" s="301" customFormat="1">
      <c r="C422" s="10"/>
      <c r="D422" s="29"/>
      <c r="E422" s="29"/>
      <c r="F422" s="36"/>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c r="AF422" s="331"/>
    </row>
    <row r="423" spans="3:32" s="301" customFormat="1">
      <c r="C423" s="10"/>
      <c r="D423" s="29"/>
      <c r="E423" s="29"/>
      <c r="F423" s="36"/>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c r="AF423" s="331"/>
    </row>
    <row r="424" spans="3:32" s="301" customFormat="1">
      <c r="C424" s="10"/>
      <c r="D424" s="29"/>
      <c r="E424" s="29"/>
      <c r="F424" s="36"/>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c r="AF424" s="331"/>
    </row>
    <row r="425" spans="3:32" s="301" customFormat="1">
      <c r="C425" s="10"/>
      <c r="D425" s="29"/>
      <c r="E425" s="29"/>
      <c r="F425" s="36"/>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c r="AF425" s="331"/>
    </row>
    <row r="426" spans="3:32" s="301" customFormat="1">
      <c r="C426" s="10"/>
      <c r="D426" s="29"/>
      <c r="E426" s="29"/>
      <c r="F426" s="36"/>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c r="AF426" s="331"/>
    </row>
    <row r="427" spans="3:32" s="301" customFormat="1">
      <c r="C427" s="10"/>
      <c r="D427" s="29"/>
      <c r="E427" s="29"/>
      <c r="F427" s="36"/>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c r="AF427" s="331"/>
    </row>
    <row r="428" spans="3:32" s="301" customFormat="1">
      <c r="C428" s="10"/>
      <c r="D428" s="29"/>
      <c r="E428" s="29"/>
      <c r="F428" s="36"/>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c r="AF428" s="331"/>
    </row>
    <row r="429" spans="3:32" s="301" customFormat="1">
      <c r="C429" s="10"/>
      <c r="D429" s="29"/>
      <c r="E429" s="29"/>
      <c r="F429" s="36"/>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c r="AF429" s="331"/>
    </row>
    <row r="430" spans="3:32" s="301" customFormat="1">
      <c r="C430" s="10"/>
      <c r="D430" s="29"/>
      <c r="E430" s="29"/>
      <c r="F430" s="36"/>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c r="AF430" s="331"/>
    </row>
    <row r="431" spans="3:32" s="301" customFormat="1">
      <c r="C431" s="10"/>
      <c r="D431" s="29"/>
      <c r="E431" s="29"/>
      <c r="F431" s="36"/>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c r="AF431" s="331"/>
    </row>
    <row r="432" spans="3:32" s="301" customFormat="1">
      <c r="C432" s="10"/>
      <c r="D432" s="29"/>
      <c r="E432" s="29"/>
      <c r="F432" s="36"/>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c r="AF432" s="331"/>
    </row>
    <row r="433" spans="3:32" s="301" customFormat="1">
      <c r="C433" s="10"/>
      <c r="D433" s="29"/>
      <c r="E433" s="29"/>
      <c r="F433" s="36"/>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c r="AF433" s="331"/>
    </row>
    <row r="434" spans="3:32" s="301" customFormat="1">
      <c r="C434" s="10"/>
      <c r="D434" s="29"/>
      <c r="E434" s="29"/>
      <c r="F434" s="36"/>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c r="AF434" s="331"/>
    </row>
    <row r="435" spans="3:32" s="301" customFormat="1">
      <c r="C435" s="10"/>
      <c r="D435" s="29"/>
      <c r="E435" s="29"/>
      <c r="F435" s="36"/>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c r="AF435" s="331"/>
    </row>
    <row r="436" spans="3:32" s="301" customFormat="1">
      <c r="C436" s="10"/>
      <c r="D436" s="29"/>
      <c r="E436" s="29"/>
      <c r="F436" s="36"/>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c r="AF436" s="331"/>
    </row>
    <row r="437" spans="3:32" s="301" customFormat="1">
      <c r="C437" s="10"/>
      <c r="D437" s="29"/>
      <c r="E437" s="29"/>
      <c r="F437" s="36"/>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row>
    <row r="438" spans="3:32" s="301" customFormat="1">
      <c r="C438" s="10"/>
      <c r="D438" s="29"/>
      <c r="E438" s="29"/>
      <c r="F438" s="36"/>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c r="AF438" s="331"/>
    </row>
    <row r="439" spans="3:32" s="301" customFormat="1">
      <c r="C439" s="10"/>
      <c r="D439" s="29"/>
      <c r="E439" s="29"/>
      <c r="F439" s="36"/>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c r="AF439" s="331"/>
    </row>
    <row r="440" spans="3:32" s="301" customFormat="1">
      <c r="C440" s="10"/>
      <c r="D440" s="29"/>
      <c r="E440" s="29"/>
      <c r="F440" s="36"/>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c r="AF440" s="331"/>
    </row>
    <row r="441" spans="3:32" s="301" customFormat="1">
      <c r="C441" s="10"/>
      <c r="D441" s="29"/>
      <c r="E441" s="29"/>
      <c r="F441" s="36"/>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c r="AF441" s="331"/>
    </row>
    <row r="442" spans="3:32" s="301" customFormat="1">
      <c r="C442" s="10"/>
      <c r="D442" s="29"/>
      <c r="E442" s="29"/>
      <c r="F442" s="36"/>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c r="AF442" s="331"/>
    </row>
    <row r="443" spans="3:32" s="301" customFormat="1">
      <c r="C443" s="10"/>
      <c r="D443" s="29"/>
      <c r="E443" s="29"/>
      <c r="F443" s="36"/>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c r="AF443" s="331"/>
    </row>
    <row r="444" spans="3:32" s="301" customFormat="1">
      <c r="C444" s="10"/>
      <c r="D444" s="29"/>
      <c r="E444" s="29"/>
      <c r="F444" s="36"/>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c r="AF444" s="331"/>
    </row>
    <row r="445" spans="3:32" s="301" customFormat="1">
      <c r="C445" s="10"/>
      <c r="D445" s="29"/>
      <c r="E445" s="29"/>
      <c r="F445" s="36"/>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c r="AF445" s="331"/>
    </row>
    <row r="446" spans="3:32" s="301" customFormat="1">
      <c r="C446" s="10"/>
      <c r="D446" s="29"/>
      <c r="E446" s="29"/>
      <c r="F446" s="36"/>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c r="AF446" s="331"/>
    </row>
    <row r="447" spans="3:32" s="301" customFormat="1">
      <c r="C447" s="10"/>
      <c r="D447" s="29"/>
      <c r="E447" s="29"/>
      <c r="F447" s="36"/>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c r="AF447" s="331"/>
    </row>
    <row r="448" spans="3:32" s="301" customFormat="1">
      <c r="C448" s="10"/>
      <c r="D448" s="29"/>
      <c r="E448" s="29"/>
      <c r="F448" s="36"/>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c r="AF448" s="331"/>
    </row>
    <row r="449" spans="3:32" s="301" customFormat="1">
      <c r="C449" s="10"/>
      <c r="D449" s="29"/>
      <c r="E449" s="29"/>
      <c r="F449" s="36"/>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c r="AF449" s="331"/>
    </row>
    <row r="450" spans="3:32" s="301" customFormat="1">
      <c r="C450" s="10"/>
      <c r="D450" s="29"/>
      <c r="E450" s="29"/>
      <c r="F450" s="36"/>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c r="AF450" s="331"/>
    </row>
    <row r="451" spans="3:32" s="301" customFormat="1">
      <c r="C451" s="10"/>
      <c r="D451" s="29"/>
      <c r="E451" s="29"/>
      <c r="F451" s="36"/>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c r="AF451" s="331"/>
    </row>
    <row r="452" spans="3:32" s="301" customFormat="1">
      <c r="C452" s="10"/>
      <c r="D452" s="29"/>
      <c r="E452" s="29"/>
      <c r="F452" s="36"/>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row>
    <row r="453" spans="3:32" s="301" customFormat="1">
      <c r="C453" s="10"/>
      <c r="D453" s="29"/>
      <c r="E453" s="29"/>
      <c r="F453" s="36"/>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row>
    <row r="454" spans="3:32" s="301" customFormat="1">
      <c r="C454" s="10"/>
      <c r="D454" s="29"/>
      <c r="E454" s="29"/>
      <c r="F454" s="36"/>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c r="AF454" s="331"/>
    </row>
    <row r="455" spans="3:32" s="301" customFormat="1">
      <c r="C455" s="10"/>
      <c r="D455" s="29"/>
      <c r="E455" s="29"/>
      <c r="F455" s="36"/>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c r="AF455" s="331"/>
    </row>
    <row r="456" spans="3:32" s="301" customFormat="1">
      <c r="C456" s="10"/>
      <c r="D456" s="29"/>
      <c r="E456" s="29"/>
      <c r="F456" s="36"/>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c r="AF456" s="331"/>
    </row>
    <row r="457" spans="3:32" s="301" customFormat="1">
      <c r="C457" s="10"/>
      <c r="D457" s="29"/>
      <c r="E457" s="29"/>
      <c r="F457" s="36"/>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c r="AF457" s="331"/>
    </row>
    <row r="458" spans="3:32" s="301" customFormat="1">
      <c r="C458" s="10"/>
      <c r="D458" s="29"/>
      <c r="E458" s="29"/>
      <c r="F458" s="36"/>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c r="AF458" s="331"/>
    </row>
    <row r="459" spans="3:32" s="301" customFormat="1">
      <c r="C459" s="10"/>
      <c r="D459" s="29"/>
      <c r="E459" s="29"/>
      <c r="F459" s="36"/>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c r="AF459" s="331"/>
    </row>
    <row r="460" spans="3:32" s="301" customFormat="1">
      <c r="C460" s="10"/>
      <c r="D460" s="29"/>
      <c r="E460" s="29"/>
      <c r="F460" s="36"/>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row>
    <row r="461" spans="3:32" s="301" customFormat="1">
      <c r="C461" s="10"/>
      <c r="D461" s="29"/>
      <c r="E461" s="29"/>
      <c r="F461" s="36"/>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c r="AF461" s="331"/>
    </row>
    <row r="462" spans="3:32" s="301" customFormat="1">
      <c r="C462" s="10"/>
      <c r="D462" s="29"/>
      <c r="E462" s="29"/>
      <c r="F462" s="36"/>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c r="AF462" s="331"/>
    </row>
    <row r="463" spans="3:32" s="301" customFormat="1">
      <c r="C463" s="10"/>
      <c r="D463" s="29"/>
      <c r="E463" s="29"/>
      <c r="F463" s="36"/>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c r="AF463" s="331"/>
    </row>
    <row r="464" spans="3:32" s="301" customFormat="1">
      <c r="C464" s="10"/>
      <c r="D464" s="29"/>
      <c r="E464" s="29"/>
      <c r="F464" s="36"/>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c r="AF464" s="331"/>
    </row>
    <row r="465" spans="3:32" s="301" customFormat="1">
      <c r="C465" s="10"/>
      <c r="D465" s="29"/>
      <c r="E465" s="29"/>
      <c r="F465" s="36"/>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c r="AF465" s="331"/>
    </row>
    <row r="466" spans="3:32" s="301" customFormat="1">
      <c r="C466" s="10"/>
      <c r="D466" s="29"/>
      <c r="E466" s="29"/>
      <c r="F466" s="36"/>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c r="AF466" s="331"/>
    </row>
    <row r="467" spans="3:32" s="301" customFormat="1">
      <c r="C467" s="10"/>
      <c r="D467" s="29"/>
      <c r="E467" s="29"/>
      <c r="F467" s="36"/>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c r="AF467" s="331"/>
    </row>
    <row r="468" spans="3:32" s="301" customFormat="1">
      <c r="C468" s="10"/>
      <c r="D468" s="29"/>
      <c r="E468" s="29"/>
      <c r="F468" s="36"/>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c r="AF468" s="331"/>
    </row>
    <row r="469" spans="3:32" s="301" customFormat="1">
      <c r="C469" s="10"/>
      <c r="D469" s="29"/>
      <c r="E469" s="29"/>
      <c r="F469" s="36"/>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c r="AF469" s="331"/>
    </row>
    <row r="470" spans="3:32" s="301" customFormat="1">
      <c r="C470" s="10"/>
      <c r="D470" s="29"/>
      <c r="E470" s="29"/>
      <c r="F470" s="36"/>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c r="AF470" s="331"/>
    </row>
    <row r="471" spans="3:32" s="301" customFormat="1">
      <c r="C471" s="10"/>
      <c r="D471" s="29"/>
      <c r="E471" s="29"/>
      <c r="F471" s="36"/>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c r="AF471" s="331"/>
    </row>
    <row r="472" spans="3:32" s="301" customFormat="1">
      <c r="C472" s="10"/>
      <c r="D472" s="29"/>
      <c r="E472" s="29"/>
      <c r="F472" s="36"/>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c r="AF472" s="331"/>
    </row>
    <row r="473" spans="3:32" s="301" customFormat="1">
      <c r="C473" s="10"/>
      <c r="D473" s="29"/>
      <c r="E473" s="29"/>
      <c r="F473" s="36"/>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c r="AF473" s="331"/>
    </row>
    <row r="474" spans="3:32" s="301" customFormat="1">
      <c r="C474" s="10"/>
      <c r="D474" s="29"/>
      <c r="E474" s="29"/>
      <c r="F474" s="36"/>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c r="AF474" s="331"/>
    </row>
    <row r="475" spans="3:32" s="301" customFormat="1">
      <c r="C475" s="10"/>
      <c r="D475" s="29"/>
      <c r="E475" s="29"/>
      <c r="F475" s="36"/>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c r="AF475" s="331"/>
    </row>
    <row r="476" spans="3:32" s="301" customFormat="1">
      <c r="C476" s="10"/>
      <c r="D476" s="29"/>
      <c r="E476" s="29"/>
      <c r="F476" s="36"/>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c r="AF476" s="331"/>
    </row>
    <row r="477" spans="3:32" s="301" customFormat="1">
      <c r="C477" s="10"/>
      <c r="D477" s="29"/>
      <c r="E477" s="29"/>
      <c r="F477" s="36"/>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c r="AF477" s="331"/>
    </row>
    <row r="478" spans="3:32" s="301" customFormat="1">
      <c r="C478" s="10"/>
      <c r="D478" s="29"/>
      <c r="E478" s="29"/>
      <c r="F478" s="36"/>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c r="AF478" s="331"/>
    </row>
    <row r="479" spans="3:32" s="301" customFormat="1">
      <c r="C479" s="10"/>
      <c r="D479" s="29"/>
      <c r="E479" s="29"/>
      <c r="F479" s="36"/>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c r="AF479" s="331"/>
    </row>
    <row r="480" spans="3:32" s="301" customFormat="1">
      <c r="C480" s="10"/>
      <c r="D480" s="29"/>
      <c r="E480" s="29"/>
      <c r="F480" s="36"/>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c r="AF480" s="331"/>
    </row>
    <row r="481" spans="3:32" s="301" customFormat="1">
      <c r="C481" s="10"/>
      <c r="D481" s="29"/>
      <c r="E481" s="29"/>
      <c r="F481" s="36"/>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c r="AF481" s="331"/>
    </row>
    <row r="482" spans="3:32" s="301" customFormat="1">
      <c r="C482" s="10"/>
      <c r="D482" s="29"/>
      <c r="E482" s="29"/>
      <c r="F482" s="36"/>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c r="AF482" s="331"/>
    </row>
    <row r="483" spans="3:32" s="301" customFormat="1">
      <c r="C483" s="10"/>
      <c r="D483" s="29"/>
      <c r="E483" s="29"/>
      <c r="F483" s="36"/>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c r="AF483" s="331"/>
    </row>
    <row r="484" spans="3:32" s="301" customFormat="1">
      <c r="C484" s="10"/>
      <c r="D484" s="29"/>
      <c r="E484" s="29"/>
      <c r="F484" s="36"/>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c r="AF484" s="331"/>
    </row>
    <row r="485" spans="3:32" s="301" customFormat="1">
      <c r="C485" s="10"/>
      <c r="D485" s="29"/>
      <c r="E485" s="29"/>
      <c r="F485" s="36"/>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c r="AF485" s="331"/>
    </row>
    <row r="486" spans="3:32" s="301" customFormat="1">
      <c r="C486" s="10"/>
      <c r="D486" s="29"/>
      <c r="E486" s="29"/>
      <c r="F486" s="36"/>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c r="AF486" s="331"/>
    </row>
    <row r="487" spans="3:32" s="301" customFormat="1">
      <c r="C487" s="10"/>
      <c r="D487" s="29"/>
      <c r="E487" s="29"/>
      <c r="F487" s="36"/>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c r="AF487" s="331"/>
    </row>
    <row r="488" spans="3:32" s="301" customFormat="1">
      <c r="C488" s="10"/>
      <c r="D488" s="29"/>
      <c r="E488" s="29"/>
      <c r="F488" s="36"/>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c r="AF488" s="331"/>
    </row>
    <row r="489" spans="3:32" s="301" customFormat="1">
      <c r="C489" s="10"/>
      <c r="D489" s="29"/>
      <c r="E489" s="29"/>
      <c r="F489" s="36"/>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c r="AF489" s="331"/>
    </row>
    <row r="490" spans="3:32" s="301" customFormat="1">
      <c r="C490" s="10"/>
      <c r="D490" s="29"/>
      <c r="E490" s="29"/>
      <c r="F490" s="36"/>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c r="AF490" s="331"/>
    </row>
    <row r="491" spans="3:32" s="301" customFormat="1">
      <c r="C491" s="10"/>
      <c r="D491" s="29"/>
      <c r="E491" s="29"/>
      <c r="F491" s="36"/>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c r="AF491" s="331"/>
    </row>
    <row r="492" spans="3:32" s="301" customFormat="1">
      <c r="C492" s="10"/>
      <c r="D492" s="29"/>
      <c r="E492" s="29"/>
      <c r="F492" s="36"/>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c r="AF492" s="331"/>
    </row>
    <row r="493" spans="3:32" s="301" customFormat="1">
      <c r="C493" s="10"/>
      <c r="D493" s="29"/>
      <c r="E493" s="29"/>
      <c r="F493" s="36"/>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c r="AF493" s="331"/>
    </row>
    <row r="494" spans="3:32" s="301" customFormat="1">
      <c r="C494" s="10"/>
      <c r="D494" s="29"/>
      <c r="E494" s="29"/>
      <c r="F494" s="36"/>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c r="AF494" s="331"/>
    </row>
    <row r="495" spans="3:32" s="301" customFormat="1">
      <c r="C495" s="10"/>
      <c r="D495" s="29"/>
      <c r="E495" s="29"/>
      <c r="F495" s="36"/>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c r="AF495" s="331"/>
    </row>
    <row r="496" spans="3:32" s="301" customFormat="1">
      <c r="C496" s="10"/>
      <c r="D496" s="29"/>
      <c r="E496" s="29"/>
      <c r="F496" s="36"/>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c r="AF496" s="331"/>
    </row>
    <row r="497" spans="3:32" s="301" customFormat="1">
      <c r="C497" s="10"/>
      <c r="D497" s="29"/>
      <c r="E497" s="29"/>
      <c r="F497" s="36"/>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c r="AF497" s="331"/>
    </row>
    <row r="498" spans="3:32" s="301" customFormat="1">
      <c r="C498" s="10"/>
      <c r="D498" s="29"/>
      <c r="E498" s="29"/>
      <c r="F498" s="36"/>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c r="AF498" s="331"/>
    </row>
    <row r="499" spans="3:32" s="301" customFormat="1">
      <c r="C499" s="10"/>
      <c r="D499" s="29"/>
      <c r="E499" s="29"/>
      <c r="F499" s="36"/>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c r="AF499" s="331"/>
    </row>
    <row r="500" spans="3:32" s="301" customFormat="1">
      <c r="C500" s="10"/>
      <c r="D500" s="29"/>
      <c r="E500" s="29"/>
      <c r="F500" s="36"/>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c r="AF500" s="331"/>
    </row>
    <row r="501" spans="3:32" s="301" customFormat="1">
      <c r="C501" s="10"/>
      <c r="D501" s="29"/>
      <c r="E501" s="29"/>
      <c r="F501" s="36"/>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c r="AF501" s="331"/>
    </row>
    <row r="502" spans="3:32" s="301" customFormat="1">
      <c r="C502" s="10"/>
      <c r="D502" s="29"/>
      <c r="E502" s="29"/>
      <c r="F502" s="36"/>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c r="AF502" s="331"/>
    </row>
    <row r="503" spans="3:32" s="301" customFormat="1">
      <c r="C503" s="10"/>
      <c r="D503" s="29"/>
      <c r="E503" s="29"/>
      <c r="F503" s="36"/>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c r="AF503" s="331"/>
    </row>
    <row r="504" spans="3:32" s="301" customFormat="1">
      <c r="C504" s="10"/>
      <c r="D504" s="29"/>
      <c r="E504" s="29"/>
      <c r="F504" s="36"/>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c r="AF504" s="331"/>
    </row>
    <row r="505" spans="3:32" s="301" customFormat="1">
      <c r="C505" s="10"/>
      <c r="D505" s="29"/>
      <c r="E505" s="29"/>
      <c r="F505" s="36"/>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c r="AF505" s="331"/>
    </row>
    <row r="506" spans="3:32" s="301" customFormat="1">
      <c r="C506" s="10"/>
      <c r="D506" s="29"/>
      <c r="E506" s="29"/>
      <c r="F506" s="36"/>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c r="AF506" s="331"/>
    </row>
    <row r="507" spans="3:32" s="301" customFormat="1">
      <c r="C507" s="10"/>
      <c r="D507" s="29"/>
      <c r="E507" s="29"/>
      <c r="F507" s="36"/>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c r="AF507" s="331"/>
    </row>
    <row r="508" spans="3:32" s="301" customFormat="1">
      <c r="C508" s="10"/>
      <c r="D508" s="29"/>
      <c r="E508" s="29"/>
      <c r="F508" s="36"/>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c r="AF508" s="331"/>
    </row>
    <row r="509" spans="3:32" s="301" customFormat="1">
      <c r="C509" s="10"/>
      <c r="D509" s="29"/>
      <c r="E509" s="29"/>
      <c r="F509" s="36"/>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c r="AF509" s="331"/>
    </row>
    <row r="510" spans="3:32" s="301" customFormat="1">
      <c r="C510" s="10"/>
      <c r="D510" s="29"/>
      <c r="E510" s="29"/>
      <c r="F510" s="36"/>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c r="AF510" s="331"/>
    </row>
    <row r="511" spans="3:32" s="301" customFormat="1">
      <c r="C511" s="10"/>
      <c r="D511" s="29"/>
      <c r="E511" s="29"/>
      <c r="F511" s="36"/>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c r="AF511" s="331"/>
    </row>
    <row r="512" spans="3:32" s="301" customFormat="1">
      <c r="C512" s="10"/>
      <c r="D512" s="29"/>
      <c r="E512" s="29"/>
      <c r="F512" s="36"/>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c r="AF512" s="331"/>
    </row>
    <row r="513" spans="3:32" s="301" customFormat="1">
      <c r="C513" s="10"/>
      <c r="D513" s="29"/>
      <c r="E513" s="29"/>
      <c r="F513" s="36"/>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c r="AF513" s="331"/>
    </row>
    <row r="514" spans="3:32" s="301" customFormat="1">
      <c r="C514" s="10"/>
      <c r="D514" s="29"/>
      <c r="E514" s="29"/>
      <c r="F514" s="36"/>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c r="AF514" s="331"/>
    </row>
    <row r="515" spans="3:32" s="301" customFormat="1">
      <c r="C515" s="10"/>
      <c r="D515" s="29"/>
      <c r="E515" s="29"/>
      <c r="F515" s="36"/>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c r="AF515" s="331"/>
    </row>
    <row r="516" spans="3:32" s="301" customFormat="1">
      <c r="C516" s="10"/>
      <c r="D516" s="29"/>
      <c r="E516" s="29"/>
      <c r="F516" s="36"/>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c r="AF516" s="331"/>
    </row>
    <row r="517" spans="3:32" s="301" customFormat="1">
      <c r="C517" s="10"/>
      <c r="D517" s="29"/>
      <c r="E517" s="29"/>
      <c r="F517" s="36"/>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c r="AF517" s="331"/>
    </row>
    <row r="518" spans="3:32" s="301" customFormat="1">
      <c r="C518" s="10"/>
      <c r="D518" s="29"/>
      <c r="E518" s="29"/>
      <c r="F518" s="36"/>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c r="AF518" s="331"/>
    </row>
    <row r="519" spans="3:32" s="301" customFormat="1">
      <c r="C519" s="10"/>
      <c r="D519" s="29"/>
      <c r="E519" s="29"/>
      <c r="F519" s="36"/>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c r="AF519" s="331"/>
    </row>
    <row r="520" spans="3:32" s="301" customFormat="1">
      <c r="C520" s="10"/>
      <c r="D520" s="29"/>
      <c r="E520" s="29"/>
      <c r="F520" s="36"/>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c r="AF520" s="331"/>
    </row>
    <row r="521" spans="3:32" s="301" customFormat="1">
      <c r="C521" s="10"/>
      <c r="D521" s="29"/>
      <c r="E521" s="29"/>
      <c r="F521" s="36"/>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c r="AF521" s="331"/>
    </row>
    <row r="522" spans="3:32" s="301" customFormat="1">
      <c r="C522" s="10"/>
      <c r="D522" s="29"/>
      <c r="E522" s="29"/>
      <c r="F522" s="36"/>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c r="AF522" s="331"/>
    </row>
    <row r="523" spans="3:32" s="301" customFormat="1">
      <c r="C523" s="10"/>
      <c r="D523" s="29"/>
      <c r="E523" s="29"/>
      <c r="F523" s="36"/>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c r="AF523" s="331"/>
    </row>
    <row r="524" spans="3:32" s="301" customFormat="1">
      <c r="C524" s="10"/>
      <c r="D524" s="29"/>
      <c r="E524" s="29"/>
      <c r="F524" s="36"/>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c r="AF524" s="331"/>
    </row>
    <row r="525" spans="3:32" s="301" customFormat="1">
      <c r="C525" s="10"/>
      <c r="D525" s="29"/>
      <c r="E525" s="29"/>
      <c r="F525" s="36"/>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c r="AF525" s="331"/>
    </row>
    <row r="526" spans="3:32" s="301" customFormat="1">
      <c r="C526" s="10"/>
      <c r="D526" s="29"/>
      <c r="E526" s="29"/>
      <c r="F526" s="36"/>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c r="AF526" s="331"/>
    </row>
    <row r="527" spans="3:32" s="301" customFormat="1">
      <c r="C527" s="10"/>
      <c r="D527" s="29"/>
      <c r="E527" s="29"/>
      <c r="F527" s="36"/>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c r="AF527" s="331"/>
    </row>
    <row r="528" spans="3:32" s="301" customFormat="1">
      <c r="C528" s="10"/>
      <c r="D528" s="29"/>
      <c r="E528" s="29"/>
      <c r="F528" s="36"/>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row>
    <row r="529" spans="3:32" s="301" customFormat="1">
      <c r="C529" s="10"/>
      <c r="D529" s="29"/>
      <c r="E529" s="29"/>
      <c r="F529" s="36"/>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c r="AF529" s="331"/>
    </row>
    <row r="530" spans="3:32" s="301" customFormat="1">
      <c r="C530" s="10"/>
      <c r="D530" s="29"/>
      <c r="E530" s="29"/>
      <c r="F530" s="36"/>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c r="AF530" s="331"/>
    </row>
    <row r="531" spans="3:32" s="301" customFormat="1">
      <c r="C531" s="10"/>
      <c r="D531" s="29"/>
      <c r="E531" s="29"/>
      <c r="F531" s="36"/>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c r="AF531" s="331"/>
    </row>
    <row r="532" spans="3:32" s="301" customFormat="1">
      <c r="C532" s="10"/>
      <c r="D532" s="29"/>
      <c r="E532" s="29"/>
      <c r="F532" s="36"/>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c r="AF532" s="331"/>
    </row>
    <row r="533" spans="3:32" s="301" customFormat="1">
      <c r="C533" s="10"/>
      <c r="D533" s="29"/>
      <c r="E533" s="29"/>
      <c r="F533" s="36"/>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c r="AF533" s="331"/>
    </row>
    <row r="534" spans="3:32" s="301" customFormat="1">
      <c r="C534" s="10"/>
      <c r="D534" s="29"/>
      <c r="E534" s="29"/>
      <c r="F534" s="36"/>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c r="AF534" s="331"/>
    </row>
    <row r="535" spans="3:32" s="301" customFormat="1">
      <c r="C535" s="10"/>
      <c r="D535" s="29"/>
      <c r="E535" s="29"/>
      <c r="F535" s="36"/>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c r="AF535" s="331"/>
    </row>
    <row r="536" spans="3:32" s="301" customFormat="1">
      <c r="C536" s="10"/>
      <c r="D536" s="29"/>
      <c r="E536" s="29"/>
      <c r="F536" s="36"/>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row>
    <row r="537" spans="3:32" s="301" customFormat="1">
      <c r="C537" s="10"/>
      <c r="D537" s="29"/>
      <c r="E537" s="29"/>
      <c r="F537" s="36"/>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c r="AF537" s="331"/>
    </row>
    <row r="538" spans="3:32" s="301" customFormat="1">
      <c r="C538" s="10"/>
      <c r="D538" s="29"/>
      <c r="E538" s="29"/>
      <c r="F538" s="36"/>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c r="AF538" s="331"/>
    </row>
    <row r="539" spans="3:32" s="301" customFormat="1">
      <c r="C539" s="10"/>
      <c r="D539" s="29"/>
      <c r="E539" s="29"/>
      <c r="F539" s="36"/>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c r="AF539" s="331"/>
    </row>
    <row r="540" spans="3:32" s="301" customFormat="1">
      <c r="C540" s="10"/>
      <c r="D540" s="29"/>
      <c r="E540" s="29"/>
      <c r="F540" s="36"/>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c r="AF540" s="331"/>
    </row>
    <row r="541" spans="3:32" s="301" customFormat="1">
      <c r="C541" s="10"/>
      <c r="D541" s="29"/>
      <c r="E541" s="29"/>
      <c r="F541" s="36"/>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c r="AF541" s="331"/>
    </row>
    <row r="542" spans="3:32" s="301" customFormat="1">
      <c r="C542" s="10"/>
      <c r="D542" s="29"/>
      <c r="E542" s="29"/>
      <c r="F542" s="36"/>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c r="AF542" s="331"/>
    </row>
    <row r="543" spans="3:32" s="301" customFormat="1">
      <c r="C543" s="10"/>
      <c r="D543" s="29"/>
      <c r="E543" s="29"/>
      <c r="F543" s="36"/>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c r="AF543" s="331"/>
    </row>
    <row r="544" spans="3:32" s="301" customFormat="1">
      <c r="C544" s="10"/>
      <c r="D544" s="29"/>
      <c r="E544" s="29"/>
      <c r="F544" s="36"/>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c r="AF544" s="331"/>
    </row>
    <row r="545" spans="3:32" s="301" customFormat="1">
      <c r="C545" s="10"/>
      <c r="D545" s="29"/>
      <c r="E545" s="29"/>
      <c r="F545" s="36"/>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c r="AF545" s="331"/>
    </row>
    <row r="546" spans="3:32" s="301" customFormat="1">
      <c r="C546" s="10"/>
      <c r="D546" s="29"/>
      <c r="E546" s="29"/>
      <c r="F546" s="36"/>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c r="AF546" s="331"/>
    </row>
    <row r="547" spans="3:32" s="301" customFormat="1">
      <c r="C547" s="10"/>
      <c r="D547" s="29"/>
      <c r="E547" s="29"/>
      <c r="F547" s="36"/>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c r="AF547" s="331"/>
    </row>
    <row r="548" spans="3:32" s="301" customFormat="1">
      <c r="C548" s="10"/>
      <c r="D548" s="29"/>
      <c r="E548" s="29"/>
      <c r="F548" s="36"/>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c r="AF548" s="331"/>
    </row>
    <row r="549" spans="3:32" s="301" customFormat="1">
      <c r="C549" s="10"/>
      <c r="D549" s="29"/>
      <c r="E549" s="29"/>
      <c r="F549" s="36"/>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c r="AF549" s="331"/>
    </row>
    <row r="550" spans="3:32" s="301" customFormat="1">
      <c r="C550" s="10"/>
      <c r="D550" s="29"/>
      <c r="E550" s="29"/>
      <c r="F550" s="36"/>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c r="AF550" s="331"/>
    </row>
    <row r="551" spans="3:32" s="301" customFormat="1">
      <c r="C551" s="10"/>
      <c r="D551" s="29"/>
      <c r="E551" s="29"/>
      <c r="F551" s="36"/>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c r="AF551" s="331"/>
    </row>
    <row r="552" spans="3:32" s="301" customFormat="1">
      <c r="C552" s="10"/>
      <c r="D552" s="29"/>
      <c r="E552" s="29"/>
      <c r="F552" s="36"/>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c r="AF552" s="331"/>
    </row>
    <row r="553" spans="3:32" s="301" customFormat="1">
      <c r="C553" s="10"/>
      <c r="D553" s="29"/>
      <c r="E553" s="29"/>
      <c r="F553" s="36"/>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c r="AF553" s="331"/>
    </row>
    <row r="554" spans="3:32" s="301" customFormat="1">
      <c r="C554" s="10"/>
      <c r="D554" s="29"/>
      <c r="E554" s="29"/>
      <c r="F554" s="36"/>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c r="AF554" s="331"/>
    </row>
    <row r="555" spans="3:32" s="301" customFormat="1">
      <c r="C555" s="10"/>
      <c r="D555" s="29"/>
      <c r="E555" s="29"/>
      <c r="F555" s="36"/>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c r="AF555" s="331"/>
    </row>
    <row r="556" spans="3:32" s="301" customFormat="1">
      <c r="C556" s="10"/>
      <c r="D556" s="29"/>
      <c r="E556" s="29"/>
      <c r="F556" s="36"/>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c r="AF556" s="331"/>
    </row>
    <row r="557" spans="3:32" s="301" customFormat="1">
      <c r="C557" s="10"/>
      <c r="D557" s="29"/>
      <c r="E557" s="29"/>
      <c r="F557" s="36"/>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c r="AF557" s="331"/>
    </row>
    <row r="558" spans="3:32" s="301" customFormat="1">
      <c r="C558" s="10"/>
      <c r="D558" s="29"/>
      <c r="E558" s="29"/>
      <c r="F558" s="36"/>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c r="AF558" s="331"/>
    </row>
    <row r="559" spans="3:32" s="301" customFormat="1">
      <c r="C559" s="10"/>
      <c r="D559" s="29"/>
      <c r="E559" s="29"/>
      <c r="F559" s="36"/>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c r="AF559" s="331"/>
    </row>
    <row r="560" spans="3:32" s="301" customFormat="1">
      <c r="C560" s="10"/>
      <c r="D560" s="29"/>
      <c r="E560" s="29"/>
      <c r="F560" s="36"/>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c r="AF560" s="331"/>
    </row>
    <row r="561" spans="3:32" s="301" customFormat="1">
      <c r="C561" s="10"/>
      <c r="D561" s="29"/>
      <c r="E561" s="29"/>
      <c r="F561" s="36"/>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c r="AF561" s="331"/>
    </row>
    <row r="562" spans="3:32" s="301" customFormat="1">
      <c r="C562" s="10"/>
      <c r="D562" s="29"/>
      <c r="E562" s="29"/>
      <c r="F562" s="36"/>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c r="AF562" s="331"/>
    </row>
    <row r="563" spans="3:32" s="301" customFormat="1">
      <c r="C563" s="10"/>
      <c r="D563" s="29"/>
      <c r="E563" s="29"/>
      <c r="F563" s="36"/>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c r="AF563" s="331"/>
    </row>
    <row r="564" spans="3:32" s="301" customFormat="1">
      <c r="C564" s="10"/>
      <c r="D564" s="29"/>
      <c r="E564" s="29"/>
      <c r="F564" s="36"/>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c r="AF564" s="331"/>
    </row>
    <row r="565" spans="3:32" s="301" customFormat="1">
      <c r="C565" s="10"/>
      <c r="D565" s="29"/>
      <c r="E565" s="29"/>
      <c r="F565" s="36"/>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c r="AF565" s="331"/>
    </row>
    <row r="566" spans="3:32" s="301" customFormat="1">
      <c r="C566" s="10"/>
      <c r="D566" s="29"/>
      <c r="E566" s="29"/>
      <c r="F566" s="36"/>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c r="AF566" s="331"/>
    </row>
    <row r="567" spans="3:32" s="301" customFormat="1">
      <c r="C567" s="10"/>
      <c r="D567" s="29"/>
      <c r="E567" s="29"/>
      <c r="F567" s="36"/>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c r="AF567" s="331"/>
    </row>
    <row r="568" spans="3:32" s="301" customFormat="1">
      <c r="C568" s="10"/>
      <c r="D568" s="29"/>
      <c r="E568" s="29"/>
      <c r="F568" s="36"/>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c r="AF568" s="331"/>
    </row>
    <row r="569" spans="3:32" s="301" customFormat="1">
      <c r="C569" s="10"/>
      <c r="D569" s="29"/>
      <c r="E569" s="29"/>
      <c r="F569" s="36"/>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c r="AF569" s="331"/>
    </row>
    <row r="570" spans="3:32" s="301" customFormat="1">
      <c r="C570" s="10"/>
      <c r="D570" s="29"/>
      <c r="E570" s="29"/>
      <c r="F570" s="36"/>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c r="AF570" s="331"/>
    </row>
    <row r="571" spans="3:32" s="301" customFormat="1">
      <c r="C571" s="10"/>
      <c r="D571" s="29"/>
      <c r="E571" s="29"/>
      <c r="F571" s="36"/>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c r="AF571" s="331"/>
    </row>
    <row r="572" spans="3:32" s="301" customFormat="1">
      <c r="C572" s="10"/>
      <c r="D572" s="29"/>
      <c r="E572" s="29"/>
      <c r="F572" s="36"/>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c r="AF572" s="331"/>
    </row>
    <row r="573" spans="3:32" s="301" customFormat="1">
      <c r="C573" s="10"/>
      <c r="D573" s="29"/>
      <c r="E573" s="29"/>
      <c r="F573" s="36"/>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c r="AF573" s="331"/>
    </row>
    <row r="574" spans="3:32" s="301" customFormat="1">
      <c r="C574" s="10"/>
      <c r="D574" s="29"/>
      <c r="E574" s="29"/>
      <c r="F574" s="36"/>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c r="AF574" s="331"/>
    </row>
    <row r="575" spans="3:32" s="301" customFormat="1">
      <c r="C575" s="10"/>
      <c r="D575" s="29"/>
      <c r="E575" s="29"/>
      <c r="F575" s="36"/>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c r="AF575" s="331"/>
    </row>
    <row r="576" spans="3:32" s="301" customFormat="1">
      <c r="C576" s="10"/>
      <c r="D576" s="29"/>
      <c r="E576" s="29"/>
      <c r="F576" s="36"/>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c r="AF576" s="331"/>
    </row>
    <row r="577" spans="3:32" s="301" customFormat="1">
      <c r="C577" s="10"/>
      <c r="D577" s="29"/>
      <c r="E577" s="29"/>
      <c r="F577" s="36"/>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c r="AF577" s="331"/>
    </row>
    <row r="578" spans="3:32" s="301" customFormat="1">
      <c r="C578" s="10"/>
      <c r="D578" s="29"/>
      <c r="E578" s="29"/>
      <c r="F578" s="36"/>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c r="AF578" s="331"/>
    </row>
    <row r="579" spans="3:32" s="301" customFormat="1">
      <c r="C579" s="10"/>
      <c r="D579" s="29"/>
      <c r="E579" s="29"/>
      <c r="F579" s="36"/>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c r="AF579" s="331"/>
    </row>
    <row r="580" spans="3:32" s="301" customFormat="1">
      <c r="C580" s="10"/>
      <c r="D580" s="29"/>
      <c r="E580" s="29"/>
      <c r="F580" s="36"/>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c r="AF580" s="331"/>
    </row>
    <row r="581" spans="3:32" s="301" customFormat="1">
      <c r="C581" s="10"/>
      <c r="D581" s="29"/>
      <c r="E581" s="29"/>
      <c r="F581" s="36"/>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c r="AF581" s="331"/>
    </row>
    <row r="582" spans="3:32" s="301" customFormat="1">
      <c r="C582" s="10"/>
      <c r="D582" s="29"/>
      <c r="E582" s="29"/>
      <c r="F582" s="36"/>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c r="AF582" s="331"/>
    </row>
    <row r="583" spans="3:32" s="301" customFormat="1">
      <c r="C583" s="10"/>
      <c r="D583" s="29"/>
      <c r="E583" s="29"/>
      <c r="F583" s="36"/>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c r="AF583" s="331"/>
    </row>
    <row r="584" spans="3:32" s="301" customFormat="1">
      <c r="C584" s="10"/>
      <c r="D584" s="29"/>
      <c r="E584" s="29"/>
      <c r="F584" s="36"/>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c r="AF584" s="331"/>
    </row>
    <row r="585" spans="3:32" s="301" customFormat="1">
      <c r="C585" s="10"/>
      <c r="D585" s="29"/>
      <c r="E585" s="29"/>
      <c r="F585" s="36"/>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c r="AF585" s="331"/>
    </row>
    <row r="586" spans="3:32" s="301" customFormat="1">
      <c r="C586" s="10"/>
      <c r="D586" s="29"/>
      <c r="E586" s="29"/>
      <c r="F586" s="36"/>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c r="AF586" s="331"/>
    </row>
    <row r="587" spans="3:32" s="301" customFormat="1">
      <c r="C587" s="10"/>
      <c r="D587" s="29"/>
      <c r="E587" s="29"/>
      <c r="F587" s="36"/>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c r="AF587" s="331"/>
    </row>
    <row r="588" spans="3:32" s="301" customFormat="1">
      <c r="C588" s="10"/>
      <c r="D588" s="29"/>
      <c r="E588" s="29"/>
      <c r="F588" s="36"/>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c r="AF588" s="331"/>
    </row>
    <row r="589" spans="3:32" s="301" customFormat="1">
      <c r="C589" s="10"/>
      <c r="D589" s="29"/>
      <c r="E589" s="29"/>
      <c r="F589" s="36"/>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c r="AF589" s="331"/>
    </row>
    <row r="590" spans="3:32" s="301" customFormat="1">
      <c r="C590" s="10"/>
      <c r="D590" s="29"/>
      <c r="E590" s="29"/>
      <c r="F590" s="36"/>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c r="AF590" s="331"/>
    </row>
    <row r="591" spans="3:32" s="301" customFormat="1">
      <c r="C591" s="10"/>
      <c r="D591" s="29"/>
      <c r="E591" s="29"/>
      <c r="F591" s="36"/>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c r="AF591" s="331"/>
    </row>
    <row r="592" spans="3:32" s="301" customFormat="1">
      <c r="C592" s="10"/>
      <c r="D592" s="29"/>
      <c r="E592" s="29"/>
      <c r="F592" s="36"/>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c r="AF592" s="331"/>
    </row>
    <row r="593" spans="3:32" s="301" customFormat="1">
      <c r="C593" s="10"/>
      <c r="D593" s="29"/>
      <c r="E593" s="29"/>
      <c r="F593" s="36"/>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c r="AF593" s="331"/>
    </row>
    <row r="594" spans="3:32" s="301" customFormat="1">
      <c r="C594" s="10"/>
      <c r="D594" s="29"/>
      <c r="E594" s="29"/>
      <c r="F594" s="36"/>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c r="AF594" s="331"/>
    </row>
    <row r="595" spans="3:32" s="301" customFormat="1">
      <c r="C595" s="10"/>
      <c r="D595" s="29"/>
      <c r="E595" s="29"/>
      <c r="F595" s="36"/>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row>
    <row r="596" spans="3:32" s="301" customFormat="1">
      <c r="C596" s="10"/>
      <c r="D596" s="29"/>
      <c r="E596" s="29"/>
      <c r="F596" s="36"/>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c r="AF596" s="331"/>
    </row>
    <row r="597" spans="3:32" s="301" customFormat="1">
      <c r="C597" s="10"/>
      <c r="D597" s="29"/>
      <c r="E597" s="29"/>
      <c r="F597" s="36"/>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c r="AF597" s="331"/>
    </row>
    <row r="598" spans="3:32" s="301" customFormat="1">
      <c r="C598" s="10"/>
      <c r="D598" s="29"/>
      <c r="E598" s="29"/>
      <c r="F598" s="36"/>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c r="AF598" s="331"/>
    </row>
    <row r="599" spans="3:32" s="301" customFormat="1">
      <c r="C599" s="10"/>
      <c r="D599" s="29"/>
      <c r="E599" s="29"/>
      <c r="F599" s="36"/>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c r="AF599" s="331"/>
    </row>
    <row r="600" spans="3:32" s="301" customFormat="1">
      <c r="C600" s="10"/>
      <c r="D600" s="29"/>
      <c r="E600" s="29"/>
      <c r="F600" s="36"/>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c r="AF600" s="331"/>
    </row>
    <row r="601" spans="3:32" s="301" customFormat="1">
      <c r="C601" s="10"/>
      <c r="D601" s="29"/>
      <c r="E601" s="29"/>
      <c r="F601" s="36"/>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c r="AF601" s="331"/>
    </row>
    <row r="602" spans="3:32" s="301" customFormat="1">
      <c r="C602" s="10"/>
      <c r="D602" s="29"/>
      <c r="E602" s="29"/>
      <c r="F602" s="36"/>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c r="AF602" s="331"/>
    </row>
    <row r="603" spans="3:32" s="301" customFormat="1">
      <c r="C603" s="10"/>
      <c r="D603" s="29"/>
      <c r="E603" s="29"/>
      <c r="F603" s="36"/>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c r="AF603" s="331"/>
    </row>
    <row r="604" spans="3:32" s="301" customFormat="1">
      <c r="C604" s="10"/>
      <c r="D604" s="29"/>
      <c r="E604" s="29"/>
      <c r="F604" s="36"/>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c r="AF604" s="331"/>
    </row>
    <row r="605" spans="3:32" s="301" customFormat="1">
      <c r="C605" s="10"/>
      <c r="D605" s="29"/>
      <c r="E605" s="29"/>
      <c r="F605" s="36"/>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c r="AF605" s="331"/>
    </row>
    <row r="606" spans="3:32" s="301" customFormat="1">
      <c r="C606" s="10"/>
      <c r="D606" s="29"/>
      <c r="E606" s="29"/>
      <c r="F606" s="36"/>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c r="AF606" s="331"/>
    </row>
    <row r="607" spans="3:32" s="301" customFormat="1">
      <c r="C607" s="10"/>
      <c r="D607" s="29"/>
      <c r="E607" s="29"/>
      <c r="F607" s="36"/>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row>
    <row r="608" spans="3:32" s="301" customFormat="1">
      <c r="C608" s="10"/>
      <c r="D608" s="29"/>
      <c r="E608" s="29"/>
      <c r="F608" s="36"/>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c r="AF608" s="331"/>
    </row>
    <row r="609" spans="3:32" s="301" customFormat="1">
      <c r="C609" s="10"/>
      <c r="D609" s="29"/>
      <c r="E609" s="29"/>
      <c r="F609" s="36"/>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c r="AF609" s="331"/>
    </row>
    <row r="610" spans="3:32" s="301" customFormat="1">
      <c r="C610" s="10"/>
      <c r="D610" s="29"/>
      <c r="E610" s="29"/>
      <c r="F610" s="36"/>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c r="AF610" s="331"/>
    </row>
    <row r="611" spans="3:32" s="301" customFormat="1">
      <c r="C611" s="10"/>
      <c r="D611" s="29"/>
      <c r="E611" s="29"/>
      <c r="F611" s="36"/>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row>
    <row r="612" spans="3:32" s="301" customFormat="1">
      <c r="C612" s="10"/>
      <c r="D612" s="29"/>
      <c r="E612" s="29"/>
      <c r="F612" s="36"/>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c r="AF612" s="331"/>
    </row>
    <row r="613" spans="3:32" s="301" customFormat="1">
      <c r="C613" s="10"/>
      <c r="D613" s="29"/>
      <c r="E613" s="29"/>
      <c r="F613" s="36"/>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c r="AF613" s="331"/>
    </row>
    <row r="614" spans="3:32" s="301" customFormat="1">
      <c r="C614" s="10"/>
      <c r="D614" s="29"/>
      <c r="E614" s="29"/>
      <c r="F614" s="36"/>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c r="AF614" s="331"/>
    </row>
    <row r="615" spans="3:32" s="301" customFormat="1">
      <c r="C615" s="10"/>
      <c r="D615" s="29"/>
      <c r="E615" s="29"/>
      <c r="F615" s="36"/>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c r="AF615" s="331"/>
    </row>
    <row r="616" spans="3:32" s="301" customFormat="1">
      <c r="C616" s="10"/>
      <c r="D616" s="29"/>
      <c r="E616" s="29"/>
      <c r="F616" s="36"/>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c r="AF616" s="331"/>
    </row>
    <row r="617" spans="3:32" s="301" customFormat="1">
      <c r="C617" s="10"/>
      <c r="D617" s="29"/>
      <c r="E617" s="29"/>
      <c r="F617" s="36"/>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c r="AF617" s="331"/>
    </row>
    <row r="618" spans="3:32" s="301" customFormat="1">
      <c r="C618" s="10"/>
      <c r="D618" s="29"/>
      <c r="E618" s="29"/>
      <c r="F618" s="36"/>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c r="AF618" s="331"/>
    </row>
    <row r="619" spans="3:32" s="301" customFormat="1">
      <c r="C619" s="10"/>
      <c r="D619" s="29"/>
      <c r="E619" s="29"/>
      <c r="F619" s="36"/>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c r="AF619" s="331"/>
    </row>
    <row r="620" spans="3:32" s="301" customFormat="1">
      <c r="C620" s="10"/>
      <c r="D620" s="29"/>
      <c r="E620" s="29"/>
      <c r="F620" s="36"/>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c r="AF620" s="331"/>
    </row>
    <row r="621" spans="3:32" s="301" customFormat="1">
      <c r="C621" s="10"/>
      <c r="D621" s="29"/>
      <c r="E621" s="29"/>
      <c r="F621" s="36"/>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c r="AF621" s="331"/>
    </row>
    <row r="622" spans="3:32" s="301" customFormat="1">
      <c r="C622" s="10"/>
      <c r="D622" s="29"/>
      <c r="E622" s="29"/>
      <c r="F622" s="36"/>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c r="AF622" s="331"/>
    </row>
    <row r="623" spans="3:32" s="301" customFormat="1">
      <c r="C623" s="10"/>
      <c r="D623" s="29"/>
      <c r="E623" s="29"/>
      <c r="F623" s="36"/>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c r="AF623" s="331"/>
    </row>
    <row r="624" spans="3:32" s="301" customFormat="1">
      <c r="C624" s="10"/>
      <c r="D624" s="29"/>
      <c r="E624" s="29"/>
      <c r="F624" s="36"/>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c r="AF624" s="331"/>
    </row>
    <row r="625" spans="3:32" s="301" customFormat="1">
      <c r="C625" s="10"/>
      <c r="D625" s="29"/>
      <c r="E625" s="29"/>
      <c r="F625" s="36"/>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c r="AF625" s="331"/>
    </row>
    <row r="626" spans="3:32" s="301" customFormat="1">
      <c r="C626" s="10"/>
      <c r="D626" s="29"/>
      <c r="E626" s="29"/>
      <c r="F626" s="36"/>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c r="AF626" s="331"/>
    </row>
    <row r="627" spans="3:32" s="301" customFormat="1">
      <c r="C627" s="10"/>
      <c r="D627" s="29"/>
      <c r="E627" s="29"/>
      <c r="F627" s="36"/>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c r="AF627" s="331"/>
    </row>
    <row r="628" spans="3:32" s="301" customFormat="1">
      <c r="C628" s="10"/>
      <c r="D628" s="29"/>
      <c r="E628" s="29"/>
      <c r="F628" s="36"/>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c r="AF628" s="331"/>
    </row>
    <row r="629" spans="3:32" s="301" customFormat="1">
      <c r="C629" s="10"/>
      <c r="D629" s="29"/>
      <c r="E629" s="29"/>
      <c r="F629" s="36"/>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c r="AF629" s="331"/>
    </row>
    <row r="630" spans="3:32" s="301" customFormat="1">
      <c r="C630" s="10"/>
      <c r="D630" s="29"/>
      <c r="E630" s="29"/>
      <c r="F630" s="36"/>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c r="AF630" s="331"/>
    </row>
    <row r="631" spans="3:32" s="301" customFormat="1">
      <c r="C631" s="10"/>
      <c r="D631" s="29"/>
      <c r="E631" s="29"/>
      <c r="F631" s="36"/>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c r="AF631" s="331"/>
    </row>
    <row r="632" spans="3:32" s="301" customFormat="1">
      <c r="C632" s="10"/>
      <c r="D632" s="29"/>
      <c r="E632" s="29"/>
      <c r="F632" s="36"/>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c r="AF632" s="331"/>
    </row>
    <row r="633" spans="3:32" s="301" customFormat="1">
      <c r="C633" s="10"/>
      <c r="D633" s="29"/>
      <c r="E633" s="29"/>
      <c r="F633" s="36"/>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c r="AF633" s="331"/>
    </row>
    <row r="634" spans="3:32" s="301" customFormat="1">
      <c r="C634" s="10"/>
      <c r="D634" s="29"/>
      <c r="E634" s="29"/>
      <c r="F634" s="36"/>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c r="AF634" s="331"/>
    </row>
    <row r="635" spans="3:32" s="301" customFormat="1">
      <c r="C635" s="10"/>
      <c r="D635" s="29"/>
      <c r="E635" s="29"/>
      <c r="F635" s="36"/>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c r="AF635" s="331"/>
    </row>
    <row r="636" spans="3:32" s="301" customFormat="1">
      <c r="C636" s="10"/>
      <c r="D636" s="29"/>
      <c r="E636" s="29"/>
      <c r="F636" s="36"/>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c r="AF636" s="331"/>
    </row>
    <row r="637" spans="3:32" s="301" customFormat="1">
      <c r="C637" s="10"/>
      <c r="D637" s="29"/>
      <c r="E637" s="29"/>
      <c r="F637" s="36"/>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c r="AF637" s="331"/>
    </row>
    <row r="638" spans="3:32" s="301" customFormat="1">
      <c r="C638" s="10"/>
      <c r="D638" s="29"/>
      <c r="E638" s="29"/>
      <c r="F638" s="36"/>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c r="AF638" s="331"/>
    </row>
    <row r="639" spans="3:32" s="301" customFormat="1">
      <c r="C639" s="10"/>
      <c r="D639" s="29"/>
      <c r="E639" s="29"/>
      <c r="F639" s="36"/>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c r="AF639" s="331"/>
    </row>
    <row r="640" spans="3:32" s="301" customFormat="1">
      <c r="C640" s="10"/>
      <c r="D640" s="29"/>
      <c r="E640" s="29"/>
      <c r="F640" s="36"/>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c r="AF640" s="331"/>
    </row>
    <row r="641" spans="3:32" s="301" customFormat="1">
      <c r="C641" s="10"/>
      <c r="D641" s="29"/>
      <c r="E641" s="29"/>
      <c r="F641" s="36"/>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c r="AF641" s="331"/>
    </row>
    <row r="642" spans="3:32" s="301" customFormat="1">
      <c r="C642" s="10"/>
      <c r="D642" s="29"/>
      <c r="E642" s="29"/>
      <c r="F642" s="36"/>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c r="AF642" s="331"/>
    </row>
    <row r="643" spans="3:32" s="301" customFormat="1">
      <c r="C643" s="10"/>
      <c r="D643" s="29"/>
      <c r="E643" s="29"/>
      <c r="F643" s="36"/>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c r="AF643" s="331"/>
    </row>
    <row r="644" spans="3:32" s="301" customFormat="1">
      <c r="C644" s="10"/>
      <c r="D644" s="29"/>
      <c r="E644" s="29"/>
      <c r="F644" s="36"/>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c r="AF644" s="331"/>
    </row>
    <row r="645" spans="3:32" s="301" customFormat="1">
      <c r="C645" s="10"/>
      <c r="D645" s="29"/>
      <c r="E645" s="29"/>
      <c r="F645" s="36"/>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c r="AF645" s="331"/>
    </row>
    <row r="646" spans="3:32" s="301" customFormat="1">
      <c r="C646" s="10"/>
      <c r="D646" s="29"/>
      <c r="E646" s="29"/>
      <c r="F646" s="36"/>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c r="AF646" s="331"/>
    </row>
    <row r="647" spans="3:32" s="301" customFormat="1">
      <c r="C647" s="10"/>
      <c r="D647" s="29"/>
      <c r="E647" s="29"/>
      <c r="F647" s="36"/>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c r="AF647" s="331"/>
    </row>
    <row r="648" spans="3:32" s="301" customFormat="1">
      <c r="C648" s="10"/>
      <c r="D648" s="29"/>
      <c r="E648" s="29"/>
      <c r="F648" s="36"/>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c r="AF648" s="331"/>
    </row>
    <row r="649" spans="3:32" s="301" customFormat="1">
      <c r="C649" s="10"/>
      <c r="D649" s="29"/>
      <c r="E649" s="29"/>
      <c r="F649" s="36"/>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c r="AF649" s="331"/>
    </row>
    <row r="650" spans="3:32" s="301" customFormat="1">
      <c r="C650" s="10"/>
      <c r="D650" s="29"/>
      <c r="E650" s="29"/>
      <c r="F650" s="36"/>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c r="AF650" s="331"/>
    </row>
    <row r="651" spans="3:32" s="301" customFormat="1">
      <c r="C651" s="10"/>
      <c r="D651" s="29"/>
      <c r="E651" s="29"/>
      <c r="F651" s="36"/>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c r="AF651" s="331"/>
    </row>
    <row r="652" spans="3:32" s="301" customFormat="1">
      <c r="C652" s="10"/>
      <c r="D652" s="29"/>
      <c r="E652" s="29"/>
      <c r="F652" s="36"/>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c r="AF652" s="331"/>
    </row>
    <row r="653" spans="3:32" s="301" customFormat="1">
      <c r="C653" s="10"/>
      <c r="D653" s="29"/>
      <c r="E653" s="29"/>
      <c r="F653" s="36"/>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c r="AF653" s="331"/>
    </row>
    <row r="654" spans="3:32" s="301" customFormat="1">
      <c r="C654" s="10"/>
      <c r="D654" s="29"/>
      <c r="E654" s="29"/>
      <c r="F654" s="36"/>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c r="AF654" s="331"/>
    </row>
    <row r="655" spans="3:32" s="301" customFormat="1">
      <c r="C655" s="10"/>
      <c r="D655" s="29"/>
      <c r="E655" s="29"/>
      <c r="F655" s="36"/>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c r="AF655" s="331"/>
    </row>
    <row r="656" spans="3:32" s="301" customFormat="1">
      <c r="C656" s="10"/>
      <c r="D656" s="29"/>
      <c r="E656" s="29"/>
      <c r="F656" s="36"/>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c r="AF656" s="331"/>
    </row>
    <row r="657" spans="3:32" s="301" customFormat="1">
      <c r="C657" s="10"/>
      <c r="D657" s="29"/>
      <c r="E657" s="29"/>
      <c r="F657" s="36"/>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c r="AF657" s="331"/>
    </row>
    <row r="658" spans="3:32" s="301" customFormat="1">
      <c r="C658" s="10"/>
      <c r="D658" s="29"/>
      <c r="E658" s="29"/>
      <c r="F658" s="36"/>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c r="AF658" s="331"/>
    </row>
    <row r="659" spans="3:32" s="301" customFormat="1">
      <c r="C659" s="10"/>
      <c r="D659" s="29"/>
      <c r="E659" s="29"/>
      <c r="F659" s="36"/>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c r="AF659" s="331"/>
    </row>
    <row r="660" spans="3:32" s="301" customFormat="1">
      <c r="C660" s="10"/>
      <c r="D660" s="29"/>
      <c r="E660" s="29"/>
      <c r="F660" s="36"/>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c r="AF660" s="331"/>
    </row>
    <row r="661" spans="3:32" s="301" customFormat="1">
      <c r="C661" s="10"/>
      <c r="D661" s="29"/>
      <c r="E661" s="29"/>
      <c r="F661" s="36"/>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c r="AF661" s="331"/>
    </row>
    <row r="662" spans="3:32" s="301" customFormat="1">
      <c r="C662" s="10"/>
      <c r="D662" s="29"/>
      <c r="E662" s="29"/>
      <c r="F662" s="36"/>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c r="AF662" s="331"/>
    </row>
    <row r="663" spans="3:32" s="301" customFormat="1">
      <c r="C663" s="10"/>
      <c r="D663" s="29"/>
      <c r="E663" s="29"/>
      <c r="F663" s="36"/>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c r="AF663" s="331"/>
    </row>
    <row r="664" spans="3:32" s="301" customFormat="1">
      <c r="C664" s="10"/>
      <c r="D664" s="29"/>
      <c r="E664" s="29"/>
      <c r="F664" s="36"/>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c r="AF664" s="331"/>
    </row>
    <row r="665" spans="3:32" s="301" customFormat="1">
      <c r="C665" s="10"/>
      <c r="D665" s="29"/>
      <c r="E665" s="29"/>
      <c r="F665" s="36"/>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c r="AF665" s="331"/>
    </row>
    <row r="666" spans="3:32" s="301" customFormat="1">
      <c r="C666" s="10"/>
      <c r="D666" s="29"/>
      <c r="E666" s="29"/>
      <c r="F666" s="36"/>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c r="AF666" s="331"/>
    </row>
    <row r="667" spans="3:32" s="301" customFormat="1">
      <c r="C667" s="10"/>
      <c r="D667" s="29"/>
      <c r="E667" s="29"/>
      <c r="F667" s="36"/>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c r="AF667" s="331"/>
    </row>
    <row r="668" spans="3:32" s="301" customFormat="1">
      <c r="C668" s="10"/>
      <c r="D668" s="29"/>
      <c r="E668" s="29"/>
      <c r="F668" s="36"/>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c r="AF668" s="331"/>
    </row>
    <row r="669" spans="3:32" s="301" customFormat="1">
      <c r="C669" s="10"/>
      <c r="D669" s="29"/>
      <c r="E669" s="29"/>
      <c r="F669" s="36"/>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c r="AF669" s="331"/>
    </row>
    <row r="670" spans="3:32" s="301" customFormat="1">
      <c r="C670" s="10"/>
      <c r="D670" s="29"/>
      <c r="E670" s="29"/>
      <c r="F670" s="36"/>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c r="AF670" s="331"/>
    </row>
    <row r="671" spans="3:32" s="301" customFormat="1">
      <c r="C671" s="10"/>
      <c r="D671" s="29"/>
      <c r="E671" s="29"/>
      <c r="F671" s="36"/>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c r="AF671" s="331"/>
    </row>
    <row r="672" spans="3:32" s="301" customFormat="1">
      <c r="C672" s="10"/>
      <c r="D672" s="29"/>
      <c r="E672" s="29"/>
      <c r="F672" s="36"/>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c r="AF672" s="331"/>
    </row>
    <row r="673" spans="3:32" s="301" customFormat="1">
      <c r="C673" s="10"/>
      <c r="D673" s="29"/>
      <c r="E673" s="29"/>
      <c r="F673" s="36"/>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c r="AF673" s="331"/>
    </row>
    <row r="674" spans="3:32" s="301" customFormat="1">
      <c r="C674" s="10"/>
      <c r="D674" s="29"/>
      <c r="E674" s="29"/>
      <c r="F674" s="36"/>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c r="AF674" s="331"/>
    </row>
    <row r="675" spans="3:32" s="301" customFormat="1">
      <c r="C675" s="10"/>
      <c r="D675" s="29"/>
      <c r="E675" s="29"/>
      <c r="F675" s="36"/>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c r="AF675" s="331"/>
    </row>
    <row r="676" spans="3:32" s="301" customFormat="1">
      <c r="C676" s="10"/>
      <c r="D676" s="29"/>
      <c r="E676" s="29"/>
      <c r="F676" s="36"/>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c r="AF676" s="331"/>
    </row>
    <row r="677" spans="3:32" s="301" customFormat="1">
      <c r="C677" s="10"/>
      <c r="D677" s="29"/>
      <c r="E677" s="29"/>
      <c r="F677" s="36"/>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c r="AF677" s="331"/>
    </row>
    <row r="678" spans="3:32" s="301" customFormat="1">
      <c r="C678" s="10"/>
      <c r="D678" s="29"/>
      <c r="E678" s="29"/>
      <c r="F678" s="36"/>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c r="AF678" s="331"/>
    </row>
    <row r="679" spans="3:32" s="301" customFormat="1">
      <c r="C679" s="10"/>
      <c r="D679" s="29"/>
      <c r="E679" s="29"/>
      <c r="F679" s="36"/>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c r="AF679" s="331"/>
    </row>
    <row r="680" spans="3:32" s="301" customFormat="1">
      <c r="C680" s="10"/>
      <c r="D680" s="29"/>
      <c r="E680" s="29"/>
      <c r="F680" s="36"/>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c r="AF680" s="331"/>
    </row>
    <row r="681" spans="3:32" s="301" customFormat="1">
      <c r="C681" s="10"/>
      <c r="D681" s="29"/>
      <c r="E681" s="29"/>
      <c r="F681" s="36"/>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c r="AF681" s="331"/>
    </row>
    <row r="682" spans="3:32" s="301" customFormat="1">
      <c r="C682" s="10"/>
      <c r="D682" s="29"/>
      <c r="E682" s="29"/>
      <c r="F682" s="36"/>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c r="AF682" s="331"/>
    </row>
    <row r="683" spans="3:32" s="301" customFormat="1">
      <c r="C683" s="10"/>
      <c r="D683" s="29"/>
      <c r="E683" s="29"/>
      <c r="F683" s="36"/>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c r="AF683" s="331"/>
    </row>
    <row r="684" spans="3:32" s="301" customFormat="1">
      <c r="C684" s="10"/>
      <c r="D684" s="29"/>
      <c r="E684" s="29"/>
      <c r="F684" s="36"/>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c r="AF684" s="331"/>
    </row>
    <row r="685" spans="3:32" s="301" customFormat="1">
      <c r="C685" s="10"/>
      <c r="D685" s="29"/>
      <c r="E685" s="29"/>
      <c r="F685" s="36"/>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c r="AF685" s="331"/>
    </row>
    <row r="686" spans="3:32" s="301" customFormat="1">
      <c r="C686" s="10"/>
      <c r="D686" s="29"/>
      <c r="E686" s="29"/>
      <c r="F686" s="36"/>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c r="AF686" s="331"/>
    </row>
    <row r="687" spans="3:32" s="301" customFormat="1">
      <c r="C687" s="10"/>
      <c r="D687" s="29"/>
      <c r="E687" s="29"/>
      <c r="F687" s="36"/>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c r="AF687" s="331"/>
    </row>
    <row r="688" spans="3:32" s="301" customFormat="1">
      <c r="C688" s="10"/>
      <c r="D688" s="29"/>
      <c r="E688" s="29"/>
      <c r="F688" s="36"/>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c r="AF688" s="331"/>
    </row>
    <row r="689" spans="3:32" s="301" customFormat="1">
      <c r="C689" s="10"/>
      <c r="D689" s="29"/>
      <c r="E689" s="29"/>
      <c r="F689" s="36"/>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c r="AF689" s="331"/>
    </row>
    <row r="690" spans="3:32" s="301" customFormat="1">
      <c r="C690" s="10"/>
      <c r="D690" s="29"/>
      <c r="E690" s="29"/>
      <c r="F690" s="36"/>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c r="AF690" s="331"/>
    </row>
    <row r="691" spans="3:32" s="301" customFormat="1">
      <c r="C691" s="10"/>
      <c r="D691" s="29"/>
      <c r="E691" s="29"/>
      <c r="F691" s="36"/>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c r="AF691" s="331"/>
    </row>
    <row r="692" spans="3:32" s="301" customFormat="1">
      <c r="C692" s="10"/>
      <c r="D692" s="29"/>
      <c r="E692" s="29"/>
      <c r="F692" s="36"/>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c r="AF692" s="331"/>
    </row>
    <row r="693" spans="3:32" s="301" customFormat="1">
      <c r="C693" s="10"/>
      <c r="D693" s="29"/>
      <c r="E693" s="29"/>
      <c r="F693" s="36"/>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c r="AF693" s="331"/>
    </row>
    <row r="694" spans="3:32" s="301" customFormat="1">
      <c r="C694" s="10"/>
      <c r="D694" s="29"/>
      <c r="E694" s="29"/>
      <c r="F694" s="36"/>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c r="AF694" s="331"/>
    </row>
    <row r="695" spans="3:32" s="301" customFormat="1">
      <c r="C695" s="10"/>
      <c r="D695" s="29"/>
      <c r="E695" s="29"/>
      <c r="F695" s="36"/>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c r="AF695" s="331"/>
    </row>
    <row r="696" spans="3:32" s="301" customFormat="1">
      <c r="C696" s="10"/>
      <c r="D696" s="29"/>
      <c r="E696" s="29"/>
      <c r="F696" s="36"/>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c r="AF696" s="331"/>
    </row>
    <row r="697" spans="3:32" s="301" customFormat="1">
      <c r="C697" s="10"/>
      <c r="D697" s="29"/>
      <c r="E697" s="29"/>
      <c r="F697" s="36"/>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c r="AF697" s="331"/>
    </row>
    <row r="698" spans="3:32" s="301" customFormat="1">
      <c r="C698" s="10"/>
      <c r="D698" s="29"/>
      <c r="E698" s="29"/>
      <c r="F698" s="36"/>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c r="AF698" s="331"/>
    </row>
    <row r="699" spans="3:32" s="301" customFormat="1">
      <c r="C699" s="10"/>
      <c r="D699" s="29"/>
      <c r="E699" s="29"/>
      <c r="F699" s="36"/>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c r="AF699" s="331"/>
    </row>
    <row r="700" spans="3:32" s="301" customFormat="1">
      <c r="C700" s="10"/>
      <c r="D700" s="29"/>
      <c r="E700" s="29"/>
      <c r="F700" s="36"/>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c r="AF700" s="331"/>
    </row>
    <row r="701" spans="3:32" s="301" customFormat="1">
      <c r="C701" s="10"/>
      <c r="D701" s="29"/>
      <c r="E701" s="29"/>
      <c r="F701" s="36"/>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c r="AF701" s="331"/>
    </row>
    <row r="702" spans="3:32" s="301" customFormat="1">
      <c r="C702" s="10"/>
      <c r="D702" s="29"/>
      <c r="E702" s="29"/>
      <c r="F702" s="36"/>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c r="AF702" s="331"/>
    </row>
    <row r="703" spans="3:32" s="301" customFormat="1">
      <c r="C703" s="10"/>
      <c r="D703" s="29"/>
      <c r="E703" s="29"/>
      <c r="F703" s="36"/>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c r="AF703" s="331"/>
    </row>
    <row r="704" spans="3:32" s="301" customFormat="1">
      <c r="C704" s="10"/>
      <c r="D704" s="29"/>
      <c r="E704" s="29"/>
      <c r="F704" s="36"/>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c r="AF704" s="331"/>
    </row>
    <row r="705" spans="3:32" s="301" customFormat="1">
      <c r="C705" s="10"/>
      <c r="D705" s="29"/>
      <c r="E705" s="29"/>
      <c r="F705" s="36"/>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row>
    <row r="706" spans="3:32" s="301" customFormat="1">
      <c r="C706" s="10"/>
      <c r="D706" s="29"/>
      <c r="E706" s="29"/>
      <c r="F706" s="36"/>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c r="AF706" s="331"/>
    </row>
    <row r="707" spans="3:32" s="301" customFormat="1">
      <c r="C707" s="10"/>
      <c r="D707" s="29"/>
      <c r="E707" s="29"/>
      <c r="F707" s="36"/>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c r="AF707" s="331"/>
    </row>
    <row r="708" spans="3:32" s="301" customFormat="1">
      <c r="C708" s="10"/>
      <c r="D708" s="29"/>
      <c r="E708" s="29"/>
      <c r="F708" s="36"/>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c r="AF708" s="331"/>
    </row>
    <row r="709" spans="3:32" s="301" customFormat="1">
      <c r="C709" s="10"/>
      <c r="D709" s="29"/>
      <c r="E709" s="29"/>
      <c r="F709" s="36"/>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c r="AF709" s="331"/>
    </row>
    <row r="710" spans="3:32" s="301" customFormat="1">
      <c r="C710" s="10"/>
      <c r="D710" s="29"/>
      <c r="E710" s="29"/>
      <c r="F710" s="36"/>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c r="AF710" s="331"/>
    </row>
    <row r="711" spans="3:32" s="301" customFormat="1">
      <c r="C711" s="10"/>
      <c r="D711" s="29"/>
      <c r="E711" s="29"/>
      <c r="F711" s="36"/>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c r="AF711" s="331"/>
    </row>
    <row r="712" spans="3:32" s="301" customFormat="1">
      <c r="C712" s="10"/>
      <c r="D712" s="29"/>
      <c r="E712" s="29"/>
      <c r="F712" s="36"/>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c r="AF712" s="331"/>
    </row>
    <row r="713" spans="3:32" s="301" customFormat="1">
      <c r="C713" s="10"/>
      <c r="D713" s="29"/>
      <c r="E713" s="29"/>
      <c r="F713" s="36"/>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c r="AF713" s="331"/>
    </row>
    <row r="714" spans="3:32" s="301" customFormat="1">
      <c r="C714" s="10"/>
      <c r="D714" s="29"/>
      <c r="E714" s="29"/>
      <c r="F714" s="36"/>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c r="AF714" s="331"/>
    </row>
    <row r="715" spans="3:32" s="301" customFormat="1">
      <c r="C715" s="10"/>
      <c r="D715" s="29"/>
      <c r="E715" s="29"/>
      <c r="F715" s="36"/>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c r="AF715" s="331"/>
    </row>
    <row r="716" spans="3:32" s="301" customFormat="1">
      <c r="C716" s="10"/>
      <c r="D716" s="29"/>
      <c r="E716" s="29"/>
      <c r="F716" s="36"/>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c r="AF716" s="331"/>
    </row>
    <row r="717" spans="3:32" s="301" customFormat="1">
      <c r="C717" s="10"/>
      <c r="D717" s="29"/>
      <c r="E717" s="29"/>
      <c r="F717" s="36"/>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c r="AF717" s="331"/>
    </row>
    <row r="718" spans="3:32" s="301" customFormat="1">
      <c r="C718" s="10"/>
      <c r="D718" s="29"/>
      <c r="E718" s="29"/>
      <c r="F718" s="36"/>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c r="AF718" s="331"/>
    </row>
    <row r="719" spans="3:32" s="301" customFormat="1">
      <c r="C719" s="10"/>
      <c r="D719" s="29"/>
      <c r="E719" s="29"/>
      <c r="F719" s="36"/>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row>
    <row r="720" spans="3:32" s="301" customFormat="1">
      <c r="C720" s="10"/>
      <c r="D720" s="29"/>
      <c r="E720" s="29"/>
      <c r="F720" s="36"/>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c r="AF720" s="331"/>
    </row>
    <row r="721" spans="3:32" s="301" customFormat="1">
      <c r="C721" s="10"/>
      <c r="D721" s="29"/>
      <c r="E721" s="29"/>
      <c r="F721" s="36"/>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c r="AF721" s="331"/>
    </row>
    <row r="722" spans="3:32" s="301" customFormat="1">
      <c r="C722" s="10"/>
      <c r="D722" s="29"/>
      <c r="E722" s="29"/>
      <c r="F722" s="36"/>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row>
    <row r="723" spans="3:32" s="301" customFormat="1">
      <c r="C723" s="10"/>
      <c r="D723" s="29"/>
      <c r="E723" s="29"/>
      <c r="F723" s="36"/>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row>
    <row r="724" spans="3:32" s="301" customFormat="1">
      <c r="C724" s="10"/>
      <c r="D724" s="29"/>
      <c r="E724" s="29"/>
      <c r="F724" s="36"/>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c r="AF724" s="331"/>
    </row>
    <row r="725" spans="3:32" s="301" customFormat="1">
      <c r="C725" s="10"/>
      <c r="D725" s="29"/>
      <c r="E725" s="29"/>
      <c r="F725" s="36"/>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c r="AF725" s="331"/>
    </row>
    <row r="726" spans="3:32" s="301" customFormat="1">
      <c r="C726" s="10"/>
      <c r="D726" s="29"/>
      <c r="E726" s="29"/>
      <c r="F726" s="36"/>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c r="AF726" s="331"/>
    </row>
    <row r="727" spans="3:32" s="301" customFormat="1">
      <c r="C727" s="10"/>
      <c r="D727" s="29"/>
      <c r="E727" s="29"/>
      <c r="F727" s="36"/>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c r="AF727" s="331"/>
    </row>
    <row r="728" spans="3:32" s="301" customFormat="1">
      <c r="C728" s="10"/>
      <c r="D728" s="29"/>
      <c r="E728" s="29"/>
      <c r="F728" s="36"/>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c r="AF728" s="331"/>
    </row>
    <row r="729" spans="3:32" s="301" customFormat="1">
      <c r="C729" s="10"/>
      <c r="D729" s="29"/>
      <c r="E729" s="29"/>
      <c r="F729" s="36"/>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c r="AF729" s="331"/>
    </row>
    <row r="730" spans="3:32" s="301" customFormat="1">
      <c r="C730" s="10"/>
      <c r="D730" s="29"/>
      <c r="E730" s="29"/>
      <c r="F730" s="36"/>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c r="AF730" s="331"/>
    </row>
    <row r="731" spans="3:32" s="301" customFormat="1">
      <c r="C731" s="10"/>
      <c r="D731" s="29"/>
      <c r="E731" s="29"/>
      <c r="F731" s="36"/>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c r="AF731" s="331"/>
    </row>
    <row r="732" spans="3:32" s="301" customFormat="1">
      <c r="C732" s="10"/>
      <c r="D732" s="29"/>
      <c r="E732" s="29"/>
      <c r="F732" s="36"/>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c r="AF732" s="331"/>
    </row>
    <row r="733" spans="3:32" s="301" customFormat="1">
      <c r="C733" s="10"/>
      <c r="D733" s="29"/>
      <c r="E733" s="29"/>
      <c r="F733" s="36"/>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c r="AF733" s="331"/>
    </row>
    <row r="734" spans="3:32" s="301" customFormat="1">
      <c r="C734" s="10"/>
      <c r="D734" s="29"/>
      <c r="E734" s="29"/>
      <c r="F734" s="36"/>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c r="AF734" s="331"/>
    </row>
    <row r="735" spans="3:32" s="301" customFormat="1">
      <c r="C735" s="10"/>
      <c r="D735" s="29"/>
      <c r="E735" s="29"/>
      <c r="F735" s="36"/>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c r="AF735" s="331"/>
    </row>
    <row r="736" spans="3:32" s="301" customFormat="1">
      <c r="C736" s="10"/>
      <c r="D736" s="29"/>
      <c r="E736" s="29"/>
      <c r="F736" s="36"/>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c r="AF736" s="331"/>
    </row>
    <row r="737" spans="3:32" s="301" customFormat="1">
      <c r="C737" s="10"/>
      <c r="D737" s="29"/>
      <c r="E737" s="29"/>
      <c r="F737" s="36"/>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c r="AF737" s="331"/>
    </row>
    <row r="738" spans="3:32" s="301" customFormat="1">
      <c r="C738" s="10"/>
      <c r="D738" s="29"/>
      <c r="E738" s="29"/>
      <c r="F738" s="36"/>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c r="AF738" s="331"/>
    </row>
    <row r="739" spans="3:32" s="301" customFormat="1">
      <c r="C739" s="10"/>
      <c r="D739" s="29"/>
      <c r="E739" s="29"/>
      <c r="F739" s="36"/>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c r="AF739" s="331"/>
    </row>
    <row r="740" spans="3:32" s="301" customFormat="1">
      <c r="C740" s="10"/>
      <c r="D740" s="29"/>
      <c r="E740" s="29"/>
      <c r="F740" s="36"/>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row>
    <row r="741" spans="3:32" s="301" customFormat="1">
      <c r="C741" s="10"/>
      <c r="D741" s="29"/>
      <c r="E741" s="29"/>
      <c r="F741" s="36"/>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c r="AF741" s="331"/>
    </row>
    <row r="742" spans="3:32" s="301" customFormat="1">
      <c r="C742" s="10"/>
      <c r="D742" s="29"/>
      <c r="E742" s="29"/>
      <c r="F742" s="36"/>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c r="AF742" s="331"/>
    </row>
    <row r="743" spans="3:32" s="301" customFormat="1">
      <c r="C743" s="10"/>
      <c r="D743" s="29"/>
      <c r="E743" s="29"/>
      <c r="F743" s="36"/>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c r="AF743" s="331"/>
    </row>
    <row r="744" spans="3:32" s="301" customFormat="1">
      <c r="C744" s="10"/>
      <c r="D744" s="29"/>
      <c r="E744" s="29"/>
      <c r="F744" s="36"/>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c r="AF744" s="331"/>
    </row>
    <row r="745" spans="3:32" s="301" customFormat="1">
      <c r="C745" s="10"/>
      <c r="D745" s="29"/>
      <c r="E745" s="29"/>
      <c r="F745" s="36"/>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c r="AF745" s="331"/>
    </row>
    <row r="746" spans="3:32" s="301" customFormat="1">
      <c r="C746" s="10"/>
      <c r="D746" s="29"/>
      <c r="E746" s="29"/>
      <c r="F746" s="36"/>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c r="AF746" s="331"/>
    </row>
    <row r="747" spans="3:32" s="301" customFormat="1">
      <c r="C747" s="10"/>
      <c r="D747" s="29"/>
      <c r="E747" s="29"/>
      <c r="F747" s="36"/>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row>
    <row r="748" spans="3:32" s="301" customFormat="1">
      <c r="C748" s="10"/>
      <c r="D748" s="29"/>
      <c r="E748" s="29"/>
      <c r="F748" s="36"/>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c r="AF748" s="331"/>
    </row>
    <row r="749" spans="3:32" s="301" customFormat="1">
      <c r="C749" s="10"/>
      <c r="D749" s="29"/>
      <c r="E749" s="29"/>
      <c r="F749" s="36"/>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c r="AF749" s="331"/>
    </row>
    <row r="750" spans="3:32" s="301" customFormat="1">
      <c r="C750" s="10"/>
      <c r="D750" s="29"/>
      <c r="E750" s="29"/>
      <c r="F750" s="36"/>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c r="AF750" s="331"/>
    </row>
    <row r="751" spans="3:32" s="301" customFormat="1">
      <c r="C751" s="10"/>
      <c r="D751" s="29"/>
      <c r="E751" s="29"/>
      <c r="F751" s="36"/>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c r="AF751" s="331"/>
    </row>
    <row r="752" spans="3:32" s="301" customFormat="1">
      <c r="C752" s="10"/>
      <c r="D752" s="29"/>
      <c r="E752" s="29"/>
      <c r="F752" s="36"/>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row>
    <row r="753" spans="3:32" s="301" customFormat="1">
      <c r="C753" s="10"/>
      <c r="D753" s="29"/>
      <c r="E753" s="29"/>
      <c r="F753" s="36"/>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c r="AF753" s="331"/>
    </row>
    <row r="754" spans="3:32" s="301" customFormat="1">
      <c r="C754" s="10"/>
      <c r="D754" s="29"/>
      <c r="E754" s="29"/>
      <c r="F754" s="36"/>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c r="AF754" s="331"/>
    </row>
    <row r="755" spans="3:32" s="301" customFormat="1">
      <c r="C755" s="10"/>
      <c r="D755" s="29"/>
      <c r="E755" s="29"/>
      <c r="F755" s="36"/>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c r="AF755" s="331"/>
    </row>
    <row r="756" spans="3:32" s="301" customFormat="1">
      <c r="C756" s="10"/>
      <c r="D756" s="29"/>
      <c r="E756" s="29"/>
      <c r="F756" s="36"/>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c r="AF756" s="331"/>
    </row>
    <row r="757" spans="3:32" s="301" customFormat="1">
      <c r="C757" s="10"/>
      <c r="D757" s="29"/>
      <c r="E757" s="29"/>
      <c r="F757" s="36"/>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c r="AF757" s="331"/>
    </row>
    <row r="758" spans="3:32" s="301" customFormat="1">
      <c r="C758" s="10"/>
      <c r="D758" s="29"/>
      <c r="E758" s="29"/>
      <c r="F758" s="36"/>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row>
    <row r="759" spans="3:32" s="301" customFormat="1">
      <c r="C759" s="10"/>
      <c r="D759" s="29"/>
      <c r="E759" s="29"/>
      <c r="F759" s="36"/>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c r="AF759" s="331"/>
    </row>
    <row r="760" spans="3:32" s="301" customFormat="1">
      <c r="C760" s="10"/>
      <c r="D760" s="29"/>
      <c r="E760" s="29"/>
      <c r="F760" s="36"/>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row>
    <row r="761" spans="3:32" s="301" customFormat="1">
      <c r="C761" s="10"/>
      <c r="D761" s="29"/>
      <c r="E761" s="29"/>
      <c r="F761" s="36"/>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row>
    <row r="762" spans="3:32" s="301" customFormat="1">
      <c r="C762" s="10"/>
      <c r="D762" s="29"/>
      <c r="E762" s="29"/>
      <c r="F762" s="36"/>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c r="AF762" s="331"/>
    </row>
    <row r="763" spans="3:32" s="301" customFormat="1">
      <c r="C763" s="10"/>
      <c r="D763" s="29"/>
      <c r="E763" s="29"/>
      <c r="F763" s="36"/>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c r="AF763" s="331"/>
    </row>
    <row r="764" spans="3:32" s="301" customFormat="1">
      <c r="C764" s="10"/>
      <c r="D764" s="29"/>
      <c r="E764" s="29"/>
      <c r="F764" s="36"/>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c r="AF764" s="331"/>
    </row>
    <row r="765" spans="3:32" s="301" customFormat="1">
      <c r="C765" s="10"/>
      <c r="D765" s="29"/>
      <c r="E765" s="29"/>
      <c r="F765" s="36"/>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c r="AF765" s="331"/>
    </row>
    <row r="766" spans="3:32" s="301" customFormat="1">
      <c r="C766" s="10"/>
      <c r="D766" s="29"/>
      <c r="E766" s="29"/>
      <c r="F766" s="36"/>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c r="AF766" s="331"/>
    </row>
    <row r="767" spans="3:32" s="301" customFormat="1">
      <c r="C767" s="10"/>
      <c r="D767" s="29"/>
      <c r="E767" s="29"/>
      <c r="F767" s="36"/>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c r="AF767" s="331"/>
    </row>
    <row r="768" spans="3:32" s="301" customFormat="1">
      <c r="C768" s="10"/>
      <c r="D768" s="29"/>
      <c r="E768" s="29"/>
      <c r="F768" s="36"/>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c r="AF768" s="331"/>
    </row>
    <row r="769" spans="3:32" s="301" customFormat="1">
      <c r="C769" s="10"/>
      <c r="D769" s="29"/>
      <c r="E769" s="29"/>
      <c r="F769" s="36"/>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c r="AF769" s="331"/>
    </row>
    <row r="770" spans="3:32" s="301" customFormat="1">
      <c r="C770" s="10"/>
      <c r="D770" s="29"/>
      <c r="E770" s="29"/>
      <c r="F770" s="36"/>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c r="AF770" s="331"/>
    </row>
    <row r="771" spans="3:32" s="301" customFormat="1">
      <c r="C771" s="10"/>
      <c r="D771" s="29"/>
      <c r="E771" s="29"/>
      <c r="F771" s="36"/>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row>
    <row r="772" spans="3:32" s="301" customFormat="1">
      <c r="C772" s="10"/>
      <c r="D772" s="29"/>
      <c r="E772" s="29"/>
      <c r="F772" s="36"/>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c r="AF772" s="331"/>
    </row>
    <row r="773" spans="3:32" s="301" customFormat="1">
      <c r="C773" s="10"/>
      <c r="D773" s="29"/>
      <c r="E773" s="29"/>
      <c r="F773" s="36"/>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row>
    <row r="774" spans="3:32" s="301" customFormat="1">
      <c r="C774" s="10"/>
      <c r="D774" s="29"/>
      <c r="E774" s="29"/>
      <c r="F774" s="36"/>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row>
    <row r="775" spans="3:32" s="301" customFormat="1">
      <c r="C775" s="10"/>
      <c r="D775" s="29"/>
      <c r="E775" s="29"/>
      <c r="F775" s="36"/>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c r="AF775" s="331"/>
    </row>
    <row r="776" spans="3:32" s="301" customFormat="1">
      <c r="C776" s="10"/>
      <c r="D776" s="29"/>
      <c r="E776" s="29"/>
      <c r="F776" s="36"/>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c r="AF776" s="331"/>
    </row>
    <row r="777" spans="3:32" s="301" customFormat="1">
      <c r="C777" s="10"/>
      <c r="D777" s="29"/>
      <c r="E777" s="29"/>
      <c r="F777" s="36"/>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c r="AF777" s="331"/>
    </row>
    <row r="778" spans="3:32" s="301" customFormat="1">
      <c r="C778" s="10"/>
      <c r="D778" s="29"/>
      <c r="E778" s="29"/>
      <c r="F778" s="36"/>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row>
    <row r="779" spans="3:32" s="301" customFormat="1">
      <c r="C779" s="10"/>
      <c r="D779" s="29"/>
      <c r="E779" s="29"/>
      <c r="F779" s="36"/>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row>
    <row r="780" spans="3:32" s="301" customFormat="1">
      <c r="C780" s="10"/>
      <c r="D780" s="29"/>
      <c r="E780" s="29"/>
      <c r="F780" s="36"/>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row>
    <row r="781" spans="3:32" s="301" customFormat="1">
      <c r="C781" s="10"/>
      <c r="D781" s="29"/>
      <c r="E781" s="29"/>
      <c r="F781" s="36"/>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c r="AF781" s="331"/>
    </row>
    <row r="782" spans="3:32" s="301" customFormat="1">
      <c r="C782" s="10"/>
      <c r="D782" s="29"/>
      <c r="E782" s="29"/>
      <c r="F782" s="36"/>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c r="AF782" s="331"/>
    </row>
    <row r="783" spans="3:32" s="301" customFormat="1">
      <c r="C783" s="10"/>
      <c r="D783" s="29"/>
      <c r="E783" s="29"/>
      <c r="F783" s="36"/>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c r="AF783" s="331"/>
    </row>
    <row r="784" spans="3:32" s="301" customFormat="1">
      <c r="C784" s="10"/>
      <c r="D784" s="29"/>
      <c r="E784" s="29"/>
      <c r="F784" s="36"/>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c r="AF784" s="331"/>
    </row>
    <row r="785" spans="3:32" s="301" customFormat="1">
      <c r="C785" s="10"/>
      <c r="D785" s="29"/>
      <c r="E785" s="29"/>
      <c r="F785" s="36"/>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c r="AF785" s="331"/>
    </row>
    <row r="786" spans="3:32" s="301" customFormat="1">
      <c r="C786" s="10"/>
      <c r="D786" s="29"/>
      <c r="E786" s="29"/>
      <c r="F786" s="36"/>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c r="AF786" s="331"/>
    </row>
    <row r="787" spans="3:32" s="301" customFormat="1">
      <c r="C787" s="10"/>
      <c r="D787" s="29"/>
      <c r="E787" s="29"/>
      <c r="F787" s="36"/>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row>
    <row r="788" spans="3:32" s="301" customFormat="1">
      <c r="C788" s="10"/>
      <c r="D788" s="29"/>
      <c r="E788" s="29"/>
      <c r="F788" s="36"/>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c r="AF788" s="331"/>
    </row>
    <row r="789" spans="3:32" s="301" customFormat="1">
      <c r="C789" s="10"/>
      <c r="D789" s="29"/>
      <c r="E789" s="29"/>
      <c r="F789" s="36"/>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c r="AF789" s="331"/>
    </row>
    <row r="790" spans="3:32" s="301" customFormat="1">
      <c r="C790" s="10"/>
      <c r="D790" s="29"/>
      <c r="E790" s="29"/>
      <c r="F790" s="36"/>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c r="AF790" s="331"/>
    </row>
    <row r="791" spans="3:32" s="301" customFormat="1">
      <c r="C791" s="10"/>
      <c r="D791" s="29"/>
      <c r="E791" s="29"/>
      <c r="F791" s="36"/>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c r="AF791" s="331"/>
    </row>
    <row r="792" spans="3:32" s="301" customFormat="1">
      <c r="C792" s="10"/>
      <c r="D792" s="29"/>
      <c r="E792" s="29"/>
      <c r="F792" s="36"/>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c r="AF792" s="331"/>
    </row>
    <row r="793" spans="3:32" s="301" customFormat="1">
      <c r="C793" s="10"/>
      <c r="D793" s="29"/>
      <c r="E793" s="29"/>
      <c r="F793" s="36"/>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c r="AF793" s="331"/>
    </row>
    <row r="794" spans="3:32" s="301" customFormat="1">
      <c r="C794" s="10"/>
      <c r="D794" s="29"/>
      <c r="E794" s="29"/>
      <c r="F794" s="36"/>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c r="AF794" s="331"/>
    </row>
    <row r="795" spans="3:32" s="301" customFormat="1">
      <c r="C795" s="10"/>
      <c r="D795" s="29"/>
      <c r="E795" s="29"/>
      <c r="F795" s="36"/>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c r="AF795" s="331"/>
    </row>
    <row r="796" spans="3:32" s="301" customFormat="1">
      <c r="C796" s="10"/>
      <c r="D796" s="29"/>
      <c r="E796" s="29"/>
      <c r="F796" s="36"/>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c r="AF796" s="331"/>
    </row>
    <row r="797" spans="3:32" s="301" customFormat="1">
      <c r="C797" s="10"/>
      <c r="D797" s="29"/>
      <c r="E797" s="29"/>
      <c r="F797" s="36"/>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c r="AF797" s="331"/>
    </row>
    <row r="798" spans="3:32" s="301" customFormat="1">
      <c r="C798" s="10"/>
      <c r="D798" s="29"/>
      <c r="E798" s="29"/>
      <c r="F798" s="36"/>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c r="AF798" s="331"/>
    </row>
    <row r="799" spans="3:32" s="301" customFormat="1">
      <c r="C799" s="10"/>
      <c r="D799" s="29"/>
      <c r="E799" s="29"/>
      <c r="F799" s="36"/>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c r="AF799" s="331"/>
    </row>
    <row r="800" spans="3:32" s="301" customFormat="1">
      <c r="C800" s="10"/>
      <c r="D800" s="29"/>
      <c r="E800" s="29"/>
      <c r="F800" s="36"/>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c r="AF800" s="331"/>
    </row>
    <row r="801" spans="3:32" s="301" customFormat="1">
      <c r="C801" s="10"/>
      <c r="D801" s="29"/>
      <c r="E801" s="29"/>
      <c r="F801" s="36"/>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c r="AF801" s="331"/>
    </row>
    <row r="802" spans="3:32" s="301" customFormat="1">
      <c r="C802" s="10"/>
      <c r="D802" s="29"/>
      <c r="E802" s="29"/>
      <c r="F802" s="36"/>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c r="AF802" s="331"/>
    </row>
    <row r="803" spans="3:32" s="301" customFormat="1">
      <c r="C803" s="10"/>
      <c r="D803" s="29"/>
      <c r="E803" s="29"/>
      <c r="F803" s="36"/>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c r="AF803" s="331"/>
    </row>
    <row r="804" spans="3:32" s="301" customFormat="1">
      <c r="C804" s="10"/>
      <c r="D804" s="29"/>
      <c r="E804" s="29"/>
      <c r="F804" s="36"/>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c r="AF804" s="331"/>
    </row>
    <row r="805" spans="3:32" s="301" customFormat="1">
      <c r="C805" s="10"/>
      <c r="D805" s="29"/>
      <c r="E805" s="29"/>
      <c r="F805" s="36"/>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c r="AF805" s="331"/>
    </row>
    <row r="806" spans="3:32" s="301" customFormat="1">
      <c r="C806" s="10"/>
      <c r="D806" s="29"/>
      <c r="E806" s="29"/>
      <c r="F806" s="36"/>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c r="AF806" s="331"/>
    </row>
    <row r="807" spans="3:32" s="301" customFormat="1">
      <c r="C807" s="10"/>
      <c r="D807" s="29"/>
      <c r="E807" s="29"/>
      <c r="F807" s="36"/>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c r="AF807" s="331"/>
    </row>
    <row r="808" spans="3:32" s="301" customFormat="1">
      <c r="C808" s="10"/>
      <c r="D808" s="29"/>
      <c r="E808" s="29"/>
      <c r="F808" s="36"/>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c r="AF808" s="331"/>
    </row>
    <row r="809" spans="3:32" s="301" customFormat="1">
      <c r="C809" s="10"/>
      <c r="D809" s="29"/>
      <c r="E809" s="29"/>
      <c r="F809" s="36"/>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c r="AF809" s="331"/>
    </row>
    <row r="810" spans="3:32" s="301" customFormat="1">
      <c r="C810" s="10"/>
      <c r="D810" s="29"/>
      <c r="E810" s="29"/>
      <c r="F810" s="36"/>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c r="AF810" s="331"/>
    </row>
    <row r="811" spans="3:32" s="301" customFormat="1">
      <c r="C811" s="10"/>
      <c r="D811" s="29"/>
      <c r="E811" s="29"/>
      <c r="F811" s="36"/>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c r="AF811" s="331"/>
    </row>
    <row r="812" spans="3:32" s="301" customFormat="1">
      <c r="C812" s="10"/>
      <c r="D812" s="29"/>
      <c r="E812" s="29"/>
      <c r="F812" s="36"/>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c r="AF812" s="331"/>
    </row>
    <row r="813" spans="3:32" s="301" customFormat="1">
      <c r="C813" s="10"/>
      <c r="D813" s="29"/>
      <c r="E813" s="29"/>
      <c r="F813" s="36"/>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c r="AF813" s="331"/>
    </row>
    <row r="814" spans="3:32" s="301" customFormat="1">
      <c r="C814" s="10"/>
      <c r="D814" s="29"/>
      <c r="E814" s="29"/>
      <c r="F814" s="36"/>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c r="AF814" s="331"/>
    </row>
    <row r="815" spans="3:32" s="301" customFormat="1">
      <c r="C815" s="10"/>
      <c r="D815" s="29"/>
      <c r="E815" s="29"/>
      <c r="F815" s="36"/>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c r="AF815" s="331"/>
    </row>
    <row r="816" spans="3:32" s="301" customFormat="1">
      <c r="C816" s="10"/>
      <c r="D816" s="29"/>
      <c r="E816" s="29"/>
      <c r="F816" s="36"/>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c r="AF816" s="331"/>
    </row>
    <row r="817" spans="3:32" s="301" customFormat="1">
      <c r="C817" s="10"/>
      <c r="D817" s="29"/>
      <c r="E817" s="29"/>
      <c r="F817" s="36"/>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c r="AF817" s="331"/>
    </row>
    <row r="818" spans="3:32" s="301" customFormat="1">
      <c r="C818" s="10"/>
      <c r="D818" s="29"/>
      <c r="E818" s="29"/>
      <c r="F818" s="36"/>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c r="AF818" s="331"/>
    </row>
    <row r="819" spans="3:32" s="301" customFormat="1">
      <c r="C819" s="10"/>
      <c r="D819" s="29"/>
      <c r="E819" s="29"/>
      <c r="F819" s="36"/>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c r="AF819" s="331"/>
    </row>
    <row r="820" spans="3:32" s="301" customFormat="1">
      <c r="C820" s="10"/>
      <c r="D820" s="29"/>
      <c r="E820" s="29"/>
      <c r="F820" s="36"/>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c r="AF820" s="331"/>
    </row>
    <row r="821" spans="3:32" s="301" customFormat="1">
      <c r="C821" s="10"/>
      <c r="D821" s="29"/>
      <c r="E821" s="29"/>
      <c r="F821" s="36"/>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c r="AF821" s="331"/>
    </row>
    <row r="822" spans="3:32" s="301" customFormat="1">
      <c r="C822" s="10"/>
      <c r="D822" s="29"/>
      <c r="E822" s="29"/>
      <c r="F822" s="36"/>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c r="AF822" s="331"/>
    </row>
    <row r="823" spans="3:32" s="301" customFormat="1">
      <c r="C823" s="10"/>
      <c r="D823" s="29"/>
      <c r="E823" s="29"/>
      <c r="F823" s="36"/>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c r="AF823" s="331"/>
    </row>
    <row r="824" spans="3:32" s="301" customFormat="1">
      <c r="C824" s="10"/>
      <c r="D824" s="29"/>
      <c r="E824" s="29"/>
      <c r="F824" s="36"/>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c r="AF824" s="331"/>
    </row>
    <row r="825" spans="3:32" s="301" customFormat="1">
      <c r="C825" s="10"/>
      <c r="D825" s="29"/>
      <c r="E825" s="29"/>
      <c r="F825" s="36"/>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c r="AF825" s="331"/>
    </row>
    <row r="826" spans="3:32" s="301" customFormat="1">
      <c r="C826" s="10"/>
      <c r="D826" s="29"/>
      <c r="E826" s="29"/>
      <c r="F826" s="36"/>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c r="AF826" s="331"/>
    </row>
    <row r="827" spans="3:32" s="301" customFormat="1">
      <c r="C827" s="10"/>
      <c r="D827" s="29"/>
      <c r="E827" s="29"/>
      <c r="F827" s="36"/>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c r="AF827" s="331"/>
    </row>
    <row r="828" spans="3:32" s="301" customFormat="1">
      <c r="C828" s="10"/>
      <c r="D828" s="29"/>
      <c r="E828" s="29"/>
      <c r="F828" s="36"/>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c r="AF828" s="331"/>
    </row>
    <row r="829" spans="3:32" s="301" customFormat="1">
      <c r="C829" s="10"/>
      <c r="D829" s="29"/>
      <c r="E829" s="29"/>
      <c r="F829" s="36"/>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c r="AF829" s="331"/>
    </row>
    <row r="830" spans="3:32" s="301" customFormat="1">
      <c r="C830" s="10"/>
      <c r="D830" s="29"/>
      <c r="E830" s="29"/>
      <c r="F830" s="36"/>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c r="AF830" s="331"/>
    </row>
    <row r="831" spans="3:32" s="301" customFormat="1">
      <c r="C831" s="10"/>
      <c r="D831" s="29"/>
      <c r="E831" s="29"/>
      <c r="F831" s="36"/>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c r="AF831" s="331"/>
    </row>
    <row r="832" spans="3:32" s="301" customFormat="1">
      <c r="C832" s="10"/>
      <c r="D832" s="29"/>
      <c r="E832" s="29"/>
      <c r="F832" s="36"/>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c r="AF832" s="331"/>
    </row>
    <row r="833" spans="3:32" s="301" customFormat="1">
      <c r="C833" s="10"/>
      <c r="D833" s="29"/>
      <c r="E833" s="29"/>
      <c r="F833" s="36"/>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c r="AF833" s="331"/>
    </row>
    <row r="834" spans="3:32" s="301" customFormat="1">
      <c r="C834" s="10"/>
      <c r="D834" s="29"/>
      <c r="E834" s="29"/>
      <c r="F834" s="36"/>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c r="AF834" s="331"/>
    </row>
    <row r="835" spans="3:32" s="301" customFormat="1">
      <c r="C835" s="10"/>
      <c r="D835" s="29"/>
      <c r="E835" s="29"/>
      <c r="F835" s="36"/>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c r="AF835" s="331"/>
    </row>
    <row r="836" spans="3:32" s="301" customFormat="1">
      <c r="C836" s="10"/>
      <c r="D836" s="29"/>
      <c r="E836" s="29"/>
      <c r="F836" s="36"/>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c r="AF836" s="331"/>
    </row>
    <row r="837" spans="3:32" s="301" customFormat="1">
      <c r="C837" s="10"/>
      <c r="D837" s="29"/>
      <c r="E837" s="29"/>
      <c r="F837" s="36"/>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c r="AF837" s="331"/>
    </row>
    <row r="838" spans="3:32" s="301" customFormat="1">
      <c r="C838" s="10"/>
      <c r="D838" s="29"/>
      <c r="E838" s="29"/>
      <c r="F838" s="36"/>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c r="AF838" s="331"/>
    </row>
    <row r="839" spans="3:32" s="301" customFormat="1">
      <c r="C839" s="10"/>
      <c r="D839" s="29"/>
      <c r="E839" s="29"/>
      <c r="F839" s="36"/>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c r="AF839" s="331"/>
    </row>
    <row r="840" spans="3:32" s="301" customFormat="1">
      <c r="C840" s="10"/>
      <c r="D840" s="29"/>
      <c r="E840" s="29"/>
      <c r="F840" s="36"/>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c r="AF840" s="331"/>
    </row>
    <row r="841" spans="3:32" s="301" customFormat="1">
      <c r="C841" s="10"/>
      <c r="D841" s="29"/>
      <c r="E841" s="29"/>
      <c r="F841" s="36"/>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c r="AF841" s="331"/>
    </row>
    <row r="842" spans="3:32" s="301" customFormat="1">
      <c r="C842" s="10"/>
      <c r="D842" s="29"/>
      <c r="E842" s="29"/>
      <c r="F842" s="36"/>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c r="AF842" s="331"/>
    </row>
    <row r="843" spans="3:32" s="301" customFormat="1">
      <c r="C843" s="10"/>
      <c r="D843" s="29"/>
      <c r="E843" s="29"/>
      <c r="F843" s="36"/>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c r="AF843" s="331"/>
    </row>
    <row r="844" spans="3:32" s="301" customFormat="1">
      <c r="C844" s="10"/>
      <c r="D844" s="29"/>
      <c r="E844" s="29"/>
      <c r="F844" s="36"/>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c r="AF844" s="331"/>
    </row>
    <row r="845" spans="3:32" s="301" customFormat="1">
      <c r="C845" s="10"/>
      <c r="D845" s="29"/>
      <c r="E845" s="29"/>
      <c r="F845" s="36"/>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c r="AF845" s="331"/>
    </row>
    <row r="846" spans="3:32" s="301" customFormat="1">
      <c r="C846" s="10"/>
      <c r="D846" s="29"/>
      <c r="E846" s="29"/>
      <c r="F846" s="36"/>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c r="AF846" s="331"/>
    </row>
    <row r="847" spans="3:32" s="301" customFormat="1">
      <c r="C847" s="10"/>
      <c r="D847" s="29"/>
      <c r="E847" s="29"/>
      <c r="F847" s="36"/>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c r="AF847" s="331"/>
    </row>
    <row r="848" spans="3:32" s="301" customFormat="1">
      <c r="C848" s="10"/>
      <c r="D848" s="29"/>
      <c r="E848" s="29"/>
      <c r="F848" s="36"/>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c r="AF848" s="331"/>
    </row>
    <row r="849" spans="3:32" s="301" customFormat="1">
      <c r="C849" s="10"/>
      <c r="D849" s="29"/>
      <c r="E849" s="29"/>
      <c r="F849" s="36"/>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c r="AF849" s="331"/>
    </row>
    <row r="850" spans="3:32" s="301" customFormat="1">
      <c r="C850" s="10"/>
      <c r="D850" s="29"/>
      <c r="E850" s="29"/>
      <c r="F850" s="36"/>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c r="AF850" s="331"/>
    </row>
    <row r="851" spans="3:32" s="301" customFormat="1">
      <c r="C851" s="10"/>
      <c r="D851" s="29"/>
      <c r="E851" s="29"/>
      <c r="F851" s="36"/>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c r="AF851" s="331"/>
    </row>
    <row r="852" spans="3:32" s="301" customFormat="1">
      <c r="C852" s="10"/>
      <c r="D852" s="29"/>
      <c r="E852" s="29"/>
      <c r="F852" s="36"/>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c r="AF852" s="331"/>
    </row>
    <row r="853" spans="3:32" s="301" customFormat="1">
      <c r="C853" s="10"/>
      <c r="D853" s="29"/>
      <c r="E853" s="29"/>
      <c r="F853" s="36"/>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c r="AF853" s="331"/>
    </row>
    <row r="854" spans="3:32" s="301" customFormat="1">
      <c r="C854" s="10"/>
      <c r="D854" s="29"/>
      <c r="E854" s="29"/>
      <c r="F854" s="36"/>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c r="AF854" s="331"/>
    </row>
    <row r="855" spans="3:32" s="301" customFormat="1">
      <c r="C855" s="10"/>
      <c r="D855" s="29"/>
      <c r="E855" s="29"/>
      <c r="F855" s="36"/>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c r="AF855" s="331"/>
    </row>
    <row r="856" spans="3:32" s="301" customFormat="1">
      <c r="C856" s="10"/>
      <c r="D856" s="29"/>
      <c r="E856" s="29"/>
      <c r="F856" s="36"/>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c r="AF856" s="331"/>
    </row>
    <row r="857" spans="3:32" s="301" customFormat="1">
      <c r="C857" s="10"/>
      <c r="D857" s="29"/>
      <c r="E857" s="29"/>
      <c r="F857" s="36"/>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c r="AF857" s="331"/>
    </row>
    <row r="858" spans="3:32" s="301" customFormat="1">
      <c r="C858" s="10"/>
      <c r="D858" s="29"/>
      <c r="E858" s="29"/>
      <c r="F858" s="36"/>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c r="AF858" s="331"/>
    </row>
    <row r="859" spans="3:32" s="301" customFormat="1">
      <c r="C859" s="10"/>
      <c r="D859" s="29"/>
      <c r="E859" s="29"/>
      <c r="F859" s="36"/>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c r="AF859" s="331"/>
    </row>
    <row r="860" spans="3:32" s="301" customFormat="1">
      <c r="C860" s="10"/>
      <c r="D860" s="29"/>
      <c r="E860" s="29"/>
      <c r="F860" s="36"/>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c r="AF860" s="331"/>
    </row>
    <row r="861" spans="3:32" s="301" customFormat="1">
      <c r="C861" s="10"/>
      <c r="D861" s="29"/>
      <c r="E861" s="29"/>
      <c r="F861" s="36"/>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c r="AF861" s="331"/>
    </row>
    <row r="862" spans="3:32" s="301" customFormat="1">
      <c r="C862" s="10"/>
      <c r="D862" s="29"/>
      <c r="E862" s="29"/>
      <c r="F862" s="36"/>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c r="AF862" s="331"/>
    </row>
    <row r="863" spans="3:32" s="301" customFormat="1">
      <c r="C863" s="10"/>
      <c r="D863" s="29"/>
      <c r="E863" s="29"/>
      <c r="F863" s="36"/>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c r="AF863" s="331"/>
    </row>
    <row r="864" spans="3:32" s="301" customFormat="1">
      <c r="C864" s="10"/>
      <c r="D864" s="29"/>
      <c r="E864" s="29"/>
      <c r="F864" s="36"/>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c r="AF864" s="331"/>
    </row>
    <row r="865" spans="3:32" s="301" customFormat="1">
      <c r="C865" s="10"/>
      <c r="D865" s="29"/>
      <c r="E865" s="29"/>
      <c r="F865" s="36"/>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c r="AF865" s="331"/>
    </row>
    <row r="866" spans="3:32" s="301" customFormat="1">
      <c r="C866" s="10"/>
      <c r="D866" s="29"/>
      <c r="E866" s="29"/>
      <c r="F866" s="36"/>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c r="AF866" s="331"/>
    </row>
    <row r="867" spans="3:32" s="301" customFormat="1">
      <c r="C867" s="10"/>
      <c r="D867" s="29"/>
      <c r="E867" s="29"/>
      <c r="F867" s="36"/>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c r="AF867" s="331"/>
    </row>
    <row r="868" spans="3:32" s="301" customFormat="1">
      <c r="C868" s="10"/>
      <c r="D868" s="29"/>
      <c r="E868" s="29"/>
      <c r="F868" s="36"/>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c r="AF868" s="331"/>
    </row>
    <row r="869" spans="3:32" s="301" customFormat="1">
      <c r="C869" s="10"/>
      <c r="D869" s="29"/>
      <c r="E869" s="29"/>
      <c r="F869" s="36"/>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c r="AF869" s="331"/>
    </row>
    <row r="870" spans="3:32" s="301" customFormat="1">
      <c r="C870" s="10"/>
      <c r="D870" s="29"/>
      <c r="E870" s="29"/>
      <c r="F870" s="36"/>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c r="AF870" s="331"/>
    </row>
    <row r="871" spans="3:32" s="301" customFormat="1">
      <c r="C871" s="10"/>
      <c r="D871" s="29"/>
      <c r="E871" s="29"/>
      <c r="F871" s="36"/>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c r="AF871" s="331"/>
    </row>
    <row r="872" spans="3:32" s="301" customFormat="1">
      <c r="C872" s="10"/>
      <c r="D872" s="29"/>
      <c r="E872" s="29"/>
      <c r="F872" s="36"/>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c r="AF872" s="331"/>
    </row>
    <row r="873" spans="3:32" s="301" customFormat="1">
      <c r="C873" s="10"/>
      <c r="D873" s="29"/>
      <c r="E873" s="29"/>
      <c r="F873" s="36"/>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c r="AF873" s="331"/>
    </row>
    <row r="874" spans="3:32" s="301" customFormat="1">
      <c r="C874" s="10"/>
      <c r="D874" s="29"/>
      <c r="E874" s="29"/>
      <c r="F874" s="36"/>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c r="AF874" s="331"/>
    </row>
    <row r="875" spans="3:32" s="301" customFormat="1">
      <c r="C875" s="10"/>
      <c r="D875" s="29"/>
      <c r="E875" s="29"/>
      <c r="F875" s="36"/>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c r="AF875" s="331"/>
    </row>
    <row r="876" spans="3:32" s="301" customFormat="1">
      <c r="C876" s="10"/>
      <c r="D876" s="29"/>
      <c r="E876" s="29"/>
      <c r="F876" s="36"/>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c r="AF876" s="331"/>
    </row>
    <row r="877" spans="3:32" s="301" customFormat="1">
      <c r="C877" s="10"/>
      <c r="D877" s="29"/>
      <c r="E877" s="29"/>
      <c r="F877" s="36"/>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c r="AF877" s="331"/>
    </row>
    <row r="878" spans="3:32" s="301" customFormat="1">
      <c r="C878" s="10"/>
      <c r="D878" s="29"/>
      <c r="E878" s="29"/>
      <c r="F878" s="36"/>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c r="AF878" s="331"/>
    </row>
    <row r="879" spans="3:32" s="301" customFormat="1">
      <c r="C879" s="10"/>
      <c r="D879" s="29"/>
      <c r="E879" s="29"/>
      <c r="F879" s="36"/>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c r="AF879" s="331"/>
    </row>
    <row r="880" spans="3:32" s="301" customFormat="1">
      <c r="C880" s="10"/>
      <c r="D880" s="29"/>
      <c r="E880" s="29"/>
      <c r="F880" s="36"/>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c r="AF880" s="331"/>
    </row>
    <row r="881" spans="3:32" s="301" customFormat="1">
      <c r="C881" s="10"/>
      <c r="D881" s="29"/>
      <c r="E881" s="29"/>
      <c r="F881" s="36"/>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c r="AF881" s="331"/>
    </row>
    <row r="882" spans="3:32" s="301" customFormat="1">
      <c r="C882" s="10"/>
      <c r="D882" s="29"/>
      <c r="E882" s="29"/>
      <c r="F882" s="36"/>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c r="AF882" s="331"/>
    </row>
    <row r="883" spans="3:32" s="301" customFormat="1">
      <c r="C883" s="10"/>
      <c r="D883" s="29"/>
      <c r="E883" s="29"/>
      <c r="F883" s="36"/>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c r="AF883" s="331"/>
    </row>
    <row r="884" spans="3:32" s="301" customFormat="1">
      <c r="C884" s="10"/>
      <c r="D884" s="29"/>
      <c r="E884" s="29"/>
      <c r="F884" s="36"/>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c r="AF884" s="331"/>
    </row>
    <row r="885" spans="3:32" s="301" customFormat="1">
      <c r="C885" s="10"/>
      <c r="D885" s="29"/>
      <c r="E885" s="29"/>
      <c r="F885" s="36"/>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c r="AF885" s="331"/>
    </row>
    <row r="886" spans="3:32" s="301" customFormat="1">
      <c r="C886" s="10"/>
      <c r="D886" s="29"/>
      <c r="E886" s="29"/>
      <c r="F886" s="36"/>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c r="AF886" s="331"/>
    </row>
    <row r="887" spans="3:32" s="301" customFormat="1">
      <c r="C887" s="10"/>
      <c r="D887" s="29"/>
      <c r="E887" s="29"/>
      <c r="F887" s="36"/>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c r="AF887" s="331"/>
    </row>
    <row r="888" spans="3:32" s="301" customFormat="1">
      <c r="C888" s="10"/>
      <c r="D888" s="29"/>
      <c r="E888" s="29"/>
      <c r="F888" s="36"/>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c r="AF888" s="331"/>
    </row>
    <row r="889" spans="3:32" s="301" customFormat="1">
      <c r="C889" s="10"/>
      <c r="D889" s="29"/>
      <c r="E889" s="29"/>
      <c r="F889" s="36"/>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c r="AF889" s="331"/>
    </row>
    <row r="890" spans="3:32" s="301" customFormat="1">
      <c r="C890" s="10"/>
      <c r="D890" s="29"/>
      <c r="E890" s="29"/>
      <c r="F890" s="36"/>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c r="AF890" s="331"/>
    </row>
    <row r="891" spans="3:32" s="301" customFormat="1">
      <c r="C891" s="10"/>
      <c r="D891" s="29"/>
      <c r="E891" s="29"/>
      <c r="F891" s="36"/>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c r="AF891" s="331"/>
    </row>
    <row r="892" spans="3:32" s="301" customFormat="1">
      <c r="C892" s="10"/>
      <c r="D892" s="29"/>
      <c r="E892" s="29"/>
      <c r="F892" s="36"/>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c r="AF892" s="331"/>
    </row>
    <row r="893" spans="3:32" s="301" customFormat="1">
      <c r="C893" s="10"/>
      <c r="D893" s="29"/>
      <c r="E893" s="29"/>
      <c r="F893" s="36"/>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c r="AF893" s="331"/>
    </row>
    <row r="894" spans="3:32" s="301" customFormat="1">
      <c r="C894" s="10"/>
      <c r="D894" s="29"/>
      <c r="E894" s="29"/>
      <c r="F894" s="36"/>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c r="AF894" s="331"/>
    </row>
    <row r="895" spans="3:32" s="301" customFormat="1">
      <c r="C895" s="10"/>
      <c r="D895" s="29"/>
      <c r="E895" s="29"/>
      <c r="F895" s="36"/>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c r="AF895" s="331"/>
    </row>
    <row r="896" spans="3:32" s="301" customFormat="1">
      <c r="C896" s="10"/>
      <c r="D896" s="29"/>
      <c r="E896" s="29"/>
      <c r="F896" s="36"/>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c r="AF896" s="331"/>
    </row>
    <row r="897" spans="3:32" s="301" customFormat="1">
      <c r="C897" s="10"/>
      <c r="D897" s="29"/>
      <c r="E897" s="29"/>
      <c r="F897" s="36"/>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c r="AF897" s="331"/>
    </row>
    <row r="898" spans="3:32" s="301" customFormat="1">
      <c r="C898" s="10"/>
      <c r="D898" s="29"/>
      <c r="E898" s="29"/>
      <c r="F898" s="36"/>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c r="AF898" s="331"/>
    </row>
    <row r="899" spans="3:32" s="301" customFormat="1">
      <c r="C899" s="10"/>
      <c r="D899" s="29"/>
      <c r="E899" s="29"/>
      <c r="F899" s="36"/>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c r="AF899" s="331"/>
    </row>
    <row r="900" spans="3:32" s="301" customFormat="1">
      <c r="C900" s="10"/>
      <c r="D900" s="29"/>
      <c r="E900" s="29"/>
      <c r="F900" s="36"/>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c r="AF900" s="331"/>
    </row>
    <row r="901" spans="3:32" s="301" customFormat="1">
      <c r="C901" s="10"/>
      <c r="D901" s="29"/>
      <c r="E901" s="29"/>
      <c r="F901" s="36"/>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c r="AF901" s="331"/>
    </row>
    <row r="902" spans="3:32" s="301" customFormat="1">
      <c r="C902" s="10"/>
      <c r="D902" s="29"/>
      <c r="E902" s="29"/>
      <c r="F902" s="36"/>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c r="AF902" s="331"/>
    </row>
    <row r="903" spans="3:32" s="301" customFormat="1">
      <c r="C903" s="10"/>
      <c r="D903" s="29"/>
      <c r="E903" s="29"/>
      <c r="F903" s="36"/>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c r="AF903" s="331"/>
    </row>
    <row r="904" spans="3:32" s="301" customFormat="1">
      <c r="C904" s="10"/>
      <c r="D904" s="29"/>
      <c r="E904" s="29"/>
      <c r="F904" s="36"/>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c r="AF904" s="331"/>
    </row>
    <row r="905" spans="3:32" s="301" customFormat="1">
      <c r="C905" s="10"/>
      <c r="D905" s="29"/>
      <c r="E905" s="29"/>
      <c r="F905" s="36"/>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c r="AF905" s="331"/>
    </row>
    <row r="906" spans="3:32" s="301" customFormat="1">
      <c r="C906" s="10"/>
      <c r="D906" s="29"/>
      <c r="E906" s="29"/>
      <c r="F906" s="36"/>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c r="AF906" s="331"/>
    </row>
    <row r="907" spans="3:32" s="301" customFormat="1">
      <c r="C907" s="10"/>
      <c r="D907" s="29"/>
      <c r="E907" s="29"/>
      <c r="F907" s="36"/>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c r="AF907" s="331"/>
    </row>
    <row r="908" spans="3:32" s="301" customFormat="1">
      <c r="C908" s="10"/>
      <c r="D908" s="29"/>
      <c r="E908" s="29"/>
      <c r="F908" s="36"/>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c r="AF908" s="331"/>
    </row>
    <row r="909" spans="3:32" s="301" customFormat="1">
      <c r="C909" s="10"/>
      <c r="D909" s="29"/>
      <c r="E909" s="29"/>
      <c r="F909" s="36"/>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c r="AF909" s="331"/>
    </row>
    <row r="910" spans="3:32" s="301" customFormat="1">
      <c r="C910" s="10"/>
      <c r="D910" s="29"/>
      <c r="E910" s="29"/>
      <c r="F910" s="36"/>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c r="AF910" s="331"/>
    </row>
    <row r="911" spans="3:32" s="301" customFormat="1">
      <c r="C911" s="10"/>
      <c r="D911" s="29"/>
      <c r="E911" s="29"/>
      <c r="F911" s="36"/>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c r="AF911" s="331"/>
    </row>
    <row r="912" spans="3:32" s="301" customFormat="1">
      <c r="C912" s="10"/>
      <c r="D912" s="29"/>
      <c r="E912" s="29"/>
      <c r="F912" s="36"/>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c r="AF912" s="331"/>
    </row>
    <row r="913" spans="3:32" s="301" customFormat="1">
      <c r="C913" s="10"/>
      <c r="D913" s="29"/>
      <c r="E913" s="29"/>
      <c r="F913" s="36"/>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c r="AF913" s="331"/>
    </row>
    <row r="914" spans="3:32" s="301" customFormat="1">
      <c r="C914" s="10"/>
      <c r="D914" s="29"/>
      <c r="E914" s="29"/>
      <c r="F914" s="36"/>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c r="AF914" s="331"/>
    </row>
    <row r="915" spans="3:32" s="301" customFormat="1">
      <c r="C915" s="10"/>
      <c r="D915" s="29"/>
      <c r="E915" s="29"/>
      <c r="F915" s="36"/>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c r="AF915" s="331"/>
    </row>
    <row r="916" spans="3:32" s="301" customFormat="1">
      <c r="C916" s="10"/>
      <c r="D916" s="29"/>
      <c r="E916" s="29"/>
      <c r="F916" s="36"/>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c r="AF916" s="331"/>
    </row>
    <row r="917" spans="3:32" s="301" customFormat="1">
      <c r="C917" s="10"/>
      <c r="D917" s="29"/>
      <c r="E917" s="29"/>
      <c r="F917" s="36"/>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c r="AF917" s="331"/>
    </row>
    <row r="918" spans="3:32" s="301" customFormat="1">
      <c r="C918" s="10"/>
      <c r="D918" s="29"/>
      <c r="E918" s="29"/>
      <c r="F918" s="36"/>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c r="AF918" s="331"/>
    </row>
    <row r="919" spans="3:32" s="301" customFormat="1">
      <c r="C919" s="10"/>
      <c r="D919" s="29"/>
      <c r="E919" s="29"/>
      <c r="F919" s="36"/>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c r="AF919" s="331"/>
    </row>
    <row r="920" spans="3:32" s="301" customFormat="1">
      <c r="C920" s="10"/>
      <c r="D920" s="29"/>
      <c r="E920" s="29"/>
      <c r="F920" s="36"/>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c r="AF920" s="331"/>
    </row>
    <row r="921" spans="3:32" s="301" customFormat="1">
      <c r="C921" s="10"/>
      <c r="D921" s="29"/>
      <c r="E921" s="29"/>
      <c r="F921" s="36"/>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c r="AF921" s="331"/>
    </row>
    <row r="922" spans="3:32" s="301" customFormat="1">
      <c r="C922" s="10"/>
      <c r="D922" s="29"/>
      <c r="E922" s="29"/>
      <c r="F922" s="36"/>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c r="AF922" s="331"/>
    </row>
    <row r="923" spans="3:32" s="301" customFormat="1">
      <c r="C923" s="10"/>
      <c r="D923" s="29"/>
      <c r="E923" s="29"/>
      <c r="F923" s="36"/>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c r="AF923" s="331"/>
    </row>
    <row r="924" spans="3:32" s="301" customFormat="1">
      <c r="C924" s="10"/>
      <c r="D924" s="29"/>
      <c r="E924" s="29"/>
      <c r="F924" s="36"/>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c r="AF924" s="331"/>
    </row>
    <row r="925" spans="3:32" s="301" customFormat="1">
      <c r="C925" s="10"/>
      <c r="D925" s="29"/>
      <c r="E925" s="29"/>
      <c r="F925" s="36"/>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c r="AF925" s="331"/>
    </row>
    <row r="926" spans="3:32" s="301" customFormat="1">
      <c r="C926" s="10"/>
      <c r="D926" s="29"/>
      <c r="E926" s="29"/>
      <c r="F926" s="36"/>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c r="AF926" s="331"/>
    </row>
    <row r="927" spans="3:32" s="301" customFormat="1">
      <c r="C927" s="10"/>
      <c r="D927" s="29"/>
      <c r="E927" s="29"/>
      <c r="F927" s="36"/>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c r="AF927" s="331"/>
    </row>
    <row r="928" spans="3:32" s="301" customFormat="1">
      <c r="C928" s="10"/>
      <c r="D928" s="29"/>
      <c r="E928" s="29"/>
      <c r="F928" s="36"/>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c r="AF928" s="331"/>
    </row>
    <row r="929" spans="3:32" s="301" customFormat="1">
      <c r="C929" s="10"/>
      <c r="D929" s="29"/>
      <c r="E929" s="29"/>
      <c r="F929" s="36"/>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c r="AF929" s="331"/>
    </row>
    <row r="930" spans="3:32" s="301" customFormat="1">
      <c r="C930" s="10"/>
      <c r="D930" s="29"/>
      <c r="E930" s="29"/>
      <c r="F930" s="36"/>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c r="AF930" s="331"/>
    </row>
    <row r="931" spans="3:32" s="301" customFormat="1">
      <c r="C931" s="10"/>
      <c r="D931" s="29"/>
      <c r="E931" s="29"/>
      <c r="F931" s="36"/>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c r="AF931" s="331"/>
    </row>
    <row r="932" spans="3:32" s="301" customFormat="1">
      <c r="C932" s="10"/>
      <c r="D932" s="29"/>
      <c r="E932" s="29"/>
      <c r="F932" s="36"/>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c r="AF932" s="331"/>
    </row>
    <row r="933" spans="3:32" s="301" customFormat="1">
      <c r="C933" s="10"/>
      <c r="D933" s="29"/>
      <c r="E933" s="29"/>
      <c r="F933" s="36"/>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c r="AF933" s="331"/>
    </row>
    <row r="934" spans="3:32" s="301" customFormat="1">
      <c r="C934" s="10"/>
      <c r="D934" s="29"/>
      <c r="E934" s="29"/>
      <c r="F934" s="36"/>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c r="AF934" s="331"/>
    </row>
    <row r="935" spans="3:32" s="301" customFormat="1">
      <c r="C935" s="10"/>
      <c r="D935" s="29"/>
      <c r="E935" s="29"/>
      <c r="F935" s="36"/>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c r="AF935" s="331"/>
    </row>
    <row r="936" spans="3:32" s="301" customFormat="1">
      <c r="C936" s="10"/>
      <c r="D936" s="29"/>
      <c r="E936" s="29"/>
      <c r="F936" s="36"/>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c r="AF936" s="331"/>
    </row>
    <row r="937" spans="3:32" s="301" customFormat="1">
      <c r="C937" s="10"/>
      <c r="D937" s="29"/>
      <c r="E937" s="29"/>
      <c r="F937" s="36"/>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c r="AF937" s="331"/>
    </row>
    <row r="938" spans="3:32" s="301" customFormat="1">
      <c r="C938" s="10"/>
      <c r="D938" s="29"/>
      <c r="E938" s="29"/>
      <c r="F938" s="36"/>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c r="AF938" s="331"/>
    </row>
    <row r="939" spans="3:32" s="301" customFormat="1">
      <c r="C939" s="10"/>
      <c r="D939" s="29"/>
      <c r="E939" s="29"/>
      <c r="F939" s="36"/>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c r="AF939" s="331"/>
    </row>
    <row r="940" spans="3:32" s="301" customFormat="1">
      <c r="C940" s="10"/>
      <c r="D940" s="29"/>
      <c r="E940" s="29"/>
      <c r="F940" s="36"/>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c r="AF940" s="331"/>
    </row>
    <row r="941" spans="3:32" s="301" customFormat="1">
      <c r="C941" s="10"/>
      <c r="D941" s="29"/>
      <c r="E941" s="29"/>
      <c r="F941" s="36"/>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c r="AF941" s="331"/>
    </row>
    <row r="942" spans="3:32" s="301" customFormat="1">
      <c r="C942" s="10"/>
      <c r="D942" s="29"/>
      <c r="E942" s="29"/>
      <c r="F942" s="36"/>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c r="AF942" s="331"/>
    </row>
    <row r="943" spans="3:32" s="301" customFormat="1">
      <c r="C943" s="10"/>
      <c r="D943" s="29"/>
      <c r="E943" s="29"/>
      <c r="F943" s="36"/>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c r="AF943" s="331"/>
    </row>
    <row r="944" spans="3:32" s="301" customFormat="1">
      <c r="C944" s="10"/>
      <c r="D944" s="29"/>
      <c r="E944" s="29"/>
      <c r="F944" s="36"/>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c r="AF944" s="331"/>
    </row>
    <row r="945" spans="3:32" s="301" customFormat="1">
      <c r="C945" s="10"/>
      <c r="D945" s="29"/>
      <c r="E945" s="29"/>
      <c r="F945" s="36"/>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c r="AF945" s="331"/>
    </row>
    <row r="946" spans="3:32" s="301" customFormat="1">
      <c r="C946" s="10"/>
      <c r="D946" s="29"/>
      <c r="E946" s="29"/>
      <c r="F946" s="36"/>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c r="AF946" s="331"/>
    </row>
    <row r="947" spans="3:32" s="301" customFormat="1">
      <c r="C947" s="10"/>
      <c r="D947" s="29"/>
      <c r="E947" s="29"/>
      <c r="F947" s="36"/>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c r="AF947" s="331"/>
    </row>
    <row r="948" spans="3:32" s="301" customFormat="1">
      <c r="C948" s="10"/>
      <c r="D948" s="29"/>
      <c r="E948" s="29"/>
      <c r="F948" s="36"/>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c r="AF948" s="331"/>
    </row>
    <row r="949" spans="3:32" s="301" customFormat="1">
      <c r="C949" s="10"/>
      <c r="D949" s="29"/>
      <c r="E949" s="29"/>
      <c r="F949" s="36"/>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c r="AF949" s="331"/>
    </row>
    <row r="950" spans="3:32" s="301" customFormat="1">
      <c r="C950" s="10"/>
      <c r="D950" s="29"/>
      <c r="E950" s="29"/>
      <c r="F950" s="36"/>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c r="AF950" s="331"/>
    </row>
    <row r="951" spans="3:32" s="301" customFormat="1">
      <c r="C951" s="10"/>
      <c r="D951" s="29"/>
      <c r="E951" s="29"/>
      <c r="F951" s="36"/>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c r="AF951" s="331"/>
    </row>
    <row r="952" spans="3:32" s="301" customFormat="1">
      <c r="C952" s="10"/>
      <c r="D952" s="29"/>
      <c r="E952" s="29"/>
      <c r="F952" s="36"/>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c r="AF952" s="331"/>
    </row>
    <row r="953" spans="3:32" s="301" customFormat="1">
      <c r="C953" s="10"/>
      <c r="D953" s="29"/>
      <c r="E953" s="29"/>
      <c r="F953" s="36"/>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c r="AF953" s="331"/>
    </row>
    <row r="954" spans="3:32" s="301" customFormat="1">
      <c r="C954" s="10"/>
      <c r="D954" s="29"/>
      <c r="E954" s="29"/>
      <c r="F954" s="36"/>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c r="AF954" s="331"/>
    </row>
    <row r="955" spans="3:32" s="301" customFormat="1">
      <c r="C955" s="10"/>
      <c r="D955" s="29"/>
      <c r="E955" s="29"/>
      <c r="F955" s="36"/>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c r="AF955" s="331"/>
    </row>
    <row r="956" spans="3:32" s="301" customFormat="1">
      <c r="C956" s="10"/>
      <c r="D956" s="29"/>
      <c r="E956" s="29"/>
      <c r="F956" s="36"/>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c r="AF956" s="331"/>
    </row>
    <row r="957" spans="3:32" s="301" customFormat="1">
      <c r="C957" s="10"/>
      <c r="D957" s="29"/>
      <c r="E957" s="29"/>
      <c r="F957" s="36"/>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c r="AF957" s="331"/>
    </row>
    <row r="958" spans="3:32" s="301" customFormat="1">
      <c r="C958" s="10"/>
      <c r="D958" s="29"/>
      <c r="E958" s="29"/>
      <c r="F958" s="36"/>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c r="AF958" s="331"/>
    </row>
    <row r="959" spans="3:32" s="301" customFormat="1">
      <c r="C959" s="10"/>
      <c r="D959" s="29"/>
      <c r="E959" s="29"/>
      <c r="F959" s="36"/>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c r="AF959" s="331"/>
    </row>
    <row r="960" spans="3:32" s="301" customFormat="1">
      <c r="C960" s="10"/>
      <c r="D960" s="29"/>
      <c r="E960" s="29"/>
      <c r="F960" s="36"/>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c r="AF960" s="331"/>
    </row>
    <row r="961" spans="3:32" s="301" customFormat="1">
      <c r="C961" s="10"/>
      <c r="D961" s="29"/>
      <c r="E961" s="29"/>
      <c r="F961" s="36"/>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c r="AF961" s="331"/>
    </row>
    <row r="962" spans="3:32" s="301" customFormat="1">
      <c r="C962" s="10"/>
      <c r="D962" s="29"/>
      <c r="E962" s="29"/>
      <c r="F962" s="36"/>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c r="AF962" s="331"/>
    </row>
    <row r="963" spans="3:32" s="301" customFormat="1">
      <c r="C963" s="10"/>
      <c r="D963" s="29"/>
      <c r="E963" s="29"/>
      <c r="F963" s="36"/>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c r="AF963" s="331"/>
    </row>
    <row r="964" spans="3:32" s="301" customFormat="1">
      <c r="C964" s="10"/>
      <c r="D964" s="29"/>
      <c r="E964" s="29"/>
      <c r="F964" s="36"/>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c r="AF964" s="331"/>
    </row>
    <row r="965" spans="3:32" s="301" customFormat="1">
      <c r="C965" s="10"/>
      <c r="D965" s="29"/>
      <c r="E965" s="29"/>
      <c r="F965" s="36"/>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c r="AF965" s="331"/>
    </row>
    <row r="966" spans="3:32" s="301" customFormat="1">
      <c r="C966" s="10"/>
      <c r="D966" s="29"/>
      <c r="E966" s="29"/>
      <c r="F966" s="36"/>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c r="AF966" s="331"/>
    </row>
    <row r="967" spans="3:32" s="301" customFormat="1">
      <c r="C967" s="10"/>
      <c r="D967" s="29"/>
      <c r="E967" s="29"/>
      <c r="F967" s="36"/>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c r="AF967" s="331"/>
    </row>
    <row r="968" spans="3:32" s="301" customFormat="1">
      <c r="C968" s="10"/>
      <c r="D968" s="29"/>
      <c r="E968" s="29"/>
      <c r="F968" s="36"/>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c r="AF968" s="331"/>
    </row>
    <row r="969" spans="3:32" s="301" customFormat="1">
      <c r="C969" s="10"/>
      <c r="D969" s="29"/>
      <c r="E969" s="29"/>
      <c r="F969" s="36"/>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c r="AF969" s="331"/>
    </row>
    <row r="970" spans="3:32" s="301" customFormat="1">
      <c r="C970" s="10"/>
      <c r="D970" s="29"/>
      <c r="E970" s="29"/>
      <c r="F970" s="36"/>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c r="AF970" s="331"/>
    </row>
    <row r="971" spans="3:32" s="301" customFormat="1">
      <c r="C971" s="10"/>
      <c r="D971" s="29"/>
      <c r="E971" s="29"/>
      <c r="F971" s="36"/>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c r="AF971" s="331"/>
    </row>
    <row r="972" spans="3:32" s="301" customFormat="1">
      <c r="C972" s="10"/>
      <c r="D972" s="29"/>
      <c r="E972" s="29"/>
      <c r="F972" s="36"/>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c r="AF972" s="331"/>
    </row>
    <row r="973" spans="3:32" s="301" customFormat="1">
      <c r="C973" s="10"/>
      <c r="D973" s="29"/>
      <c r="E973" s="29"/>
      <c r="F973" s="36"/>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c r="AF973" s="331"/>
    </row>
    <row r="974" spans="3:32" s="301" customFormat="1">
      <c r="C974" s="10"/>
      <c r="D974" s="29"/>
      <c r="E974" s="29"/>
      <c r="F974" s="36"/>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c r="AF974" s="331"/>
    </row>
    <row r="975" spans="3:32" s="301" customFormat="1">
      <c r="C975" s="10"/>
      <c r="D975" s="29"/>
      <c r="E975" s="29"/>
      <c r="F975" s="36"/>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c r="AF975" s="331"/>
    </row>
    <row r="976" spans="3:32" s="301" customFormat="1">
      <c r="C976" s="10"/>
      <c r="D976" s="29"/>
      <c r="E976" s="29"/>
      <c r="F976" s="36"/>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c r="AF976" s="331"/>
    </row>
    <row r="977" spans="3:32" s="301" customFormat="1">
      <c r="C977" s="10"/>
      <c r="D977" s="29"/>
      <c r="E977" s="29"/>
      <c r="F977" s="36"/>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c r="AF977" s="331"/>
    </row>
    <row r="978" spans="3:32" s="301" customFormat="1">
      <c r="C978" s="10"/>
      <c r="D978" s="29"/>
      <c r="E978" s="29"/>
      <c r="F978" s="36"/>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c r="AF978" s="331"/>
    </row>
    <row r="979" spans="3:32" s="301" customFormat="1">
      <c r="C979" s="10"/>
      <c r="D979" s="29"/>
      <c r="E979" s="29"/>
      <c r="F979" s="36"/>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c r="AF979" s="331"/>
    </row>
    <row r="980" spans="3:32" s="301" customFormat="1">
      <c r="C980" s="10"/>
      <c r="D980" s="29"/>
      <c r="E980" s="29"/>
      <c r="F980" s="36"/>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c r="AF980" s="331"/>
    </row>
    <row r="981" spans="3:32" s="301" customFormat="1">
      <c r="C981" s="10"/>
      <c r="D981" s="29"/>
      <c r="E981" s="29"/>
      <c r="F981" s="36"/>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c r="AF981" s="331"/>
    </row>
    <row r="982" spans="3:32" s="301" customFormat="1">
      <c r="C982" s="10"/>
      <c r="D982" s="29"/>
      <c r="E982" s="29"/>
      <c r="F982" s="36"/>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c r="AF982" s="331"/>
    </row>
    <row r="983" spans="3:32" s="301" customFormat="1">
      <c r="C983" s="10"/>
      <c r="D983" s="29"/>
      <c r="E983" s="29"/>
      <c r="F983" s="36"/>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c r="AF983" s="331"/>
    </row>
    <row r="984" spans="3:32" s="301" customFormat="1">
      <c r="C984" s="10"/>
      <c r="D984" s="29"/>
      <c r="E984" s="29"/>
      <c r="F984" s="36"/>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c r="AF984" s="331"/>
    </row>
    <row r="985" spans="3:32" s="301" customFormat="1">
      <c r="C985" s="10"/>
      <c r="D985" s="29"/>
      <c r="E985" s="29"/>
      <c r="F985" s="36"/>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c r="AF985" s="331"/>
    </row>
    <row r="986" spans="3:32" s="301" customFormat="1">
      <c r="C986" s="10"/>
      <c r="D986" s="29"/>
      <c r="E986" s="29"/>
      <c r="F986" s="36"/>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c r="AF986" s="331"/>
    </row>
    <row r="987" spans="3:32" s="301" customFormat="1">
      <c r="C987" s="10"/>
      <c r="D987" s="29"/>
      <c r="E987" s="29"/>
      <c r="F987" s="36"/>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c r="AF987" s="331"/>
    </row>
    <row r="988" spans="3:32" s="301" customFormat="1">
      <c r="C988" s="10"/>
      <c r="D988" s="29"/>
      <c r="E988" s="29"/>
      <c r="F988" s="36"/>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c r="AF988" s="331"/>
    </row>
    <row r="989" spans="3:32" s="301" customFormat="1">
      <c r="C989" s="10"/>
      <c r="D989" s="29"/>
      <c r="E989" s="29"/>
      <c r="F989" s="36"/>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c r="AF989" s="331"/>
    </row>
    <row r="990" spans="3:32" s="301" customFormat="1">
      <c r="C990" s="10"/>
      <c r="D990" s="29"/>
      <c r="E990" s="29"/>
      <c r="F990" s="36"/>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c r="AF990" s="331"/>
    </row>
    <row r="991" spans="3:32" s="301" customFormat="1">
      <c r="C991" s="10"/>
      <c r="D991" s="29"/>
      <c r="E991" s="29"/>
      <c r="F991" s="36"/>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c r="AF991" s="331"/>
    </row>
    <row r="992" spans="3:32" s="301" customFormat="1">
      <c r="C992" s="10"/>
      <c r="D992" s="29"/>
      <c r="E992" s="29"/>
      <c r="F992" s="36"/>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c r="AF992" s="331"/>
    </row>
    <row r="993" spans="3:32" s="301" customFormat="1">
      <c r="C993" s="10"/>
      <c r="D993" s="29"/>
      <c r="E993" s="29"/>
      <c r="F993" s="36"/>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c r="AF993" s="331"/>
    </row>
    <row r="994" spans="3:32" s="301" customFormat="1">
      <c r="C994" s="10"/>
      <c r="D994" s="29"/>
      <c r="E994" s="29"/>
      <c r="F994" s="36"/>
      <c r="G994" s="331"/>
      <c r="H994" s="331"/>
      <c r="I994" s="331"/>
      <c r="J994" s="331"/>
      <c r="K994" s="331"/>
      <c r="L994" s="331"/>
      <c r="M994" s="331"/>
      <c r="N994" s="331"/>
      <c r="O994" s="331"/>
      <c r="P994" s="331"/>
      <c r="Q994" s="331"/>
      <c r="R994" s="331"/>
      <c r="S994" s="331"/>
      <c r="T994" s="331"/>
      <c r="U994" s="331"/>
      <c r="V994" s="331"/>
      <c r="W994" s="331"/>
      <c r="X994" s="331"/>
      <c r="Y994" s="331"/>
      <c r="Z994" s="331"/>
      <c r="AA994" s="331"/>
      <c r="AB994" s="331"/>
      <c r="AC994" s="331"/>
      <c r="AD994" s="331"/>
      <c r="AE994" s="331"/>
      <c r="AF994" s="331"/>
    </row>
    <row r="995" spans="3:32" s="301" customFormat="1">
      <c r="C995" s="10"/>
      <c r="D995" s="29"/>
      <c r="E995" s="29"/>
      <c r="F995" s="36"/>
      <c r="G995" s="331"/>
      <c r="H995" s="331"/>
      <c r="I995" s="331"/>
      <c r="J995" s="331"/>
      <c r="K995" s="331"/>
      <c r="L995" s="331"/>
      <c r="M995" s="331"/>
      <c r="N995" s="331"/>
      <c r="O995" s="331"/>
      <c r="P995" s="331"/>
      <c r="Q995" s="331"/>
      <c r="R995" s="331"/>
      <c r="S995" s="331"/>
      <c r="T995" s="331"/>
      <c r="U995" s="331"/>
      <c r="V995" s="331"/>
      <c r="W995" s="331"/>
      <c r="X995" s="331"/>
      <c r="Y995" s="331"/>
      <c r="Z995" s="331"/>
      <c r="AA995" s="331"/>
      <c r="AB995" s="331"/>
      <c r="AC995" s="331"/>
      <c r="AD995" s="331"/>
      <c r="AE995" s="331"/>
      <c r="AF995" s="331"/>
    </row>
    <row r="996" spans="3:32" s="301" customFormat="1">
      <c r="C996" s="10"/>
      <c r="D996" s="29"/>
      <c r="E996" s="29"/>
      <c r="F996" s="36"/>
      <c r="G996" s="331"/>
      <c r="H996" s="331"/>
      <c r="I996" s="331"/>
      <c r="J996" s="331"/>
      <c r="K996" s="331"/>
      <c r="L996" s="331"/>
      <c r="M996" s="331"/>
      <c r="N996" s="331"/>
      <c r="O996" s="331"/>
      <c r="P996" s="331"/>
      <c r="Q996" s="331"/>
      <c r="R996" s="331"/>
      <c r="S996" s="331"/>
      <c r="T996" s="331"/>
      <c r="U996" s="331"/>
      <c r="V996" s="331"/>
      <c r="W996" s="331"/>
      <c r="X996" s="331"/>
      <c r="Y996" s="331"/>
      <c r="Z996" s="331"/>
      <c r="AA996" s="331"/>
      <c r="AB996" s="331"/>
      <c r="AC996" s="331"/>
      <c r="AD996" s="331"/>
      <c r="AE996" s="331"/>
      <c r="AF996" s="331"/>
    </row>
    <row r="997" spans="3:32" s="301" customFormat="1">
      <c r="C997" s="10"/>
      <c r="D997" s="29"/>
      <c r="E997" s="29"/>
      <c r="F997" s="36"/>
      <c r="G997" s="331"/>
      <c r="H997" s="331"/>
      <c r="I997" s="331"/>
      <c r="J997" s="331"/>
      <c r="K997" s="331"/>
      <c r="L997" s="331"/>
      <c r="M997" s="331"/>
      <c r="N997" s="331"/>
      <c r="O997" s="331"/>
      <c r="P997" s="331"/>
      <c r="Q997" s="331"/>
      <c r="R997" s="331"/>
      <c r="S997" s="331"/>
      <c r="T997" s="331"/>
      <c r="U997" s="331"/>
      <c r="V997" s="331"/>
      <c r="W997" s="331"/>
      <c r="X997" s="331"/>
      <c r="Y997" s="331"/>
      <c r="Z997" s="331"/>
      <c r="AA997" s="331"/>
      <c r="AB997" s="331"/>
      <c r="AC997" s="331"/>
      <c r="AD997" s="331"/>
      <c r="AE997" s="331"/>
      <c r="AF997" s="331"/>
    </row>
    <row r="998" spans="3:32" s="301" customFormat="1">
      <c r="C998" s="10"/>
      <c r="D998" s="29"/>
      <c r="E998" s="29"/>
      <c r="F998" s="36"/>
      <c r="G998" s="331"/>
      <c r="H998" s="331"/>
      <c r="I998" s="331"/>
      <c r="J998" s="331"/>
      <c r="K998" s="331"/>
      <c r="L998" s="331"/>
      <c r="M998" s="331"/>
      <c r="N998" s="331"/>
      <c r="O998" s="331"/>
      <c r="P998" s="331"/>
      <c r="Q998" s="331"/>
      <c r="R998" s="331"/>
      <c r="S998" s="331"/>
      <c r="T998" s="331"/>
      <c r="U998" s="331"/>
      <c r="V998" s="331"/>
      <c r="W998" s="331"/>
      <c r="X998" s="331"/>
      <c r="Y998" s="331"/>
      <c r="Z998" s="331"/>
      <c r="AA998" s="331"/>
      <c r="AB998" s="331"/>
      <c r="AC998" s="331"/>
      <c r="AD998" s="331"/>
      <c r="AE998" s="331"/>
      <c r="AF998" s="331"/>
    </row>
    <row r="999" spans="3:32" s="301" customFormat="1">
      <c r="C999" s="10"/>
      <c r="D999" s="29"/>
      <c r="E999" s="29"/>
      <c r="F999" s="36"/>
      <c r="G999" s="331"/>
      <c r="H999" s="331"/>
      <c r="I999" s="331"/>
      <c r="J999" s="331"/>
      <c r="K999" s="331"/>
      <c r="L999" s="331"/>
      <c r="M999" s="331"/>
      <c r="N999" s="331"/>
      <c r="O999" s="331"/>
      <c r="P999" s="331"/>
      <c r="Q999" s="331"/>
      <c r="R999" s="331"/>
      <c r="S999" s="331"/>
      <c r="T999" s="331"/>
      <c r="U999" s="331"/>
      <c r="V999" s="331"/>
      <c r="W999" s="331"/>
      <c r="X999" s="331"/>
      <c r="Y999" s="331"/>
      <c r="Z999" s="331"/>
      <c r="AA999" s="331"/>
      <c r="AB999" s="331"/>
      <c r="AC999" s="331"/>
      <c r="AD999" s="331"/>
      <c r="AE999" s="331"/>
      <c r="AF999" s="331"/>
    </row>
    <row r="1000" spans="3:32" s="301" customFormat="1">
      <c r="C1000" s="10"/>
      <c r="D1000" s="29"/>
      <c r="E1000" s="29"/>
      <c r="F1000" s="36"/>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c r="AA1000" s="331"/>
      <c r="AB1000" s="331"/>
      <c r="AC1000" s="331"/>
      <c r="AD1000" s="331"/>
      <c r="AE1000" s="331"/>
      <c r="AF1000" s="331"/>
    </row>
    <row r="1001" spans="3:32" s="301" customFormat="1">
      <c r="C1001" s="10"/>
      <c r="D1001" s="29"/>
      <c r="E1001" s="29"/>
      <c r="F1001" s="36"/>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331"/>
      <c r="AE1001" s="331"/>
      <c r="AF1001" s="331"/>
    </row>
    <row r="1002" spans="3:32" s="301" customFormat="1">
      <c r="C1002" s="10"/>
      <c r="D1002" s="29"/>
      <c r="E1002" s="29"/>
      <c r="F1002" s="36"/>
      <c r="G1002" s="331"/>
      <c r="H1002" s="331"/>
      <c r="I1002" s="331"/>
      <c r="J1002" s="331"/>
      <c r="K1002" s="331"/>
      <c r="L1002" s="331"/>
      <c r="M1002" s="331"/>
      <c r="N1002" s="331"/>
      <c r="O1002" s="331"/>
      <c r="P1002" s="331"/>
      <c r="Q1002" s="331"/>
      <c r="R1002" s="331"/>
      <c r="S1002" s="331"/>
      <c r="T1002" s="331"/>
      <c r="U1002" s="331"/>
      <c r="V1002" s="331"/>
      <c r="W1002" s="331"/>
      <c r="X1002" s="331"/>
      <c r="Y1002" s="331"/>
      <c r="Z1002" s="331"/>
      <c r="AA1002" s="331"/>
      <c r="AB1002" s="331"/>
      <c r="AC1002" s="331"/>
      <c r="AD1002" s="331"/>
      <c r="AE1002" s="331"/>
      <c r="AF1002" s="331"/>
    </row>
    <row r="1003" spans="3:32" s="301" customFormat="1">
      <c r="C1003" s="10"/>
      <c r="D1003" s="29"/>
      <c r="E1003" s="29"/>
      <c r="F1003" s="36"/>
      <c r="G1003" s="331"/>
      <c r="H1003" s="331"/>
      <c r="I1003" s="331"/>
      <c r="J1003" s="331"/>
      <c r="K1003" s="331"/>
      <c r="L1003" s="331"/>
      <c r="M1003" s="331"/>
      <c r="N1003" s="331"/>
      <c r="O1003" s="331"/>
      <c r="P1003" s="331"/>
      <c r="Q1003" s="331"/>
      <c r="R1003" s="331"/>
      <c r="S1003" s="331"/>
      <c r="T1003" s="331"/>
      <c r="U1003" s="331"/>
      <c r="V1003" s="331"/>
      <c r="W1003" s="331"/>
      <c r="X1003" s="331"/>
      <c r="Y1003" s="331"/>
      <c r="Z1003" s="331"/>
      <c r="AA1003" s="331"/>
      <c r="AB1003" s="331"/>
      <c r="AC1003" s="331"/>
      <c r="AD1003" s="331"/>
      <c r="AE1003" s="331"/>
      <c r="AF1003" s="331"/>
    </row>
    <row r="1004" spans="3:32" s="301" customFormat="1">
      <c r="C1004" s="10"/>
      <c r="D1004" s="29"/>
      <c r="E1004" s="29"/>
      <c r="F1004" s="36"/>
      <c r="G1004" s="331"/>
      <c r="H1004" s="331"/>
      <c r="I1004" s="331"/>
      <c r="J1004" s="331"/>
      <c r="K1004" s="331"/>
      <c r="L1004" s="331"/>
      <c r="M1004" s="331"/>
      <c r="N1004" s="331"/>
      <c r="O1004" s="331"/>
      <c r="P1004" s="331"/>
      <c r="Q1004" s="331"/>
      <c r="R1004" s="331"/>
      <c r="S1004" s="331"/>
      <c r="T1004" s="331"/>
      <c r="U1004" s="331"/>
      <c r="V1004" s="331"/>
      <c r="W1004" s="331"/>
      <c r="X1004" s="331"/>
      <c r="Y1004" s="331"/>
      <c r="Z1004" s="331"/>
      <c r="AA1004" s="331"/>
      <c r="AB1004" s="331"/>
      <c r="AC1004" s="331"/>
      <c r="AD1004" s="331"/>
      <c r="AE1004" s="331"/>
      <c r="AF1004" s="331"/>
    </row>
    <row r="1005" spans="3:32" s="301" customFormat="1">
      <c r="C1005" s="10"/>
      <c r="D1005" s="29"/>
      <c r="E1005" s="29"/>
      <c r="F1005" s="36"/>
      <c r="G1005" s="331"/>
      <c r="H1005" s="331"/>
      <c r="I1005" s="331"/>
      <c r="J1005" s="331"/>
      <c r="K1005" s="331"/>
      <c r="L1005" s="331"/>
      <c r="M1005" s="331"/>
      <c r="N1005" s="331"/>
      <c r="O1005" s="331"/>
      <c r="P1005" s="331"/>
      <c r="Q1005" s="331"/>
      <c r="R1005" s="331"/>
      <c r="S1005" s="331"/>
      <c r="T1005" s="331"/>
      <c r="U1005" s="331"/>
      <c r="V1005" s="331"/>
      <c r="W1005" s="331"/>
      <c r="X1005" s="331"/>
      <c r="Y1005" s="331"/>
      <c r="Z1005" s="331"/>
      <c r="AA1005" s="331"/>
      <c r="AB1005" s="331"/>
      <c r="AC1005" s="331"/>
      <c r="AD1005" s="331"/>
      <c r="AE1005" s="331"/>
      <c r="AF1005" s="331"/>
    </row>
    <row r="1006" spans="3:32" s="301" customFormat="1">
      <c r="C1006" s="10"/>
      <c r="D1006" s="29"/>
      <c r="E1006" s="29"/>
      <c r="F1006" s="36"/>
      <c r="G1006" s="331"/>
      <c r="H1006" s="331"/>
      <c r="I1006" s="331"/>
      <c r="J1006" s="331"/>
      <c r="K1006" s="331"/>
      <c r="L1006" s="331"/>
      <c r="M1006" s="331"/>
      <c r="N1006" s="331"/>
      <c r="O1006" s="331"/>
      <c r="P1006" s="331"/>
      <c r="Q1006" s="331"/>
      <c r="R1006" s="331"/>
      <c r="S1006" s="331"/>
      <c r="T1006" s="331"/>
      <c r="U1006" s="331"/>
      <c r="V1006" s="331"/>
      <c r="W1006" s="331"/>
      <c r="X1006" s="331"/>
      <c r="Y1006" s="331"/>
      <c r="Z1006" s="331"/>
      <c r="AA1006" s="331"/>
      <c r="AB1006" s="331"/>
      <c r="AC1006" s="331"/>
      <c r="AD1006" s="331"/>
      <c r="AE1006" s="331"/>
      <c r="AF1006" s="331"/>
    </row>
    <row r="1007" spans="3:32" s="301" customFormat="1">
      <c r="C1007" s="10"/>
      <c r="D1007" s="29"/>
      <c r="E1007" s="29"/>
      <c r="F1007" s="36"/>
      <c r="G1007" s="331"/>
      <c r="H1007" s="331"/>
      <c r="I1007" s="331"/>
      <c r="J1007" s="331"/>
      <c r="K1007" s="331"/>
      <c r="L1007" s="331"/>
      <c r="M1007" s="331"/>
      <c r="N1007" s="331"/>
      <c r="O1007" s="331"/>
      <c r="P1007" s="331"/>
      <c r="Q1007" s="331"/>
      <c r="R1007" s="331"/>
      <c r="S1007" s="331"/>
      <c r="T1007" s="331"/>
      <c r="U1007" s="331"/>
      <c r="V1007" s="331"/>
      <c r="W1007" s="331"/>
      <c r="X1007" s="331"/>
      <c r="Y1007" s="331"/>
      <c r="Z1007" s="331"/>
      <c r="AA1007" s="331"/>
      <c r="AB1007" s="331"/>
      <c r="AC1007" s="331"/>
      <c r="AD1007" s="331"/>
      <c r="AE1007" s="331"/>
      <c r="AF1007" s="331"/>
    </row>
    <row r="1008" spans="3:32" s="301" customFormat="1">
      <c r="C1008" s="10"/>
      <c r="D1008" s="29"/>
      <c r="E1008" s="29"/>
      <c r="F1008" s="36"/>
      <c r="G1008" s="331"/>
      <c r="H1008" s="331"/>
      <c r="I1008" s="331"/>
      <c r="J1008" s="331"/>
      <c r="K1008" s="331"/>
      <c r="L1008" s="331"/>
      <c r="M1008" s="331"/>
      <c r="N1008" s="331"/>
      <c r="O1008" s="331"/>
      <c r="P1008" s="331"/>
      <c r="Q1008" s="331"/>
      <c r="R1008" s="331"/>
      <c r="S1008" s="331"/>
      <c r="T1008" s="331"/>
      <c r="U1008" s="331"/>
      <c r="V1008" s="331"/>
      <c r="W1008" s="331"/>
      <c r="X1008" s="331"/>
      <c r="Y1008" s="331"/>
      <c r="Z1008" s="331"/>
      <c r="AA1008" s="331"/>
      <c r="AB1008" s="331"/>
      <c r="AC1008" s="331"/>
      <c r="AD1008" s="331"/>
      <c r="AE1008" s="331"/>
      <c r="AF1008" s="331"/>
    </row>
    <row r="1009" spans="3:32" s="301" customFormat="1">
      <c r="C1009" s="10"/>
      <c r="D1009" s="29"/>
      <c r="E1009" s="29"/>
      <c r="F1009" s="36"/>
      <c r="G1009" s="331"/>
      <c r="H1009" s="331"/>
      <c r="I1009" s="331"/>
      <c r="J1009" s="331"/>
      <c r="K1009" s="331"/>
      <c r="L1009" s="331"/>
      <c r="M1009" s="331"/>
      <c r="N1009" s="331"/>
      <c r="O1009" s="331"/>
      <c r="P1009" s="331"/>
      <c r="Q1009" s="331"/>
      <c r="R1009" s="331"/>
      <c r="S1009" s="331"/>
      <c r="T1009" s="331"/>
      <c r="U1009" s="331"/>
      <c r="V1009" s="331"/>
      <c r="W1009" s="331"/>
      <c r="X1009" s="331"/>
      <c r="Y1009" s="331"/>
      <c r="Z1009" s="331"/>
      <c r="AA1009" s="331"/>
      <c r="AB1009" s="331"/>
      <c r="AC1009" s="331"/>
      <c r="AD1009" s="331"/>
      <c r="AE1009" s="331"/>
      <c r="AF1009" s="331"/>
    </row>
    <row r="1010" spans="3:32" s="301" customFormat="1">
      <c r="C1010" s="10"/>
      <c r="D1010" s="29"/>
      <c r="E1010" s="29"/>
      <c r="F1010" s="36"/>
      <c r="G1010" s="331"/>
      <c r="H1010" s="331"/>
      <c r="I1010" s="331"/>
      <c r="J1010" s="331"/>
      <c r="K1010" s="331"/>
      <c r="L1010" s="331"/>
      <c r="M1010" s="331"/>
      <c r="N1010" s="331"/>
      <c r="O1010" s="331"/>
      <c r="P1010" s="331"/>
      <c r="Q1010" s="331"/>
      <c r="R1010" s="331"/>
      <c r="S1010" s="331"/>
      <c r="T1010" s="331"/>
      <c r="U1010" s="331"/>
      <c r="V1010" s="331"/>
      <c r="W1010" s="331"/>
      <c r="X1010" s="331"/>
      <c r="Y1010" s="331"/>
      <c r="Z1010" s="331"/>
      <c r="AA1010" s="331"/>
      <c r="AB1010" s="331"/>
      <c r="AC1010" s="331"/>
      <c r="AD1010" s="331"/>
      <c r="AE1010" s="331"/>
      <c r="AF1010" s="331"/>
    </row>
    <row r="1011" spans="3:32" s="301" customFormat="1">
      <c r="C1011" s="10"/>
      <c r="D1011" s="29"/>
      <c r="E1011" s="29"/>
      <c r="F1011" s="36"/>
      <c r="G1011" s="331"/>
      <c r="H1011" s="331"/>
      <c r="I1011" s="331"/>
      <c r="J1011" s="331"/>
      <c r="K1011" s="331"/>
      <c r="L1011" s="331"/>
      <c r="M1011" s="331"/>
      <c r="N1011" s="331"/>
      <c r="O1011" s="331"/>
      <c r="P1011" s="331"/>
      <c r="Q1011" s="331"/>
      <c r="R1011" s="331"/>
      <c r="S1011" s="331"/>
      <c r="T1011" s="331"/>
      <c r="U1011" s="331"/>
      <c r="V1011" s="331"/>
      <c r="W1011" s="331"/>
      <c r="X1011" s="331"/>
      <c r="Y1011" s="331"/>
      <c r="Z1011" s="331"/>
      <c r="AA1011" s="331"/>
      <c r="AB1011" s="331"/>
      <c r="AC1011" s="331"/>
      <c r="AD1011" s="331"/>
      <c r="AE1011" s="331"/>
      <c r="AF1011" s="331"/>
    </row>
    <row r="1012" spans="3:32" s="301" customFormat="1">
      <c r="C1012" s="10"/>
      <c r="D1012" s="29"/>
      <c r="E1012" s="29"/>
      <c r="F1012" s="36"/>
      <c r="G1012" s="331"/>
      <c r="H1012" s="331"/>
      <c r="I1012" s="331"/>
      <c r="J1012" s="331"/>
      <c r="K1012" s="331"/>
      <c r="L1012" s="331"/>
      <c r="M1012" s="331"/>
      <c r="N1012" s="331"/>
      <c r="O1012" s="331"/>
      <c r="P1012" s="331"/>
      <c r="Q1012" s="331"/>
      <c r="R1012" s="331"/>
      <c r="S1012" s="331"/>
      <c r="T1012" s="331"/>
      <c r="U1012" s="331"/>
      <c r="V1012" s="331"/>
      <c r="W1012" s="331"/>
      <c r="X1012" s="331"/>
      <c r="Y1012" s="331"/>
      <c r="Z1012" s="331"/>
      <c r="AA1012" s="331"/>
      <c r="AB1012" s="331"/>
      <c r="AC1012" s="331"/>
      <c r="AD1012" s="331"/>
      <c r="AE1012" s="331"/>
      <c r="AF1012" s="331"/>
    </row>
    <row r="1013" spans="3:32" s="301" customFormat="1">
      <c r="C1013" s="10"/>
      <c r="D1013" s="29"/>
      <c r="E1013" s="29"/>
      <c r="F1013" s="36"/>
      <c r="G1013" s="331"/>
      <c r="H1013" s="331"/>
      <c r="I1013" s="331"/>
      <c r="J1013" s="331"/>
      <c r="K1013" s="331"/>
      <c r="L1013" s="331"/>
      <c r="M1013" s="331"/>
      <c r="N1013" s="331"/>
      <c r="O1013" s="331"/>
      <c r="P1013" s="331"/>
      <c r="Q1013" s="331"/>
      <c r="R1013" s="331"/>
      <c r="S1013" s="331"/>
      <c r="T1013" s="331"/>
      <c r="U1013" s="331"/>
      <c r="V1013" s="331"/>
      <c r="W1013" s="331"/>
      <c r="X1013" s="331"/>
      <c r="Y1013" s="331"/>
      <c r="Z1013" s="331"/>
      <c r="AA1013" s="331"/>
      <c r="AB1013" s="331"/>
      <c r="AC1013" s="331"/>
      <c r="AD1013" s="331"/>
      <c r="AE1013" s="331"/>
      <c r="AF1013" s="331"/>
    </row>
    <row r="1014" spans="3:32" s="301" customFormat="1">
      <c r="C1014" s="10"/>
      <c r="D1014" s="29"/>
      <c r="E1014" s="29"/>
      <c r="F1014" s="36"/>
      <c r="G1014" s="331"/>
      <c r="H1014" s="331"/>
      <c r="I1014" s="331"/>
      <c r="J1014" s="331"/>
      <c r="K1014" s="331"/>
      <c r="L1014" s="331"/>
      <c r="M1014" s="331"/>
      <c r="N1014" s="331"/>
      <c r="O1014" s="331"/>
      <c r="P1014" s="331"/>
      <c r="Q1014" s="331"/>
      <c r="R1014" s="331"/>
      <c r="S1014" s="331"/>
      <c r="T1014" s="331"/>
      <c r="U1014" s="331"/>
      <c r="V1014" s="331"/>
      <c r="W1014" s="331"/>
      <c r="X1014" s="331"/>
      <c r="Y1014" s="331"/>
      <c r="Z1014" s="331"/>
      <c r="AA1014" s="331"/>
      <c r="AB1014" s="331"/>
      <c r="AC1014" s="331"/>
      <c r="AD1014" s="331"/>
      <c r="AE1014" s="331"/>
      <c r="AF1014" s="331"/>
    </row>
    <row r="1015" spans="3:32" s="301" customFormat="1">
      <c r="C1015" s="10"/>
      <c r="D1015" s="29"/>
      <c r="E1015" s="29"/>
      <c r="F1015" s="36"/>
      <c r="G1015" s="331"/>
      <c r="H1015" s="331"/>
      <c r="I1015" s="331"/>
      <c r="J1015" s="331"/>
      <c r="K1015" s="331"/>
      <c r="L1015" s="331"/>
      <c r="M1015" s="331"/>
      <c r="N1015" s="331"/>
      <c r="O1015" s="331"/>
      <c r="P1015" s="331"/>
      <c r="Q1015" s="331"/>
      <c r="R1015" s="331"/>
      <c r="S1015" s="331"/>
      <c r="T1015" s="331"/>
      <c r="U1015" s="331"/>
      <c r="V1015" s="331"/>
      <c r="W1015" s="331"/>
      <c r="X1015" s="331"/>
      <c r="Y1015" s="331"/>
      <c r="Z1015" s="331"/>
      <c r="AA1015" s="331"/>
      <c r="AB1015" s="331"/>
      <c r="AC1015" s="331"/>
      <c r="AD1015" s="331"/>
      <c r="AE1015" s="331"/>
      <c r="AF1015" s="331"/>
    </row>
    <row r="1016" spans="3:32" s="301" customFormat="1">
      <c r="C1016" s="10"/>
      <c r="D1016" s="29"/>
      <c r="E1016" s="29"/>
      <c r="F1016" s="36"/>
      <c r="G1016" s="331"/>
      <c r="H1016" s="331"/>
      <c r="I1016" s="331"/>
      <c r="J1016" s="331"/>
      <c r="K1016" s="331"/>
      <c r="L1016" s="331"/>
      <c r="M1016" s="331"/>
      <c r="N1016" s="331"/>
      <c r="O1016" s="331"/>
      <c r="P1016" s="331"/>
      <c r="Q1016" s="331"/>
      <c r="R1016" s="331"/>
      <c r="S1016" s="331"/>
      <c r="T1016" s="331"/>
      <c r="U1016" s="331"/>
      <c r="V1016" s="331"/>
      <c r="W1016" s="331"/>
      <c r="X1016" s="331"/>
      <c r="Y1016" s="331"/>
      <c r="Z1016" s="331"/>
      <c r="AA1016" s="331"/>
      <c r="AB1016" s="331"/>
      <c r="AC1016" s="331"/>
      <c r="AD1016" s="331"/>
      <c r="AE1016" s="331"/>
      <c r="AF1016" s="331"/>
    </row>
    <row r="1017" spans="3:32" s="301" customFormat="1">
      <c r="C1017" s="10"/>
      <c r="D1017" s="29"/>
      <c r="E1017" s="29"/>
      <c r="F1017" s="36"/>
      <c r="G1017" s="331"/>
      <c r="H1017" s="331"/>
      <c r="I1017" s="331"/>
      <c r="J1017" s="331"/>
      <c r="K1017" s="331"/>
      <c r="L1017" s="331"/>
      <c r="M1017" s="331"/>
      <c r="N1017" s="331"/>
      <c r="O1017" s="331"/>
      <c r="P1017" s="331"/>
      <c r="Q1017" s="331"/>
      <c r="R1017" s="331"/>
      <c r="S1017" s="331"/>
      <c r="T1017" s="331"/>
      <c r="U1017" s="331"/>
      <c r="V1017" s="331"/>
      <c r="W1017" s="331"/>
      <c r="X1017" s="331"/>
      <c r="Y1017" s="331"/>
      <c r="Z1017" s="331"/>
      <c r="AA1017" s="331"/>
      <c r="AB1017" s="331"/>
      <c r="AC1017" s="331"/>
      <c r="AD1017" s="331"/>
      <c r="AE1017" s="331"/>
      <c r="AF1017" s="331"/>
    </row>
    <row r="1018" spans="3:32" s="301" customFormat="1">
      <c r="C1018" s="10"/>
      <c r="D1018" s="29"/>
      <c r="E1018" s="29"/>
      <c r="F1018" s="36"/>
      <c r="G1018" s="331"/>
      <c r="H1018" s="331"/>
      <c r="I1018" s="331"/>
      <c r="J1018" s="331"/>
      <c r="K1018" s="331"/>
      <c r="L1018" s="331"/>
      <c r="M1018" s="331"/>
      <c r="N1018" s="331"/>
      <c r="O1018" s="331"/>
      <c r="P1018" s="331"/>
      <c r="Q1018" s="331"/>
      <c r="R1018" s="331"/>
      <c r="S1018" s="331"/>
      <c r="T1018" s="331"/>
      <c r="U1018" s="331"/>
      <c r="V1018" s="331"/>
      <c r="W1018" s="331"/>
      <c r="X1018" s="331"/>
      <c r="Y1018" s="331"/>
      <c r="Z1018" s="331"/>
      <c r="AA1018" s="331"/>
      <c r="AB1018" s="331"/>
      <c r="AC1018" s="331"/>
      <c r="AD1018" s="331"/>
      <c r="AE1018" s="331"/>
      <c r="AF1018" s="331"/>
    </row>
    <row r="1019" spans="3:32" s="301" customFormat="1">
      <c r="C1019" s="10"/>
      <c r="D1019" s="29"/>
      <c r="E1019" s="29"/>
      <c r="F1019" s="36"/>
      <c r="G1019" s="331"/>
      <c r="H1019" s="331"/>
      <c r="I1019" s="331"/>
      <c r="J1019" s="331"/>
      <c r="K1019" s="331"/>
      <c r="L1019" s="331"/>
      <c r="M1019" s="331"/>
      <c r="N1019" s="331"/>
      <c r="O1019" s="331"/>
      <c r="P1019" s="331"/>
      <c r="Q1019" s="331"/>
      <c r="R1019" s="331"/>
      <c r="S1019" s="331"/>
      <c r="T1019" s="331"/>
      <c r="U1019" s="331"/>
      <c r="V1019" s="331"/>
      <c r="W1019" s="331"/>
      <c r="X1019" s="331"/>
      <c r="Y1019" s="331"/>
      <c r="Z1019" s="331"/>
      <c r="AA1019" s="331"/>
      <c r="AB1019" s="331"/>
      <c r="AC1019" s="331"/>
      <c r="AD1019" s="331"/>
      <c r="AE1019" s="331"/>
      <c r="AF1019" s="331"/>
    </row>
    <row r="1020" spans="3:32" s="301" customFormat="1">
      <c r="C1020" s="10"/>
      <c r="D1020" s="29"/>
      <c r="E1020" s="29"/>
      <c r="F1020" s="36"/>
      <c r="G1020" s="331"/>
      <c r="H1020" s="331"/>
      <c r="I1020" s="331"/>
      <c r="J1020" s="331"/>
      <c r="K1020" s="331"/>
      <c r="L1020" s="331"/>
      <c r="M1020" s="331"/>
      <c r="N1020" s="331"/>
      <c r="O1020" s="331"/>
      <c r="P1020" s="331"/>
      <c r="Q1020" s="331"/>
      <c r="R1020" s="331"/>
      <c r="S1020" s="331"/>
      <c r="T1020" s="331"/>
      <c r="U1020" s="331"/>
      <c r="V1020" s="331"/>
      <c r="W1020" s="331"/>
      <c r="X1020" s="331"/>
      <c r="Y1020" s="331"/>
      <c r="Z1020" s="331"/>
      <c r="AA1020" s="331"/>
      <c r="AB1020" s="331"/>
      <c r="AC1020" s="331"/>
      <c r="AD1020" s="331"/>
      <c r="AE1020" s="331"/>
      <c r="AF1020" s="331"/>
    </row>
    <row r="1021" spans="3:32" s="301" customFormat="1">
      <c r="C1021" s="10"/>
      <c r="D1021" s="29"/>
      <c r="E1021" s="29"/>
      <c r="F1021" s="36"/>
      <c r="G1021" s="331"/>
      <c r="H1021" s="331"/>
      <c r="I1021" s="331"/>
      <c r="J1021" s="331"/>
      <c r="K1021" s="331"/>
      <c r="L1021" s="331"/>
      <c r="M1021" s="331"/>
      <c r="N1021" s="331"/>
      <c r="O1021" s="331"/>
      <c r="P1021" s="331"/>
      <c r="Q1021" s="331"/>
      <c r="R1021" s="331"/>
      <c r="S1021" s="331"/>
      <c r="T1021" s="331"/>
      <c r="U1021" s="331"/>
      <c r="V1021" s="331"/>
      <c r="W1021" s="331"/>
      <c r="X1021" s="331"/>
      <c r="Y1021" s="331"/>
      <c r="Z1021" s="331"/>
      <c r="AA1021" s="331"/>
      <c r="AB1021" s="331"/>
      <c r="AC1021" s="331"/>
      <c r="AD1021" s="331"/>
      <c r="AE1021" s="331"/>
      <c r="AF1021" s="331"/>
    </row>
    <row r="1022" spans="3:32" s="301" customFormat="1">
      <c r="C1022" s="10"/>
      <c r="D1022" s="29"/>
      <c r="E1022" s="29"/>
      <c r="F1022" s="36"/>
      <c r="G1022" s="331"/>
      <c r="H1022" s="331"/>
      <c r="I1022" s="331"/>
      <c r="J1022" s="331"/>
      <c r="K1022" s="331"/>
      <c r="L1022" s="331"/>
      <c r="M1022" s="331"/>
      <c r="N1022" s="331"/>
      <c r="O1022" s="331"/>
      <c r="P1022" s="331"/>
      <c r="Q1022" s="331"/>
      <c r="R1022" s="331"/>
      <c r="S1022" s="331"/>
      <c r="T1022" s="331"/>
      <c r="U1022" s="331"/>
      <c r="V1022" s="331"/>
      <c r="W1022" s="331"/>
      <c r="X1022" s="331"/>
      <c r="Y1022" s="331"/>
      <c r="Z1022" s="331"/>
      <c r="AA1022" s="331"/>
      <c r="AB1022" s="331"/>
      <c r="AC1022" s="331"/>
      <c r="AD1022" s="331"/>
      <c r="AE1022" s="331"/>
      <c r="AF1022" s="331"/>
    </row>
    <row r="1023" spans="3:32" s="301" customFormat="1">
      <c r="C1023" s="10"/>
      <c r="D1023" s="29"/>
      <c r="E1023" s="29"/>
      <c r="F1023" s="36"/>
      <c r="G1023" s="331"/>
      <c r="H1023" s="331"/>
      <c r="I1023" s="331"/>
      <c r="J1023" s="331"/>
      <c r="K1023" s="331"/>
      <c r="L1023" s="331"/>
      <c r="M1023" s="331"/>
      <c r="N1023" s="331"/>
      <c r="O1023" s="331"/>
      <c r="P1023" s="331"/>
      <c r="Q1023" s="331"/>
      <c r="R1023" s="331"/>
      <c r="S1023" s="331"/>
      <c r="T1023" s="331"/>
      <c r="U1023" s="331"/>
      <c r="V1023" s="331"/>
      <c r="W1023" s="331"/>
      <c r="X1023" s="331"/>
      <c r="Y1023" s="331"/>
      <c r="Z1023" s="331"/>
      <c r="AA1023" s="331"/>
      <c r="AB1023" s="331"/>
      <c r="AC1023" s="331"/>
      <c r="AD1023" s="331"/>
      <c r="AE1023" s="331"/>
      <c r="AF1023" s="331"/>
    </row>
    <row r="1024" spans="3:32" s="301" customFormat="1">
      <c r="C1024" s="10"/>
      <c r="D1024" s="29"/>
      <c r="E1024" s="29"/>
      <c r="F1024" s="36"/>
      <c r="G1024" s="331"/>
      <c r="H1024" s="331"/>
      <c r="I1024" s="331"/>
      <c r="J1024" s="331"/>
      <c r="K1024" s="331"/>
      <c r="L1024" s="331"/>
      <c r="M1024" s="331"/>
      <c r="N1024" s="331"/>
      <c r="O1024" s="331"/>
      <c r="P1024" s="331"/>
      <c r="Q1024" s="331"/>
      <c r="R1024" s="331"/>
      <c r="S1024" s="331"/>
      <c r="T1024" s="331"/>
      <c r="U1024" s="331"/>
      <c r="V1024" s="331"/>
      <c r="W1024" s="331"/>
      <c r="X1024" s="331"/>
      <c r="Y1024" s="331"/>
      <c r="Z1024" s="331"/>
      <c r="AA1024" s="331"/>
      <c r="AB1024" s="331"/>
      <c r="AC1024" s="331"/>
      <c r="AD1024" s="331"/>
      <c r="AE1024" s="331"/>
      <c r="AF1024" s="331"/>
    </row>
    <row r="1025" spans="3:32" s="301" customFormat="1">
      <c r="C1025" s="10"/>
      <c r="D1025" s="29"/>
      <c r="E1025" s="29"/>
      <c r="F1025" s="36"/>
      <c r="G1025" s="331"/>
      <c r="H1025" s="331"/>
      <c r="I1025" s="331"/>
      <c r="J1025" s="331"/>
      <c r="K1025" s="331"/>
      <c r="L1025" s="331"/>
      <c r="M1025" s="331"/>
      <c r="N1025" s="331"/>
      <c r="O1025" s="331"/>
      <c r="P1025" s="331"/>
      <c r="Q1025" s="331"/>
      <c r="R1025" s="331"/>
      <c r="S1025" s="331"/>
      <c r="T1025" s="331"/>
      <c r="U1025" s="331"/>
      <c r="V1025" s="331"/>
      <c r="W1025" s="331"/>
      <c r="X1025" s="331"/>
      <c r="Y1025" s="331"/>
      <c r="Z1025" s="331"/>
      <c r="AA1025" s="331"/>
      <c r="AB1025" s="331"/>
      <c r="AC1025" s="331"/>
      <c r="AD1025" s="331"/>
      <c r="AE1025" s="331"/>
      <c r="AF1025" s="331"/>
    </row>
    <row r="1026" spans="3:32" s="301" customFormat="1">
      <c r="C1026" s="10"/>
      <c r="D1026" s="29"/>
      <c r="E1026" s="29"/>
      <c r="F1026" s="36"/>
      <c r="G1026" s="331"/>
      <c r="H1026" s="331"/>
      <c r="I1026" s="331"/>
      <c r="J1026" s="331"/>
      <c r="K1026" s="331"/>
      <c r="L1026" s="331"/>
      <c r="M1026" s="331"/>
      <c r="N1026" s="331"/>
      <c r="O1026" s="331"/>
      <c r="P1026" s="331"/>
      <c r="Q1026" s="331"/>
      <c r="R1026" s="331"/>
      <c r="S1026" s="331"/>
      <c r="T1026" s="331"/>
      <c r="U1026" s="331"/>
      <c r="V1026" s="331"/>
      <c r="W1026" s="331"/>
      <c r="X1026" s="331"/>
      <c r="Y1026" s="331"/>
      <c r="Z1026" s="331"/>
      <c r="AA1026" s="331"/>
      <c r="AB1026" s="331"/>
      <c r="AC1026" s="331"/>
      <c r="AD1026" s="331"/>
      <c r="AE1026" s="331"/>
      <c r="AF1026" s="331"/>
    </row>
    <row r="1027" spans="3:32" s="301" customFormat="1">
      <c r="C1027" s="10"/>
      <c r="D1027" s="29"/>
      <c r="E1027" s="29"/>
      <c r="F1027" s="36"/>
      <c r="G1027" s="331"/>
      <c r="H1027" s="331"/>
      <c r="I1027" s="331"/>
      <c r="J1027" s="331"/>
      <c r="K1027" s="331"/>
      <c r="L1027" s="331"/>
      <c r="M1027" s="331"/>
      <c r="N1027" s="331"/>
      <c r="O1027" s="331"/>
      <c r="P1027" s="331"/>
      <c r="Q1027" s="331"/>
      <c r="R1027" s="331"/>
      <c r="S1027" s="331"/>
      <c r="T1027" s="331"/>
      <c r="U1027" s="331"/>
      <c r="V1027" s="331"/>
      <c r="W1027" s="331"/>
      <c r="X1027" s="331"/>
      <c r="Y1027" s="331"/>
      <c r="Z1027" s="331"/>
      <c r="AA1027" s="331"/>
      <c r="AB1027" s="331"/>
      <c r="AC1027" s="331"/>
      <c r="AD1027" s="331"/>
      <c r="AE1027" s="331"/>
      <c r="AF1027" s="331"/>
    </row>
    <row r="1028" spans="3:32" s="301" customFormat="1">
      <c r="C1028" s="10"/>
      <c r="D1028" s="29"/>
      <c r="E1028" s="29"/>
      <c r="F1028" s="36"/>
      <c r="G1028" s="331"/>
      <c r="H1028" s="331"/>
      <c r="I1028" s="331"/>
      <c r="J1028" s="331"/>
      <c r="K1028" s="331"/>
      <c r="L1028" s="331"/>
      <c r="M1028" s="331"/>
      <c r="N1028" s="331"/>
      <c r="O1028" s="331"/>
      <c r="P1028" s="331"/>
      <c r="Q1028" s="331"/>
      <c r="R1028" s="331"/>
      <c r="S1028" s="331"/>
      <c r="T1028" s="331"/>
      <c r="U1028" s="331"/>
      <c r="V1028" s="331"/>
      <c r="W1028" s="331"/>
      <c r="X1028" s="331"/>
      <c r="Y1028" s="331"/>
      <c r="Z1028" s="331"/>
      <c r="AA1028" s="331"/>
      <c r="AB1028" s="331"/>
      <c r="AC1028" s="331"/>
      <c r="AD1028" s="331"/>
      <c r="AE1028" s="331"/>
      <c r="AF1028" s="331"/>
    </row>
    <row r="1029" spans="3:32" s="301" customFormat="1">
      <c r="C1029" s="10"/>
      <c r="D1029" s="29"/>
      <c r="E1029" s="29"/>
      <c r="F1029" s="36"/>
      <c r="G1029" s="331"/>
      <c r="H1029" s="331"/>
      <c r="I1029" s="331"/>
      <c r="J1029" s="331"/>
      <c r="K1029" s="331"/>
      <c r="L1029" s="331"/>
      <c r="M1029" s="331"/>
      <c r="N1029" s="331"/>
      <c r="O1029" s="331"/>
      <c r="P1029" s="331"/>
      <c r="Q1029" s="331"/>
      <c r="R1029" s="331"/>
      <c r="S1029" s="331"/>
      <c r="T1029" s="331"/>
      <c r="U1029" s="331"/>
      <c r="V1029" s="331"/>
      <c r="W1029" s="331"/>
      <c r="X1029" s="331"/>
      <c r="Y1029" s="331"/>
      <c r="Z1029" s="331"/>
      <c r="AA1029" s="331"/>
      <c r="AB1029" s="331"/>
      <c r="AC1029" s="331"/>
      <c r="AD1029" s="331"/>
      <c r="AE1029" s="331"/>
      <c r="AF1029" s="331"/>
    </row>
    <row r="1030" spans="3:32" s="301" customFormat="1">
      <c r="C1030" s="10"/>
      <c r="D1030" s="29"/>
      <c r="E1030" s="29"/>
      <c r="F1030" s="36"/>
      <c r="G1030" s="331"/>
      <c r="H1030" s="331"/>
      <c r="I1030" s="331"/>
      <c r="J1030" s="331"/>
      <c r="K1030" s="331"/>
      <c r="L1030" s="331"/>
      <c r="M1030" s="331"/>
      <c r="N1030" s="331"/>
      <c r="O1030" s="331"/>
      <c r="P1030" s="331"/>
      <c r="Q1030" s="331"/>
      <c r="R1030" s="331"/>
      <c r="S1030" s="331"/>
      <c r="T1030" s="331"/>
      <c r="U1030" s="331"/>
      <c r="V1030" s="331"/>
      <c r="W1030" s="331"/>
      <c r="X1030" s="331"/>
      <c r="Y1030" s="331"/>
      <c r="Z1030" s="331"/>
      <c r="AA1030" s="331"/>
      <c r="AB1030" s="331"/>
      <c r="AC1030" s="331"/>
      <c r="AD1030" s="331"/>
      <c r="AE1030" s="331"/>
      <c r="AF1030" s="331"/>
    </row>
    <row r="1031" spans="3:32" s="301" customFormat="1">
      <c r="C1031" s="10"/>
      <c r="D1031" s="29"/>
      <c r="E1031" s="29"/>
      <c r="F1031" s="36"/>
      <c r="G1031" s="331"/>
      <c r="H1031" s="331"/>
      <c r="I1031" s="331"/>
      <c r="J1031" s="331"/>
      <c r="K1031" s="331"/>
      <c r="L1031" s="331"/>
      <c r="M1031" s="331"/>
      <c r="N1031" s="331"/>
      <c r="O1031" s="331"/>
      <c r="P1031" s="331"/>
      <c r="Q1031" s="331"/>
      <c r="R1031" s="331"/>
      <c r="S1031" s="331"/>
      <c r="T1031" s="331"/>
      <c r="U1031" s="331"/>
      <c r="V1031" s="331"/>
      <c r="W1031" s="331"/>
      <c r="X1031" s="331"/>
      <c r="Y1031" s="331"/>
      <c r="Z1031" s="331"/>
      <c r="AA1031" s="331"/>
      <c r="AB1031" s="331"/>
      <c r="AC1031" s="331"/>
      <c r="AD1031" s="331"/>
      <c r="AE1031" s="331"/>
      <c r="AF1031" s="331"/>
    </row>
    <row r="1032" spans="3:32" s="301" customFormat="1">
      <c r="C1032" s="10"/>
      <c r="D1032" s="29"/>
      <c r="E1032" s="29"/>
      <c r="F1032" s="36"/>
      <c r="G1032" s="331"/>
      <c r="H1032" s="331"/>
      <c r="I1032" s="331"/>
      <c r="J1032" s="331"/>
      <c r="K1032" s="331"/>
      <c r="L1032" s="331"/>
      <c r="M1032" s="331"/>
      <c r="N1032" s="331"/>
      <c r="O1032" s="331"/>
      <c r="P1032" s="331"/>
      <c r="Q1032" s="331"/>
      <c r="R1032" s="331"/>
      <c r="S1032" s="331"/>
      <c r="T1032" s="331"/>
      <c r="U1032" s="331"/>
      <c r="V1032" s="331"/>
      <c r="W1032" s="331"/>
      <c r="X1032" s="331"/>
      <c r="Y1032" s="331"/>
      <c r="Z1032" s="331"/>
      <c r="AA1032" s="331"/>
      <c r="AB1032" s="331"/>
      <c r="AC1032" s="331"/>
      <c r="AD1032" s="331"/>
      <c r="AE1032" s="331"/>
      <c r="AF1032" s="331"/>
    </row>
  </sheetData>
  <sheetProtection algorithmName="SHA-512" hashValue="I/H8KB5pxkre0SPM2iJJeBVuFNBM6J9saDJKzlYbzGW1pFcSg4dueqf0sEEAmcAmDH8v+VlWrem5ytq3CsrxfQ==" saltValue="EAvQbNVojbe9FqBwT/ZEfQ==" spinCount="100000" sheet="1" objects="1" scenarios="1"/>
  <pageMargins left="0.7" right="0.7" top="0.78740157499999996" bottom="0.78740157499999996" header="0.3" footer="0.3"/>
  <pageSetup paperSize="9"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00B0F0"/>
  </sheetPr>
  <dimension ref="B1:AE59"/>
  <sheetViews>
    <sheetView workbookViewId="0"/>
  </sheetViews>
  <sheetFormatPr baseColWidth="10" defaultColWidth="11.42578125" defaultRowHeight="14.25"/>
  <cols>
    <col min="1" max="1" width="3.85546875" style="562" customWidth="1"/>
    <col min="2" max="2" width="2" style="564" customWidth="1"/>
    <col min="3" max="3" width="11.42578125" style="564"/>
    <col min="4" max="4" width="22.28515625" style="564" customWidth="1"/>
    <col min="5" max="5" width="17" style="564" customWidth="1"/>
    <col min="6" max="7" width="18" style="564" customWidth="1"/>
    <col min="8" max="9" width="22" style="562" customWidth="1"/>
    <col min="10" max="10" width="23.5703125" style="562" customWidth="1"/>
    <col min="11" max="15" width="11.140625" style="562" bestFit="1" customWidth="1"/>
    <col min="16" max="16" width="6.28515625" style="562" bestFit="1" customWidth="1"/>
    <col min="17" max="18" width="6.7109375" style="562" bestFit="1" customWidth="1"/>
    <col min="19" max="22" width="15.42578125" style="562" bestFit="1" customWidth="1"/>
    <col min="23" max="25" width="16.28515625" style="562" bestFit="1" customWidth="1"/>
    <col min="26" max="26" width="15.85546875" style="562" bestFit="1" customWidth="1"/>
    <col min="27" max="27" width="16.28515625" style="562" bestFit="1" customWidth="1"/>
    <col min="28" max="28" width="16.85546875" style="562" bestFit="1" customWidth="1"/>
    <col min="29" max="29" width="16.28515625" style="562" bestFit="1" customWidth="1"/>
    <col min="30" max="30" width="15.85546875" style="562" bestFit="1" customWidth="1"/>
    <col min="31" max="31" width="15.42578125" style="562" bestFit="1" customWidth="1"/>
    <col min="32" max="16384" width="11.42578125" style="562"/>
  </cols>
  <sheetData>
    <row r="1" spans="2:31" ht="15">
      <c r="B1" s="1021" t="s">
        <v>658</v>
      </c>
      <c r="C1" s="1022"/>
      <c r="D1" s="1022"/>
      <c r="E1" s="1022"/>
      <c r="F1" s="1022"/>
      <c r="G1" s="1022"/>
      <c r="H1" s="1023"/>
      <c r="I1" s="1023"/>
      <c r="J1" s="1023"/>
    </row>
    <row r="2" spans="2:31" ht="15.75">
      <c r="B2" s="945"/>
      <c r="C2" s="945"/>
      <c r="D2" s="945"/>
      <c r="E2" s="945"/>
      <c r="F2" s="946"/>
      <c r="G2" s="946"/>
      <c r="H2" s="946"/>
      <c r="I2" s="946"/>
      <c r="J2" s="945"/>
      <c r="K2" s="945"/>
      <c r="L2" s="945"/>
      <c r="M2" s="945"/>
      <c r="N2" s="945"/>
      <c r="O2" s="945"/>
      <c r="P2" s="945"/>
      <c r="Q2" s="945"/>
      <c r="R2" s="945"/>
      <c r="S2" s="945"/>
      <c r="T2" s="945"/>
      <c r="U2" s="945"/>
      <c r="V2" s="945"/>
      <c r="W2" s="945"/>
      <c r="X2" s="945"/>
      <c r="Y2" s="945"/>
      <c r="Z2" s="945"/>
      <c r="AA2" s="945"/>
      <c r="AB2" s="945"/>
      <c r="AC2" s="945"/>
      <c r="AD2" s="945"/>
      <c r="AE2" s="945"/>
    </row>
    <row r="3" spans="2:31">
      <c r="B3" s="945"/>
      <c r="C3" s="945"/>
      <c r="D3" s="945"/>
      <c r="E3" s="945"/>
      <c r="F3" s="945"/>
      <c r="G3" s="945"/>
      <c r="H3" s="945"/>
      <c r="I3" s="945"/>
      <c r="J3" s="945"/>
      <c r="K3" s="70">
        <v>2015</v>
      </c>
      <c r="L3" s="70">
        <v>2016</v>
      </c>
      <c r="M3" s="70">
        <v>2017</v>
      </c>
      <c r="N3" s="70">
        <v>2018</v>
      </c>
      <c r="O3" s="70">
        <v>2019</v>
      </c>
      <c r="P3" s="70">
        <v>2020</v>
      </c>
      <c r="Q3" s="70">
        <v>2021</v>
      </c>
      <c r="R3" s="70">
        <v>2022</v>
      </c>
      <c r="S3" s="70">
        <v>2023</v>
      </c>
      <c r="T3" s="70">
        <v>2024</v>
      </c>
      <c r="U3" s="70">
        <v>2025</v>
      </c>
      <c r="V3" s="70">
        <v>2026</v>
      </c>
      <c r="W3" s="70">
        <v>2027</v>
      </c>
      <c r="X3" s="70">
        <v>2028</v>
      </c>
      <c r="Y3" s="70">
        <v>2029</v>
      </c>
      <c r="Z3" s="70">
        <v>2030</v>
      </c>
      <c r="AA3" s="70">
        <v>2031</v>
      </c>
      <c r="AB3" s="70">
        <v>2032</v>
      </c>
      <c r="AC3" s="70">
        <v>2033</v>
      </c>
      <c r="AD3" s="70">
        <v>2034</v>
      </c>
      <c r="AE3" s="70">
        <v>2035</v>
      </c>
    </row>
    <row r="4" spans="2:31" ht="15">
      <c r="B4" s="945"/>
      <c r="C4" s="945"/>
      <c r="D4" s="945"/>
      <c r="E4" s="945"/>
      <c r="F4" s="945"/>
      <c r="G4" s="945"/>
      <c r="H4" s="945"/>
      <c r="I4" s="945"/>
      <c r="J4" s="947" t="s">
        <v>11</v>
      </c>
      <c r="K4" s="308">
        <f>'MOD-Berechnungen'!K52</f>
        <v>1</v>
      </c>
      <c r="L4" s="308">
        <f>'MOD-Berechnungen'!L52</f>
        <v>1</v>
      </c>
      <c r="M4" s="308">
        <f>'MOD-Berechnungen'!M52</f>
        <v>1</v>
      </c>
      <c r="N4" s="308">
        <f>'MOD-Berechnungen'!N52</f>
        <v>1</v>
      </c>
      <c r="O4" s="308">
        <f>'MOD-Berechnungen'!O52</f>
        <v>1</v>
      </c>
      <c r="P4" s="308">
        <f>'MOD-Berechnungen'!P52</f>
        <v>1</v>
      </c>
      <c r="Q4" s="308">
        <f>'MOD-Berechnungen'!Q52</f>
        <v>1</v>
      </c>
      <c r="R4" s="308">
        <f>'MOD-Berechnungen'!R52</f>
        <v>1</v>
      </c>
      <c r="S4" s="308">
        <f>'MOD-Berechnungen'!S52</f>
        <v>1</v>
      </c>
      <c r="T4" s="308">
        <f>'MOD-Berechnungen'!T52</f>
        <v>1</v>
      </c>
      <c r="U4" s="308">
        <f>'MOD-Berechnungen'!U52</f>
        <v>1</v>
      </c>
      <c r="V4" s="308">
        <f>'MOD-Berechnungen'!V52</f>
        <v>1</v>
      </c>
      <c r="W4" s="308">
        <f>'MOD-Berechnungen'!W52</f>
        <v>1</v>
      </c>
      <c r="X4" s="308">
        <f>'MOD-Berechnungen'!X52</f>
        <v>1</v>
      </c>
      <c r="Y4" s="308">
        <f>'MOD-Berechnungen'!Y52</f>
        <v>1</v>
      </c>
      <c r="Z4" s="308">
        <f>'MOD-Berechnungen'!Z52</f>
        <v>1</v>
      </c>
      <c r="AA4" s="308">
        <f>'MOD-Berechnungen'!AA52</f>
        <v>1</v>
      </c>
      <c r="AB4" s="308">
        <f>'MOD-Berechnungen'!AB52</f>
        <v>1</v>
      </c>
      <c r="AC4" s="308">
        <f>'MOD-Berechnungen'!AC52</f>
        <v>1</v>
      </c>
      <c r="AD4" s="308">
        <f>'MOD-Berechnungen'!AD52</f>
        <v>1</v>
      </c>
      <c r="AE4" s="308">
        <f>'MOD-Berechnungen'!AE52</f>
        <v>1</v>
      </c>
    </row>
    <row r="5" spans="2:31" ht="31.5">
      <c r="B5" s="945"/>
      <c r="C5" s="945"/>
      <c r="D5" s="945"/>
      <c r="E5" s="945"/>
      <c r="F5" s="945"/>
      <c r="G5" s="945"/>
      <c r="H5" s="945"/>
      <c r="I5" s="945"/>
      <c r="J5" s="1116" t="s">
        <v>421</v>
      </c>
      <c r="K5" s="949"/>
      <c r="L5" s="949"/>
      <c r="M5" s="949"/>
      <c r="N5" s="949"/>
      <c r="O5" s="949"/>
      <c r="P5" s="949"/>
      <c r="Q5" s="949"/>
      <c r="R5" s="949"/>
      <c r="S5" s="949"/>
      <c r="T5" s="949"/>
      <c r="U5" s="949"/>
      <c r="V5" s="949"/>
      <c r="W5" s="949"/>
      <c r="X5" s="949"/>
      <c r="Y5" s="949"/>
      <c r="Z5" s="945"/>
      <c r="AA5" s="945"/>
      <c r="AB5" s="945"/>
      <c r="AC5" s="945"/>
      <c r="AD5" s="945"/>
      <c r="AE5" s="945"/>
    </row>
    <row r="6" spans="2:31" ht="15">
      <c r="B6" s="945"/>
      <c r="C6" s="945"/>
      <c r="D6" s="945"/>
      <c r="E6" s="945"/>
      <c r="F6" s="945"/>
      <c r="G6" s="945"/>
      <c r="H6" s="945"/>
      <c r="I6" s="945"/>
      <c r="J6" s="949"/>
      <c r="K6" s="949"/>
      <c r="L6" s="949"/>
      <c r="M6" s="949"/>
      <c r="N6" s="949"/>
      <c r="O6" s="949"/>
      <c r="P6" s="949"/>
      <c r="Q6" s="949"/>
      <c r="R6" s="949"/>
      <c r="S6" s="949"/>
      <c r="T6" s="949"/>
      <c r="U6" s="949"/>
      <c r="V6" s="949"/>
      <c r="W6" s="949"/>
      <c r="X6" s="949"/>
      <c r="Y6" s="949"/>
      <c r="Z6" s="945"/>
      <c r="AA6" s="945"/>
      <c r="AB6" s="945"/>
      <c r="AC6" s="945"/>
      <c r="AD6" s="945"/>
      <c r="AE6" s="945"/>
    </row>
    <row r="7" spans="2:31" ht="15">
      <c r="B7" s="945"/>
      <c r="C7" s="945"/>
      <c r="D7" s="945"/>
      <c r="E7" s="945"/>
      <c r="F7" s="945"/>
      <c r="G7" s="945"/>
      <c r="H7" s="945"/>
      <c r="I7" s="945"/>
      <c r="J7" s="949"/>
      <c r="K7" s="949"/>
      <c r="L7" s="949"/>
      <c r="M7" s="949"/>
      <c r="N7" s="949"/>
      <c r="O7" s="949"/>
      <c r="P7" s="949"/>
      <c r="Q7" s="949"/>
      <c r="R7" s="949"/>
      <c r="S7" s="949"/>
      <c r="T7" s="949"/>
      <c r="U7" s="949"/>
      <c r="V7" s="949"/>
      <c r="W7" s="949"/>
      <c r="X7" s="949"/>
      <c r="Y7" s="949"/>
      <c r="Z7" s="945"/>
      <c r="AA7" s="945"/>
      <c r="AB7" s="945"/>
      <c r="AC7" s="945"/>
      <c r="AD7" s="945"/>
      <c r="AE7" s="945"/>
    </row>
    <row r="8" spans="2:31" ht="15">
      <c r="B8" s="945"/>
      <c r="C8" s="945"/>
      <c r="D8" s="945"/>
      <c r="E8" s="945"/>
      <c r="F8" s="945"/>
      <c r="G8" s="945"/>
      <c r="H8" s="945"/>
      <c r="I8" s="945"/>
      <c r="J8" s="949"/>
      <c r="K8" s="949"/>
      <c r="L8" s="949"/>
      <c r="M8" s="949"/>
      <c r="N8" s="949"/>
      <c r="O8" s="949"/>
      <c r="P8" s="949"/>
      <c r="Q8" s="949"/>
      <c r="R8" s="949"/>
      <c r="S8" s="949"/>
      <c r="T8" s="949"/>
      <c r="U8" s="949"/>
      <c r="V8" s="949"/>
      <c r="W8" s="949"/>
      <c r="X8" s="949"/>
      <c r="Y8" s="949"/>
      <c r="Z8" s="945"/>
      <c r="AA8" s="945"/>
      <c r="AB8" s="945"/>
      <c r="AC8" s="945"/>
      <c r="AD8" s="945"/>
      <c r="AE8" s="945"/>
    </row>
    <row r="9" spans="2:31" ht="15.75">
      <c r="B9" s="945"/>
      <c r="C9" s="945"/>
      <c r="D9" s="945"/>
      <c r="E9" s="950"/>
      <c r="F9" s="945"/>
      <c r="G9" s="945"/>
      <c r="H9" s="945"/>
      <c r="I9" s="945"/>
      <c r="J9" s="945"/>
      <c r="K9" s="70">
        <v>2015</v>
      </c>
      <c r="L9" s="70">
        <v>2016</v>
      </c>
      <c r="M9" s="70">
        <v>2017</v>
      </c>
      <c r="N9" s="70">
        <v>2018</v>
      </c>
      <c r="O9" s="70">
        <v>2019</v>
      </c>
      <c r="P9" s="70">
        <v>2020</v>
      </c>
      <c r="Q9" s="70">
        <v>2021</v>
      </c>
      <c r="R9" s="70">
        <v>2022</v>
      </c>
      <c r="S9" s="70">
        <v>2023</v>
      </c>
      <c r="T9" s="70">
        <v>2024</v>
      </c>
      <c r="U9" s="70">
        <v>2025</v>
      </c>
      <c r="V9" s="70">
        <v>2026</v>
      </c>
      <c r="W9" s="70">
        <v>2027</v>
      </c>
      <c r="X9" s="70">
        <v>2028</v>
      </c>
      <c r="Y9" s="70">
        <v>2029</v>
      </c>
      <c r="Z9" s="70">
        <v>2030</v>
      </c>
      <c r="AA9" s="70">
        <v>2031</v>
      </c>
      <c r="AB9" s="70">
        <v>2032</v>
      </c>
      <c r="AC9" s="70">
        <v>2033</v>
      </c>
      <c r="AD9" s="70">
        <v>2034</v>
      </c>
      <c r="AE9" s="70">
        <v>2035</v>
      </c>
    </row>
    <row r="10" spans="2:31" ht="31.5">
      <c r="B10" s="945"/>
      <c r="C10" s="945"/>
      <c r="D10" s="1116" t="s">
        <v>421</v>
      </c>
      <c r="E10" s="1116" t="s">
        <v>421</v>
      </c>
      <c r="F10" s="1117" t="s">
        <v>746</v>
      </c>
      <c r="G10" s="1117" t="s">
        <v>746</v>
      </c>
      <c r="H10" s="1118" t="s">
        <v>746</v>
      </c>
      <c r="I10" s="1118" t="s">
        <v>746</v>
      </c>
      <c r="J10" s="1118" t="s">
        <v>746</v>
      </c>
      <c r="K10" s="951" t="s">
        <v>424</v>
      </c>
      <c r="L10" s="952"/>
      <c r="M10" s="952"/>
      <c r="N10" s="952"/>
      <c r="O10" s="952"/>
      <c r="P10" s="952"/>
      <c r="Q10" s="952"/>
      <c r="R10" s="952"/>
      <c r="S10" s="952"/>
      <c r="T10" s="952"/>
      <c r="U10" s="952"/>
      <c r="V10" s="952"/>
      <c r="W10" s="952"/>
      <c r="X10" s="952"/>
      <c r="Y10" s="952"/>
      <c r="Z10" s="952"/>
      <c r="AA10" s="952"/>
      <c r="AB10" s="952"/>
      <c r="AC10" s="952"/>
      <c r="AD10" s="952"/>
      <c r="AE10" s="952"/>
    </row>
    <row r="11" spans="2:31" ht="77.25" customHeight="1">
      <c r="B11" s="945"/>
      <c r="C11" s="953" t="s">
        <v>407</v>
      </c>
      <c r="D11" s="947" t="s">
        <v>420</v>
      </c>
      <c r="E11" s="947" t="s">
        <v>422</v>
      </c>
      <c r="F11" s="947" t="s">
        <v>743</v>
      </c>
      <c r="G11" s="947" t="s">
        <v>408</v>
      </c>
      <c r="H11" s="947" t="s">
        <v>409</v>
      </c>
      <c r="I11" s="947" t="s">
        <v>745</v>
      </c>
      <c r="J11" s="947" t="s">
        <v>744</v>
      </c>
      <c r="K11" s="954">
        <f>SUM(K12:K22)</f>
        <v>0</v>
      </c>
      <c r="L11" s="954">
        <f t="shared" ref="L11:AE11" si="0">SUM(L12:L22)</f>
        <v>0</v>
      </c>
      <c r="M11" s="954">
        <f t="shared" si="0"/>
        <v>0</v>
      </c>
      <c r="N11" s="954">
        <f t="shared" si="0"/>
        <v>0</v>
      </c>
      <c r="O11" s="954">
        <f t="shared" si="0"/>
        <v>0</v>
      </c>
      <c r="P11" s="954">
        <f t="shared" si="0"/>
        <v>0</v>
      </c>
      <c r="Q11" s="954">
        <f t="shared" si="0"/>
        <v>1.1078400000000002E-2</v>
      </c>
      <c r="R11" s="954">
        <f t="shared" si="0"/>
        <v>4.4313600000000002E-2</v>
      </c>
      <c r="S11" s="954">
        <f t="shared" si="0"/>
        <v>0.11161488</v>
      </c>
      <c r="T11" s="954">
        <f t="shared" si="0"/>
        <v>0.46044600000000008</v>
      </c>
      <c r="U11" s="954">
        <f t="shared" si="0"/>
        <v>0.67981231999999991</v>
      </c>
      <c r="V11" s="954">
        <f t="shared" si="0"/>
        <v>1.0749052700000001</v>
      </c>
      <c r="W11" s="954">
        <f t="shared" si="0"/>
        <v>2.0292228799999998</v>
      </c>
      <c r="X11" s="954">
        <f t="shared" si="0"/>
        <v>2.3851913499999995</v>
      </c>
      <c r="Y11" s="954">
        <f t="shared" si="0"/>
        <v>2.9132883699999996</v>
      </c>
      <c r="Z11" s="954">
        <f t="shared" si="0"/>
        <v>2.9132883699999996</v>
      </c>
      <c r="AA11" s="954">
        <f t="shared" si="0"/>
        <v>2.89537252</v>
      </c>
      <c r="AB11" s="954">
        <f t="shared" si="0"/>
        <v>2.8523744799999999</v>
      </c>
      <c r="AC11" s="954">
        <f t="shared" si="0"/>
        <v>2.8094456799999996</v>
      </c>
      <c r="AD11" s="954">
        <f t="shared" si="0"/>
        <v>3.0890996199999998</v>
      </c>
      <c r="AE11" s="954">
        <f t="shared" si="0"/>
        <v>3.3104778599999998</v>
      </c>
    </row>
    <row r="12" spans="2:31">
      <c r="B12" s="945"/>
      <c r="C12" s="70">
        <v>2010</v>
      </c>
      <c r="D12" s="308">
        <f>'MOD-Berechnungen'!F61</f>
        <v>4.4999999999999998E-2</v>
      </c>
      <c r="E12" s="1110">
        <f>'MOD-Berechnungen'!$K$97</f>
        <v>3462</v>
      </c>
      <c r="F12" s="308"/>
      <c r="G12" s="308">
        <v>150</v>
      </c>
      <c r="H12" s="332">
        <v>35</v>
      </c>
      <c r="I12" s="635">
        <v>3</v>
      </c>
      <c r="J12" s="635">
        <v>0</v>
      </c>
      <c r="K12" s="955">
        <f t="shared" ref="K12:AD22" si="1">IF(K$9-$C12&gt;20,0,
   IF($J12=1,
      IF(K$9-$C12&gt;8+$I12,   $D12*($F12-$H12)*$E12/10^6,
      IF(K$9-$C12&gt;8,              $D12*($F12-$G12)*$E12/10^6,
      0)),
      IF(K$9-$C12&gt;12+$I12, $D12*($G12-$H12)*$E12/10^6,
      0)
)) * K$4</f>
        <v>0</v>
      </c>
      <c r="L12" s="955">
        <f t="shared" si="1"/>
        <v>0</v>
      </c>
      <c r="M12" s="955">
        <f t="shared" si="1"/>
        <v>0</v>
      </c>
      <c r="N12" s="955">
        <f t="shared" si="1"/>
        <v>0</v>
      </c>
      <c r="O12" s="955">
        <f t="shared" si="1"/>
        <v>0</v>
      </c>
      <c r="P12" s="955">
        <f t="shared" si="1"/>
        <v>0</v>
      </c>
      <c r="Q12" s="955">
        <f t="shared" si="1"/>
        <v>0</v>
      </c>
      <c r="R12" s="955">
        <f t="shared" si="1"/>
        <v>0</v>
      </c>
      <c r="S12" s="955">
        <f t="shared" si="1"/>
        <v>0</v>
      </c>
      <c r="T12" s="955">
        <f t="shared" si="1"/>
        <v>0</v>
      </c>
      <c r="U12" s="955">
        <f t="shared" si="1"/>
        <v>0</v>
      </c>
      <c r="V12" s="955">
        <f t="shared" si="1"/>
        <v>1.7915849999999997E-2</v>
      </c>
      <c r="W12" s="955">
        <f t="shared" si="1"/>
        <v>1.7915849999999997E-2</v>
      </c>
      <c r="X12" s="955">
        <f t="shared" si="1"/>
        <v>1.7915849999999997E-2</v>
      </c>
      <c r="Y12" s="955">
        <f t="shared" si="1"/>
        <v>1.7915849999999997E-2</v>
      </c>
      <c r="Z12" s="955">
        <f t="shared" si="1"/>
        <v>1.7915849999999997E-2</v>
      </c>
      <c r="AA12" s="955">
        <f t="shared" si="1"/>
        <v>0</v>
      </c>
      <c r="AB12" s="955">
        <f t="shared" si="1"/>
        <v>0</v>
      </c>
      <c r="AC12" s="955">
        <f t="shared" si="1"/>
        <v>0</v>
      </c>
      <c r="AD12" s="955">
        <f t="shared" si="1"/>
        <v>0</v>
      </c>
      <c r="AE12" s="955">
        <f>IF(AE$9-$C12&gt;20,0,
   IF($J12=1,
      IF(AE$9-$C12&gt;8+$I12,   $D12*($F12-$H12)*$E12/10^6,
      IF(AE$9-$C12&gt;8,              $D12*($F12-$G12)*$E12/10^6,
      0)),
      IF(AE$9-$C12&gt;12+$I12, $D12*($G12-$H12)*$E12/10^6,
      0)
)) * AE$4</f>
        <v>0</v>
      </c>
    </row>
    <row r="13" spans="2:31">
      <c r="B13" s="945"/>
      <c r="C13" s="70">
        <v>2011</v>
      </c>
      <c r="D13" s="308">
        <f>'MOD-Berechnungen'!G61</f>
        <v>0.108</v>
      </c>
      <c r="E13" s="1110">
        <f>'MOD-Berechnungen'!$K$97</f>
        <v>3462</v>
      </c>
      <c r="F13" s="308"/>
      <c r="G13" s="308">
        <v>150</v>
      </c>
      <c r="H13" s="332">
        <v>35</v>
      </c>
      <c r="I13" s="635">
        <v>3</v>
      </c>
      <c r="J13" s="635">
        <v>0</v>
      </c>
      <c r="K13" s="955">
        <f>IF(K$9-$C13&gt;20,0,
   IF($J13=1,
      IF(K$9-$C13&gt;8+$I13,   $D13*($F13-$H13)*$E13/10^6,
      IF(K$9-$C13&gt;8,              $D13*($F13-$G13)*$E13/10^6,
      0)),
      IF(K$9-$C13&gt;12+$I13, $D13*($G13-$H13)*$E13/10^6,
      0)
)) * K$4</f>
        <v>0</v>
      </c>
      <c r="L13" s="955">
        <f t="shared" si="1"/>
        <v>0</v>
      </c>
      <c r="M13" s="955">
        <f t="shared" si="1"/>
        <v>0</v>
      </c>
      <c r="N13" s="955">
        <f t="shared" si="1"/>
        <v>0</v>
      </c>
      <c r="O13" s="955">
        <f t="shared" si="1"/>
        <v>0</v>
      </c>
      <c r="P13" s="955">
        <f t="shared" si="1"/>
        <v>0</v>
      </c>
      <c r="Q13" s="955">
        <f t="shared" si="1"/>
        <v>0</v>
      </c>
      <c r="R13" s="955">
        <f t="shared" si="1"/>
        <v>0</v>
      </c>
      <c r="S13" s="955">
        <f t="shared" si="1"/>
        <v>0</v>
      </c>
      <c r="T13" s="955">
        <f t="shared" si="1"/>
        <v>0</v>
      </c>
      <c r="U13" s="955">
        <f t="shared" si="1"/>
        <v>0</v>
      </c>
      <c r="V13" s="955">
        <f t="shared" si="1"/>
        <v>0</v>
      </c>
      <c r="W13" s="955">
        <f t="shared" si="1"/>
        <v>4.2998040000000001E-2</v>
      </c>
      <c r="X13" s="955">
        <f t="shared" si="1"/>
        <v>4.2998040000000001E-2</v>
      </c>
      <c r="Y13" s="955">
        <f t="shared" si="1"/>
        <v>4.2998040000000001E-2</v>
      </c>
      <c r="Z13" s="955">
        <f t="shared" si="1"/>
        <v>4.2998040000000001E-2</v>
      </c>
      <c r="AA13" s="955">
        <f t="shared" si="1"/>
        <v>4.2998040000000001E-2</v>
      </c>
      <c r="AB13" s="955">
        <f t="shared" si="1"/>
        <v>0</v>
      </c>
      <c r="AC13" s="955">
        <f t="shared" si="1"/>
        <v>0</v>
      </c>
      <c r="AD13" s="955">
        <f t="shared" si="1"/>
        <v>0</v>
      </c>
      <c r="AE13" s="955">
        <f t="shared" ref="AE13:AE22" si="2">IF(AE$9-$C13&gt;20,0,
   IF($J13=1,
      IF(AE$9-$C13&gt;8+$I13,   $D13*($F13-$H13)*$E13/10^6,
      IF(AE$9-$C13&gt;8,              $D13*($F13-$G13)*$E13/10^6,
      0)),
      IF(AE$9-$C13&gt;12+$I13, $D13*($G13-$H13)*$E13/10^6,
      0)
)) * AE$4</f>
        <v>0</v>
      </c>
    </row>
    <row r="14" spans="2:31">
      <c r="B14" s="945"/>
      <c r="C14" s="70">
        <v>2012</v>
      </c>
      <c r="D14" s="308">
        <f>'MOD-Berechnungen'!H61</f>
        <v>0.08</v>
      </c>
      <c r="E14" s="1110">
        <f>'MOD-Berechnungen'!$K$97</f>
        <v>3462</v>
      </c>
      <c r="F14" s="308">
        <v>190</v>
      </c>
      <c r="G14" s="308">
        <v>150</v>
      </c>
      <c r="H14" s="332">
        <v>35</v>
      </c>
      <c r="I14" s="635">
        <v>3</v>
      </c>
      <c r="J14" s="635">
        <v>1</v>
      </c>
      <c r="K14" s="955">
        <f t="shared" si="1"/>
        <v>0</v>
      </c>
      <c r="L14" s="955">
        <f t="shared" si="1"/>
        <v>0</v>
      </c>
      <c r="M14" s="955">
        <f t="shared" si="1"/>
        <v>0</v>
      </c>
      <c r="N14" s="955">
        <f t="shared" si="1"/>
        <v>0</v>
      </c>
      <c r="O14" s="955">
        <f t="shared" si="1"/>
        <v>0</v>
      </c>
      <c r="P14" s="955">
        <f t="shared" si="1"/>
        <v>0</v>
      </c>
      <c r="Q14" s="955">
        <f t="shared" si="1"/>
        <v>1.1078400000000002E-2</v>
      </c>
      <c r="R14" s="955">
        <f t="shared" si="1"/>
        <v>1.1078400000000002E-2</v>
      </c>
      <c r="S14" s="955">
        <f t="shared" si="1"/>
        <v>1.1078400000000002E-2</v>
      </c>
      <c r="T14" s="955">
        <f t="shared" si="1"/>
        <v>4.2928800000000003E-2</v>
      </c>
      <c r="U14" s="955">
        <f t="shared" si="1"/>
        <v>4.2928800000000003E-2</v>
      </c>
      <c r="V14" s="955">
        <f t="shared" si="1"/>
        <v>4.2928800000000003E-2</v>
      </c>
      <c r="W14" s="955">
        <f t="shared" si="1"/>
        <v>4.2928800000000003E-2</v>
      </c>
      <c r="X14" s="955">
        <f t="shared" si="1"/>
        <v>4.2928800000000003E-2</v>
      </c>
      <c r="Y14" s="955">
        <f t="shared" si="1"/>
        <v>4.2928800000000003E-2</v>
      </c>
      <c r="Z14" s="955">
        <f t="shared" si="1"/>
        <v>4.2928800000000003E-2</v>
      </c>
      <c r="AA14" s="955">
        <f t="shared" si="1"/>
        <v>4.2928800000000003E-2</v>
      </c>
      <c r="AB14" s="955">
        <f t="shared" si="1"/>
        <v>4.2928800000000003E-2</v>
      </c>
      <c r="AC14" s="955">
        <f t="shared" si="1"/>
        <v>0</v>
      </c>
      <c r="AD14" s="955">
        <f t="shared" si="1"/>
        <v>0</v>
      </c>
      <c r="AE14" s="955">
        <f t="shared" si="2"/>
        <v>0</v>
      </c>
    </row>
    <row r="15" spans="2:31">
      <c r="B15" s="945"/>
      <c r="C15" s="70">
        <v>2013</v>
      </c>
      <c r="D15" s="308">
        <f>'MOD-Berechnungen'!I61</f>
        <v>0.24</v>
      </c>
      <c r="E15" s="1110">
        <f>'MOD-Berechnungen'!$K$97</f>
        <v>3462</v>
      </c>
      <c r="F15" s="308">
        <v>190</v>
      </c>
      <c r="G15" s="308">
        <v>150</v>
      </c>
      <c r="H15" s="332">
        <v>35</v>
      </c>
      <c r="I15" s="635">
        <v>3</v>
      </c>
      <c r="J15" s="635">
        <v>1</v>
      </c>
      <c r="K15" s="955">
        <f t="shared" si="1"/>
        <v>0</v>
      </c>
      <c r="L15" s="955">
        <f t="shared" si="1"/>
        <v>0</v>
      </c>
      <c r="M15" s="955">
        <f t="shared" si="1"/>
        <v>0</v>
      </c>
      <c r="N15" s="955">
        <f t="shared" si="1"/>
        <v>0</v>
      </c>
      <c r="O15" s="955">
        <f t="shared" si="1"/>
        <v>0</v>
      </c>
      <c r="P15" s="955">
        <f t="shared" si="1"/>
        <v>0</v>
      </c>
      <c r="Q15" s="955">
        <f t="shared" si="1"/>
        <v>0</v>
      </c>
      <c r="R15" s="955">
        <f t="shared" si="1"/>
        <v>3.3235199999999999E-2</v>
      </c>
      <c r="S15" s="955">
        <f t="shared" si="1"/>
        <v>3.3235199999999999E-2</v>
      </c>
      <c r="T15" s="955">
        <f t="shared" si="1"/>
        <v>3.3235199999999999E-2</v>
      </c>
      <c r="U15" s="955">
        <f t="shared" si="1"/>
        <v>0.12878639999999997</v>
      </c>
      <c r="V15" s="955">
        <f t="shared" si="1"/>
        <v>0.12878639999999997</v>
      </c>
      <c r="W15" s="955">
        <f t="shared" si="1"/>
        <v>0.12878639999999997</v>
      </c>
      <c r="X15" s="955">
        <f t="shared" si="1"/>
        <v>0.12878639999999997</v>
      </c>
      <c r="Y15" s="955">
        <f t="shared" si="1"/>
        <v>0.12878639999999997</v>
      </c>
      <c r="Z15" s="955">
        <f t="shared" si="1"/>
        <v>0.12878639999999997</v>
      </c>
      <c r="AA15" s="955">
        <f t="shared" si="1"/>
        <v>0.12878639999999997</v>
      </c>
      <c r="AB15" s="955">
        <f t="shared" si="1"/>
        <v>0.12878639999999997</v>
      </c>
      <c r="AC15" s="955">
        <f t="shared" si="1"/>
        <v>0.12878639999999997</v>
      </c>
      <c r="AD15" s="955">
        <f t="shared" si="1"/>
        <v>0</v>
      </c>
      <c r="AE15" s="955">
        <f t="shared" si="2"/>
        <v>0</v>
      </c>
    </row>
    <row r="16" spans="2:31">
      <c r="B16" s="945"/>
      <c r="C16" s="70">
        <v>2014</v>
      </c>
      <c r="D16" s="308">
        <f>'MOD-Berechnungen'!J61</f>
        <v>0.48599999999999999</v>
      </c>
      <c r="E16" s="1110">
        <f>'MOD-Berechnungen'!$K$97</f>
        <v>3462</v>
      </c>
      <c r="F16" s="308">
        <v>194</v>
      </c>
      <c r="G16" s="308">
        <v>154</v>
      </c>
      <c r="H16" s="332">
        <v>39</v>
      </c>
      <c r="I16" s="635">
        <v>3</v>
      </c>
      <c r="J16" s="635">
        <v>1</v>
      </c>
      <c r="K16" s="955">
        <f t="shared" si="1"/>
        <v>0</v>
      </c>
      <c r="L16" s="955">
        <f t="shared" si="1"/>
        <v>0</v>
      </c>
      <c r="M16" s="955">
        <f t="shared" si="1"/>
        <v>0</v>
      </c>
      <c r="N16" s="955">
        <f t="shared" si="1"/>
        <v>0</v>
      </c>
      <c r="O16" s="955">
        <f t="shared" si="1"/>
        <v>0</v>
      </c>
      <c r="P16" s="955">
        <f t="shared" si="1"/>
        <v>0</v>
      </c>
      <c r="Q16" s="955">
        <f t="shared" si="1"/>
        <v>0</v>
      </c>
      <c r="R16" s="955">
        <f t="shared" si="1"/>
        <v>0</v>
      </c>
      <c r="S16" s="955">
        <f t="shared" si="1"/>
        <v>6.7301280000000005E-2</v>
      </c>
      <c r="T16" s="955">
        <f t="shared" si="1"/>
        <v>6.7301280000000005E-2</v>
      </c>
      <c r="U16" s="955">
        <f t="shared" si="1"/>
        <v>6.7301280000000005E-2</v>
      </c>
      <c r="V16" s="955">
        <f t="shared" si="1"/>
        <v>0.26079246</v>
      </c>
      <c r="W16" s="955">
        <f t="shared" si="1"/>
        <v>0.26079246</v>
      </c>
      <c r="X16" s="955">
        <f t="shared" si="1"/>
        <v>0.26079246</v>
      </c>
      <c r="Y16" s="955">
        <f t="shared" si="1"/>
        <v>0.26079246</v>
      </c>
      <c r="Z16" s="955">
        <f t="shared" si="1"/>
        <v>0.26079246</v>
      </c>
      <c r="AA16" s="955">
        <f t="shared" si="1"/>
        <v>0.26079246</v>
      </c>
      <c r="AB16" s="955">
        <f t="shared" si="1"/>
        <v>0.26079246</v>
      </c>
      <c r="AC16" s="955">
        <f t="shared" si="1"/>
        <v>0.26079246</v>
      </c>
      <c r="AD16" s="955">
        <f t="shared" si="1"/>
        <v>0.26079246</v>
      </c>
      <c r="AE16" s="955">
        <f t="shared" si="2"/>
        <v>0</v>
      </c>
    </row>
    <row r="17" spans="2:31">
      <c r="B17" s="945"/>
      <c r="C17" s="70">
        <v>2015</v>
      </c>
      <c r="D17" s="308">
        <f>'MOD-Berechnungen'!K61</f>
        <v>2.2890000000000001</v>
      </c>
      <c r="E17" s="311">
        <f>'MOD-Berechnungen'!K97</f>
        <v>3462</v>
      </c>
      <c r="F17" s="308">
        <v>194</v>
      </c>
      <c r="G17" s="308">
        <v>154</v>
      </c>
      <c r="H17" s="332">
        <v>39</v>
      </c>
      <c r="I17" s="635">
        <v>3</v>
      </c>
      <c r="J17" s="635">
        <v>1</v>
      </c>
      <c r="K17" s="955">
        <f t="shared" si="1"/>
        <v>0</v>
      </c>
      <c r="L17" s="955">
        <f t="shared" si="1"/>
        <v>0</v>
      </c>
      <c r="M17" s="955">
        <f t="shared" si="1"/>
        <v>0</v>
      </c>
      <c r="N17" s="955">
        <f t="shared" si="1"/>
        <v>0</v>
      </c>
      <c r="O17" s="955">
        <f t="shared" si="1"/>
        <v>0</v>
      </c>
      <c r="P17" s="955">
        <f t="shared" si="1"/>
        <v>0</v>
      </c>
      <c r="Q17" s="955">
        <f t="shared" si="1"/>
        <v>0</v>
      </c>
      <c r="R17" s="955">
        <f t="shared" si="1"/>
        <v>0</v>
      </c>
      <c r="S17" s="955">
        <f t="shared" si="1"/>
        <v>0</v>
      </c>
      <c r="T17" s="955">
        <f t="shared" si="1"/>
        <v>0.31698072000000005</v>
      </c>
      <c r="U17" s="955">
        <f t="shared" si="1"/>
        <v>0.31698072000000005</v>
      </c>
      <c r="V17" s="955">
        <f t="shared" si="1"/>
        <v>0.31698072000000005</v>
      </c>
      <c r="W17" s="955">
        <f t="shared" si="1"/>
        <v>1.22830029</v>
      </c>
      <c r="X17" s="955">
        <f t="shared" si="1"/>
        <v>1.22830029</v>
      </c>
      <c r="Y17" s="955">
        <f t="shared" si="1"/>
        <v>1.22830029</v>
      </c>
      <c r="Z17" s="955">
        <f t="shared" si="1"/>
        <v>1.22830029</v>
      </c>
      <c r="AA17" s="955">
        <f t="shared" si="1"/>
        <v>1.22830029</v>
      </c>
      <c r="AB17" s="955">
        <f t="shared" si="1"/>
        <v>1.22830029</v>
      </c>
      <c r="AC17" s="955">
        <f t="shared" si="1"/>
        <v>1.22830029</v>
      </c>
      <c r="AD17" s="955">
        <f t="shared" si="1"/>
        <v>1.22830029</v>
      </c>
      <c r="AE17" s="955">
        <f t="shared" si="2"/>
        <v>1.22830029</v>
      </c>
    </row>
    <row r="18" spans="2:31">
      <c r="B18" s="945"/>
      <c r="C18" s="70">
        <v>2016</v>
      </c>
      <c r="D18" s="308">
        <f>'MOD-Berechnungen'!L61</f>
        <v>0.86899999999999999</v>
      </c>
      <c r="E18" s="311">
        <f>'MOD-Berechnungen'!L97</f>
        <v>3562</v>
      </c>
      <c r="F18" s="308">
        <v>194</v>
      </c>
      <c r="G18" s="308">
        <v>154</v>
      </c>
      <c r="H18" s="332">
        <v>39</v>
      </c>
      <c r="I18" s="635">
        <v>3</v>
      </c>
      <c r="J18" s="635">
        <v>1</v>
      </c>
      <c r="K18" s="955">
        <f t="shared" si="1"/>
        <v>0</v>
      </c>
      <c r="L18" s="955">
        <f t="shared" si="1"/>
        <v>0</v>
      </c>
      <c r="M18" s="955">
        <f t="shared" si="1"/>
        <v>0</v>
      </c>
      <c r="N18" s="955">
        <f t="shared" si="1"/>
        <v>0</v>
      </c>
      <c r="O18" s="955">
        <f t="shared" si="1"/>
        <v>0</v>
      </c>
      <c r="P18" s="955">
        <f t="shared" si="1"/>
        <v>0</v>
      </c>
      <c r="Q18" s="955">
        <f t="shared" si="1"/>
        <v>0</v>
      </c>
      <c r="R18" s="955">
        <f t="shared" si="1"/>
        <v>0</v>
      </c>
      <c r="S18" s="955">
        <f t="shared" si="1"/>
        <v>0</v>
      </c>
      <c r="T18" s="955">
        <f t="shared" si="1"/>
        <v>0</v>
      </c>
      <c r="U18" s="955">
        <f t="shared" si="1"/>
        <v>0.12381512</v>
      </c>
      <c r="V18" s="955">
        <f t="shared" si="1"/>
        <v>0.12381512</v>
      </c>
      <c r="W18" s="955">
        <f t="shared" si="1"/>
        <v>0.12381512</v>
      </c>
      <c r="X18" s="955">
        <f t="shared" si="1"/>
        <v>0.47978358999999998</v>
      </c>
      <c r="Y18" s="955">
        <f t="shared" si="1"/>
        <v>0.47978358999999998</v>
      </c>
      <c r="Z18" s="955">
        <f t="shared" si="1"/>
        <v>0.47978358999999998</v>
      </c>
      <c r="AA18" s="955">
        <f t="shared" si="1"/>
        <v>0.47978358999999998</v>
      </c>
      <c r="AB18" s="955">
        <f t="shared" si="1"/>
        <v>0.47978358999999998</v>
      </c>
      <c r="AC18" s="955">
        <f t="shared" si="1"/>
        <v>0.47978358999999998</v>
      </c>
      <c r="AD18" s="955">
        <f t="shared" si="1"/>
        <v>0.47978358999999998</v>
      </c>
      <c r="AE18" s="955">
        <f t="shared" si="2"/>
        <v>0.47978358999999998</v>
      </c>
    </row>
    <row r="19" spans="2:31">
      <c r="B19" s="945"/>
      <c r="C19" s="70">
        <v>2017</v>
      </c>
      <c r="D19" s="308">
        <f>'MOD-Berechnungen'!M61</f>
        <v>1.254</v>
      </c>
      <c r="E19" s="311">
        <f>'MOD-Berechnungen'!M97</f>
        <v>3662</v>
      </c>
      <c r="F19" s="308">
        <v>194</v>
      </c>
      <c r="G19" s="308">
        <v>154</v>
      </c>
      <c r="H19" s="332">
        <v>39</v>
      </c>
      <c r="I19" s="635">
        <v>3</v>
      </c>
      <c r="J19" s="635">
        <v>1</v>
      </c>
      <c r="K19" s="955">
        <f t="shared" si="1"/>
        <v>0</v>
      </c>
      <c r="L19" s="955">
        <f t="shared" si="1"/>
        <v>0</v>
      </c>
      <c r="M19" s="955">
        <f t="shared" si="1"/>
        <v>0</v>
      </c>
      <c r="N19" s="955">
        <f t="shared" si="1"/>
        <v>0</v>
      </c>
      <c r="O19" s="955">
        <f t="shared" si="1"/>
        <v>0</v>
      </c>
      <c r="P19" s="955">
        <f t="shared" si="1"/>
        <v>0</v>
      </c>
      <c r="Q19" s="955">
        <f t="shared" si="1"/>
        <v>0</v>
      </c>
      <c r="R19" s="955">
        <f t="shared" si="1"/>
        <v>0</v>
      </c>
      <c r="S19" s="955">
        <f t="shared" si="1"/>
        <v>0</v>
      </c>
      <c r="T19" s="955">
        <f t="shared" si="1"/>
        <v>0</v>
      </c>
      <c r="U19" s="955">
        <f t="shared" si="1"/>
        <v>0</v>
      </c>
      <c r="V19" s="955">
        <f t="shared" si="1"/>
        <v>0.18368591999999997</v>
      </c>
      <c r="W19" s="955">
        <f t="shared" si="1"/>
        <v>0.18368591999999997</v>
      </c>
      <c r="X19" s="955">
        <f t="shared" si="1"/>
        <v>0.18368591999999997</v>
      </c>
      <c r="Y19" s="955">
        <f t="shared" si="1"/>
        <v>0.71178294000000009</v>
      </c>
      <c r="Z19" s="955">
        <f t="shared" si="1"/>
        <v>0.71178294000000009</v>
      </c>
      <c r="AA19" s="955">
        <f t="shared" si="1"/>
        <v>0.71178294000000009</v>
      </c>
      <c r="AB19" s="955">
        <f t="shared" si="1"/>
        <v>0.71178294000000009</v>
      </c>
      <c r="AC19" s="955">
        <f t="shared" si="1"/>
        <v>0.71178294000000009</v>
      </c>
      <c r="AD19" s="955">
        <f t="shared" si="1"/>
        <v>0.71178294000000009</v>
      </c>
      <c r="AE19" s="955">
        <f t="shared" si="2"/>
        <v>0.71178294000000009</v>
      </c>
    </row>
    <row r="20" spans="2:31">
      <c r="B20" s="945"/>
      <c r="C20" s="70">
        <v>2018</v>
      </c>
      <c r="D20" s="308">
        <f>'MOD-Berechnungen'!N61</f>
        <v>0.98699999999999999</v>
      </c>
      <c r="E20" s="311">
        <f>'MOD-Berechnungen'!N97</f>
        <v>3762</v>
      </c>
      <c r="F20" s="308">
        <v>184</v>
      </c>
      <c r="G20" s="308">
        <v>149</v>
      </c>
      <c r="H20" s="332">
        <v>39</v>
      </c>
      <c r="I20" s="635">
        <v>3</v>
      </c>
      <c r="J20" s="635">
        <v>0</v>
      </c>
      <c r="K20" s="955">
        <f t="shared" si="1"/>
        <v>0</v>
      </c>
      <c r="L20" s="955">
        <f t="shared" si="1"/>
        <v>0</v>
      </c>
      <c r="M20" s="955">
        <f t="shared" si="1"/>
        <v>0</v>
      </c>
      <c r="N20" s="955">
        <f t="shared" si="1"/>
        <v>0</v>
      </c>
      <c r="O20" s="955">
        <f t="shared" si="1"/>
        <v>0</v>
      </c>
      <c r="P20" s="955">
        <f t="shared" si="1"/>
        <v>0</v>
      </c>
      <c r="Q20" s="955">
        <f t="shared" si="1"/>
        <v>0</v>
      </c>
      <c r="R20" s="955">
        <f t="shared" si="1"/>
        <v>0</v>
      </c>
      <c r="S20" s="955">
        <f t="shared" si="1"/>
        <v>0</v>
      </c>
      <c r="T20" s="955">
        <f t="shared" si="1"/>
        <v>0</v>
      </c>
      <c r="U20" s="955">
        <f t="shared" si="1"/>
        <v>0</v>
      </c>
      <c r="V20" s="955">
        <f t="shared" si="1"/>
        <v>0</v>
      </c>
      <c r="W20" s="955">
        <f t="shared" si="1"/>
        <v>0</v>
      </c>
      <c r="X20" s="955">
        <f t="shared" si="1"/>
        <v>0</v>
      </c>
      <c r="Y20" s="955">
        <f t="shared" si="1"/>
        <v>0</v>
      </c>
      <c r="Z20" s="955">
        <f t="shared" si="1"/>
        <v>0</v>
      </c>
      <c r="AA20" s="955">
        <f t="shared" si="1"/>
        <v>0</v>
      </c>
      <c r="AB20" s="955">
        <f t="shared" si="1"/>
        <v>0</v>
      </c>
      <c r="AC20" s="955">
        <f t="shared" si="1"/>
        <v>0</v>
      </c>
      <c r="AD20" s="955">
        <f t="shared" si="1"/>
        <v>0.40844033999999996</v>
      </c>
      <c r="AE20" s="955">
        <f t="shared" si="2"/>
        <v>0.40844033999999996</v>
      </c>
    </row>
    <row r="21" spans="2:31">
      <c r="B21" s="945"/>
      <c r="C21" s="60">
        <v>2019</v>
      </c>
      <c r="D21" s="308">
        <f>'MOD-Berechnungen'!O61</f>
        <v>1.135</v>
      </c>
      <c r="E21" s="311">
        <f>'MOD-Berechnungen'!O97</f>
        <v>3862</v>
      </c>
      <c r="F21" s="308">
        <v>184</v>
      </c>
      <c r="G21" s="308">
        <v>149</v>
      </c>
      <c r="H21" s="332">
        <v>39</v>
      </c>
      <c r="I21" s="635">
        <v>3</v>
      </c>
      <c r="J21" s="635">
        <v>0</v>
      </c>
      <c r="K21" s="955">
        <f t="shared" si="1"/>
        <v>0</v>
      </c>
      <c r="L21" s="955">
        <f t="shared" si="1"/>
        <v>0</v>
      </c>
      <c r="M21" s="955">
        <f t="shared" si="1"/>
        <v>0</v>
      </c>
      <c r="N21" s="955">
        <f t="shared" si="1"/>
        <v>0</v>
      </c>
      <c r="O21" s="955">
        <f t="shared" si="1"/>
        <v>0</v>
      </c>
      <c r="P21" s="955">
        <f t="shared" si="1"/>
        <v>0</v>
      </c>
      <c r="Q21" s="955">
        <f t="shared" si="1"/>
        <v>0</v>
      </c>
      <c r="R21" s="955">
        <f t="shared" si="1"/>
        <v>0</v>
      </c>
      <c r="S21" s="955">
        <f t="shared" si="1"/>
        <v>0</v>
      </c>
      <c r="T21" s="955">
        <f t="shared" si="1"/>
        <v>0</v>
      </c>
      <c r="U21" s="955">
        <f t="shared" si="1"/>
        <v>0</v>
      </c>
      <c r="V21" s="955">
        <f t="shared" si="1"/>
        <v>0</v>
      </c>
      <c r="W21" s="955">
        <f t="shared" si="1"/>
        <v>0</v>
      </c>
      <c r="X21" s="955">
        <f t="shared" si="1"/>
        <v>0</v>
      </c>
      <c r="Y21" s="955">
        <f t="shared" si="1"/>
        <v>0</v>
      </c>
      <c r="Z21" s="955">
        <f t="shared" si="1"/>
        <v>0</v>
      </c>
      <c r="AA21" s="955">
        <f t="shared" si="1"/>
        <v>0</v>
      </c>
      <c r="AB21" s="955">
        <f t="shared" si="1"/>
        <v>0</v>
      </c>
      <c r="AC21" s="955">
        <f t="shared" si="1"/>
        <v>0</v>
      </c>
      <c r="AD21" s="955">
        <f t="shared" si="1"/>
        <v>0</v>
      </c>
      <c r="AE21" s="955">
        <f t="shared" si="2"/>
        <v>0.48217069999999995</v>
      </c>
    </row>
    <row r="22" spans="2:31" ht="15.75">
      <c r="B22" s="948"/>
      <c r="C22" s="70">
        <v>2020</v>
      </c>
      <c r="D22" s="308">
        <f>'MOD-Berechnungen'!P61</f>
        <v>0.219</v>
      </c>
      <c r="E22" s="311">
        <f>'MOD-Berechnungen'!P97</f>
        <v>3962</v>
      </c>
      <c r="F22" s="308"/>
      <c r="G22" s="308">
        <v>144</v>
      </c>
      <c r="H22" s="332">
        <v>39</v>
      </c>
      <c r="I22" s="635">
        <v>3</v>
      </c>
      <c r="J22" s="635">
        <v>0</v>
      </c>
      <c r="K22" s="955">
        <f t="shared" si="1"/>
        <v>0</v>
      </c>
      <c r="L22" s="955">
        <f t="shared" si="1"/>
        <v>0</v>
      </c>
      <c r="M22" s="955">
        <f t="shared" si="1"/>
        <v>0</v>
      </c>
      <c r="N22" s="955">
        <f t="shared" si="1"/>
        <v>0</v>
      </c>
      <c r="O22" s="955">
        <f t="shared" si="1"/>
        <v>0</v>
      </c>
      <c r="P22" s="955">
        <f t="shared" si="1"/>
        <v>0</v>
      </c>
      <c r="Q22" s="955">
        <f t="shared" si="1"/>
        <v>0</v>
      </c>
      <c r="R22" s="955">
        <f t="shared" si="1"/>
        <v>0</v>
      </c>
      <c r="S22" s="955">
        <f t="shared" si="1"/>
        <v>0</v>
      </c>
      <c r="T22" s="955">
        <f t="shared" si="1"/>
        <v>0</v>
      </c>
      <c r="U22" s="955">
        <f t="shared" si="1"/>
        <v>0</v>
      </c>
      <c r="V22" s="955">
        <f t="shared" si="1"/>
        <v>0</v>
      </c>
      <c r="W22" s="955">
        <f t="shared" si="1"/>
        <v>0</v>
      </c>
      <c r="X22" s="955">
        <f t="shared" si="1"/>
        <v>0</v>
      </c>
      <c r="Y22" s="955">
        <f t="shared" si="1"/>
        <v>0</v>
      </c>
      <c r="Z22" s="955">
        <f t="shared" si="1"/>
        <v>0</v>
      </c>
      <c r="AA22" s="955">
        <f t="shared" si="1"/>
        <v>0</v>
      </c>
      <c r="AB22" s="955">
        <f t="shared" si="1"/>
        <v>0</v>
      </c>
      <c r="AC22" s="955">
        <f t="shared" si="1"/>
        <v>0</v>
      </c>
      <c r="AD22" s="955">
        <f t="shared" si="1"/>
        <v>0</v>
      </c>
      <c r="AE22" s="955">
        <f t="shared" si="2"/>
        <v>0</v>
      </c>
    </row>
    <row r="23" spans="2:31" s="564" customFormat="1" ht="15">
      <c r="C23" s="565"/>
      <c r="D23" s="566"/>
      <c r="E23" s="566"/>
      <c r="F23" s="566"/>
      <c r="G23" s="566"/>
      <c r="H23" s="566"/>
      <c r="I23" s="566"/>
      <c r="J23" s="563"/>
      <c r="K23" s="563"/>
      <c r="L23" s="563"/>
      <c r="M23" s="563"/>
      <c r="N23" s="563"/>
      <c r="O23" s="563"/>
      <c r="P23" s="563"/>
      <c r="Q23" s="563"/>
      <c r="R23" s="563"/>
      <c r="S23" s="563"/>
      <c r="T23" s="563"/>
      <c r="U23" s="563"/>
      <c r="V23" s="563"/>
      <c r="W23" s="563"/>
      <c r="X23" s="563"/>
      <c r="Y23" s="563"/>
    </row>
    <row r="24" spans="2:31" ht="15">
      <c r="C24" s="565"/>
    </row>
    <row r="25" spans="2:31" ht="15">
      <c r="C25" s="565"/>
    </row>
    <row r="26" spans="2:31" ht="15">
      <c r="C26" s="565"/>
    </row>
    <row r="27" spans="2:31" ht="15.75">
      <c r="C27" s="565"/>
      <c r="D27" s="1119"/>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row>
    <row r="28" spans="2:31" s="564" customFormat="1" ht="15">
      <c r="C28" s="565"/>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row>
    <row r="29" spans="2:31" ht="15">
      <c r="C29" s="565"/>
    </row>
    <row r="30" spans="2:31" ht="15">
      <c r="C30" s="565"/>
      <c r="D30" s="1120"/>
      <c r="E30" s="1121"/>
    </row>
    <row r="31" spans="2:31" ht="15">
      <c r="C31" s="584"/>
      <c r="D31" s="1122"/>
      <c r="E31" s="1122"/>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row>
    <row r="32" spans="2:31" ht="15">
      <c r="C32" s="565"/>
      <c r="D32" s="1123"/>
      <c r="E32" s="1123"/>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row>
    <row r="33" spans="3:5" ht="15">
      <c r="C33" s="565"/>
      <c r="D33" s="1121"/>
      <c r="E33" s="1121"/>
    </row>
    <row r="34" spans="3:5" ht="15">
      <c r="C34" s="565"/>
      <c r="D34" s="1121"/>
      <c r="E34" s="1120"/>
    </row>
    <row r="35" spans="3:5" ht="15">
      <c r="C35" s="565"/>
      <c r="D35" s="1121"/>
      <c r="E35" s="1121"/>
    </row>
    <row r="36" spans="3:5" ht="15">
      <c r="C36" s="565"/>
      <c r="D36" s="1121"/>
      <c r="E36" s="1121"/>
    </row>
    <row r="37" spans="3:5" ht="15">
      <c r="C37" s="565"/>
    </row>
    <row r="38" spans="3:5" ht="15">
      <c r="C38" s="565"/>
    </row>
    <row r="39" spans="3:5" ht="15">
      <c r="C39" s="565"/>
    </row>
    <row r="40" spans="3:5" ht="15">
      <c r="C40" s="565"/>
    </row>
    <row r="41" spans="3:5" ht="15">
      <c r="C41" s="565"/>
    </row>
    <row r="42" spans="3:5" ht="15">
      <c r="C42" s="565"/>
    </row>
    <row r="43" spans="3:5" ht="15">
      <c r="C43" s="565"/>
    </row>
    <row r="44" spans="3:5" ht="15">
      <c r="C44" s="565"/>
    </row>
    <row r="45" spans="3:5" ht="15">
      <c r="C45" s="565"/>
    </row>
    <row r="46" spans="3:5" ht="15">
      <c r="C46" s="565"/>
    </row>
    <row r="47" spans="3:5" ht="15">
      <c r="C47" s="565"/>
    </row>
    <row r="48" spans="3:5" ht="15">
      <c r="C48" s="565"/>
    </row>
    <row r="49" spans="3:3" ht="15">
      <c r="C49" s="565"/>
    </row>
    <row r="50" spans="3:3" ht="15">
      <c r="C50" s="565"/>
    </row>
    <row r="51" spans="3:3" ht="15">
      <c r="C51" s="565"/>
    </row>
    <row r="52" spans="3:3" ht="15">
      <c r="C52" s="565"/>
    </row>
    <row r="53" spans="3:3" ht="15">
      <c r="C53" s="565"/>
    </row>
    <row r="54" spans="3:3" ht="15">
      <c r="C54" s="565"/>
    </row>
    <row r="55" spans="3:3" ht="15">
      <c r="C55" s="565"/>
    </row>
    <row r="56" spans="3:3" ht="15">
      <c r="C56" s="565"/>
    </row>
    <row r="57" spans="3:3" ht="15">
      <c r="C57" s="565"/>
    </row>
    <row r="58" spans="3:3" ht="15">
      <c r="C58" s="565"/>
    </row>
    <row r="59" spans="3:3" ht="15">
      <c r="C59" s="565"/>
    </row>
  </sheetData>
  <sheetProtection algorithmName="SHA-512" hashValue="eWBUF+0MyVxaRlRsTFILs1EAaUq0Z5QqKfOloaBbGoog8xpqtAqd+joAC9i3PxuDHwX4IZxhjXXzj1yMg1WNFQ==" saltValue="UXPZijcKHCjTyUNdBn0emw==" spinCount="100000" sheet="1" objects="1" scenarios="1"/>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ellIs" priority="9" operator="greaterThanOrEqual" id="{1E30B75E-9D34-4A62-80F7-5053EAEEEDDB}">
            <xm:f>ControlPanel!$D$59-1</xm:f>
            <x14:dxf>
              <font>
                <color rgb="FF9C6500"/>
              </font>
              <fill>
                <patternFill>
                  <fgColor indexed="64"/>
                  <bgColor rgb="FFFFEB9C"/>
                </patternFill>
              </fill>
            </x14:dxf>
          </x14:cfRule>
          <x14:cfRule type="cellIs" priority="10" operator="lessThan" id="{2BEB4960-35A9-4490-980E-2D535A5EC216}">
            <xm:f>ControlPanel!$D$59-1</xm:f>
            <x14:dxf>
              <font>
                <color rgb="FF006100"/>
              </font>
              <fill>
                <patternFill>
                  <fgColor indexed="64"/>
                  <bgColor rgb="FFC6EFCE"/>
                </patternFill>
              </fill>
            </x14:dxf>
          </x14:cfRule>
          <xm:sqref>K3:AE3 C12:C17</xm:sqref>
        </x14:conditionalFormatting>
        <x14:conditionalFormatting xmlns:xm="http://schemas.microsoft.com/office/excel/2006/main">
          <x14:cfRule type="cellIs" priority="11" operator="greaterThanOrEqual" id="{FCB2412F-3F68-475F-9033-A06B8EEF427D}">
            <xm:f>ControlPanel!$D$59-1</xm:f>
            <x14:dxf>
              <font>
                <color rgb="FF9C6500"/>
              </font>
              <fill>
                <patternFill>
                  <fgColor indexed="64"/>
                  <bgColor rgb="FFFFEB9C"/>
                </patternFill>
              </fill>
            </x14:dxf>
          </x14:cfRule>
          <x14:cfRule type="cellIs" priority="12" operator="lessThan" id="{9F90CD01-5BEA-4279-ABB5-70F777BBC635}">
            <xm:f>ControlPanel!$D$59-1</xm:f>
            <x14:dxf>
              <font>
                <color rgb="FF006100"/>
              </font>
              <fill>
                <patternFill>
                  <fgColor indexed="64"/>
                  <bgColor rgb="FFC6EFCE"/>
                </patternFill>
              </fill>
            </x14:dxf>
          </x14:cfRule>
          <xm:sqref>C18:C21</xm:sqref>
        </x14:conditionalFormatting>
        <x14:conditionalFormatting xmlns:xm="http://schemas.microsoft.com/office/excel/2006/main">
          <x14:cfRule type="cellIs" priority="7" operator="greaterThanOrEqual" id="{A2D3F2A8-8CD6-4E8F-8D41-D7ED878081B6}">
            <xm:f>ControlPanel!$D$59-1</xm:f>
            <x14:dxf>
              <font>
                <color rgb="FF9C6500"/>
              </font>
              <fill>
                <patternFill>
                  <fgColor indexed="64"/>
                  <bgColor rgb="FFFFEB9C"/>
                </patternFill>
              </fill>
            </x14:dxf>
          </x14:cfRule>
          <x14:cfRule type="cellIs" priority="8" operator="lessThan" id="{C6DEB167-AE70-4A37-8D8F-A3C82DED0A06}">
            <xm:f>ControlPanel!$D$59-1</xm:f>
            <x14:dxf>
              <font>
                <color rgb="FF006100"/>
              </font>
              <fill>
                <patternFill>
                  <fgColor indexed="64"/>
                  <bgColor rgb="FFC6EFCE"/>
                </patternFill>
              </fill>
            </x14:dxf>
          </x14:cfRule>
          <xm:sqref>K9:AE9</xm:sqref>
        </x14:conditionalFormatting>
        <x14:conditionalFormatting xmlns:xm="http://schemas.microsoft.com/office/excel/2006/main">
          <x14:cfRule type="cellIs" priority="1" operator="greaterThanOrEqual" id="{357B44B6-2310-446C-845C-C9F29083BB02}">
            <xm:f>ControlPanel!$D$59-1</xm:f>
            <x14:dxf>
              <font>
                <color rgb="FF9C6500"/>
              </font>
              <fill>
                <patternFill>
                  <fgColor indexed="64"/>
                  <bgColor rgb="FFFFEB9C"/>
                </patternFill>
              </fill>
            </x14:dxf>
          </x14:cfRule>
          <x14:cfRule type="cellIs" priority="2" operator="lessThan" id="{B6CE56C5-BEC1-47F4-B27F-3DEF2E850437}">
            <xm:f>ControlPanel!$D$59-1</xm:f>
            <x14:dxf>
              <font>
                <color rgb="FF006100"/>
              </font>
              <fill>
                <patternFill>
                  <fgColor indexed="64"/>
                  <bgColor rgb="FFC6EFCE"/>
                </patternFill>
              </fill>
            </x14:dxf>
          </x14:cfRule>
          <xm:sqref>C22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0">
    <tabColor theme="9" tint="0.39997558519241921"/>
  </sheetPr>
  <dimension ref="A1:AG1191"/>
  <sheetViews>
    <sheetView topLeftCell="A118" workbookViewId="0"/>
  </sheetViews>
  <sheetFormatPr baseColWidth="10" defaultColWidth="11.5703125" defaultRowHeight="12.75" outlineLevelCol="2"/>
  <cols>
    <col min="1" max="1" width="3.7109375" style="9" customWidth="1"/>
    <col min="2" max="2" width="13" style="9" customWidth="1"/>
    <col min="3" max="3" width="14.28515625" style="9" customWidth="1"/>
    <col min="4" max="4" width="6.140625" style="10" customWidth="1" outlineLevel="2"/>
    <col min="5" max="5" width="40.7109375" style="10" customWidth="1"/>
    <col min="6" max="6" width="43.28515625" style="10" customWidth="1"/>
    <col min="7" max="14" width="8.7109375" style="9" customWidth="1"/>
    <col min="15" max="32" width="8.7109375" style="9" customWidth="1" outlineLevel="1"/>
    <col min="33" max="16384" width="11.5703125" style="9"/>
  </cols>
  <sheetData>
    <row r="1" spans="1:33">
      <c r="A1" s="41" t="s">
        <v>183</v>
      </c>
      <c r="B1" s="62" t="s">
        <v>85</v>
      </c>
      <c r="C1" s="62"/>
      <c r="D1" s="19"/>
      <c r="E1" s="19"/>
      <c r="F1" s="19"/>
    </row>
    <row r="2" spans="1:33">
      <c r="B2" s="37"/>
    </row>
    <row r="3" spans="1:33"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3"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3" ht="15" customHeight="1" thickBot="1">
      <c r="B5" s="69"/>
      <c r="C5" s="64"/>
      <c r="E5" s="16"/>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c r="AF5" s="330" t="s">
        <v>23</v>
      </c>
    </row>
    <row r="6" spans="1:33" ht="15" customHeight="1" thickBot="1">
      <c r="B6" s="172" t="s">
        <v>25</v>
      </c>
      <c r="C6" s="181" t="str">
        <f>ControlPanel!L13</f>
        <v>Referenz</v>
      </c>
      <c r="D6" s="15" t="str">
        <f>VLOOKUP($C$6,$C$13:$AF$37,2,FALSE)</f>
        <v>dr</v>
      </c>
      <c r="E6" s="15" t="str">
        <f>VLOOKUP($C$6,$C$13:$AF$37,3,FALSE)</f>
        <v>EEG 2017</v>
      </c>
      <c r="F6" s="15" t="str">
        <f>VLOOKUP($C$6,$C$13:$AF$37,4,FALSE)</f>
        <v>gem. EEG 2017 (0,5%/a Degression)</v>
      </c>
      <c r="G6" s="42">
        <f>IF(G$4&lt;ControlPanel!$D$59,VLOOKUP("Referenz",$C$13:$AF$37,G$4-$G$4+5,FALSE),VLOOKUP($C$6,$C$13:$AF$37,G$4-$G$4+5,FALSE))</f>
        <v>0</v>
      </c>
      <c r="H6" s="42">
        <f>IF(H$4&lt;ControlPanel!$D$59,VLOOKUP("Referenz",$C$13:$AF$37,H$4-$G$4+5,FALSE),VLOOKUP($C$6,$C$13:$AF$37,H$4-$G$4+5,FALSE))</f>
        <v>0</v>
      </c>
      <c r="I6" s="42">
        <f>IF(I$4&lt;ControlPanel!$D$59,VLOOKUP("Referenz",$C$13:$AF$37,I$4-$G$4+5,FALSE),VLOOKUP($C$6,$C$13:$AF$37,I$4-$G$4+5,FALSE))</f>
        <v>0</v>
      </c>
      <c r="J6" s="42">
        <f>IF(J$4&lt;ControlPanel!$D$59,VLOOKUP("Referenz",$C$13:$AF$37,J$4-$G$4+5,FALSE),VLOOKUP($C$6,$C$13:$AF$37,J$4-$G$4+5,FALSE))</f>
        <v>0</v>
      </c>
      <c r="K6" s="42">
        <f>IF(K$4&lt;ControlPanel!$D$59,VLOOKUP("Referenz",$C$13:$AF$37,K$4-$G$4+5,FALSE),VLOOKUP($C$6,$C$13:$AF$37,K$4-$G$4+5,FALSE))</f>
        <v>0</v>
      </c>
      <c r="L6" s="42">
        <f>IF(L$4&lt;ControlPanel!$D$59,VLOOKUP("Referenz",$C$13:$AF$37,L$4-$G$4+5,FALSE),VLOOKUP($C$6,$C$13:$AF$37,L$4-$G$4+5,FALSE))</f>
        <v>115.67111231527093</v>
      </c>
      <c r="M6" s="42">
        <f>IF(M$4&lt;ControlPanel!$D$59,VLOOKUP("Referenz",$C$13:$AF$37,M$4-$G$4+5,FALSE),VLOOKUP($C$6,$C$13:$AF$37,M$4-$G$4+5,FALSE))</f>
        <v>118.57143532657497</v>
      </c>
      <c r="N6" s="42">
        <f>IF(N$4&lt;ControlPanel!$D$59,VLOOKUP("Referenz",$C$13:$AF$37,N$4-$G$4+5,FALSE),VLOOKUP($C$6,$C$13:$AF$37,N$4-$G$4+5,FALSE))</f>
        <v>119.06888980183719</v>
      </c>
      <c r="O6" s="42">
        <f>IF(O$4&lt;ControlPanel!$D$59,VLOOKUP("Referenz",$C$13:$AF$37,O$4-$G$4+5,FALSE),VLOOKUP($C$6,$C$13:$AF$37,O$4-$G$4+5,FALSE))</f>
        <v>116.72270478111133</v>
      </c>
      <c r="P6" s="42">
        <f>IF(P$4&lt;ControlPanel!$D$59,VLOOKUP("Referenz",$C$13:$AF$37,P$4-$G$4+5,FALSE),VLOOKUP($C$6,$C$13:$AF$37,P$4-$G$4+5,FALSE))</f>
        <v>114.42275000709931</v>
      </c>
      <c r="Q6" s="42">
        <f>IF(Q$4&lt;ControlPanel!$D$59,VLOOKUP("Referenz",$C$13:$AF$37,Q$4-$G$4+5,FALSE),VLOOKUP($C$6,$C$13:$AF$37,Q$4-$G$4+5,FALSE))</f>
        <v>112.16811453897915</v>
      </c>
      <c r="R6" s="42">
        <f>IF(R$4&lt;ControlPanel!$D$59,VLOOKUP("Referenz",$C$13:$AF$37,R$4-$G$4+5,FALSE),VLOOKUP($C$6,$C$13:$AF$37,R$4-$G$4+5,FALSE))</f>
        <v>109.95790538550175</v>
      </c>
      <c r="S6" s="42">
        <f>IF(S$4&lt;ControlPanel!$D$59,VLOOKUP("Referenz",$C$13:$AF$37,S$4-$G$4+5,FALSE),VLOOKUP($C$6,$C$13:$AF$37,S$4-$G$4+5,FALSE))</f>
        <v>107.79124715130467</v>
      </c>
      <c r="T6" s="42">
        <f>IF(T$4&lt;ControlPanel!$D$59,VLOOKUP("Referenz",$C$13:$AF$37,T$4-$G$4+5,FALSE),VLOOKUP($C$6,$C$13:$AF$37,T$4-$G$4+5,FALSE))</f>
        <v>105.66728169019525</v>
      </c>
      <c r="U6" s="42">
        <f>IF(U$4&lt;ControlPanel!$D$59,VLOOKUP("Referenz",$C$13:$AF$37,U$4-$G$4+5,FALSE),VLOOKUP($C$6,$C$13:$AF$37,U$4-$G$4+5,FALSE))</f>
        <v>103.58516776526531</v>
      </c>
      <c r="V6" s="42">
        <f>IF(V$4&lt;ControlPanel!$D$59,VLOOKUP("Referenz",$C$13:$AF$37,V$4-$G$4+5,FALSE),VLOOKUP($C$6,$C$13:$AF$37,V$4-$G$4+5,FALSE))</f>
        <v>101.54408071570344</v>
      </c>
      <c r="W6" s="42">
        <f>IF(W$4&lt;ControlPanel!$D$59,VLOOKUP("Referenz",$C$13:$AF$37,W$4-$G$4+5,FALSE),VLOOKUP($C$6,$C$13:$AF$37,W$4-$G$4+5,FALSE))</f>
        <v>99.54321213017235</v>
      </c>
      <c r="X6" s="42">
        <f>IF(X$4&lt;ControlPanel!$D$59,VLOOKUP("Referenz",$C$13:$AF$37,X$4-$G$4+5,FALSE),VLOOKUP($C$6,$C$13:$AF$37,X$4-$G$4+5,FALSE))</f>
        <v>97.581769526622168</v>
      </c>
      <c r="Y6" s="42">
        <f>IF(Y$4&lt;ControlPanel!$D$59,VLOOKUP("Referenz",$C$13:$AF$37,Y$4-$G$4+5,FALSE),VLOOKUP($C$6,$C$13:$AF$37,Y$4-$G$4+5,FALSE))</f>
        <v>95.658976038412874</v>
      </c>
      <c r="Z6" s="42">
        <f>IF(Z$4&lt;ControlPanel!$D$59,VLOOKUP("Referenz",$C$13:$AF$37,Z$4-$G$4+5,FALSE),VLOOKUP($C$6,$C$13:$AF$37,Z$4-$G$4+5,FALSE))</f>
        <v>93.774070106621494</v>
      </c>
      <c r="AA6" s="42">
        <f>IF(AA$4&lt;ControlPanel!$D$59,VLOOKUP("Referenz",$C$13:$AF$37,AA$4-$G$4+5,FALSE),VLOOKUP($C$6,$C$13:$AF$37,AA$4-$G$4+5,FALSE))</f>
        <v>91.926305178412207</v>
      </c>
      <c r="AB6" s="42">
        <f>IF(AB$4&lt;ControlPanel!$D$59,VLOOKUP("Referenz",$C$13:$AF$37,AB$4-$G$4+5,FALSE),VLOOKUP($C$6,$C$13:$AF$37,AB$4-$G$4+5,FALSE))</f>
        <v>90.114949411349897</v>
      </c>
      <c r="AC6" s="42">
        <f>IF(AC$4&lt;ControlPanel!$D$59,VLOOKUP("Referenz",$C$13:$AF$37,AC$4-$G$4+5,FALSE),VLOOKUP($C$6,$C$13:$AF$37,AC$4-$G$4+5,FALSE))</f>
        <v>88.339285383540059</v>
      </c>
      <c r="AD6" s="42">
        <f>IF(AD$4&lt;ControlPanel!$D$59,VLOOKUP("Referenz",$C$13:$AF$37,AD$4-$G$4+5,FALSE),VLOOKUP($C$6,$C$13:$AF$37,AD$4-$G$4+5,FALSE))</f>
        <v>86.598609809480166</v>
      </c>
      <c r="AE6" s="42">
        <f>IF(AE$4&lt;ControlPanel!$D$59,VLOOKUP("Referenz",$C$13:$AF$37,AE$4-$G$4+5,FALSE),VLOOKUP($C$6,$C$13:$AF$37,AE$4-$G$4+5,FALSE))</f>
        <v>84.892233261510128</v>
      </c>
      <c r="AF6" s="42">
        <f>IF(AF$4&lt;ControlPanel!$D$59,VLOOKUP("Referenz",$C$13:$AF$37,AF$4-$G$4+5,FALSE),VLOOKUP($C$6,$C$13:$AF$37,AF$4-$G$4+5,FALSE))</f>
        <v>83.219479896751309</v>
      </c>
    </row>
    <row r="7" spans="1:33" ht="15" customHeight="1" thickBot="1">
      <c r="B7" s="171" t="s">
        <v>27</v>
      </c>
      <c r="C7" s="181" t="str">
        <f>ControlPanel!L14</f>
        <v>Referenz</v>
      </c>
      <c r="D7" s="15" t="str">
        <f>VLOOKUP($C$7,$C$39:$AF$63,2,FALSE)</f>
        <v>dr</v>
      </c>
      <c r="E7" s="15" t="str">
        <f>VLOOKUP($C$7,$C$39:$AF$63,3,FALSE)</f>
        <v>EEG 2017</v>
      </c>
      <c r="F7" s="15" t="str">
        <f>VLOOKUP($C$7,$C$39:$AF$63,4,FALSE)</f>
        <v>gem. EEG 2017 (1,5%/a Degression)</v>
      </c>
      <c r="G7" s="42">
        <f>IF(G$4&lt;ControlPanel!$D$59,VLOOKUP("Referenz",$C$39:$AF$63,G$4-$G$4+5,FALSE),VLOOKUP($C$7,$C$39:$AF$63,G$4-$G$4+5,FALSE))</f>
        <v>0</v>
      </c>
      <c r="H7" s="42">
        <f>IF(H$4&lt;ControlPanel!$D$59,VLOOKUP("Referenz",$C$39:$AF$63,H$4-$G$4+5,FALSE),VLOOKUP($C$7,$C$39:$AF$63,H$4-$G$4+5,FALSE))</f>
        <v>0</v>
      </c>
      <c r="I7" s="42">
        <f>IF(I$4&lt;ControlPanel!$D$59,VLOOKUP("Referenz",$C$39:$AF$63,I$4-$G$4+5,FALSE),VLOOKUP($C$7,$C$39:$AF$63,I$4-$G$4+5,FALSE))</f>
        <v>0</v>
      </c>
      <c r="J7" s="42">
        <f>IF(J$4&lt;ControlPanel!$D$59,VLOOKUP("Referenz",$C$39:$AF$63,J$4-$G$4+5,FALSE),VLOOKUP($C$7,$C$39:$AF$63,J$4-$G$4+5,FALSE))</f>
        <v>0</v>
      </c>
      <c r="K7" s="42">
        <f>IF(K$4&lt;ControlPanel!$D$59,VLOOKUP("Referenz",$C$39:$AF$63,K$4-$G$4+5,FALSE),VLOOKUP($C$7,$C$39:$AF$63,K$4-$G$4+5,FALSE))</f>
        <v>0</v>
      </c>
      <c r="L7" s="42">
        <f>IF(L$4&lt;ControlPanel!$D$59,VLOOKUP("Referenz",$C$39:$AF$63,L$4-$G$4+5,FALSE),VLOOKUP($C$7,$C$39:$AF$63,L$4-$G$4+5,FALSE))</f>
        <v>80.973162315270926</v>
      </c>
      <c r="M7" s="42">
        <f>IF(M$4&lt;ControlPanel!$D$59,VLOOKUP("Referenz",$C$39:$AF$63,M$4-$G$4+5,FALSE),VLOOKUP($C$7,$C$39:$AF$63,M$4-$G$4+5,FALSE))</f>
        <v>82.169267504056208</v>
      </c>
      <c r="N7" s="42">
        <f>IF(N$4&lt;ControlPanel!$D$59,VLOOKUP("Referenz",$C$39:$AF$63,N$4-$G$4+5,FALSE),VLOOKUP($C$7,$C$39:$AF$63,N$4-$G$4+5,FALSE))</f>
        <v>66.755592908240772</v>
      </c>
      <c r="O7" s="42">
        <f>IF(O$4&lt;ControlPanel!$D$59,VLOOKUP("Referenz",$C$39:$AF$63,O$4-$G$4+5,FALSE),VLOOKUP($C$7,$C$39:$AF$63,O$4-$G$4+5,FALSE))</f>
        <v>64.782521196667162</v>
      </c>
      <c r="P7" s="42">
        <f>IF(P$4&lt;ControlPanel!$D$59,VLOOKUP("Referenz",$C$39:$AF$63,P$4-$G$4+5,FALSE),VLOOKUP($C$7,$C$39:$AF$63,P$4-$G$4+5,FALSE))</f>
        <v>62.867766875583413</v>
      </c>
      <c r="Q7" s="42">
        <f>IF(Q$4&lt;ControlPanel!$D$59,VLOOKUP("Referenz",$C$39:$AF$63,Q$4-$G$4+5,FALSE),VLOOKUP($C$7,$C$39:$AF$63,Q$4-$G$4+5,FALSE))</f>
        <v>61.009606278275527</v>
      </c>
      <c r="R7" s="42">
        <f>IF(R$4&lt;ControlPanel!$D$59,VLOOKUP("Referenz",$C$39:$AF$63,R$4-$G$4+5,FALSE),VLOOKUP($C$7,$C$39:$AF$63,R$4-$G$4+5,FALSE))</f>
        <v>59.206366683843747</v>
      </c>
      <c r="S7" s="42">
        <f>IF(S$4&lt;ControlPanel!$D$59,VLOOKUP("Referenz",$C$39:$AF$63,S$4-$G$4+5,FALSE),VLOOKUP($C$7,$C$39:$AF$63,S$4-$G$4+5,FALSE))</f>
        <v>57.456424811414877</v>
      </c>
      <c r="T7" s="42">
        <f>IF(T$4&lt;ControlPanel!$D$59,VLOOKUP("Referenz",$C$39:$AF$63,T$4-$G$4+5,FALSE),VLOOKUP($C$7,$C$39:$AF$63,T$4-$G$4+5,FALSE))</f>
        <v>55.758205358860749</v>
      </c>
      <c r="U7" s="42">
        <f>IF(U$4&lt;ControlPanel!$D$59,VLOOKUP("Referenz",$C$39:$AF$63,U$4-$G$4+5,FALSE),VLOOKUP($C$7,$C$39:$AF$63,U$4-$G$4+5,FALSE))</f>
        <v>54.110179584707232</v>
      </c>
      <c r="V7" s="42">
        <f>IF(V$4&lt;ControlPanel!$D$59,VLOOKUP("Referenz",$C$39:$AF$63,V$4-$G$4+5,FALSE),VLOOKUP($C$7,$C$39:$AF$63,V$4-$G$4+5,FALSE))</f>
        <v>52.510863931957267</v>
      </c>
      <c r="W7" s="42">
        <f>IF(W$4&lt;ControlPanel!$D$59,VLOOKUP("Referenz",$C$39:$AF$63,W$4-$G$4+5,FALSE),VLOOKUP($C$7,$C$39:$AF$63,W$4-$G$4+5,FALSE))</f>
        <v>50.958818692589077</v>
      </c>
      <c r="X7" s="42">
        <f>IF(X$4&lt;ControlPanel!$D$59,VLOOKUP("Referenz",$C$39:$AF$63,X$4-$G$4+5,FALSE),VLOOKUP($C$7,$C$39:$AF$63,X$4-$G$4+5,FALSE))</f>
        <v>49.452646711527336</v>
      </c>
      <c r="Y7" s="42">
        <f>IF(Y$4&lt;ControlPanel!$D$59,VLOOKUP("Referenz",$C$39:$AF$63,Y$4-$G$4+5,FALSE),VLOOKUP($C$7,$C$39:$AF$63,Y$4-$G$4+5,FALSE))</f>
        <v>47.990992128920624</v>
      </c>
      <c r="Z7" s="42">
        <f>IF(Z$4&lt;ControlPanel!$D$59,VLOOKUP("Referenz",$C$39:$AF$63,Z$4-$G$4+5,FALSE),VLOOKUP($C$7,$C$39:$AF$63,Z$4-$G$4+5,FALSE))</f>
        <v>46.572539159592914</v>
      </c>
      <c r="AA7" s="42">
        <f>IF(AA$4&lt;ControlPanel!$D$59,VLOOKUP("Referenz",$C$39:$AF$63,AA$4-$G$4+5,FALSE),VLOOKUP($C$7,$C$39:$AF$63,AA$4-$G$4+5,FALSE))</f>
        <v>45.196010908570464</v>
      </c>
      <c r="AB7" s="42">
        <f>IF(AB$4&lt;ControlPanel!$D$59,VLOOKUP("Referenz",$C$39:$AF$63,AB$4-$G$4+5,FALSE),VLOOKUP($C$7,$C$39:$AF$63,AB$4-$G$4+5,FALSE))</f>
        <v>43.860168221617648</v>
      </c>
      <c r="AC7" s="42">
        <f>IF(AC$4&lt;ControlPanel!$D$59,VLOOKUP("Referenz",$C$39:$AF$63,AC$4-$G$4+5,FALSE),VLOOKUP($C$7,$C$39:$AF$63,AC$4-$G$4+5,FALSE))</f>
        <v>42.563808569747181</v>
      </c>
      <c r="AD7" s="42">
        <f>IF(AD$4&lt;ControlPanel!$D$59,VLOOKUP("Referenz",$C$39:$AF$63,AD$4-$G$4+5,FALSE),VLOOKUP($C$7,$C$39:$AF$63,AD$4-$G$4+5,FALSE))</f>
        <v>41.305764966700472</v>
      </c>
      <c r="AE7" s="42">
        <f>IF(AE$4&lt;ControlPanel!$D$59,VLOOKUP("Referenz",$C$39:$AF$63,AE$4-$G$4+5,FALSE),VLOOKUP($C$7,$C$39:$AF$63,AE$4-$G$4+5,FALSE))</f>
        <v>40.084904918423611</v>
      </c>
      <c r="AF7" s="42">
        <f>IF(AF$4&lt;ControlPanel!$D$59,VLOOKUP("Referenz",$C$39:$AF$63,AF$4-$G$4+5,FALSE),VLOOKUP($C$7,$C$39:$AF$63,AF$4-$G$4+5,FALSE))</f>
        <v>38.900129403593361</v>
      </c>
    </row>
    <row r="8" spans="1:33" ht="15" customHeight="1" thickBot="1">
      <c r="B8" s="171" t="s">
        <v>13</v>
      </c>
      <c r="C8" s="184" t="str">
        <f>ControlPanel!L11</f>
        <v>Referenz</v>
      </c>
      <c r="D8" s="15" t="str">
        <f>VLOOKUP($C$8,$C$65:$AF$89,2,FALSE)</f>
        <v>dr</v>
      </c>
      <c r="E8" s="15" t="str">
        <f>VLOOKUP($C$8,$C$65:$AF$89,3,FALSE)</f>
        <v>EEG 2017</v>
      </c>
      <c r="F8" s="15" t="str">
        <f>VLOOKUP($C$8,$C$65:$AF$89,4,FALSE)</f>
        <v>Gewichtung der Größenklassen und Technologien</v>
      </c>
      <c r="G8" s="42">
        <f>IF(G$4&lt;ControlPanel!$D$59,VLOOKUP("Referenz",$C$65:$AF$89,G$4-$G$4+5,FALSE),VLOOKUP($C$8,$C$65:$AF$89,G$4-$G$4+5,FALSE))</f>
        <v>0</v>
      </c>
      <c r="H8" s="42">
        <f>IF(H$4&lt;ControlPanel!$D$59,VLOOKUP("Referenz",$C$65:$AF$89,H$4-$G$4+5,FALSE),VLOOKUP($C$8,$C$65:$AF$89,H$4-$G$4+5,FALSE))</f>
        <v>0</v>
      </c>
      <c r="I8" s="42">
        <f>IF(I$4&lt;ControlPanel!$D$59,VLOOKUP("Referenz",$C$65:$AF$89,I$4-$G$4+5,FALSE),VLOOKUP($C$8,$C$65:$AF$89,I$4-$G$4+5,FALSE))</f>
        <v>0</v>
      </c>
      <c r="J8" s="42">
        <f>IF(J$4&lt;ControlPanel!$D$59,VLOOKUP("Referenz",$C$65:$AF$89,J$4-$G$4+5,FALSE),VLOOKUP($C$8,$C$65:$AF$89,J$4-$G$4+5,FALSE))</f>
        <v>0</v>
      </c>
      <c r="K8" s="42">
        <f>IF(K$4&lt;ControlPanel!$D$59,VLOOKUP("Referenz",$C$65:$AF$89,K$4-$G$4+5,FALSE),VLOOKUP($C$8,$C$65:$AF$89,K$4-$G$4+5,FALSE))</f>
        <v>0</v>
      </c>
      <c r="L8" s="42">
        <f>IF(L$4&lt;ControlPanel!$D$59,VLOOKUP("Referenz",$C$65:$AF$89,L$4-$G$4+5,FALSE),VLOOKUP($C$8,$C$65:$AF$89,L$4-$G$4+5,FALSE))</f>
        <v>174.76190476190482</v>
      </c>
      <c r="M8" s="42">
        <f>IF(M$4&lt;ControlPanel!$D$59,VLOOKUP("Referenz",$C$65:$AF$89,M$4-$G$4+5,FALSE),VLOOKUP($C$8,$C$65:$AF$89,M$4-$G$4+5,FALSE))</f>
        <v>178.24364250000005</v>
      </c>
      <c r="N8" s="42">
        <f>IF(N$4&lt;ControlPanel!$D$59,VLOOKUP("Referenz",$C$65:$AF$89,N$4-$G$4+5,FALSE),VLOOKUP($C$8,$C$65:$AF$89,N$4-$G$4+5,FALSE))</f>
        <v>153.77000000000001</v>
      </c>
      <c r="O8" s="42">
        <f>IF(O$4&lt;ControlPanel!$D$59,VLOOKUP("Referenz",$C$65:$AF$89,O$4-$G$4+5,FALSE),VLOOKUP($C$8,$C$65:$AF$89,O$4-$G$4+5,FALSE))</f>
        <v>149.9914941707718</v>
      </c>
      <c r="P8" s="42">
        <f>IF(P$4&lt;ControlPanel!$D$59,VLOOKUP("Referenz",$C$65:$AF$89,P$4-$G$4+5,FALSE),VLOOKUP($C$8,$C$65:$AF$89,P$4-$G$4+5,FALSE))</f>
        <v>146.29623580770996</v>
      </c>
      <c r="Q8" s="42">
        <f>IF(Q$4&lt;ControlPanel!$D$59,VLOOKUP("Referenz",$C$65:$AF$89,Q$4-$G$4+5,FALSE),VLOOKUP($C$8,$C$65:$AF$89,Q$4-$G$4+5,FALSE))</f>
        <v>138.99746124695602</v>
      </c>
      <c r="R8" s="42">
        <f>IF(R$4&lt;ControlPanel!$D$59,VLOOKUP("Referenz",$C$65:$AF$89,R$4-$G$4+5,FALSE),VLOOKUP($C$8,$C$65:$AF$89,R$4-$G$4+5,FALSE))</f>
        <v>142.45904886967196</v>
      </c>
      <c r="S8" s="42">
        <f>IF(S$4&lt;ControlPanel!$D$59,VLOOKUP("Referenz",$C$65:$AF$89,S$4-$G$4+5,FALSE),VLOOKUP($C$8,$C$65:$AF$89,S$4-$G$4+5,FALSE))</f>
        <v>137.90967883577406</v>
      </c>
      <c r="T8" s="42">
        <f>IF(T$4&lt;ControlPanel!$D$59,VLOOKUP("Referenz",$C$65:$AF$89,T$4-$G$4+5,FALSE),VLOOKUP($C$8,$C$65:$AF$89,T$4-$G$4+5,FALSE))</f>
        <v>132.74871581588312</v>
      </c>
      <c r="U8" s="42">
        <f>IF(U$4&lt;ControlPanel!$D$59,VLOOKUP("Referenz",$C$65:$AF$89,U$4-$G$4+5,FALSE),VLOOKUP($C$8,$C$65:$AF$89,U$4-$G$4+5,FALSE))</f>
        <v>128.6261172129752</v>
      </c>
      <c r="V8" s="42">
        <f>IF(V$4&lt;ControlPanel!$D$59,VLOOKUP("Referenz",$C$65:$AF$89,V$4-$G$4+5,FALSE),VLOOKUP($C$8,$C$65:$AF$89,V$4-$G$4+5,FALSE))</f>
        <v>129.53996861454175</v>
      </c>
      <c r="W8" s="42">
        <f>IF(W$4&lt;ControlPanel!$D$59,VLOOKUP("Referenz",$C$65:$AF$89,W$4-$G$4+5,FALSE),VLOOKUP($C$8,$C$65:$AF$89,W$4-$G$4+5,FALSE))</f>
        <v>126.33045913970172</v>
      </c>
      <c r="X8" s="42">
        <f>IF(X$4&lt;ControlPanel!$D$59,VLOOKUP("Referenz",$C$65:$AF$89,X$4-$G$4+5,FALSE),VLOOKUP($C$8,$C$65:$AF$89,X$4-$G$4+5,FALSE))</f>
        <v>123.19758113514828</v>
      </c>
      <c r="Y8" s="42">
        <f>IF(Y$4&lt;ControlPanel!$D$59,VLOOKUP("Referenz",$C$65:$AF$89,Y$4-$G$4+5,FALSE),VLOOKUP($C$8,$C$65:$AF$89,Y$4-$G$4+5,FALSE))</f>
        <v>120.13952287204474</v>
      </c>
      <c r="Z8" s="42">
        <f>IF(Z$4&lt;ControlPanel!$D$59,VLOOKUP("Referenz",$C$65:$AF$89,Z$4-$G$4+5,FALSE),VLOOKUP($C$8,$C$65:$AF$89,Z$4-$G$4+5,FALSE))</f>
        <v>117.15451553321103</v>
      </c>
      <c r="AA8" s="42">
        <f>IF(AA$4&lt;ControlPanel!$D$59,VLOOKUP("Referenz",$C$65:$AF$89,AA$4-$G$4+5,FALSE),VLOOKUP($C$8,$C$65:$AF$89,AA$4-$G$4+5,FALSE))</f>
        <v>114.24083219030085</v>
      </c>
      <c r="AB8" s="42">
        <f>IF(AB$4&lt;ControlPanel!$D$59,VLOOKUP("Referenz",$C$65:$AF$89,AB$4-$G$4+5,FALSE),VLOOKUP($C$8,$C$65:$AF$89,AB$4-$G$4+5,FALSE))</f>
        <v>111.39678680553604</v>
      </c>
      <c r="AC8" s="42">
        <f>IF(AC$4&lt;ControlPanel!$D$59,VLOOKUP("Referenz",$C$65:$AF$89,AC$4-$G$4+5,FALSE),VLOOKUP($C$8,$C$65:$AF$89,AC$4-$G$4+5,FALSE))</f>
        <v>108.62073325740459</v>
      </c>
      <c r="AD8" s="42">
        <f>IF(AD$4&lt;ControlPanel!$D$59,VLOOKUP("Referenz",$C$65:$AF$89,AD$4-$G$4+5,FALSE),VLOOKUP($C$8,$C$65:$AF$89,AD$4-$G$4+5,FALSE))</f>
        <v>105.91106438974299</v>
      </c>
      <c r="AE8" s="42">
        <f>IF(AE$4&lt;ControlPanel!$D$59,VLOOKUP("Referenz",$C$65:$AF$89,AE$4-$G$4+5,FALSE),VLOOKUP($C$8,$C$65:$AF$89,AE$4-$G$4+5,FALSE))</f>
        <v>103.26621108363823</v>
      </c>
      <c r="AF8" s="42">
        <f>IF(AF$4&lt;ControlPanel!$D$59,VLOOKUP("Referenz",$C$65:$AF$89,AF$4-$G$4+5,FALSE),VLOOKUP($C$8,$C$65:$AF$89,AF$4-$G$4+5,FALSE))</f>
        <v>103.20178107568667</v>
      </c>
    </row>
    <row r="9" spans="1:33" ht="15" customHeight="1" thickBot="1">
      <c r="B9" s="171" t="s">
        <v>12</v>
      </c>
      <c r="C9" s="181" t="str">
        <f>ControlPanel!L12</f>
        <v>Referenz</v>
      </c>
      <c r="D9" s="15" t="str">
        <f>VLOOKUP($C$9,$C$91:$AF$115,2,FALSE)</f>
        <v>dr</v>
      </c>
      <c r="E9" s="15" t="str">
        <f>VLOOKUP($C$9,$C$91:$AF$115,3,FALSE)</f>
        <v>EEG 2017</v>
      </c>
      <c r="F9" s="15" t="str">
        <f>VLOOKUP($C$9,$C$91:$AF$115,4,FALSE)</f>
        <v>gem. EEG 2017 (ab 2021 5%/a Degression)</v>
      </c>
      <c r="G9" s="42">
        <f>IF(G$4&lt;ControlPanel!$D$59,VLOOKUP("Referenz",$C$91:$AF$115,G$4-$G$4+5,FALSE),VLOOKUP($C$9,$C$91:$AF$115,G$4-$G$4+5,FALSE))</f>
        <v>0</v>
      </c>
      <c r="H9" s="42">
        <f>IF(H$4&lt;ControlPanel!$D$59,VLOOKUP("Referenz",$C$91:$AF$115,H$4-$G$4+5,FALSE),VLOOKUP($C$9,$C$91:$AF$115,H$4-$G$4+5,FALSE))</f>
        <v>0</v>
      </c>
      <c r="I9" s="42">
        <f>IF(I$4&lt;ControlPanel!$D$59,VLOOKUP("Referenz",$C$91:$AF$115,I$4-$G$4+5,FALSE),VLOOKUP($C$9,$C$91:$AF$115,I$4-$G$4+5,FALSE))</f>
        <v>0</v>
      </c>
      <c r="J9" s="42">
        <f>IF(J$4&lt;ControlPanel!$D$59,VLOOKUP("Referenz",$C$91:$AF$115,J$4-$G$4+5,FALSE),VLOOKUP($C$9,$C$91:$AF$115,J$4-$G$4+5,FALSE))</f>
        <v>0</v>
      </c>
      <c r="K9" s="42">
        <f>IF(K$4&lt;ControlPanel!$D$59,VLOOKUP("Referenz",$C$91:$AF$115,K$4-$G$4+5,FALSE),VLOOKUP($C$9,$C$91:$AF$115,K$4-$G$4+5,FALSE))</f>
        <v>0</v>
      </c>
      <c r="L9" s="42">
        <f>IF(L$4&lt;ControlPanel!$D$59,VLOOKUP("Referenz",$C$91:$AF$115,L$4-$G$4+5,FALSE),VLOOKUP($C$9,$C$91:$AF$115,L$4-$G$4+5,FALSE))</f>
        <v>248.27586206896555</v>
      </c>
      <c r="M9" s="42">
        <f>IF(M$4&lt;ControlPanel!$D$59,VLOOKUP("Referenz",$C$91:$AF$115,M$4-$G$4+5,FALSE),VLOOKUP($C$9,$C$91:$AF$115,M$4-$G$4+5,FALSE))</f>
        <v>249.38549999999995</v>
      </c>
      <c r="N9" s="42">
        <f>IF(N$4&lt;ControlPanel!$D$59,VLOOKUP("Referenz",$C$91:$AF$115,N$4-$G$4+5,FALSE),VLOOKUP($C$9,$C$91:$AF$115,N$4-$G$4+5,FALSE))</f>
        <v>252</v>
      </c>
      <c r="O9" s="42">
        <f>IF(O$4&lt;ControlPanel!$D$59,VLOOKUP("Referenz",$C$91:$AF$115,O$4-$G$4+5,FALSE),VLOOKUP($C$9,$C$91:$AF$115,O$4-$G$4+5,FALSE))</f>
        <v>248.27586206896555</v>
      </c>
      <c r="P9" s="42">
        <f>IF(P$4&lt;ControlPanel!$D$59,VLOOKUP("Referenz",$C$91:$AF$115,P$4-$G$4+5,FALSE),VLOOKUP($C$9,$C$91:$AF$115,P$4-$G$4+5,FALSE))</f>
        <v>244.60676065907938</v>
      </c>
      <c r="Q9" s="42">
        <f>IF(Q$4&lt;ControlPanel!$D$59,VLOOKUP("Referenz",$C$91:$AF$115,Q$4-$G$4+5,FALSE),VLOOKUP($C$9,$C$91:$AF$115,Q$4-$G$4+5,FALSE))</f>
        <v>240.99188242273834</v>
      </c>
      <c r="R9" s="42">
        <f>IF(R$4&lt;ControlPanel!$D$59,VLOOKUP("Referenz",$C$91:$AF$115,R$4-$G$4+5,FALSE),VLOOKUP($C$9,$C$91:$AF$115,R$4-$G$4+5,FALSE))</f>
        <v>225.55890473064181</v>
      </c>
      <c r="S9" s="42">
        <f>IF(S$4&lt;ControlPanel!$D$59,VLOOKUP("Referenz",$C$91:$AF$115,S$4-$G$4+5,FALSE),VLOOKUP($C$9,$C$91:$AF$115,S$4-$G$4+5,FALSE))</f>
        <v>211.11424580700469</v>
      </c>
      <c r="T9" s="42">
        <f>IF(T$4&lt;ControlPanel!$D$59,VLOOKUP("Referenz",$C$91:$AF$115,T$4-$G$4+5,FALSE),VLOOKUP($C$9,$C$91:$AF$115,T$4-$G$4+5,FALSE))</f>
        <v>197.59461430212264</v>
      </c>
      <c r="U9" s="42">
        <f>IF(U$4&lt;ControlPanel!$D$59,VLOOKUP("Referenz",$C$91:$AF$115,U$4-$G$4+5,FALSE),VLOOKUP($C$9,$C$91:$AF$115,U$4-$G$4+5,FALSE))</f>
        <v>184.94077200691282</v>
      </c>
      <c r="V9" s="42">
        <f>IF(V$4&lt;ControlPanel!$D$59,VLOOKUP("Referenz",$C$91:$AF$115,V$4-$G$4+5,FALSE),VLOOKUP($C$9,$C$91:$AF$115,V$4-$G$4+5,FALSE))</f>
        <v>173.09727429218444</v>
      </c>
      <c r="W9" s="42">
        <f>IF(W$4&lt;ControlPanel!$D$59,VLOOKUP("Referenz",$C$91:$AF$115,W$4-$G$4+5,FALSE),VLOOKUP($C$9,$C$91:$AF$115,W$4-$G$4+5,FALSE))</f>
        <v>162.01222717002486</v>
      </c>
      <c r="X9" s="42">
        <f>IF(X$4&lt;ControlPanel!$D$59,VLOOKUP("Referenz",$C$91:$AF$115,X$4-$G$4+5,FALSE),VLOOKUP($C$9,$C$91:$AF$115,X$4-$G$4+5,FALSE))</f>
        <v>151.63705991283115</v>
      </c>
      <c r="Y9" s="42">
        <f>IF(Y$4&lt;ControlPanel!$D$59,VLOOKUP("Referenz",$C$91:$AF$115,Y$4-$G$4+5,FALSE),VLOOKUP($C$9,$C$91:$AF$115,Y$4-$G$4+5,FALSE))</f>
        <v>141.92631223368434</v>
      </c>
      <c r="Z9" s="42">
        <f>IF(Z$4&lt;ControlPanel!$D$59,VLOOKUP("Referenz",$C$91:$AF$115,Z$4-$G$4+5,FALSE),VLOOKUP($C$9,$C$91:$AF$115,Z$4-$G$4+5,FALSE))</f>
        <v>132.83743509556663</v>
      </c>
      <c r="AA9" s="42">
        <f>IF(AA$4&lt;ControlPanel!$D$59,VLOOKUP("Referenz",$C$91:$AF$115,AA$4-$G$4+5,FALSE),VLOOKUP($C$9,$C$91:$AF$115,AA$4-$G$4+5,FALSE))</f>
        <v>124.33060427663872</v>
      </c>
      <c r="AB9" s="42">
        <f>IF(AB$4&lt;ControlPanel!$D$59,VLOOKUP("Referenz",$C$91:$AF$115,AB$4-$G$4+5,FALSE),VLOOKUP($C$9,$C$91:$AF$115,AB$4-$G$4+5,FALSE))</f>
        <v>116.3685458746865</v>
      </c>
      <c r="AC9" s="42">
        <f>IF(AC$4&lt;ControlPanel!$D$59,VLOOKUP("Referenz",$C$91:$AF$115,AC$4-$G$4+5,FALSE),VLOOKUP($C$9,$C$91:$AF$115,AC$4-$G$4+5,FALSE))</f>
        <v>108.91637298615977</v>
      </c>
      <c r="AD9" s="42">
        <f>IF(AD$4&lt;ControlPanel!$D$59,VLOOKUP("Referenz",$C$91:$AF$115,AD$4-$G$4+5,FALSE),VLOOKUP($C$9,$C$91:$AF$115,AD$4-$G$4+5,FALSE))</f>
        <v>101.94143284418897</v>
      </c>
      <c r="AE9" s="42">
        <f>IF(AE$4&lt;ControlPanel!$D$59,VLOOKUP("Referenz",$C$91:$AF$115,AE$4-$G$4+5,FALSE),VLOOKUP($C$9,$C$91:$AF$115,AE$4-$G$4+5,FALSE))</f>
        <v>95.41316374579263</v>
      </c>
      <c r="AF9" s="42">
        <f>IF(AF$4&lt;ControlPanel!$D$59,VLOOKUP("Referenz",$C$91:$AF$115,AF$4-$G$4+5,FALSE),VLOOKUP($C$9,$C$91:$AF$115,AF$4-$G$4+5,FALSE))</f>
        <v>89.302961141382269</v>
      </c>
    </row>
    <row r="10" spans="1:33" ht="15" customHeight="1" thickBot="1">
      <c r="B10" s="171" t="s">
        <v>24</v>
      </c>
      <c r="C10" s="184" t="str">
        <f>ControlPanel!L8</f>
        <v>Referenz</v>
      </c>
      <c r="D10" s="15" t="str">
        <f>VLOOKUP($C$10,$C$117:$AF$141,2,FALSE)</f>
        <v>dr</v>
      </c>
      <c r="E10" s="15" t="str">
        <f>VLOOKUP($C$10,$C$117:$AF$141,3,FALSE)</f>
        <v>sinkt auf 3,5 ct/kWh in 2035</v>
      </c>
      <c r="F10" s="15" t="str">
        <f>VLOOKUP($C$10,$C$117:$AF$141,4,FALSE)</f>
        <v>Bis 2018  EEG Degression; danach Ausschreibungsergebnisse,  Absenkung auf 4 ct/kWh in 2035 (nominal), Gütefaktor 80%</v>
      </c>
      <c r="G10" s="42">
        <f>IF(G$4&lt;ControlPanel!$D$59,VLOOKUP("Referenz",$C$117:$AF$141,G$4-$G$4+5,FALSE),VLOOKUP($C$10,$C$117:$AF$141,G$4-$G$4+5,FALSE))</f>
        <v>0</v>
      </c>
      <c r="H10" s="42">
        <f>IF(H$4&lt;ControlPanel!$D$59,VLOOKUP("Referenz",$C$117:$AF$141,H$4-$G$4+5,FALSE),VLOOKUP($C$10,$C$117:$AF$141,H$4-$G$4+5,FALSE))</f>
        <v>0</v>
      </c>
      <c r="I10" s="42">
        <f>IF(I$4&lt;ControlPanel!$D$59,VLOOKUP("Referenz",$C$117:$AF$141,I$4-$G$4+5,FALSE),VLOOKUP($C$10,$C$117:$AF$141,I$4-$G$4+5,FALSE))</f>
        <v>0</v>
      </c>
      <c r="J10" s="42">
        <f>IF(J$4&lt;ControlPanel!$D$59,VLOOKUP("Referenz",$C$117:$AF$141,J$4-$G$4+5,FALSE),VLOOKUP($C$10,$C$117:$AF$141,J$4-$G$4+5,FALSE))</f>
        <v>0</v>
      </c>
      <c r="K10" s="42">
        <f>IF(K$4&lt;ControlPanel!$D$59,VLOOKUP("Referenz",$C$117:$AF$141,K$4-$G$4+5,FALSE),VLOOKUP($C$10,$C$117:$AF$141,K$4-$G$4+5,FALSE))</f>
        <v>0</v>
      </c>
      <c r="L10" s="42">
        <f>IF(L$4&lt;ControlPanel!$D$59,VLOOKUP("Referenz",$C$117:$AF$141,L$4-$G$4+5,FALSE),VLOOKUP($C$10,$C$117:$AF$141,L$4-$G$4+5,FALSE))</f>
        <v>87.684729064039445</v>
      </c>
      <c r="M10" s="42">
        <f>IF(M$4&lt;ControlPanel!$D$59,VLOOKUP("Referenz",$C$117:$AF$141,M$4-$G$4+5,FALSE),VLOOKUP($C$10,$C$117:$AF$141,M$4-$G$4+5,FALSE))</f>
        <v>88.277074028919984</v>
      </c>
      <c r="N10" s="42">
        <f>IF(N$4&lt;ControlPanel!$D$59,VLOOKUP("Referenz",$C$117:$AF$141,N$4-$G$4+5,FALSE),VLOOKUP($C$10,$C$117:$AF$141,N$4-$G$4+5,FALSE))</f>
        <v>80.650000000000006</v>
      </c>
      <c r="O10" s="42">
        <f>IF(O$4&lt;ControlPanel!$D$59,VLOOKUP("Referenz",$C$117:$AF$141,O$4-$G$4+5,FALSE),VLOOKUP($C$10,$C$117:$AF$141,O$4-$G$4+5,FALSE))</f>
        <v>74.50738916256158</v>
      </c>
      <c r="P10" s="42">
        <f>IF(P$4&lt;ControlPanel!$D$59,VLOOKUP("Referenz",$C$117:$AF$141,P$4-$G$4+5,FALSE),VLOOKUP($C$10,$C$117:$AF$141,P$4-$G$4+5,FALSE))</f>
        <v>62.153413089373693</v>
      </c>
      <c r="Q10" s="42">
        <f>IF(Q$4&lt;ControlPanel!$D$59,VLOOKUP("Referenz",$C$117:$AF$141,Q$4-$G$4+5,FALSE),VLOOKUP($C$10,$C$117:$AF$141,Q$4-$G$4+5,FALSE))</f>
        <v>60.181028416122707</v>
      </c>
      <c r="R10" s="42">
        <f>IF(R$4&lt;ControlPanel!$D$59,VLOOKUP("Referenz",$C$117:$AF$141,R$4-$G$4+5,FALSE),VLOOKUP($C$10,$C$117:$AF$141,R$4-$G$4+5,FALSE))</f>
        <v>58.253366590167602</v>
      </c>
      <c r="S10" s="42">
        <f>IF(S$4&lt;ControlPanel!$D$59,VLOOKUP("Referenz",$C$117:$AF$141,S$4-$G$4+5,FALSE),VLOOKUP($C$10,$C$117:$AF$141,S$4-$G$4+5,FALSE))</f>
        <v>56.369536520582891</v>
      </c>
      <c r="T10" s="42">
        <f>IF(T$4&lt;ControlPanel!$D$59,VLOOKUP("Referenz",$C$117:$AF$141,T$4-$G$4+5,FALSE),VLOOKUP($C$10,$C$117:$AF$141,T$4-$G$4+5,FALSE))</f>
        <v>54.528663686685597</v>
      </c>
      <c r="U10" s="42">
        <f>IF(U$4&lt;ControlPanel!$D$59,VLOOKUP("Referenz",$C$117:$AF$141,U$4-$G$4+5,FALSE),VLOOKUP($C$10,$C$117:$AF$141,U$4-$G$4+5,FALSE))</f>
        <v>52.729889842887602</v>
      </c>
      <c r="V10" s="42">
        <f>IF(V$4&lt;ControlPanel!$D$59,VLOOKUP("Referenz",$C$117:$AF$141,V$4-$G$4+5,FALSE),VLOOKUP($C$10,$C$117:$AF$141,V$4-$G$4+5,FALSE))</f>
        <v>50.972372728652694</v>
      </c>
      <c r="W10" s="42">
        <f>IF(W$4&lt;ControlPanel!$D$59,VLOOKUP("Referenz",$C$117:$AF$141,W$4-$G$4+5,FALSE),VLOOKUP($C$10,$C$117:$AF$141,W$4-$G$4+5,FALSE))</f>
        <v>49.255285783471933</v>
      </c>
      <c r="X10" s="42">
        <f>IF(X$4&lt;ControlPanel!$D$59,VLOOKUP("Referenz",$C$117:$AF$141,X$4-$G$4+5,FALSE),VLOOKUP($C$10,$C$117:$AF$141,X$4-$G$4+5,FALSE))</f>
        <v>47.577817866772151</v>
      </c>
      <c r="Y10" s="42">
        <f>IF(Y$4&lt;ControlPanel!$D$59,VLOOKUP("Referenz",$C$117:$AF$141,Y$4-$G$4+5,FALSE),VLOOKUP($C$10,$C$117:$AF$141,Y$4-$G$4+5,FALSE))</f>
        <v>45.939172982674187</v>
      </c>
      <c r="Z10" s="42">
        <f>IF(Z$4&lt;ControlPanel!$D$59,VLOOKUP("Referenz",$C$117:$AF$141,Z$4-$G$4+5,FALSE),VLOOKUP($C$10,$C$117:$AF$141,Z$4-$G$4+5,FALSE))</f>
        <v>44.338570009518754</v>
      </c>
      <c r="AA10" s="42">
        <f>IF(AA$4&lt;ControlPanel!$D$59,VLOOKUP("Referenz",$C$117:$AF$141,AA$4-$G$4+5,FALSE),VLOOKUP($C$10,$C$117:$AF$141,AA$4-$G$4+5,FALSE))</f>
        <v>42.775242434078841</v>
      </c>
      <c r="AB10" s="42">
        <f>IF(AB$4&lt;ControlPanel!$D$59,VLOOKUP("Referenz",$C$117:$AF$141,AB$4-$G$4+5,FALSE),VLOOKUP($C$10,$C$117:$AF$141,AB$4-$G$4+5,FALSE))</f>
        <v>41.24843809037958</v>
      </c>
      <c r="AC10" s="42">
        <f>IF(AC$4&lt;ControlPanel!$D$59,VLOOKUP("Referenz",$C$117:$AF$141,AC$4-$G$4+5,FALSE),VLOOKUP($C$10,$C$117:$AF$141,AC$4-$G$4+5,FALSE))</f>
        <v>39.75741890304711</v>
      </c>
      <c r="AD10" s="42">
        <f>IF(AD$4&lt;ControlPanel!$D$59,VLOOKUP("Referenz",$C$117:$AF$141,AD$4-$G$4+5,FALSE),VLOOKUP($C$10,$C$117:$AF$141,AD$4-$G$4+5,FALSE))</f>
        <v>38.301460635109848</v>
      </c>
      <c r="AE10" s="42">
        <f>IF(AE$4&lt;ControlPanel!$D$59,VLOOKUP("Referenz",$C$117:$AF$141,AE$4-$G$4+5,FALSE),VLOOKUP($C$10,$C$117:$AF$141,AE$4-$G$4+5,FALSE))</f>
        <v>36.879852640176559</v>
      </c>
      <c r="AF10" s="42">
        <f>IF(AF$4&lt;ControlPanel!$D$59,VLOOKUP("Referenz",$C$117:$AF$141,AF$4-$G$4+5,FALSE),VLOOKUP($C$10,$C$117:$AF$141,AF$4-$G$4+5,FALSE))</f>
        <v>35.491897618916795</v>
      </c>
    </row>
    <row r="11" spans="1:33" ht="15" customHeight="1" thickBot="1">
      <c r="B11" s="171" t="s">
        <v>26</v>
      </c>
      <c r="C11" s="181" t="str">
        <f>ControlPanel!L9</f>
        <v>Referenz</v>
      </c>
      <c r="D11" s="15" t="str">
        <f>VLOOKUP($C$11,$C$143:$AF$167,2,FALSE)</f>
        <v>dr</v>
      </c>
      <c r="E11" s="15" t="str">
        <f>VLOOKUP($C$11,$C$143:$AF$167,3,FALSE)</f>
        <v>sinkt auf 4,5 ct/kWh in 2035</v>
      </c>
      <c r="F11" s="15" t="str">
        <f>VLOOKUP($C$11,$C$143:$AF$167,4,FALSE)</f>
        <v>2018-2020: Anfangsvergütung gem. EEG2017  (12+3 Jahre), danach Auktionsergebnisse, lineare Absenkung auf 5 ct/kWh (2030)</v>
      </c>
      <c r="G11" s="42">
        <f>IF(G$4&lt;ControlPanel!$D$59,VLOOKUP("Referenz",$C$143:$AF$167,G$4-$G$4+5,FALSE),VLOOKUP($C$11,$C$143:$AF$167,G$4-$G$4+5,FALSE))</f>
        <v>0</v>
      </c>
      <c r="H11" s="42">
        <f>IF(H$4&lt;ControlPanel!$D$59,VLOOKUP("Referenz",$C$143:$AF$167,H$4-$G$4+5,FALSE),VLOOKUP($C$11,$C$143:$AF$167,H$4-$G$4+5,FALSE))</f>
        <v>0</v>
      </c>
      <c r="I11" s="42">
        <f>IF(I$4&lt;ControlPanel!$D$59,VLOOKUP("Referenz",$C$143:$AF$167,I$4-$G$4+5,FALSE),VLOOKUP($C$11,$C$143:$AF$167,I$4-$G$4+5,FALSE))</f>
        <v>0</v>
      </c>
      <c r="J11" s="42">
        <f>IF(J$4&lt;ControlPanel!$D$59,VLOOKUP("Referenz",$C$143:$AF$167,J$4-$G$4+5,FALSE),VLOOKUP($C$11,$C$143:$AF$167,J$4-$G$4+5,FALSE))</f>
        <v>0</v>
      </c>
      <c r="K11" s="42">
        <f>IF(K$4&lt;ControlPanel!$D$59,VLOOKUP("Referenz",$C$143:$AF$167,K$4-$G$4+5,FALSE),VLOOKUP($C$11,$C$143:$AF$167,K$4-$G$4+5,FALSE))</f>
        <v>0</v>
      </c>
      <c r="L11" s="42">
        <f>IF(L$4&lt;ControlPanel!$D$59,VLOOKUP("Referenz",$C$143:$AF$167,L$4-$G$4+5,FALSE),VLOOKUP($C$11,$C$143:$AF$167,L$4-$G$4+5,FALSE))</f>
        <v>191.13300492610838</v>
      </c>
      <c r="M11" s="42">
        <f>IF(M$4&lt;ControlPanel!$D$59,VLOOKUP("Referenz",$C$143:$AF$167,M$4-$G$4+5,FALSE),VLOOKUP($C$11,$C$143:$AF$167,M$4-$G$4+5,FALSE))</f>
        <v>191.73349999999999</v>
      </c>
      <c r="N11" s="42">
        <f>IF(N$4&lt;ControlPanel!$D$59,VLOOKUP("Referenz",$C$143:$AF$167,N$4-$G$4+5,FALSE),VLOOKUP($C$11,$C$143:$AF$167,N$4-$G$4+5,FALSE))</f>
        <v>194</v>
      </c>
      <c r="O11" s="42">
        <f>IF(O$4&lt;ControlPanel!$D$59,VLOOKUP("Referenz",$C$143:$AF$167,O$4-$G$4+5,FALSE),VLOOKUP($C$11,$C$143:$AF$167,O$4-$G$4+5,FALSE))</f>
        <v>146.79802955665025</v>
      </c>
      <c r="P11" s="42">
        <f>IF(P$4&lt;ControlPanel!$D$59,VLOOKUP("Referenz",$C$143:$AF$167,P$4-$G$4+5,FALSE),VLOOKUP($C$11,$C$143:$AF$167,P$4-$G$4+5,FALSE))</f>
        <v>144.62860054842392</v>
      </c>
      <c r="Q11" s="42">
        <f>IF(Q$4&lt;ControlPanel!$D$59,VLOOKUP("Referenz",$C$143:$AF$167,Q$4-$G$4+5,FALSE),VLOOKUP($C$11,$C$143:$AF$167,Q$4-$G$4+5,FALSE))</f>
        <v>137.70964709870762</v>
      </c>
      <c r="R11" s="42">
        <f>IF(R$4&lt;ControlPanel!$D$59,VLOOKUP("Referenz",$C$143:$AF$167,R$4-$G$4+5,FALSE),VLOOKUP($C$11,$C$143:$AF$167,R$4-$G$4+5,FALSE))</f>
        <v>70</v>
      </c>
      <c r="S11" s="42">
        <f>IF(S$4&lt;ControlPanel!$D$59,VLOOKUP("Referenz",$C$143:$AF$167,S$4-$G$4+5,FALSE),VLOOKUP($C$11,$C$143:$AF$167,S$4-$G$4+5,FALSE))</f>
        <v>65</v>
      </c>
      <c r="T11" s="42">
        <f>IF(T$4&lt;ControlPanel!$D$59,VLOOKUP("Referenz",$C$143:$AF$167,T$4-$G$4+5,FALSE),VLOOKUP($C$11,$C$143:$AF$167,T$4-$G$4+5,FALSE))</f>
        <v>61.666666666666664</v>
      </c>
      <c r="U11" s="42">
        <f>IF(U$4&lt;ControlPanel!$D$59,VLOOKUP("Referenz",$C$143:$AF$167,U$4-$G$4+5,FALSE),VLOOKUP($C$11,$C$143:$AF$167,U$4-$G$4+5,FALSE))</f>
        <v>58.333333333333329</v>
      </c>
      <c r="V11" s="42">
        <f>IF(V$4&lt;ControlPanel!$D$59,VLOOKUP("Referenz",$C$143:$AF$167,V$4-$G$4+5,FALSE),VLOOKUP($C$11,$C$143:$AF$167,V$4-$G$4+5,FALSE))</f>
        <v>55</v>
      </c>
      <c r="W11" s="42">
        <f>IF(W$4&lt;ControlPanel!$D$59,VLOOKUP("Referenz",$C$143:$AF$167,W$4-$G$4+5,FALSE),VLOOKUP($C$11,$C$143:$AF$167,W$4-$G$4+5,FALSE))</f>
        <v>54</v>
      </c>
      <c r="X11" s="42">
        <f>IF(X$4&lt;ControlPanel!$D$59,VLOOKUP("Referenz",$C$143:$AF$167,X$4-$G$4+5,FALSE),VLOOKUP($C$11,$C$143:$AF$167,X$4-$G$4+5,FALSE))</f>
        <v>53</v>
      </c>
      <c r="Y11" s="42">
        <f>IF(Y$4&lt;ControlPanel!$D$59,VLOOKUP("Referenz",$C$143:$AF$167,Y$4-$G$4+5,FALSE),VLOOKUP($C$11,$C$143:$AF$167,Y$4-$G$4+5,FALSE))</f>
        <v>52</v>
      </c>
      <c r="Z11" s="42">
        <f>IF(Z$4&lt;ControlPanel!$D$59,VLOOKUP("Referenz",$C$143:$AF$167,Z$4-$G$4+5,FALSE),VLOOKUP($C$11,$C$143:$AF$167,Z$4-$G$4+5,FALSE))</f>
        <v>51</v>
      </c>
      <c r="AA11" s="42">
        <f>IF(AA$4&lt;ControlPanel!$D$59,VLOOKUP("Referenz",$C$143:$AF$167,AA$4-$G$4+5,FALSE),VLOOKUP($C$11,$C$143:$AF$167,AA$4-$G$4+5,FALSE))</f>
        <v>50</v>
      </c>
      <c r="AB11" s="42">
        <f>IF(AB$4&lt;ControlPanel!$D$59,VLOOKUP("Referenz",$C$143:$AF$167,AB$4-$G$4+5,FALSE),VLOOKUP($C$11,$C$143:$AF$167,AB$4-$G$4+5,FALSE))</f>
        <v>49</v>
      </c>
      <c r="AC11" s="42">
        <f>IF(AC$4&lt;ControlPanel!$D$59,VLOOKUP("Referenz",$C$143:$AF$167,AC$4-$G$4+5,FALSE),VLOOKUP($C$11,$C$143:$AF$167,AC$4-$G$4+5,FALSE))</f>
        <v>48</v>
      </c>
      <c r="AD11" s="42">
        <f>IF(AD$4&lt;ControlPanel!$D$59,VLOOKUP("Referenz",$C$143:$AF$167,AD$4-$G$4+5,FALSE),VLOOKUP($C$11,$C$143:$AF$167,AD$4-$G$4+5,FALSE))</f>
        <v>47</v>
      </c>
      <c r="AE11" s="42">
        <f>IF(AE$4&lt;ControlPanel!$D$59,VLOOKUP("Referenz",$C$143:$AF$167,AE$4-$G$4+5,FALSE),VLOOKUP($C$11,$C$143:$AF$167,AE$4-$G$4+5,FALSE))</f>
        <v>46</v>
      </c>
      <c r="AF11" s="42">
        <f>IF(AF$4&lt;ControlPanel!$D$59,VLOOKUP("Referenz",$C$143:$AF$167,AF$4-$G$4+5,FALSE),VLOOKUP($C$11,$C$143:$AF$167,AF$4-$G$4+5,FALSE))</f>
        <v>45</v>
      </c>
    </row>
    <row r="12" spans="1:33" ht="15" customHeight="1" thickBot="1">
      <c r="B12" s="173" t="s">
        <v>14</v>
      </c>
      <c r="C12" s="184" t="str">
        <f>ControlPanel!L10</f>
        <v>Referenz</v>
      </c>
      <c r="D12" s="40" t="str">
        <f>VLOOKUP($C$12,$C$169:$AF$193,2,FALSE)</f>
        <v>dr</v>
      </c>
      <c r="E12" s="40" t="str">
        <f>VLOOKUP($C$12,$C$169:$AF$193,3,FALSE)</f>
        <v>EEG 2017; Anteil Ausschreibungen ab 2020 50%</v>
      </c>
      <c r="F12" s="15" t="str">
        <f>VLOOKUP($C$12,$C$169:$AF$193,4,FALSE)</f>
        <v>Degression gemäß atmendem Deckel; Ausschreibungsergebnisse, Absenkung auf 3,5 ct/kWh in 2035 (nominal); Anteil Ausschreibungen bis 2019 wie EEG, danach 50%</v>
      </c>
      <c r="G12" s="43">
        <f>IF(G$4&lt;ControlPanel!$D$59,VLOOKUP("Referenz",$C$169:$AF$193,G$4-$G$4+5,FALSE),VLOOKUP($C$12,$C$169:$AF$193,G$4-$G$4+5,FALSE))</f>
        <v>0</v>
      </c>
      <c r="H12" s="43">
        <f>IF(H$4&lt;ControlPanel!$D$59,VLOOKUP("Referenz",$C$169:$AF$193,H$4-$G$4+5,FALSE),VLOOKUP($C$12,$C$169:$AF$193,H$4-$G$4+5,FALSE))</f>
        <v>0</v>
      </c>
      <c r="I12" s="43">
        <f>IF(I$4&lt;ControlPanel!$D$59,VLOOKUP("Referenz",$C$169:$AF$193,I$4-$G$4+5,FALSE),VLOOKUP($C$12,$C$169:$AF$193,I$4-$G$4+5,FALSE))</f>
        <v>0</v>
      </c>
      <c r="J12" s="43">
        <f>IF(J$4&lt;ControlPanel!$D$59,VLOOKUP("Referenz",$C$169:$AF$193,J$4-$G$4+5,FALSE),VLOOKUP($C$12,$C$169:$AF$193,J$4-$G$4+5,FALSE))</f>
        <v>0</v>
      </c>
      <c r="K12" s="43">
        <f>IF(K$4&lt;ControlPanel!$D$59,VLOOKUP("Referenz",$C$169:$AF$193,K$4-$G$4+5,FALSE),VLOOKUP($C$12,$C$169:$AF$193,K$4-$G$4+5,FALSE))</f>
        <v>0</v>
      </c>
      <c r="L12" s="43">
        <f>IF(L$4&lt;ControlPanel!$D$59,VLOOKUP("Referenz",$C$169:$AF$193,L$4-$G$4+5,FALSE),VLOOKUP($C$12,$C$169:$AF$193,L$4-$G$4+5,FALSE))</f>
        <v>108.02793365944886</v>
      </c>
      <c r="M12" s="43">
        <f>IF(M$4&lt;ControlPanel!$D$59,VLOOKUP("Referenz",$C$169:$AF$193,M$4-$G$4+5,FALSE),VLOOKUP($C$12,$C$169:$AF$193,M$4-$G$4+5,FALSE))</f>
        <v>110.45769389560584</v>
      </c>
      <c r="N12" s="43">
        <f>IF(N$4&lt;ControlPanel!$D$59,VLOOKUP("Referenz",$C$169:$AF$193,N$4-$G$4+5,FALSE),VLOOKUP($C$12,$C$169:$AF$193,N$4-$G$4+5,FALSE))</f>
        <v>101.35881575680968</v>
      </c>
      <c r="O12" s="43">
        <f>IF(O$4&lt;ControlPanel!$D$59,VLOOKUP("Referenz",$C$169:$AF$193,O$4-$G$4+5,FALSE),VLOOKUP($C$12,$C$169:$AF$193,O$4-$G$4+5,FALSE))</f>
        <v>109.04631799757858</v>
      </c>
      <c r="P12" s="43">
        <f>IF(P$4&lt;ControlPanel!$D$59,VLOOKUP("Referenz",$C$169:$AF$193,P$4-$G$4+5,FALSE),VLOOKUP($C$12,$C$169:$AF$193,P$4-$G$4+5,FALSE))</f>
        <v>106.93752173913046</v>
      </c>
      <c r="Q12" s="43">
        <f>IF(Q$4&lt;ControlPanel!$D$59,VLOOKUP("Referenz",$C$169:$AF$193,Q$4-$G$4+5,FALSE),VLOOKUP($C$12,$C$169:$AF$193,Q$4-$G$4+5,FALSE))</f>
        <v>89.118500000000012</v>
      </c>
      <c r="R12" s="43">
        <f>IF(R$4&lt;ControlPanel!$D$59,VLOOKUP("Referenz",$C$169:$AF$193,R$4-$G$4+5,FALSE),VLOOKUP($C$12,$C$169:$AF$193,R$4-$G$4+5,FALSE))</f>
        <v>84.825000000000003</v>
      </c>
      <c r="S12" s="43">
        <f>IF(S$4&lt;ControlPanel!$D$59,VLOOKUP("Referenz",$C$169:$AF$193,S$4-$G$4+5,FALSE),VLOOKUP($C$12,$C$169:$AF$193,S$4-$G$4+5,FALSE))</f>
        <v>78.358541666666667</v>
      </c>
      <c r="T12" s="43">
        <f>IF(T$4&lt;ControlPanel!$D$59,VLOOKUP("Referenz",$C$169:$AF$193,T$4-$G$4+5,FALSE),VLOOKUP($C$12,$C$169:$AF$193,T$4-$G$4+5,FALSE))</f>
        <v>74.209166666666661</v>
      </c>
      <c r="U12" s="43">
        <f>IF(U$4&lt;ControlPanel!$D$59,VLOOKUP("Referenz",$C$169:$AF$193,U$4-$G$4+5,FALSE),VLOOKUP($C$12,$C$169:$AF$193,U$4-$G$4+5,FALSE))</f>
        <v>70.758208333333343</v>
      </c>
      <c r="V12" s="43">
        <f>IF(V$4&lt;ControlPanel!$D$59,VLOOKUP("Referenz",$C$169:$AF$193,V$4-$G$4+5,FALSE),VLOOKUP($C$12,$C$169:$AF$193,V$4-$G$4+5,FALSE))</f>
        <v>67.374750000000006</v>
      </c>
      <c r="W12" s="43">
        <f>IF(W$4&lt;ControlPanel!$D$59,VLOOKUP("Referenz",$C$169:$AF$193,W$4-$G$4+5,FALSE),VLOOKUP($C$12,$C$169:$AF$193,W$4-$G$4+5,FALSE))</f>
        <v>64.198750000000004</v>
      </c>
      <c r="X12" s="43">
        <f>IF(X$4&lt;ControlPanel!$D$59,VLOOKUP("Referenz",$C$169:$AF$193,X$4-$G$4+5,FALSE),VLOOKUP($C$12,$C$169:$AF$193,X$4-$G$4+5,FALSE))</f>
        <v>61.143458333333328</v>
      </c>
      <c r="Y12" s="43">
        <f>IF(Y$4&lt;ControlPanel!$D$59,VLOOKUP("Referenz",$C$169:$AF$193,Y$4-$G$4+5,FALSE),VLOOKUP($C$12,$C$169:$AF$193,Y$4-$G$4+5,FALSE))</f>
        <v>58.260166666666649</v>
      </c>
      <c r="Z12" s="43">
        <f>IF(Z$4&lt;ControlPanel!$D$59,VLOOKUP("Referenz",$C$169:$AF$193,Z$4-$G$4+5,FALSE),VLOOKUP($C$12,$C$169:$AF$193,Z$4-$G$4+5,FALSE))</f>
        <v>55.461749999999988</v>
      </c>
      <c r="AA12" s="43">
        <f>IF(AA$4&lt;ControlPanel!$D$59,VLOOKUP("Referenz",$C$169:$AF$193,AA$4-$G$4+5,FALSE),VLOOKUP($C$12,$C$169:$AF$193,AA$4-$G$4+5,FALSE))</f>
        <v>52.840583333333328</v>
      </c>
      <c r="AB12" s="43">
        <f>IF(AB$4&lt;ControlPanel!$D$59,VLOOKUP("Referenz",$C$169:$AF$193,AB$4-$G$4+5,FALSE),VLOOKUP($C$12,$C$169:$AF$193,AB$4-$G$4+5,FALSE))</f>
        <v>50.376916666666652</v>
      </c>
      <c r="AC12" s="43">
        <f>IF(AC$4&lt;ControlPanel!$D$59,VLOOKUP("Referenz",$C$169:$AF$193,AC$4-$G$4+5,FALSE),VLOOKUP($C$12,$C$169:$AF$193,AC$4-$G$4+5,FALSE))</f>
        <v>47.916249999999991</v>
      </c>
      <c r="AD12" s="43">
        <f>IF(AD$4&lt;ControlPanel!$D$59,VLOOKUP("Referenz",$C$169:$AF$193,AD$4-$G$4+5,FALSE),VLOOKUP($C$12,$C$169:$AF$193,AD$4-$G$4+5,FALSE))</f>
        <v>45.505749999999985</v>
      </c>
      <c r="AE12" s="43">
        <f>IF(AE$4&lt;ControlPanel!$D$59,VLOOKUP("Referenz",$C$169:$AF$193,AE$4-$G$4+5,FALSE),VLOOKUP($C$12,$C$169:$AF$193,AE$4-$G$4+5,FALSE))</f>
        <v>43.285166666666655</v>
      </c>
      <c r="AF12" s="43">
        <f>IF(AF$4&lt;ControlPanel!$D$59,VLOOKUP("Referenz",$C$169:$AF$193,AF$4-$G$4+5,FALSE),VLOOKUP($C$12,$C$169:$AF$193,AF$4-$G$4+5,FALSE))</f>
        <v>41.136499999999998</v>
      </c>
    </row>
    <row r="13" spans="1:33" ht="15" customHeight="1">
      <c r="B13" s="172" t="s">
        <v>25</v>
      </c>
      <c r="C13" s="321" t="s">
        <v>138</v>
      </c>
      <c r="D13" s="22" t="s">
        <v>257</v>
      </c>
      <c r="E13" s="321" t="s">
        <v>750</v>
      </c>
      <c r="F13" s="22" t="s">
        <v>748</v>
      </c>
      <c r="G13" s="328"/>
      <c r="H13" s="328"/>
      <c r="I13" s="328"/>
      <c r="J13" s="328"/>
      <c r="K13" s="328"/>
      <c r="L13" s="328">
        <v>115.67111231527093</v>
      </c>
      <c r="M13" s="328">
        <v>118.57143532657497</v>
      </c>
      <c r="N13" s="328">
        <v>119.06888980183719</v>
      </c>
      <c r="O13" s="328">
        <v>116.72270478111133</v>
      </c>
      <c r="P13" s="328">
        <v>114.42275000709931</v>
      </c>
      <c r="Q13" s="328">
        <v>112.16811453897915</v>
      </c>
      <c r="R13" s="328">
        <v>109.95790538550175</v>
      </c>
      <c r="S13" s="328">
        <v>107.79124715130467</v>
      </c>
      <c r="T13" s="328">
        <v>105.66728169019525</v>
      </c>
      <c r="U13" s="328">
        <v>103.58516776526531</v>
      </c>
      <c r="V13" s="328">
        <v>101.54408071570344</v>
      </c>
      <c r="W13" s="328">
        <v>99.54321213017235</v>
      </c>
      <c r="X13" s="328">
        <v>97.581769526622168</v>
      </c>
      <c r="Y13" s="328">
        <v>95.658976038412874</v>
      </c>
      <c r="Z13" s="328">
        <v>93.774070106621494</v>
      </c>
      <c r="AA13" s="328">
        <v>91.926305178412207</v>
      </c>
      <c r="AB13" s="328">
        <v>90.114949411349897</v>
      </c>
      <c r="AC13" s="328">
        <v>88.339285383540059</v>
      </c>
      <c r="AD13" s="328">
        <v>86.598609809480166</v>
      </c>
      <c r="AE13" s="328">
        <v>84.892233261510128</v>
      </c>
      <c r="AF13" s="328">
        <v>83.219479896751309</v>
      </c>
    </row>
    <row r="14" spans="1:33" s="470" customFormat="1" ht="15" customHeight="1">
      <c r="A14" s="9"/>
      <c r="B14" s="64"/>
      <c r="C14" s="16" t="s">
        <v>603</v>
      </c>
      <c r="D14" s="329"/>
      <c r="E14" s="16"/>
      <c r="F14" s="329"/>
      <c r="G14" s="328"/>
      <c r="H14" s="328"/>
      <c r="I14" s="328"/>
      <c r="J14" s="328"/>
      <c r="K14" s="328"/>
      <c r="L14" s="328"/>
      <c r="M14" s="328"/>
      <c r="N14" s="328"/>
      <c r="O14" s="328"/>
      <c r="P14" s="328"/>
      <c r="Q14" s="328">
        <f t="shared" ref="Q14:AC14" si="0">Q13*(1+$AG14)</f>
        <v>89.734491631183332</v>
      </c>
      <c r="R14" s="328">
        <f t="shared" si="0"/>
        <v>87.966324308401397</v>
      </c>
      <c r="S14" s="328">
        <f t="shared" si="0"/>
        <v>86.232997721043745</v>
      </c>
      <c r="T14" s="328">
        <f t="shared" si="0"/>
        <v>84.533825352156214</v>
      </c>
      <c r="U14" s="328">
        <f t="shared" si="0"/>
        <v>82.868134212212254</v>
      </c>
      <c r="V14" s="328">
        <f t="shared" si="0"/>
        <v>81.235264572562755</v>
      </c>
      <c r="W14" s="328">
        <f t="shared" si="0"/>
        <v>79.634569704137888</v>
      </c>
      <c r="X14" s="328">
        <f t="shared" si="0"/>
        <v>78.065415621297745</v>
      </c>
      <c r="Y14" s="328">
        <f t="shared" si="0"/>
        <v>76.527180830730302</v>
      </c>
      <c r="Z14" s="328">
        <f t="shared" si="0"/>
        <v>75.019256085297201</v>
      </c>
      <c r="AA14" s="328">
        <f t="shared" si="0"/>
        <v>73.541044142729774</v>
      </c>
      <c r="AB14" s="328">
        <f t="shared" si="0"/>
        <v>72.091959529079915</v>
      </c>
      <c r="AC14" s="328">
        <f t="shared" si="0"/>
        <v>70.671428306832055</v>
      </c>
      <c r="AD14" s="328">
        <f>AD13*(1+$AG14)</f>
        <v>69.27888784758413</v>
      </c>
      <c r="AE14" s="328">
        <f>AE13*(1+$AG14)</f>
        <v>67.913786609208103</v>
      </c>
      <c r="AF14" s="328">
        <f>AF13*(1+$AG14)</f>
        <v>66.575583917401048</v>
      </c>
      <c r="AG14" s="9">
        <v>-0.2</v>
      </c>
    </row>
    <row r="15" spans="1:33" s="470" customFormat="1" ht="15" customHeight="1">
      <c r="A15" s="9"/>
      <c r="B15" s="64"/>
      <c r="C15" s="174" t="s">
        <v>602</v>
      </c>
      <c r="D15" s="12"/>
      <c r="E15" s="174"/>
      <c r="F15" s="12"/>
      <c r="G15" s="328"/>
      <c r="H15" s="328"/>
      <c r="I15" s="328"/>
      <c r="J15" s="328"/>
      <c r="K15" s="328"/>
      <c r="L15" s="328"/>
      <c r="M15" s="328"/>
      <c r="N15" s="328"/>
      <c r="O15" s="328"/>
      <c r="P15" s="328"/>
      <c r="Q15" s="328">
        <f>Q13*(1+$AG15)</f>
        <v>134.60173744677499</v>
      </c>
      <c r="R15" s="328">
        <f t="shared" ref="R15:AE15" si="1">R13*(1+$AG15)</f>
        <v>131.9494864626021</v>
      </c>
      <c r="S15" s="328">
        <f t="shared" si="1"/>
        <v>129.3494965815656</v>
      </c>
      <c r="T15" s="328">
        <f t="shared" si="1"/>
        <v>126.80073802823429</v>
      </c>
      <c r="U15" s="328">
        <f t="shared" si="1"/>
        <v>124.30220131831837</v>
      </c>
      <c r="V15" s="328">
        <f t="shared" si="1"/>
        <v>121.85289685884413</v>
      </c>
      <c r="W15" s="328">
        <f t="shared" si="1"/>
        <v>119.45185455620681</v>
      </c>
      <c r="X15" s="328">
        <f t="shared" si="1"/>
        <v>117.09812343194659</v>
      </c>
      <c r="Y15" s="328">
        <f t="shared" si="1"/>
        <v>114.79077124609545</v>
      </c>
      <c r="Z15" s="328">
        <f t="shared" si="1"/>
        <v>112.52888412794579</v>
      </c>
      <c r="AA15" s="328">
        <f t="shared" si="1"/>
        <v>110.31156621409464</v>
      </c>
      <c r="AB15" s="328">
        <f t="shared" si="1"/>
        <v>108.13793929361988</v>
      </c>
      <c r="AC15" s="328">
        <f t="shared" si="1"/>
        <v>106.00714246024806</v>
      </c>
      <c r="AD15" s="328">
        <f>AD13*(1+$AG15)</f>
        <v>103.9183317713762</v>
      </c>
      <c r="AE15" s="328">
        <f t="shared" si="1"/>
        <v>101.87067991381215</v>
      </c>
      <c r="AF15" s="328">
        <f>AF13*(1+$AG15)</f>
        <v>99.863375876101571</v>
      </c>
      <c r="AG15" s="9">
        <v>0.2</v>
      </c>
    </row>
    <row r="16" spans="1:33" s="470" customFormat="1" ht="15" customHeight="1">
      <c r="A16" s="9"/>
      <c r="B16" s="64"/>
      <c r="C16" s="11" t="s">
        <v>776</v>
      </c>
      <c r="D16" s="329" t="s">
        <v>257</v>
      </c>
      <c r="E16" s="16" t="s">
        <v>762</v>
      </c>
      <c r="F16" s="329"/>
      <c r="G16" s="328"/>
      <c r="H16" s="328"/>
      <c r="I16" s="328"/>
      <c r="J16" s="328"/>
      <c r="K16" s="328"/>
      <c r="L16" s="328"/>
      <c r="M16" s="328"/>
      <c r="N16" s="328"/>
      <c r="O16" s="328"/>
      <c r="P16" s="328"/>
      <c r="Q16" s="328">
        <f>P13</f>
        <v>114.42275000709931</v>
      </c>
      <c r="R16" s="328">
        <f>$Q16+($AF16-$Q16)/($AF$4-$Q$4)*(R$4-$Q$4)</f>
        <v>114.42275000709931</v>
      </c>
      <c r="S16" s="328">
        <f t="shared" ref="S16:AE16" si="2">$Q16+($AF16-$Q16)/($AF$4-$Q$4)*(S$4-$Q$4)</f>
        <v>114.42275000709931</v>
      </c>
      <c r="T16" s="328">
        <f t="shared" si="2"/>
        <v>114.42275000709931</v>
      </c>
      <c r="U16" s="328">
        <f t="shared" si="2"/>
        <v>114.42275000709931</v>
      </c>
      <c r="V16" s="328">
        <f t="shared" si="2"/>
        <v>114.42275000709931</v>
      </c>
      <c r="W16" s="328">
        <f t="shared" si="2"/>
        <v>114.42275000709931</v>
      </c>
      <c r="X16" s="328">
        <f t="shared" si="2"/>
        <v>114.42275000709931</v>
      </c>
      <c r="Y16" s="328">
        <f t="shared" si="2"/>
        <v>114.42275000709931</v>
      </c>
      <c r="Z16" s="328">
        <f t="shared" si="2"/>
        <v>114.42275000709931</v>
      </c>
      <c r="AA16" s="328">
        <f t="shared" si="2"/>
        <v>114.42275000709931</v>
      </c>
      <c r="AB16" s="328">
        <f t="shared" si="2"/>
        <v>114.42275000709931</v>
      </c>
      <c r="AC16" s="328">
        <f t="shared" si="2"/>
        <v>114.42275000709931</v>
      </c>
      <c r="AD16" s="328">
        <f t="shared" si="2"/>
        <v>114.42275000709931</v>
      </c>
      <c r="AE16" s="328">
        <f t="shared" si="2"/>
        <v>114.42275000709931</v>
      </c>
      <c r="AF16" s="328">
        <f>$Q$16</f>
        <v>114.42275000709931</v>
      </c>
      <c r="AG16" s="9"/>
    </row>
    <row r="17" spans="2:33" s="470" customFormat="1" ht="15" customHeight="1">
      <c r="B17" s="471"/>
      <c r="C17" s="183"/>
      <c r="D17" s="168"/>
      <c r="E17" s="169"/>
      <c r="F17" s="168"/>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9"/>
    </row>
    <row r="18" spans="2:33" s="470" customFormat="1" ht="15" customHeight="1">
      <c r="B18" s="471"/>
      <c r="C18" s="183"/>
      <c r="D18" s="168"/>
      <c r="E18" s="169"/>
      <c r="F18" s="168"/>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3" s="470" customFormat="1" ht="15" customHeight="1">
      <c r="B19" s="471"/>
      <c r="C19" s="169"/>
      <c r="D19" s="168"/>
      <c r="E19" s="183"/>
      <c r="F19" s="168"/>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3" s="470" customFormat="1" ht="15" customHeight="1">
      <c r="B20" s="471"/>
      <c r="C20" s="183"/>
      <c r="D20" s="168"/>
      <c r="E20" s="183"/>
      <c r="F20" s="168"/>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3" s="470" customFormat="1" ht="15" customHeight="1">
      <c r="B21" s="471"/>
      <c r="C21" s="191"/>
      <c r="D21" s="186"/>
      <c r="E21" s="191"/>
      <c r="F21" s="186"/>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3" s="470" customFormat="1" ht="15" customHeight="1">
      <c r="B22" s="471"/>
      <c r="C22" s="183"/>
      <c r="D22" s="186"/>
      <c r="E22" s="183"/>
      <c r="F22" s="186"/>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3" s="470" customFormat="1" ht="15" customHeight="1">
      <c r="B23" s="471"/>
      <c r="C23" s="183"/>
      <c r="D23" s="186"/>
      <c r="E23" s="169"/>
      <c r="F23" s="186"/>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3" s="470" customFormat="1" ht="15" customHeight="1">
      <c r="B24" s="471"/>
      <c r="C24" s="183"/>
      <c r="D24" s="186"/>
      <c r="E24" s="169"/>
      <c r="F24" s="186"/>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3" s="470" customFormat="1" ht="15" customHeight="1">
      <c r="B25" s="471"/>
      <c r="C25" s="183"/>
      <c r="D25" s="186"/>
      <c r="E25" s="183"/>
      <c r="F25" s="186"/>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3" s="470" customFormat="1" ht="15" customHeight="1">
      <c r="B26" s="471"/>
      <c r="C26" s="183"/>
      <c r="D26" s="186"/>
      <c r="E26" s="183"/>
      <c r="F26" s="168"/>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3" s="470" customFormat="1" ht="15" customHeight="1">
      <c r="B27" s="471"/>
      <c r="C27" s="183"/>
      <c r="D27" s="186"/>
      <c r="E27" s="183"/>
      <c r="F27" s="186"/>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3" s="470" customFormat="1" ht="15" customHeight="1">
      <c r="B28" s="471"/>
      <c r="C28" s="183"/>
      <c r="D28" s="186"/>
      <c r="E28" s="183"/>
      <c r="F28" s="186"/>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3" s="470" customFormat="1" ht="15" customHeight="1">
      <c r="B29" s="471"/>
      <c r="C29" s="183"/>
      <c r="D29" s="186"/>
      <c r="E29" s="183"/>
      <c r="F29" s="186"/>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3" s="470" customFormat="1" ht="15" customHeight="1">
      <c r="B30" s="471"/>
      <c r="C30" s="183"/>
      <c r="D30" s="186"/>
      <c r="E30" s="183"/>
      <c r="F30" s="186"/>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3" s="470" customFormat="1" ht="15" customHeight="1">
      <c r="B31" s="471"/>
      <c r="C31" s="183"/>
      <c r="D31" s="186"/>
      <c r="E31" s="183"/>
      <c r="F31" s="186"/>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3" s="470" customFormat="1" ht="15" customHeight="1">
      <c r="B32" s="471"/>
      <c r="C32" s="183"/>
      <c r="D32" s="186"/>
      <c r="E32" s="183"/>
      <c r="F32" s="186"/>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1:33" s="470" customFormat="1" ht="15" customHeight="1">
      <c r="B33" s="471"/>
      <c r="C33" s="183"/>
      <c r="D33" s="186"/>
      <c r="E33" s="183"/>
      <c r="F33" s="186"/>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1:33" s="470" customFormat="1" ht="15" customHeight="1">
      <c r="B34" s="471"/>
      <c r="C34" s="183"/>
      <c r="D34" s="186"/>
      <c r="E34" s="183"/>
      <c r="F34" s="186"/>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1:33" s="470" customFormat="1" ht="15" customHeight="1">
      <c r="B35" s="471"/>
      <c r="C35" s="183"/>
      <c r="D35" s="186"/>
      <c r="E35" s="183"/>
      <c r="F35" s="186"/>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1:33" s="470" customFormat="1" ht="15" customHeight="1">
      <c r="B36" s="471"/>
      <c r="C36" s="183"/>
      <c r="D36" s="186"/>
      <c r="E36" s="183"/>
      <c r="F36" s="186"/>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1:33" s="470" customFormat="1" ht="15" customHeight="1">
      <c r="B37" s="472"/>
      <c r="C37" s="185"/>
      <c r="D37" s="188"/>
      <c r="E37" s="183"/>
      <c r="F37" s="186"/>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1:33" ht="15" customHeight="1">
      <c r="A38" s="470"/>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3" ht="15" customHeight="1">
      <c r="B39" s="172" t="s">
        <v>27</v>
      </c>
      <c r="C39" s="321" t="s">
        <v>138</v>
      </c>
      <c r="D39" s="22" t="s">
        <v>257</v>
      </c>
      <c r="E39" s="321" t="s">
        <v>750</v>
      </c>
      <c r="F39" s="22" t="s">
        <v>749</v>
      </c>
      <c r="G39" s="23"/>
      <c r="H39" s="23"/>
      <c r="I39" s="23"/>
      <c r="J39" s="23"/>
      <c r="K39" s="23"/>
      <c r="L39" s="23">
        <v>80.973162315270926</v>
      </c>
      <c r="M39" s="23">
        <v>82.169267504056208</v>
      </c>
      <c r="N39" s="23">
        <v>66.755592908240772</v>
      </c>
      <c r="O39" s="23">
        <v>64.782521196667162</v>
      </c>
      <c r="P39" s="23">
        <v>62.867766875583413</v>
      </c>
      <c r="Q39" s="23">
        <v>61.009606278275527</v>
      </c>
      <c r="R39" s="23">
        <v>59.206366683843747</v>
      </c>
      <c r="S39" s="23">
        <v>57.456424811414877</v>
      </c>
      <c r="T39" s="23">
        <v>55.758205358860749</v>
      </c>
      <c r="U39" s="23">
        <v>54.110179584707232</v>
      </c>
      <c r="V39" s="23">
        <v>52.510863931957267</v>
      </c>
      <c r="W39" s="23">
        <v>50.958818692589077</v>
      </c>
      <c r="X39" s="23">
        <v>49.452646711527336</v>
      </c>
      <c r="Y39" s="23">
        <v>47.990992128920624</v>
      </c>
      <c r="Z39" s="23">
        <v>46.572539159592914</v>
      </c>
      <c r="AA39" s="23">
        <v>45.196010908570464</v>
      </c>
      <c r="AB39" s="23">
        <v>43.860168221617648</v>
      </c>
      <c r="AC39" s="23">
        <v>42.563808569747181</v>
      </c>
      <c r="AD39" s="23">
        <v>41.305764966700472</v>
      </c>
      <c r="AE39" s="23">
        <v>40.084904918423611</v>
      </c>
      <c r="AF39" s="23">
        <v>38.900129403593361</v>
      </c>
    </row>
    <row r="40" spans="1:33" s="470" customFormat="1" ht="15" customHeight="1">
      <c r="A40" s="9"/>
      <c r="B40" s="64"/>
      <c r="C40" s="16" t="s">
        <v>603</v>
      </c>
      <c r="D40" s="329" t="s">
        <v>257</v>
      </c>
      <c r="E40" s="16"/>
      <c r="F40" s="329"/>
      <c r="G40" s="328"/>
      <c r="H40" s="328"/>
      <c r="I40" s="328"/>
      <c r="J40" s="328"/>
      <c r="K40" s="328"/>
      <c r="L40" s="328"/>
      <c r="M40" s="328"/>
      <c r="N40" s="328"/>
      <c r="O40" s="328"/>
      <c r="P40" s="328"/>
      <c r="Q40" s="328">
        <f>Q39*(1+$AG40)</f>
        <v>48.807685022620426</v>
      </c>
      <c r="R40" s="328">
        <f t="shared" ref="R40:AE40" si="3">R39*(1+$AG40)</f>
        <v>47.365093347075003</v>
      </c>
      <c r="S40" s="328">
        <f t="shared" si="3"/>
        <v>45.965139849131901</v>
      </c>
      <c r="T40" s="328">
        <f t="shared" si="3"/>
        <v>44.606564287088602</v>
      </c>
      <c r="U40" s="328">
        <f t="shared" si="3"/>
        <v>43.288143667765787</v>
      </c>
      <c r="V40" s="328">
        <f t="shared" si="3"/>
        <v>42.00869114556582</v>
      </c>
      <c r="W40" s="328">
        <f t="shared" si="3"/>
        <v>40.767054954071263</v>
      </c>
      <c r="X40" s="328">
        <f t="shared" si="3"/>
        <v>39.562117369221873</v>
      </c>
      <c r="Y40" s="328">
        <f t="shared" si="3"/>
        <v>38.392793703136505</v>
      </c>
      <c r="Z40" s="328">
        <f t="shared" si="3"/>
        <v>37.258031327674331</v>
      </c>
      <c r="AA40" s="328">
        <f t="shared" si="3"/>
        <v>36.156808726856376</v>
      </c>
      <c r="AB40" s="328">
        <f t="shared" si="3"/>
        <v>35.08813457729412</v>
      </c>
      <c r="AC40" s="328">
        <f t="shared" si="3"/>
        <v>34.051046855797743</v>
      </c>
      <c r="AD40" s="328">
        <f t="shared" si="3"/>
        <v>33.044611973360382</v>
      </c>
      <c r="AE40" s="328">
        <f t="shared" si="3"/>
        <v>32.067923934738893</v>
      </c>
      <c r="AF40" s="328">
        <f>AF39*(1+$AG40)</f>
        <v>31.12010352287469</v>
      </c>
      <c r="AG40" s="9">
        <v>-0.2</v>
      </c>
    </row>
    <row r="41" spans="1:33" s="470" customFormat="1" ht="15" customHeight="1">
      <c r="A41" s="9"/>
      <c r="B41" s="64"/>
      <c r="C41" s="174" t="s">
        <v>602</v>
      </c>
      <c r="D41" s="12" t="s">
        <v>257</v>
      </c>
      <c r="E41" s="174"/>
      <c r="F41" s="12"/>
      <c r="G41" s="328"/>
      <c r="H41" s="328"/>
      <c r="I41" s="328"/>
      <c r="J41" s="328"/>
      <c r="K41" s="328"/>
      <c r="L41" s="328"/>
      <c r="M41" s="328"/>
      <c r="N41" s="328"/>
      <c r="O41" s="328"/>
      <c r="P41" s="328"/>
      <c r="Q41" s="328">
        <f>Q39*(1+$AG41)</f>
        <v>73.211527533930635</v>
      </c>
      <c r="R41" s="328">
        <f t="shared" ref="R41:AE41" si="4">R39*(1+$AG41)</f>
        <v>71.047640020612491</v>
      </c>
      <c r="S41" s="328">
        <f t="shared" si="4"/>
        <v>68.947709773697852</v>
      </c>
      <c r="T41" s="328">
        <f t="shared" si="4"/>
        <v>66.909846430632896</v>
      </c>
      <c r="U41" s="328">
        <f t="shared" si="4"/>
        <v>64.93221550164867</v>
      </c>
      <c r="V41" s="328">
        <f t="shared" si="4"/>
        <v>63.013036718348715</v>
      </c>
      <c r="W41" s="328">
        <f t="shared" si="4"/>
        <v>61.150582431106891</v>
      </c>
      <c r="X41" s="328">
        <f t="shared" si="4"/>
        <v>59.343176053832799</v>
      </c>
      <c r="Y41" s="328">
        <f t="shared" si="4"/>
        <v>57.589190554704743</v>
      </c>
      <c r="Z41" s="328">
        <f t="shared" si="4"/>
        <v>55.887046991511497</v>
      </c>
      <c r="AA41" s="328">
        <f t="shared" si="4"/>
        <v>54.235213090284553</v>
      </c>
      <c r="AB41" s="328">
        <f t="shared" si="4"/>
        <v>52.632201865941177</v>
      </c>
      <c r="AC41" s="328">
        <f t="shared" si="4"/>
        <v>51.076570283696618</v>
      </c>
      <c r="AD41" s="328">
        <f t="shared" si="4"/>
        <v>49.566917960040563</v>
      </c>
      <c r="AE41" s="328">
        <f t="shared" si="4"/>
        <v>48.101885902108329</v>
      </c>
      <c r="AF41" s="328">
        <f>AF39*(1+$AG41)</f>
        <v>46.680155284312029</v>
      </c>
      <c r="AG41" s="9">
        <v>0.2</v>
      </c>
    </row>
    <row r="42" spans="1:33" s="470" customFormat="1" ht="15" customHeight="1">
      <c r="A42" s="9"/>
      <c r="B42" s="64"/>
      <c r="C42" s="11" t="s">
        <v>776</v>
      </c>
      <c r="D42" s="329" t="s">
        <v>257</v>
      </c>
      <c r="E42" s="16" t="s">
        <v>762</v>
      </c>
      <c r="F42" s="329"/>
      <c r="G42" s="328"/>
      <c r="H42" s="328"/>
      <c r="I42" s="328"/>
      <c r="J42" s="328"/>
      <c r="K42" s="328"/>
      <c r="L42" s="328"/>
      <c r="M42" s="328"/>
      <c r="N42" s="328"/>
      <c r="O42" s="328"/>
      <c r="P42" s="328"/>
      <c r="Q42" s="328">
        <f>P39</f>
        <v>62.867766875583413</v>
      </c>
      <c r="R42" s="328">
        <v>62.87</v>
      </c>
      <c r="S42" s="328">
        <v>62.87</v>
      </c>
      <c r="T42" s="328">
        <v>62.87</v>
      </c>
      <c r="U42" s="328">
        <v>62.87</v>
      </c>
      <c r="V42" s="328">
        <v>62.87</v>
      </c>
      <c r="W42" s="328">
        <v>62.87</v>
      </c>
      <c r="X42" s="328">
        <v>62.87</v>
      </c>
      <c r="Y42" s="328">
        <v>62.87</v>
      </c>
      <c r="Z42" s="328">
        <v>62.87</v>
      </c>
      <c r="AA42" s="328">
        <v>62.87</v>
      </c>
      <c r="AB42" s="328">
        <v>62.87</v>
      </c>
      <c r="AC42" s="328">
        <v>62.87</v>
      </c>
      <c r="AD42" s="328">
        <v>62.87</v>
      </c>
      <c r="AE42" s="328">
        <v>62.87</v>
      </c>
      <c r="AF42" s="328">
        <f>Q42</f>
        <v>62.867766875583413</v>
      </c>
      <c r="AG42" s="9"/>
    </row>
    <row r="43" spans="1:33" s="470" customFormat="1" ht="15" customHeight="1">
      <c r="A43" s="9"/>
      <c r="B43" s="471"/>
      <c r="C43" s="169"/>
      <c r="D43" s="168"/>
      <c r="E43" s="183"/>
      <c r="F43" s="168"/>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9"/>
    </row>
    <row r="44" spans="1:33" s="470" customFormat="1" ht="15" customHeight="1">
      <c r="B44" s="471"/>
      <c r="C44" s="183"/>
      <c r="D44" s="168"/>
      <c r="E44" s="169"/>
      <c r="F44" s="168"/>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1:33" s="470" customFormat="1" ht="15" customHeight="1">
      <c r="B45" s="471"/>
      <c r="C45" s="169"/>
      <c r="D45" s="168"/>
      <c r="E45" s="183"/>
      <c r="F45" s="168"/>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1:33" s="470" customFormat="1" ht="15" customHeight="1">
      <c r="B46" s="471"/>
      <c r="C46" s="183"/>
      <c r="D46" s="168"/>
      <c r="E46" s="183"/>
      <c r="F46" s="168"/>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1:33" s="470" customFormat="1" ht="15" customHeight="1">
      <c r="B47" s="471"/>
      <c r="C47" s="191"/>
      <c r="D47" s="186"/>
      <c r="E47" s="191"/>
      <c r="F47" s="186"/>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1:33" s="470" customFormat="1" ht="15" customHeight="1">
      <c r="B48" s="471"/>
      <c r="C48" s="183"/>
      <c r="D48" s="186"/>
      <c r="E48" s="183"/>
      <c r="F48" s="186"/>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69"/>
      <c r="F49" s="186"/>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69"/>
      <c r="F50" s="186"/>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83"/>
      <c r="F51" s="186"/>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83"/>
      <c r="F52" s="168"/>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83"/>
      <c r="F53" s="186"/>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83"/>
      <c r="F54" s="186"/>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83"/>
      <c r="F55" s="186"/>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83"/>
      <c r="F56" s="186"/>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83"/>
      <c r="F57" s="186"/>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83"/>
      <c r="F58" s="186"/>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83"/>
      <c r="F59" s="186"/>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83"/>
      <c r="F60" s="186"/>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83"/>
      <c r="F61" s="186"/>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83"/>
      <c r="F62" s="186"/>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3"/>
      <c r="D63" s="186"/>
      <c r="E63" s="183"/>
      <c r="F63" s="186"/>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1:33" ht="15" customHeight="1">
      <c r="B65" s="172" t="s">
        <v>13</v>
      </c>
      <c r="C65" s="321" t="s">
        <v>138</v>
      </c>
      <c r="D65" s="22" t="s">
        <v>257</v>
      </c>
      <c r="E65" s="321" t="s">
        <v>750</v>
      </c>
      <c r="F65" s="22" t="s">
        <v>751</v>
      </c>
      <c r="G65" s="23"/>
      <c r="H65" s="23"/>
      <c r="I65" s="23"/>
      <c r="J65" s="55"/>
      <c r="K65" s="23"/>
      <c r="L65" s="23">
        <v>174.76190476190482</v>
      </c>
      <c r="M65" s="23">
        <v>178.24364250000005</v>
      </c>
      <c r="N65" s="23">
        <v>153.77000000000001</v>
      </c>
      <c r="O65" s="23">
        <v>149.9914941707718</v>
      </c>
      <c r="P65" s="23">
        <v>146.29623580770996</v>
      </c>
      <c r="Q65" s="23">
        <v>138.99746124695602</v>
      </c>
      <c r="R65" s="23">
        <v>142.45904886967196</v>
      </c>
      <c r="S65" s="23">
        <v>137.90967883577406</v>
      </c>
      <c r="T65" s="23">
        <v>132.74871581588312</v>
      </c>
      <c r="U65" s="23">
        <v>128.6261172129752</v>
      </c>
      <c r="V65" s="23">
        <v>129.53996861454175</v>
      </c>
      <c r="W65" s="23">
        <v>126.33045913970172</v>
      </c>
      <c r="X65" s="23">
        <v>123.19758113514828</v>
      </c>
      <c r="Y65" s="23">
        <v>120.13952287204474</v>
      </c>
      <c r="Z65" s="23">
        <v>117.15451553321103</v>
      </c>
      <c r="AA65" s="23">
        <v>114.24083219030085</v>
      </c>
      <c r="AB65" s="23">
        <v>111.39678680553604</v>
      </c>
      <c r="AC65" s="23">
        <v>108.62073325740459</v>
      </c>
      <c r="AD65" s="23">
        <v>105.91106438974299</v>
      </c>
      <c r="AE65" s="23">
        <v>103.26621108363823</v>
      </c>
      <c r="AF65" s="23">
        <v>103.20178107568667</v>
      </c>
    </row>
    <row r="66" spans="1:33" ht="15" customHeight="1">
      <c r="B66" s="64"/>
      <c r="C66" s="11" t="s">
        <v>766</v>
      </c>
      <c r="D66" s="329" t="s">
        <v>257</v>
      </c>
      <c r="E66" s="11" t="s">
        <v>770</v>
      </c>
      <c r="F66" s="329"/>
      <c r="G66" s="328"/>
      <c r="H66" s="328"/>
      <c r="I66" s="328"/>
      <c r="J66" s="53"/>
      <c r="K66" s="328"/>
      <c r="L66" s="328"/>
      <c r="M66" s="328"/>
      <c r="N66" s="328"/>
      <c r="O66" s="328"/>
      <c r="P66" s="328"/>
      <c r="Q66" s="328">
        <f>Q65*(1+$AG66)</f>
        <v>97.298222872869204</v>
      </c>
      <c r="R66" s="328">
        <f t="shared" ref="R66:AE66" si="5">R65*(1+$AG66)</f>
        <v>99.721334208770372</v>
      </c>
      <c r="S66" s="328">
        <f t="shared" si="5"/>
        <v>96.536775185041833</v>
      </c>
      <c r="T66" s="328">
        <f t="shared" si="5"/>
        <v>92.924101071118173</v>
      </c>
      <c r="U66" s="328">
        <f t="shared" si="5"/>
        <v>90.038282049082639</v>
      </c>
      <c r="V66" s="328">
        <f t="shared" si="5"/>
        <v>90.677978030179219</v>
      </c>
      <c r="W66" s="328">
        <f t="shared" si="5"/>
        <v>88.431321397791194</v>
      </c>
      <c r="X66" s="328">
        <f t="shared" si="5"/>
        <v>86.238306794603787</v>
      </c>
      <c r="Y66" s="328">
        <f t="shared" si="5"/>
        <v>84.097666010431311</v>
      </c>
      <c r="Z66" s="328">
        <f t="shared" si="5"/>
        <v>82.008160873247718</v>
      </c>
      <c r="AA66" s="328">
        <f t="shared" si="5"/>
        <v>79.968582533210594</v>
      </c>
      <c r="AB66" s="328">
        <f t="shared" si="5"/>
        <v>77.977750763875221</v>
      </c>
      <c r="AC66" s="328">
        <f t="shared" si="5"/>
        <v>76.034513280183205</v>
      </c>
      <c r="AD66" s="328">
        <f t="shared" si="5"/>
        <v>74.137745072820081</v>
      </c>
      <c r="AE66" s="328">
        <f t="shared" si="5"/>
        <v>72.286347758546754</v>
      </c>
      <c r="AF66" s="328">
        <f>AF65*(1+$AG66)</f>
        <v>72.241246752980658</v>
      </c>
      <c r="AG66" s="9">
        <f>-0.3</f>
        <v>-0.3</v>
      </c>
    </row>
    <row r="67" spans="1:33" ht="15" customHeight="1">
      <c r="B67" s="64"/>
      <c r="C67" s="11" t="s">
        <v>767</v>
      </c>
      <c r="D67" s="329" t="s">
        <v>257</v>
      </c>
      <c r="E67" s="11" t="s">
        <v>771</v>
      </c>
      <c r="F67" s="329"/>
      <c r="G67" s="328"/>
      <c r="H67" s="328"/>
      <c r="I67" s="328"/>
      <c r="J67" s="53"/>
      <c r="K67" s="328"/>
      <c r="L67" s="328"/>
      <c r="M67" s="328"/>
      <c r="N67" s="328"/>
      <c r="O67" s="328"/>
      <c r="P67" s="328"/>
      <c r="Q67" s="328">
        <f>Q65*(1+$AG67)</f>
        <v>118.14784205991262</v>
      </c>
      <c r="R67" s="328">
        <f t="shared" ref="R67:AE67" si="6">R65*(1+$AG67)</f>
        <v>121.09019153922117</v>
      </c>
      <c r="S67" s="328">
        <f t="shared" si="6"/>
        <v>117.22322701040795</v>
      </c>
      <c r="T67" s="328">
        <f t="shared" si="6"/>
        <v>112.83640844350064</v>
      </c>
      <c r="U67" s="328">
        <f t="shared" si="6"/>
        <v>109.33219963102891</v>
      </c>
      <c r="V67" s="328">
        <f t="shared" si="6"/>
        <v>110.10897332236048</v>
      </c>
      <c r="W67" s="328">
        <f t="shared" si="6"/>
        <v>107.38089026874646</v>
      </c>
      <c r="X67" s="328">
        <f t="shared" si="6"/>
        <v>104.71794396487604</v>
      </c>
      <c r="Y67" s="328">
        <f t="shared" si="6"/>
        <v>102.11859444123802</v>
      </c>
      <c r="Z67" s="328">
        <f t="shared" si="6"/>
        <v>99.581338203229365</v>
      </c>
      <c r="AA67" s="328">
        <f t="shared" si="6"/>
        <v>97.104707361755715</v>
      </c>
      <c r="AB67" s="328">
        <f t="shared" si="6"/>
        <v>94.687268784705637</v>
      </c>
      <c r="AC67" s="328">
        <f t="shared" si="6"/>
        <v>92.3276232687939</v>
      </c>
      <c r="AD67" s="328">
        <f t="shared" si="6"/>
        <v>90.024404731281535</v>
      </c>
      <c r="AE67" s="328">
        <f t="shared" si="6"/>
        <v>87.776279421092482</v>
      </c>
      <c r="AF67" s="328">
        <f>AF65*(1+$AG67)</f>
        <v>87.72151391433367</v>
      </c>
      <c r="AG67" s="9">
        <f>-0.15</f>
        <v>-0.15</v>
      </c>
    </row>
    <row r="68" spans="1:33" ht="15" customHeight="1">
      <c r="B68" s="64"/>
      <c r="C68" s="11" t="s">
        <v>768</v>
      </c>
      <c r="D68" s="329" t="s">
        <v>257</v>
      </c>
      <c r="E68" s="11" t="s">
        <v>772</v>
      </c>
      <c r="F68" s="329"/>
      <c r="G68" s="328"/>
      <c r="H68" s="328"/>
      <c r="I68" s="328"/>
      <c r="J68" s="53"/>
      <c r="K68" s="328"/>
      <c r="L68" s="328"/>
      <c r="M68" s="328"/>
      <c r="N68" s="328"/>
      <c r="O68" s="328"/>
      <c r="P68" s="328"/>
      <c r="Q68" s="328">
        <f>Q65*(1+$AG68)</f>
        <v>159.84708043399942</v>
      </c>
      <c r="R68" s="328">
        <f t="shared" ref="R68:AE68" si="7">R65*(1+$AG68)</f>
        <v>163.82790620012275</v>
      </c>
      <c r="S68" s="328">
        <f t="shared" si="7"/>
        <v>158.59613066114017</v>
      </c>
      <c r="T68" s="328">
        <f t="shared" si="7"/>
        <v>152.66102318826557</v>
      </c>
      <c r="U68" s="328">
        <f t="shared" si="7"/>
        <v>147.92003479492146</v>
      </c>
      <c r="V68" s="328">
        <f t="shared" si="7"/>
        <v>148.970963906723</v>
      </c>
      <c r="W68" s="328">
        <f t="shared" si="7"/>
        <v>145.28002801065696</v>
      </c>
      <c r="X68" s="328">
        <f t="shared" si="7"/>
        <v>141.67721830542052</v>
      </c>
      <c r="Y68" s="328">
        <f t="shared" si="7"/>
        <v>138.16045130285144</v>
      </c>
      <c r="Z68" s="328">
        <f t="shared" si="7"/>
        <v>134.72769286319266</v>
      </c>
      <c r="AA68" s="328">
        <f t="shared" si="7"/>
        <v>131.37695701884596</v>
      </c>
      <c r="AB68" s="328">
        <f t="shared" si="7"/>
        <v>128.10630482636643</v>
      </c>
      <c r="AC68" s="328">
        <f t="shared" si="7"/>
        <v>124.91384324601528</v>
      </c>
      <c r="AD68" s="328">
        <f t="shared" si="7"/>
        <v>121.79772404820443</v>
      </c>
      <c r="AE68" s="328">
        <f t="shared" si="7"/>
        <v>118.75614274618395</v>
      </c>
      <c r="AF68" s="328">
        <f>AF65*(1+$AG68)</f>
        <v>118.68204823703967</v>
      </c>
      <c r="AG68" s="9">
        <v>0.15</v>
      </c>
    </row>
    <row r="69" spans="1:33" ht="15" customHeight="1">
      <c r="B69" s="64"/>
      <c r="C69" s="11" t="s">
        <v>769</v>
      </c>
      <c r="D69" s="329" t="s">
        <v>257</v>
      </c>
      <c r="E69" s="11" t="s">
        <v>773</v>
      </c>
      <c r="F69" s="329"/>
      <c r="G69" s="328"/>
      <c r="H69" s="328"/>
      <c r="I69" s="328"/>
      <c r="J69" s="53"/>
      <c r="K69" s="328"/>
      <c r="L69" s="328"/>
      <c r="M69" s="328"/>
      <c r="N69" s="328"/>
      <c r="O69" s="328"/>
      <c r="P69" s="328"/>
      <c r="Q69" s="328">
        <f>Q65*(1+$AG69)</f>
        <v>180.69669962104282</v>
      </c>
      <c r="R69" s="328">
        <f t="shared" ref="R69:AE69" si="8">R65*(1+$AG69)</f>
        <v>185.19676353057355</v>
      </c>
      <c r="S69" s="328">
        <f t="shared" si="8"/>
        <v>179.28258248650627</v>
      </c>
      <c r="T69" s="328">
        <f t="shared" si="8"/>
        <v>172.57333056064806</v>
      </c>
      <c r="U69" s="328">
        <f t="shared" si="8"/>
        <v>167.21395237686778</v>
      </c>
      <c r="V69" s="328">
        <f t="shared" si="8"/>
        <v>168.40195919890428</v>
      </c>
      <c r="W69" s="328">
        <f t="shared" si="8"/>
        <v>164.22959688161222</v>
      </c>
      <c r="X69" s="328">
        <f t="shared" si="8"/>
        <v>160.15685547569277</v>
      </c>
      <c r="Y69" s="328">
        <f t="shared" si="8"/>
        <v>156.18137973365816</v>
      </c>
      <c r="Z69" s="328">
        <f t="shared" si="8"/>
        <v>152.30087019317435</v>
      </c>
      <c r="AA69" s="328">
        <f t="shared" si="8"/>
        <v>148.51308184739111</v>
      </c>
      <c r="AB69" s="328">
        <f t="shared" si="8"/>
        <v>144.81582284719684</v>
      </c>
      <c r="AC69" s="328">
        <f t="shared" si="8"/>
        <v>141.20695323462598</v>
      </c>
      <c r="AD69" s="328">
        <f t="shared" si="8"/>
        <v>137.6843837066659</v>
      </c>
      <c r="AE69" s="328">
        <f t="shared" si="8"/>
        <v>134.2460744087297</v>
      </c>
      <c r="AF69" s="328">
        <f>AF65*(1+$AG69)</f>
        <v>134.16231539839268</v>
      </c>
      <c r="AG69" s="9">
        <v>0.3</v>
      </c>
    </row>
    <row r="70" spans="1:33" ht="15" customHeight="1">
      <c r="B70" s="64"/>
      <c r="C70" s="11" t="s">
        <v>776</v>
      </c>
      <c r="D70" s="329" t="s">
        <v>257</v>
      </c>
      <c r="E70" s="16" t="s">
        <v>762</v>
      </c>
      <c r="F70" s="329"/>
      <c r="G70" s="328"/>
      <c r="H70" s="328"/>
      <c r="I70" s="328"/>
      <c r="J70" s="53"/>
      <c r="K70" s="328"/>
      <c r="L70" s="328"/>
      <c r="M70" s="328"/>
      <c r="N70" s="328"/>
      <c r="O70" s="328"/>
      <c r="P70" s="328"/>
      <c r="Q70" s="328">
        <f>P65</f>
        <v>146.29623580770996</v>
      </c>
      <c r="R70" s="328">
        <f>$Q70+($AF70-$Q70)/($AF$4-$Q$4)*(R$4-$Q$4)</f>
        <v>146.29623580770996</v>
      </c>
      <c r="S70" s="328">
        <f t="shared" ref="S70:AE70" si="9">$Q70+($AF70-$Q70)/($AF$4-$Q$4)*(S$4-$Q$4)</f>
        <v>146.29623580770996</v>
      </c>
      <c r="T70" s="328">
        <f t="shared" si="9"/>
        <v>146.29623580770996</v>
      </c>
      <c r="U70" s="328">
        <f t="shared" si="9"/>
        <v>146.29623580770996</v>
      </c>
      <c r="V70" s="328">
        <f t="shared" si="9"/>
        <v>146.29623580770996</v>
      </c>
      <c r="W70" s="328">
        <f t="shared" si="9"/>
        <v>146.29623580770996</v>
      </c>
      <c r="X70" s="328">
        <f t="shared" si="9"/>
        <v>146.29623580770996</v>
      </c>
      <c r="Y70" s="328">
        <f t="shared" si="9"/>
        <v>146.29623580770996</v>
      </c>
      <c r="Z70" s="328">
        <f t="shared" si="9"/>
        <v>146.29623580770996</v>
      </c>
      <c r="AA70" s="328">
        <f t="shared" si="9"/>
        <v>146.29623580770996</v>
      </c>
      <c r="AB70" s="328">
        <f t="shared" si="9"/>
        <v>146.29623580770996</v>
      </c>
      <c r="AC70" s="328">
        <f t="shared" si="9"/>
        <v>146.29623580770996</v>
      </c>
      <c r="AD70" s="328">
        <f t="shared" si="9"/>
        <v>146.29623580770996</v>
      </c>
      <c r="AE70" s="328">
        <f t="shared" si="9"/>
        <v>146.29623580770996</v>
      </c>
      <c r="AF70" s="328">
        <f>$Q$70</f>
        <v>146.29623580770996</v>
      </c>
    </row>
    <row r="71" spans="1:33" s="470" customFormat="1" ht="63.75">
      <c r="A71" s="9"/>
      <c r="B71" s="471"/>
      <c r="C71" s="169" t="s">
        <v>908</v>
      </c>
      <c r="D71" s="168" t="s">
        <v>257</v>
      </c>
      <c r="E71" s="183" t="s">
        <v>917</v>
      </c>
      <c r="F71" s="1203" t="s">
        <v>918</v>
      </c>
      <c r="G71" s="187"/>
      <c r="H71" s="187"/>
      <c r="I71" s="187"/>
      <c r="J71" s="167"/>
      <c r="K71" s="187"/>
      <c r="L71" s="187"/>
      <c r="M71" s="187"/>
      <c r="N71" s="187"/>
      <c r="O71" s="187"/>
      <c r="P71" s="187"/>
      <c r="Q71" s="187"/>
      <c r="R71" s="187">
        <f>600/750*164*0.9+150/750*190*0.9</f>
        <v>152.28000000000003</v>
      </c>
      <c r="S71" s="187">
        <f>R71*0.99</f>
        <v>150.75720000000004</v>
      </c>
      <c r="T71" s="187">
        <f t="shared" ref="T71:AF71" si="10">S71*0.99</f>
        <v>149.24962800000003</v>
      </c>
      <c r="U71" s="187">
        <f t="shared" si="10"/>
        <v>147.75713172000002</v>
      </c>
      <c r="V71" s="187">
        <f t="shared" si="10"/>
        <v>146.27956040280003</v>
      </c>
      <c r="W71" s="187">
        <f t="shared" si="10"/>
        <v>144.81676479877203</v>
      </c>
      <c r="X71" s="187">
        <f t="shared" si="10"/>
        <v>143.3685971507843</v>
      </c>
      <c r="Y71" s="187">
        <f t="shared" si="10"/>
        <v>141.93491117927644</v>
      </c>
      <c r="Z71" s="187">
        <f t="shared" si="10"/>
        <v>140.51556206748367</v>
      </c>
      <c r="AA71" s="187">
        <f t="shared" si="10"/>
        <v>139.11040644680884</v>
      </c>
      <c r="AB71" s="187">
        <f t="shared" si="10"/>
        <v>137.71930238234074</v>
      </c>
      <c r="AC71" s="187">
        <f t="shared" si="10"/>
        <v>136.34210935851735</v>
      </c>
      <c r="AD71" s="187">
        <f t="shared" si="10"/>
        <v>134.97868826493217</v>
      </c>
      <c r="AE71" s="187">
        <f t="shared" si="10"/>
        <v>133.62890138228286</v>
      </c>
      <c r="AF71" s="187">
        <f t="shared" si="10"/>
        <v>132.29261236846003</v>
      </c>
      <c r="AG71" s="9"/>
    </row>
    <row r="72" spans="1:33" s="470" customFormat="1" ht="15" customHeight="1">
      <c r="B72" s="471"/>
      <c r="C72" s="183"/>
      <c r="D72" s="168"/>
      <c r="E72" s="183"/>
      <c r="F72" s="168"/>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1:33" s="470" customFormat="1" ht="15" customHeight="1">
      <c r="B73" s="471"/>
      <c r="C73" s="191"/>
      <c r="D73" s="186"/>
      <c r="E73" s="191"/>
      <c r="F73" s="186"/>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1:33" s="470" customFormat="1" ht="15" customHeight="1">
      <c r="B74" s="471"/>
      <c r="C74" s="183"/>
      <c r="D74" s="186"/>
      <c r="E74" s="183"/>
      <c r="F74" s="186"/>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1:33" s="470" customFormat="1" ht="15" customHeight="1">
      <c r="B75" s="471"/>
      <c r="C75" s="169"/>
      <c r="D75" s="186"/>
      <c r="E75" s="169"/>
      <c r="F75" s="186"/>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1:33" s="470" customFormat="1" ht="15" customHeight="1">
      <c r="B76" s="471"/>
      <c r="C76" s="183"/>
      <c r="D76" s="168"/>
      <c r="E76" s="169"/>
      <c r="F76" s="186"/>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1:33" s="470" customFormat="1" ht="15" customHeight="1">
      <c r="B77" s="471"/>
      <c r="C77" s="183"/>
      <c r="D77" s="186"/>
      <c r="E77" s="183"/>
      <c r="F77" s="186"/>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1:33" s="470" customFormat="1" ht="15" customHeight="1">
      <c r="B78" s="471"/>
      <c r="C78" s="183"/>
      <c r="D78" s="186"/>
      <c r="E78" s="183"/>
      <c r="F78" s="168"/>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1:33" s="470" customFormat="1" ht="15" customHeight="1">
      <c r="B79" s="471"/>
      <c r="C79" s="183"/>
      <c r="D79" s="186"/>
      <c r="E79" s="183"/>
      <c r="F79" s="186"/>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1:33" s="470" customFormat="1" ht="15" customHeight="1">
      <c r="B80" s="471"/>
      <c r="C80" s="183"/>
      <c r="D80" s="186"/>
      <c r="E80" s="183"/>
      <c r="F80" s="186"/>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1:33" s="470" customFormat="1" ht="15" customHeight="1">
      <c r="B81" s="471"/>
      <c r="C81" s="183"/>
      <c r="D81" s="186"/>
      <c r="E81" s="183"/>
      <c r="F81" s="186"/>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1:33" s="470" customFormat="1" ht="15" customHeight="1">
      <c r="B82" s="471"/>
      <c r="C82" s="183"/>
      <c r="D82" s="186"/>
      <c r="E82" s="183"/>
      <c r="F82" s="186"/>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1:33" s="470" customFormat="1" ht="15" customHeight="1">
      <c r="B83" s="471"/>
      <c r="C83" s="183"/>
      <c r="D83" s="186"/>
      <c r="E83" s="183"/>
      <c r="F83" s="186"/>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1:33" ht="15" customHeight="1">
      <c r="A84" s="470"/>
      <c r="B84" s="471"/>
      <c r="C84" s="183"/>
      <c r="D84" s="186"/>
      <c r="E84" s="183"/>
      <c r="F84" s="186"/>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1:33" ht="15" customHeight="1">
      <c r="A85" s="470"/>
      <c r="B85" s="471"/>
      <c r="C85" s="183"/>
      <c r="D85" s="186"/>
      <c r="E85" s="183"/>
      <c r="F85" s="186"/>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1:33" ht="15" customHeight="1">
      <c r="A86" s="470"/>
      <c r="B86" s="471"/>
      <c r="C86" s="183"/>
      <c r="D86" s="186"/>
      <c r="E86" s="183"/>
      <c r="F86" s="186"/>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1:33" ht="15" customHeight="1">
      <c r="A87" s="470"/>
      <c r="B87" s="471"/>
      <c r="C87" s="183"/>
      <c r="D87" s="186"/>
      <c r="E87" s="183"/>
      <c r="F87" s="186"/>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1:33" ht="15" customHeight="1">
      <c r="A88" s="470"/>
      <c r="B88" s="471"/>
      <c r="C88" s="183"/>
      <c r="D88" s="186"/>
      <c r="E88" s="183"/>
      <c r="F88" s="186"/>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1:33" ht="15" customHeight="1">
      <c r="A89" s="470"/>
      <c r="B89" s="472"/>
      <c r="C89" s="183"/>
      <c r="D89" s="186"/>
      <c r="E89" s="183"/>
      <c r="F89" s="186"/>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1:33"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1:33" ht="15" customHeight="1">
      <c r="B91" s="172" t="s">
        <v>12</v>
      </c>
      <c r="C91" s="321" t="s">
        <v>138</v>
      </c>
      <c r="D91" s="22" t="s">
        <v>257</v>
      </c>
      <c r="E91" s="321" t="s">
        <v>750</v>
      </c>
      <c r="F91" s="22" t="s">
        <v>752</v>
      </c>
      <c r="G91" s="23"/>
      <c r="H91" s="23"/>
      <c r="I91" s="23"/>
      <c r="J91" s="23"/>
      <c r="K91" s="23"/>
      <c r="L91" s="23">
        <v>248.27586206896555</v>
      </c>
      <c r="M91" s="23">
        <v>249.38549999999995</v>
      </c>
      <c r="N91" s="23">
        <v>252</v>
      </c>
      <c r="O91" s="23">
        <v>248.27586206896555</v>
      </c>
      <c r="P91" s="23">
        <v>244.60676065907938</v>
      </c>
      <c r="Q91" s="23">
        <v>240.99188242273834</v>
      </c>
      <c r="R91" s="23">
        <v>225.55890473064181</v>
      </c>
      <c r="S91" s="23">
        <v>211.11424580700469</v>
      </c>
      <c r="T91" s="23">
        <v>197.59461430212264</v>
      </c>
      <c r="U91" s="23">
        <v>184.94077200691282</v>
      </c>
      <c r="V91" s="23">
        <v>173.09727429218444</v>
      </c>
      <c r="W91" s="23">
        <v>162.01222717002486</v>
      </c>
      <c r="X91" s="23">
        <v>151.63705991283115</v>
      </c>
      <c r="Y91" s="23">
        <v>141.92631223368434</v>
      </c>
      <c r="Z91" s="23">
        <v>132.83743509556663</v>
      </c>
      <c r="AA91" s="23">
        <v>124.33060427663872</v>
      </c>
      <c r="AB91" s="23">
        <v>116.3685458746865</v>
      </c>
      <c r="AC91" s="23">
        <v>108.91637298615977</v>
      </c>
      <c r="AD91" s="23">
        <v>101.94143284418897</v>
      </c>
      <c r="AE91" s="23">
        <v>95.41316374579263</v>
      </c>
      <c r="AF91" s="23">
        <v>89.302961141382269</v>
      </c>
    </row>
    <row r="92" spans="1:33" s="470" customFormat="1" ht="15" customHeight="1">
      <c r="A92" s="9"/>
      <c r="B92" s="64"/>
      <c r="C92" s="16" t="s">
        <v>603</v>
      </c>
      <c r="D92" s="329" t="s">
        <v>257</v>
      </c>
      <c r="E92" s="16"/>
      <c r="F92" s="329"/>
      <c r="G92" s="328"/>
      <c r="H92" s="328"/>
      <c r="I92" s="328"/>
      <c r="J92" s="328"/>
      <c r="K92" s="328"/>
      <c r="L92" s="328"/>
      <c r="M92" s="328"/>
      <c r="N92" s="328"/>
      <c r="O92" s="328"/>
      <c r="P92" s="328"/>
      <c r="Q92" s="328">
        <f t="shared" ref="Q92:AE92" si="11">Q91*(1+$AG92)</f>
        <v>192.79350593819069</v>
      </c>
      <c r="R92" s="328">
        <f t="shared" si="11"/>
        <v>180.44712378451345</v>
      </c>
      <c r="S92" s="328">
        <f t="shared" si="11"/>
        <v>168.89139664560378</v>
      </c>
      <c r="T92" s="328">
        <f t="shared" si="11"/>
        <v>158.07569144169813</v>
      </c>
      <c r="U92" s="328">
        <f t="shared" si="11"/>
        <v>147.95261760553026</v>
      </c>
      <c r="V92" s="328">
        <f t="shared" si="11"/>
        <v>138.47781943374756</v>
      </c>
      <c r="W92" s="328">
        <f t="shared" si="11"/>
        <v>129.6097817360199</v>
      </c>
      <c r="X92" s="328">
        <f t="shared" si="11"/>
        <v>121.30964793026493</v>
      </c>
      <c r="Y92" s="328">
        <f t="shared" si="11"/>
        <v>113.54104978694748</v>
      </c>
      <c r="Z92" s="328">
        <f t="shared" si="11"/>
        <v>106.26994807645332</v>
      </c>
      <c r="AA92" s="328">
        <f t="shared" si="11"/>
        <v>99.464483421310987</v>
      </c>
      <c r="AB92" s="328">
        <f t="shared" si="11"/>
        <v>93.094836699749209</v>
      </c>
      <c r="AC92" s="328">
        <f t="shared" si="11"/>
        <v>87.13309838892782</v>
      </c>
      <c r="AD92" s="328">
        <f t="shared" si="11"/>
        <v>81.553146275351182</v>
      </c>
      <c r="AE92" s="328">
        <f t="shared" si="11"/>
        <v>76.33053099663411</v>
      </c>
      <c r="AF92" s="328">
        <f>AF91*(1+$AG92)</f>
        <v>71.442368913105824</v>
      </c>
      <c r="AG92" s="9">
        <v>-0.2</v>
      </c>
    </row>
    <row r="93" spans="1:33" s="470" customFormat="1" ht="15" customHeight="1">
      <c r="A93" s="9"/>
      <c r="B93" s="64"/>
      <c r="C93" s="174" t="s">
        <v>602</v>
      </c>
      <c r="D93" s="12" t="s">
        <v>257</v>
      </c>
      <c r="E93" s="174"/>
      <c r="F93" s="12"/>
      <c r="G93" s="328"/>
      <c r="H93" s="328"/>
      <c r="I93" s="328"/>
      <c r="J93" s="328"/>
      <c r="K93" s="328"/>
      <c r="L93" s="328"/>
      <c r="M93" s="328"/>
      <c r="N93" s="328"/>
      <c r="O93" s="328"/>
      <c r="P93" s="328"/>
      <c r="Q93" s="328">
        <f t="shared" ref="Q93:AE93" si="12">Q91*(1+$AG93)</f>
        <v>289.19025890728602</v>
      </c>
      <c r="R93" s="328">
        <f t="shared" si="12"/>
        <v>270.67068567677018</v>
      </c>
      <c r="S93" s="328">
        <f t="shared" si="12"/>
        <v>253.33709496840561</v>
      </c>
      <c r="T93" s="328">
        <f t="shared" si="12"/>
        <v>237.11353716254715</v>
      </c>
      <c r="U93" s="328">
        <f t="shared" si="12"/>
        <v>221.92892640829538</v>
      </c>
      <c r="V93" s="328">
        <f t="shared" si="12"/>
        <v>207.71672915062132</v>
      </c>
      <c r="W93" s="328">
        <f t="shared" si="12"/>
        <v>194.41467260402982</v>
      </c>
      <c r="X93" s="328">
        <f t="shared" si="12"/>
        <v>181.96447189539737</v>
      </c>
      <c r="Y93" s="328">
        <f t="shared" si="12"/>
        <v>170.31157468042122</v>
      </c>
      <c r="Z93" s="328">
        <f t="shared" si="12"/>
        <v>159.40492211467995</v>
      </c>
      <c r="AA93" s="328">
        <f t="shared" si="12"/>
        <v>149.19672513196647</v>
      </c>
      <c r="AB93" s="328">
        <f t="shared" si="12"/>
        <v>139.6422550496238</v>
      </c>
      <c r="AC93" s="328">
        <f t="shared" si="12"/>
        <v>130.69964758339171</v>
      </c>
      <c r="AD93" s="328">
        <f t="shared" si="12"/>
        <v>122.32971941302675</v>
      </c>
      <c r="AE93" s="328">
        <f t="shared" si="12"/>
        <v>114.49579649495115</v>
      </c>
      <c r="AF93" s="328">
        <f>AF91*(1+$AG93)</f>
        <v>107.16355336965871</v>
      </c>
      <c r="AG93" s="9">
        <v>0.2</v>
      </c>
    </row>
    <row r="94" spans="1:33" s="470" customFormat="1" ht="15" customHeight="1">
      <c r="A94" s="9"/>
      <c r="B94" s="64"/>
      <c r="C94" s="11" t="s">
        <v>776</v>
      </c>
      <c r="D94" s="329" t="s">
        <v>257</v>
      </c>
      <c r="E94" s="16" t="s">
        <v>762</v>
      </c>
      <c r="F94" s="329"/>
      <c r="G94" s="328"/>
      <c r="H94" s="328"/>
      <c r="I94" s="328"/>
      <c r="J94" s="328"/>
      <c r="K94" s="328"/>
      <c r="L94" s="328"/>
      <c r="M94" s="328"/>
      <c r="N94" s="328"/>
      <c r="O94" s="328"/>
      <c r="P94" s="328"/>
      <c r="Q94" s="328">
        <f>P91</f>
        <v>244.60676065907938</v>
      </c>
      <c r="R94" s="328">
        <f>$Q94+($AF94-$Q94)/($AF$4-$Q$4)*(R$4-$Q$4)</f>
        <v>244.60676065907938</v>
      </c>
      <c r="S94" s="328">
        <f t="shared" ref="S94:AE94" si="13">$Q94+($AF94-$Q94)/($AF$4-$Q$4)*(S$4-$Q$4)</f>
        <v>244.60676065907938</v>
      </c>
      <c r="T94" s="328">
        <f t="shared" si="13"/>
        <v>244.60676065907938</v>
      </c>
      <c r="U94" s="328">
        <f t="shared" si="13"/>
        <v>244.60676065907938</v>
      </c>
      <c r="V94" s="328">
        <f t="shared" si="13"/>
        <v>244.60676065907938</v>
      </c>
      <c r="W94" s="328">
        <f t="shared" si="13"/>
        <v>244.60676065907938</v>
      </c>
      <c r="X94" s="328">
        <f t="shared" si="13"/>
        <v>244.60676065907938</v>
      </c>
      <c r="Y94" s="328">
        <f t="shared" si="13"/>
        <v>244.60676065907938</v>
      </c>
      <c r="Z94" s="328">
        <f t="shared" si="13"/>
        <v>244.60676065907938</v>
      </c>
      <c r="AA94" s="328">
        <f t="shared" si="13"/>
        <v>244.60676065907938</v>
      </c>
      <c r="AB94" s="328">
        <f t="shared" si="13"/>
        <v>244.60676065907938</v>
      </c>
      <c r="AC94" s="328">
        <f t="shared" si="13"/>
        <v>244.60676065907938</v>
      </c>
      <c r="AD94" s="328">
        <f t="shared" si="13"/>
        <v>244.60676065907938</v>
      </c>
      <c r="AE94" s="328">
        <f t="shared" si="13"/>
        <v>244.60676065907938</v>
      </c>
      <c r="AF94" s="328">
        <f>Q94</f>
        <v>244.60676065907938</v>
      </c>
      <c r="AG94" s="9"/>
    </row>
    <row r="95" spans="1:33" s="470" customFormat="1" ht="15" customHeight="1">
      <c r="A95" s="9"/>
      <c r="B95" s="471"/>
      <c r="C95" s="471"/>
      <c r="D95" s="183"/>
      <c r="E95" s="168"/>
      <c r="F95" s="183"/>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9"/>
    </row>
    <row r="96" spans="1:33" s="470" customFormat="1" ht="15" customHeight="1">
      <c r="B96" s="471"/>
      <c r="C96" s="183"/>
      <c r="D96" s="168"/>
      <c r="E96" s="169"/>
      <c r="F96" s="168"/>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69"/>
      <c r="D97" s="168"/>
      <c r="E97" s="183"/>
      <c r="F97" s="168"/>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83"/>
      <c r="F98" s="168"/>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91"/>
      <c r="D99" s="186"/>
      <c r="E99" s="191"/>
      <c r="F99" s="186"/>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83"/>
      <c r="F100" s="186"/>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69"/>
      <c r="F101" s="186"/>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68"/>
      <c r="E102" s="169"/>
      <c r="F102" s="186"/>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83"/>
      <c r="F103" s="186"/>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83"/>
      <c r="F104" s="168"/>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83"/>
      <c r="F105" s="186"/>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83"/>
      <c r="F106" s="186"/>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83"/>
      <c r="F107" s="186"/>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83"/>
      <c r="F108" s="186"/>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83"/>
      <c r="F109" s="186"/>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83"/>
      <c r="F110" s="186"/>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83"/>
      <c r="F111" s="186"/>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83"/>
      <c r="F112" s="186"/>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3" s="470" customFormat="1" ht="15" customHeight="1">
      <c r="B113" s="471"/>
      <c r="C113" s="183"/>
      <c r="D113" s="186"/>
      <c r="E113" s="183"/>
      <c r="F113" s="186"/>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3" s="470" customFormat="1" ht="15" customHeight="1">
      <c r="B114" s="471"/>
      <c r="C114" s="183"/>
      <c r="D114" s="186"/>
      <c r="E114" s="183"/>
      <c r="F114" s="186"/>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3" s="470" customFormat="1" ht="15" customHeight="1">
      <c r="B115" s="472"/>
      <c r="C115" s="183"/>
      <c r="D115" s="186"/>
      <c r="E115" s="183"/>
      <c r="F115" s="186"/>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3"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1:33" ht="15" customHeight="1">
      <c r="B117" s="172" t="s">
        <v>24</v>
      </c>
      <c r="C117" s="321" t="s">
        <v>138</v>
      </c>
      <c r="D117" s="22" t="s">
        <v>257</v>
      </c>
      <c r="E117" s="321" t="str">
        <f t="shared" ref="E117" si="14">CONCATENATE("sinkt auf ",TEXT(AF117/10,"##,0")," ct/kWh in 2035")</f>
        <v>sinkt auf 3,5 ct/kWh in 2035</v>
      </c>
      <c r="F117" s="22" t="s">
        <v>754</v>
      </c>
      <c r="G117" s="23"/>
      <c r="H117" s="23"/>
      <c r="I117" s="23"/>
      <c r="J117" s="23"/>
      <c r="K117" s="23"/>
      <c r="L117" s="23">
        <v>87.684729064039445</v>
      </c>
      <c r="M117" s="23">
        <v>88.277074028919984</v>
      </c>
      <c r="N117" s="23">
        <v>80.650000000000006</v>
      </c>
      <c r="O117" s="23">
        <v>74.50738916256158</v>
      </c>
      <c r="P117" s="23">
        <v>62.153413089373693</v>
      </c>
      <c r="Q117" s="23">
        <v>60.181028416122707</v>
      </c>
      <c r="R117" s="23">
        <v>58.253366590167602</v>
      </c>
      <c r="S117" s="23">
        <v>56.369536520582891</v>
      </c>
      <c r="T117" s="23">
        <v>54.528663686685597</v>
      </c>
      <c r="U117" s="23">
        <v>52.729889842887602</v>
      </c>
      <c r="V117" s="23">
        <v>50.972372728652694</v>
      </c>
      <c r="W117" s="23">
        <v>49.255285783471933</v>
      </c>
      <c r="X117" s="23">
        <v>47.577817866772151</v>
      </c>
      <c r="Y117" s="23">
        <v>45.939172982674187</v>
      </c>
      <c r="Z117" s="23">
        <v>44.338570009518754</v>
      </c>
      <c r="AA117" s="23">
        <v>42.775242434078841</v>
      </c>
      <c r="AB117" s="23">
        <v>41.24843809037958</v>
      </c>
      <c r="AC117" s="23">
        <v>39.75741890304711</v>
      </c>
      <c r="AD117" s="23">
        <v>38.301460635109848</v>
      </c>
      <c r="AE117" s="23">
        <v>36.879852640176559</v>
      </c>
      <c r="AF117" s="23">
        <v>35.491897618916795</v>
      </c>
    </row>
    <row r="118" spans="1:33" ht="15" customHeight="1">
      <c r="B118" s="64"/>
      <c r="C118" s="11" t="s">
        <v>766</v>
      </c>
      <c r="D118" s="329" t="s">
        <v>257</v>
      </c>
      <c r="E118" s="11" t="s">
        <v>770</v>
      </c>
      <c r="F118" s="329"/>
      <c r="G118" s="328"/>
      <c r="H118" s="328"/>
      <c r="I118" s="328"/>
      <c r="J118" s="53"/>
      <c r="K118" s="328"/>
      <c r="L118" s="328"/>
      <c r="M118" s="328"/>
      <c r="N118" s="328"/>
      <c r="O118" s="328"/>
      <c r="P118" s="328"/>
      <c r="Q118" s="328">
        <f>Q117*(1+$AG118)</f>
        <v>42.126719891285894</v>
      </c>
      <c r="R118" s="328">
        <f t="shared" ref="R118:AE118" si="15">R117*(1+$AG118)</f>
        <v>40.77735661311732</v>
      </c>
      <c r="S118" s="328">
        <f t="shared" si="15"/>
        <v>39.458675564408018</v>
      </c>
      <c r="T118" s="328">
        <f t="shared" si="15"/>
        <v>38.170064580679913</v>
      </c>
      <c r="U118" s="328">
        <f t="shared" si="15"/>
        <v>36.910922890021318</v>
      </c>
      <c r="V118" s="328">
        <f t="shared" si="15"/>
        <v>35.680660910056886</v>
      </c>
      <c r="W118" s="328">
        <f t="shared" si="15"/>
        <v>34.478700048430348</v>
      </c>
      <c r="X118" s="328">
        <f t="shared" si="15"/>
        <v>33.304472506740503</v>
      </c>
      <c r="Y118" s="328">
        <f t="shared" si="15"/>
        <v>32.157421087871931</v>
      </c>
      <c r="Z118" s="328">
        <f t="shared" si="15"/>
        <v>31.036999006663127</v>
      </c>
      <c r="AA118" s="328">
        <f t="shared" si="15"/>
        <v>29.942669703855188</v>
      </c>
      <c r="AB118" s="328">
        <f t="shared" si="15"/>
        <v>28.873906663265704</v>
      </c>
      <c r="AC118" s="328">
        <f t="shared" si="15"/>
        <v>27.830193232132977</v>
      </c>
      <c r="AD118" s="328">
        <f t="shared" si="15"/>
        <v>26.811022444576892</v>
      </c>
      <c r="AE118" s="328">
        <f t="shared" si="15"/>
        <v>25.81589684812359</v>
      </c>
      <c r="AF118" s="328">
        <f>AF117*(1+$AG118)</f>
        <v>24.844328333241755</v>
      </c>
      <c r="AG118" s="9">
        <f>-0.3</f>
        <v>-0.3</v>
      </c>
    </row>
    <row r="119" spans="1:33" ht="15" customHeight="1">
      <c r="B119" s="64"/>
      <c r="C119" s="11" t="s">
        <v>767</v>
      </c>
      <c r="D119" s="329" t="s">
        <v>257</v>
      </c>
      <c r="E119" s="11" t="s">
        <v>771</v>
      </c>
      <c r="F119" s="329"/>
      <c r="G119" s="328"/>
      <c r="H119" s="328"/>
      <c r="I119" s="328"/>
      <c r="J119" s="53"/>
      <c r="K119" s="328"/>
      <c r="L119" s="328"/>
      <c r="M119" s="328"/>
      <c r="N119" s="328"/>
      <c r="O119" s="328"/>
      <c r="P119" s="328"/>
      <c r="Q119" s="328">
        <f>Q117*(1+$AG119)</f>
        <v>51.153874153704301</v>
      </c>
      <c r="R119" s="328">
        <f t="shared" ref="R119:AE119" si="16">R117*(1+$AG119)</f>
        <v>49.515361601642461</v>
      </c>
      <c r="S119" s="328">
        <f t="shared" si="16"/>
        <v>47.914106042495455</v>
      </c>
      <c r="T119" s="328">
        <f t="shared" si="16"/>
        <v>46.349364133682755</v>
      </c>
      <c r="U119" s="328">
        <f t="shared" si="16"/>
        <v>44.820406366454463</v>
      </c>
      <c r="V119" s="328">
        <f t="shared" si="16"/>
        <v>43.326516819354786</v>
      </c>
      <c r="W119" s="328">
        <f t="shared" si="16"/>
        <v>41.866992915951144</v>
      </c>
      <c r="X119" s="328">
        <f t="shared" si="16"/>
        <v>40.44114518675633</v>
      </c>
      <c r="Y119" s="328">
        <f t="shared" si="16"/>
        <v>39.048297035273059</v>
      </c>
      <c r="Z119" s="328">
        <f t="shared" si="16"/>
        <v>37.687784508090942</v>
      </c>
      <c r="AA119" s="328">
        <f t="shared" si="16"/>
        <v>36.358956068967011</v>
      </c>
      <c r="AB119" s="328">
        <f t="shared" si="16"/>
        <v>35.06117237682264</v>
      </c>
      <c r="AC119" s="328">
        <f t="shared" si="16"/>
        <v>33.79380606759004</v>
      </c>
      <c r="AD119" s="328">
        <f t="shared" si="16"/>
        <v>32.55624153984337</v>
      </c>
      <c r="AE119" s="328">
        <f t="shared" si="16"/>
        <v>31.347874744150072</v>
      </c>
      <c r="AF119" s="328">
        <f>AF117*(1+$AG119)</f>
        <v>30.168112976079275</v>
      </c>
      <c r="AG119" s="9">
        <f>-0.15</f>
        <v>-0.15</v>
      </c>
    </row>
    <row r="120" spans="1:33" ht="15" customHeight="1">
      <c r="B120" s="64"/>
      <c r="C120" s="11" t="s">
        <v>768</v>
      </c>
      <c r="D120" s="329" t="s">
        <v>257</v>
      </c>
      <c r="E120" s="11" t="s">
        <v>772</v>
      </c>
      <c r="F120" s="329"/>
      <c r="G120" s="328"/>
      <c r="H120" s="328"/>
      <c r="I120" s="328"/>
      <c r="J120" s="53"/>
      <c r="K120" s="328"/>
      <c r="L120" s="328"/>
      <c r="M120" s="328"/>
      <c r="N120" s="328"/>
      <c r="O120" s="328"/>
      <c r="P120" s="328"/>
      <c r="Q120" s="328">
        <f>Q117*(1+$AG120)</f>
        <v>69.208182678541107</v>
      </c>
      <c r="R120" s="328">
        <f t="shared" ref="R120:AE120" si="17">R117*(1+$AG120)</f>
        <v>66.991371578692736</v>
      </c>
      <c r="S120" s="328">
        <f t="shared" si="17"/>
        <v>64.82496699867032</v>
      </c>
      <c r="T120" s="328">
        <f t="shared" si="17"/>
        <v>62.707963239688432</v>
      </c>
      <c r="U120" s="328">
        <f t="shared" si="17"/>
        <v>60.63937331932074</v>
      </c>
      <c r="V120" s="328">
        <f t="shared" si="17"/>
        <v>58.618228637950594</v>
      </c>
      <c r="W120" s="328">
        <f t="shared" si="17"/>
        <v>56.643578650992715</v>
      </c>
      <c r="X120" s="328">
        <f t="shared" si="17"/>
        <v>54.714490546787971</v>
      </c>
      <c r="Y120" s="328">
        <f t="shared" si="17"/>
        <v>52.830048930075307</v>
      </c>
      <c r="Z120" s="328">
        <f t="shared" si="17"/>
        <v>50.989355510946567</v>
      </c>
      <c r="AA120" s="328">
        <f t="shared" si="17"/>
        <v>49.191528799190664</v>
      </c>
      <c r="AB120" s="328">
        <f t="shared" si="17"/>
        <v>47.435703803936512</v>
      </c>
      <c r="AC120" s="328">
        <f t="shared" si="17"/>
        <v>45.721031738504173</v>
      </c>
      <c r="AD120" s="328">
        <f t="shared" si="17"/>
        <v>44.046679730376319</v>
      </c>
      <c r="AE120" s="328">
        <f t="shared" si="17"/>
        <v>42.411830536203041</v>
      </c>
      <c r="AF120" s="328">
        <f>AF117*(1+$AG120)</f>
        <v>40.815682261754311</v>
      </c>
      <c r="AG120" s="9">
        <v>0.15</v>
      </c>
    </row>
    <row r="121" spans="1:33" ht="15" customHeight="1">
      <c r="B121" s="64"/>
      <c r="C121" s="11" t="s">
        <v>769</v>
      </c>
      <c r="D121" s="329" t="s">
        <v>257</v>
      </c>
      <c r="E121" s="11" t="s">
        <v>773</v>
      </c>
      <c r="F121" s="329"/>
      <c r="G121" s="328"/>
      <c r="H121" s="328"/>
      <c r="I121" s="328"/>
      <c r="J121" s="53"/>
      <c r="K121" s="328"/>
      <c r="L121" s="328"/>
      <c r="M121" s="328"/>
      <c r="N121" s="328"/>
      <c r="O121" s="328"/>
      <c r="P121" s="328"/>
      <c r="Q121" s="328">
        <f>Q117*(1+$AG121)</f>
        <v>78.235336940959527</v>
      </c>
      <c r="R121" s="328">
        <f t="shared" ref="R121:AE121" si="18">R117*(1+$AG121)</f>
        <v>75.729376567217884</v>
      </c>
      <c r="S121" s="328">
        <f t="shared" si="18"/>
        <v>73.280397476757756</v>
      </c>
      <c r="T121" s="328">
        <f t="shared" si="18"/>
        <v>70.887262792691274</v>
      </c>
      <c r="U121" s="328">
        <f t="shared" si="18"/>
        <v>68.548856795753878</v>
      </c>
      <c r="V121" s="328">
        <f t="shared" si="18"/>
        <v>66.264084547248501</v>
      </c>
      <c r="W121" s="328">
        <f t="shared" si="18"/>
        <v>64.031871518513512</v>
      </c>
      <c r="X121" s="328">
        <f t="shared" si="18"/>
        <v>61.851163226803799</v>
      </c>
      <c r="Y121" s="328">
        <f t="shared" si="18"/>
        <v>59.720924877476442</v>
      </c>
      <c r="Z121" s="328">
        <f t="shared" si="18"/>
        <v>57.640141012374386</v>
      </c>
      <c r="AA121" s="328">
        <f t="shared" si="18"/>
        <v>55.607815164302494</v>
      </c>
      <c r="AB121" s="328">
        <f t="shared" si="18"/>
        <v>53.622969517493452</v>
      </c>
      <c r="AC121" s="328">
        <f t="shared" si="18"/>
        <v>51.684644573961243</v>
      </c>
      <c r="AD121" s="328">
        <f t="shared" si="18"/>
        <v>49.791898825642804</v>
      </c>
      <c r="AE121" s="328">
        <f t="shared" si="18"/>
        <v>47.943808432229531</v>
      </c>
      <c r="AF121" s="328">
        <f>AF117*(1+$AG121)</f>
        <v>46.139466904591835</v>
      </c>
      <c r="AG121" s="9">
        <v>0.3</v>
      </c>
    </row>
    <row r="122" spans="1:33" ht="15" customHeight="1">
      <c r="B122" s="64"/>
      <c r="C122" s="11" t="s">
        <v>776</v>
      </c>
      <c r="D122" s="329" t="s">
        <v>257</v>
      </c>
      <c r="E122" s="16" t="s">
        <v>762</v>
      </c>
      <c r="F122" s="329"/>
      <c r="G122" s="328"/>
      <c r="H122" s="328"/>
      <c r="I122" s="328"/>
      <c r="J122" s="53"/>
      <c r="K122" s="328"/>
      <c r="L122" s="328"/>
      <c r="M122" s="328"/>
      <c r="N122" s="328"/>
      <c r="O122" s="328"/>
      <c r="P122" s="328"/>
      <c r="Q122" s="328">
        <f>P117</f>
        <v>62.153413089373693</v>
      </c>
      <c r="R122" s="328">
        <f>$Q122+($AF122-$Q122)/($AF$4-$Q$4)*(R$4-$Q$4)</f>
        <v>62.153413089373693</v>
      </c>
      <c r="S122" s="328">
        <f t="shared" ref="S122:AE122" si="19">$Q122+($AF122-$Q122)/($AF$4-$Q$4)*(S$4-$Q$4)</f>
        <v>62.153413089373693</v>
      </c>
      <c r="T122" s="328">
        <f t="shared" si="19"/>
        <v>62.153413089373693</v>
      </c>
      <c r="U122" s="328">
        <f t="shared" si="19"/>
        <v>62.153413089373693</v>
      </c>
      <c r="V122" s="328">
        <f t="shared" si="19"/>
        <v>62.153413089373693</v>
      </c>
      <c r="W122" s="328">
        <f t="shared" si="19"/>
        <v>62.153413089373693</v>
      </c>
      <c r="X122" s="328">
        <f t="shared" si="19"/>
        <v>62.153413089373693</v>
      </c>
      <c r="Y122" s="328">
        <f t="shared" si="19"/>
        <v>62.153413089373693</v>
      </c>
      <c r="Z122" s="328">
        <f t="shared" si="19"/>
        <v>62.153413089373693</v>
      </c>
      <c r="AA122" s="328">
        <f t="shared" si="19"/>
        <v>62.153413089373693</v>
      </c>
      <c r="AB122" s="328">
        <f t="shared" si="19"/>
        <v>62.153413089373693</v>
      </c>
      <c r="AC122" s="328">
        <f t="shared" si="19"/>
        <v>62.153413089373693</v>
      </c>
      <c r="AD122" s="328">
        <f t="shared" si="19"/>
        <v>62.153413089373693</v>
      </c>
      <c r="AE122" s="328">
        <f t="shared" si="19"/>
        <v>62.153413089373693</v>
      </c>
      <c r="AF122" s="328">
        <f>Q122</f>
        <v>62.153413089373693</v>
      </c>
    </row>
    <row r="123" spans="1:33" s="470" customFormat="1" ht="15" customHeight="1">
      <c r="A123" s="9"/>
      <c r="B123" s="471"/>
      <c r="C123" s="471"/>
      <c r="D123" s="183"/>
      <c r="E123" s="168"/>
      <c r="F123" s="183"/>
      <c r="G123" s="187"/>
      <c r="H123" s="187"/>
      <c r="I123" s="187"/>
      <c r="J123" s="16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9"/>
    </row>
    <row r="124" spans="1:33" s="470" customFormat="1" ht="15" customHeight="1">
      <c r="B124" s="471"/>
      <c r="C124" s="183"/>
      <c r="D124" s="168"/>
      <c r="E124" s="183"/>
      <c r="F124" s="168"/>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1:33" s="470" customFormat="1" ht="15" customHeight="1">
      <c r="B125" s="471"/>
      <c r="C125" s="191"/>
      <c r="D125" s="186"/>
      <c r="E125" s="191"/>
      <c r="F125" s="186"/>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1:33" s="470" customFormat="1" ht="15" customHeight="1">
      <c r="B126" s="471"/>
      <c r="C126" s="183"/>
      <c r="D126" s="186"/>
      <c r="E126" s="183"/>
      <c r="F126" s="186"/>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1:33" s="470" customFormat="1" ht="15" customHeight="1">
      <c r="B127" s="471"/>
      <c r="C127" s="169"/>
      <c r="D127" s="186"/>
      <c r="E127" s="169"/>
      <c r="F127" s="186"/>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1:33" s="470" customFormat="1" ht="15" customHeight="1">
      <c r="B128" s="471"/>
      <c r="C128" s="183"/>
      <c r="D128" s="186"/>
      <c r="E128" s="169"/>
      <c r="F128" s="186"/>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1:33" s="470" customFormat="1" ht="15" customHeight="1">
      <c r="B129" s="471"/>
      <c r="C129" s="183"/>
      <c r="D129" s="186"/>
      <c r="E129" s="183"/>
      <c r="F129" s="186"/>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1:33" s="470" customFormat="1" ht="15" customHeight="1">
      <c r="B130" s="471"/>
      <c r="C130" s="183"/>
      <c r="D130" s="168"/>
      <c r="E130" s="183"/>
      <c r="F130" s="168"/>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1:33" s="470" customFormat="1" ht="15" customHeight="1">
      <c r="B131" s="471"/>
      <c r="C131" s="183"/>
      <c r="D131" s="186"/>
      <c r="E131" s="183"/>
      <c r="F131" s="186"/>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1:33" s="470" customFormat="1" ht="15" customHeight="1">
      <c r="B132" s="471"/>
      <c r="C132" s="183"/>
      <c r="D132" s="186"/>
      <c r="E132" s="183"/>
      <c r="F132" s="186"/>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1:33" s="470" customFormat="1" ht="15" customHeight="1">
      <c r="B133" s="471"/>
      <c r="C133" s="183"/>
      <c r="D133" s="186"/>
      <c r="E133" s="183"/>
      <c r="F133" s="186"/>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1:33" s="470" customFormat="1" ht="15" customHeight="1">
      <c r="B134" s="471"/>
      <c r="C134" s="183"/>
      <c r="D134" s="186"/>
      <c r="E134" s="183"/>
      <c r="F134" s="186"/>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1:33" s="470" customFormat="1" ht="15" customHeight="1">
      <c r="B135" s="471"/>
      <c r="C135" s="183"/>
      <c r="D135" s="186"/>
      <c r="E135" s="183"/>
      <c r="F135" s="186"/>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1:33" ht="15" customHeight="1">
      <c r="A136" s="470"/>
      <c r="B136" s="471"/>
      <c r="C136" s="183"/>
      <c r="D136" s="186"/>
      <c r="E136" s="183"/>
      <c r="F136" s="186"/>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470"/>
    </row>
    <row r="137" spans="1:33" ht="15" customHeight="1">
      <c r="A137" s="470"/>
      <c r="B137" s="471"/>
      <c r="C137" s="183"/>
      <c r="D137" s="186"/>
      <c r="E137" s="183"/>
      <c r="F137" s="186"/>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470"/>
    </row>
    <row r="138" spans="1:33" ht="15" customHeight="1">
      <c r="A138" s="470"/>
      <c r="B138" s="471"/>
      <c r="C138" s="183"/>
      <c r="D138" s="186"/>
      <c r="E138" s="183"/>
      <c r="F138" s="186"/>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470"/>
    </row>
    <row r="139" spans="1:33" ht="15" customHeight="1">
      <c r="A139" s="470"/>
      <c r="B139" s="471"/>
      <c r="C139" s="183"/>
      <c r="D139" s="186"/>
      <c r="E139" s="183"/>
      <c r="F139" s="186"/>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470"/>
    </row>
    <row r="140" spans="1:33" ht="15" customHeight="1">
      <c r="A140" s="470"/>
      <c r="B140" s="471"/>
      <c r="C140" s="183"/>
      <c r="D140" s="186"/>
      <c r="E140" s="183"/>
      <c r="F140" s="186"/>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470"/>
    </row>
    <row r="141" spans="1:33" ht="15" customHeight="1">
      <c r="A141" s="470"/>
      <c r="B141" s="472"/>
      <c r="C141" s="183"/>
      <c r="D141" s="186"/>
      <c r="E141" s="183"/>
      <c r="F141" s="186"/>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470"/>
    </row>
    <row r="142" spans="1:33"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1:33" ht="38.25">
      <c r="B143" s="172" t="s">
        <v>26</v>
      </c>
      <c r="C143" s="321" t="s">
        <v>138</v>
      </c>
      <c r="D143" s="22" t="s">
        <v>257</v>
      </c>
      <c r="E143" s="321" t="str">
        <f t="shared" ref="E143" si="20">CONCATENATE("sinkt auf ",TEXT(AF143/10,"##,0")," ct/kWh in 2035")</f>
        <v>sinkt auf 4,5 ct/kWh in 2035</v>
      </c>
      <c r="F143" s="658" t="s">
        <v>753</v>
      </c>
      <c r="G143" s="23"/>
      <c r="H143" s="23"/>
      <c r="I143" s="23"/>
      <c r="J143" s="23"/>
      <c r="K143" s="23"/>
      <c r="L143" s="55">
        <v>191.13300492610838</v>
      </c>
      <c r="M143" s="55">
        <v>191.73349999999999</v>
      </c>
      <c r="N143" s="55">
        <v>194</v>
      </c>
      <c r="O143" s="55">
        <v>146.79802955665025</v>
      </c>
      <c r="P143" s="55">
        <v>144.62860054842392</v>
      </c>
      <c r="Q143" s="55">
        <v>137.70964709870762</v>
      </c>
      <c r="R143" s="55">
        <v>70</v>
      </c>
      <c r="S143" s="55">
        <v>65</v>
      </c>
      <c r="T143" s="55">
        <v>61.666666666666664</v>
      </c>
      <c r="U143" s="55">
        <v>58.333333333333329</v>
      </c>
      <c r="V143" s="55">
        <v>55</v>
      </c>
      <c r="W143" s="55">
        <v>54</v>
      </c>
      <c r="X143" s="55">
        <v>53</v>
      </c>
      <c r="Y143" s="55">
        <v>52</v>
      </c>
      <c r="Z143" s="55">
        <v>51</v>
      </c>
      <c r="AA143" s="55">
        <v>50</v>
      </c>
      <c r="AB143" s="55">
        <v>49</v>
      </c>
      <c r="AC143" s="55">
        <v>48</v>
      </c>
      <c r="AD143" s="55">
        <v>47</v>
      </c>
      <c r="AE143" s="55">
        <v>46</v>
      </c>
      <c r="AF143" s="55">
        <v>45</v>
      </c>
    </row>
    <row r="144" spans="1:33" ht="15" customHeight="1">
      <c r="B144" s="64"/>
      <c r="C144" s="11" t="s">
        <v>766</v>
      </c>
      <c r="D144" s="329" t="s">
        <v>257</v>
      </c>
      <c r="E144" s="11" t="s">
        <v>770</v>
      </c>
      <c r="F144" s="329"/>
      <c r="G144" s="328"/>
      <c r="H144" s="328"/>
      <c r="I144" s="328"/>
      <c r="J144" s="53"/>
      <c r="K144" s="328"/>
      <c r="L144" s="328"/>
      <c r="M144" s="328"/>
      <c r="N144" s="328"/>
      <c r="O144" s="328"/>
      <c r="P144" s="328"/>
      <c r="Q144" s="328">
        <f>Q143*(1+$AG144)</f>
        <v>96.396752969095331</v>
      </c>
      <c r="R144" s="328">
        <f t="shared" ref="R144:AE144" si="21">R143*(1+$AG144)</f>
        <v>49</v>
      </c>
      <c r="S144" s="328">
        <f t="shared" si="21"/>
        <v>45.5</v>
      </c>
      <c r="T144" s="328">
        <f t="shared" si="21"/>
        <v>43.166666666666664</v>
      </c>
      <c r="U144" s="328">
        <f t="shared" si="21"/>
        <v>40.833333333333329</v>
      </c>
      <c r="V144" s="328">
        <f t="shared" si="21"/>
        <v>38.5</v>
      </c>
      <c r="W144" s="328">
        <f t="shared" si="21"/>
        <v>37.799999999999997</v>
      </c>
      <c r="X144" s="328">
        <f t="shared" si="21"/>
        <v>37.099999999999994</v>
      </c>
      <c r="Y144" s="328">
        <f t="shared" si="21"/>
        <v>36.4</v>
      </c>
      <c r="Z144" s="328">
        <f t="shared" si="21"/>
        <v>35.699999999999996</v>
      </c>
      <c r="AA144" s="328">
        <f t="shared" si="21"/>
        <v>35</v>
      </c>
      <c r="AB144" s="328">
        <f t="shared" si="21"/>
        <v>34.299999999999997</v>
      </c>
      <c r="AC144" s="328">
        <f t="shared" si="21"/>
        <v>33.599999999999994</v>
      </c>
      <c r="AD144" s="328">
        <f t="shared" si="21"/>
        <v>32.9</v>
      </c>
      <c r="AE144" s="328">
        <f t="shared" si="21"/>
        <v>32.199999999999996</v>
      </c>
      <c r="AF144" s="328">
        <f>AF143*(1+$AG144)</f>
        <v>31.499999999999996</v>
      </c>
      <c r="AG144" s="9">
        <f>-0.3</f>
        <v>-0.3</v>
      </c>
    </row>
    <row r="145" spans="1:33" ht="15" customHeight="1">
      <c r="B145" s="64"/>
      <c r="C145" s="11" t="s">
        <v>767</v>
      </c>
      <c r="D145" s="329" t="s">
        <v>257</v>
      </c>
      <c r="E145" s="11" t="s">
        <v>771</v>
      </c>
      <c r="F145" s="329"/>
      <c r="G145" s="328"/>
      <c r="H145" s="328"/>
      <c r="I145" s="328"/>
      <c r="J145" s="53"/>
      <c r="K145" s="328"/>
      <c r="L145" s="328"/>
      <c r="M145" s="328"/>
      <c r="N145" s="328"/>
      <c r="O145" s="328"/>
      <c r="P145" s="328"/>
      <c r="Q145" s="328">
        <f>Q143*(1+$AG145)</f>
        <v>117.05320003390148</v>
      </c>
      <c r="R145" s="328">
        <f t="shared" ref="R145:AE145" si="22">R143*(1+$AG145)</f>
        <v>59.5</v>
      </c>
      <c r="S145" s="328">
        <f t="shared" si="22"/>
        <v>55.25</v>
      </c>
      <c r="T145" s="328">
        <f t="shared" si="22"/>
        <v>52.416666666666664</v>
      </c>
      <c r="U145" s="328">
        <f t="shared" si="22"/>
        <v>49.583333333333329</v>
      </c>
      <c r="V145" s="328">
        <f t="shared" si="22"/>
        <v>46.75</v>
      </c>
      <c r="W145" s="328">
        <f t="shared" si="22"/>
        <v>45.9</v>
      </c>
      <c r="X145" s="328">
        <f t="shared" si="22"/>
        <v>45.05</v>
      </c>
      <c r="Y145" s="328">
        <f t="shared" si="22"/>
        <v>44.199999999999996</v>
      </c>
      <c r="Z145" s="328">
        <f t="shared" si="22"/>
        <v>43.35</v>
      </c>
      <c r="AA145" s="328">
        <f t="shared" si="22"/>
        <v>42.5</v>
      </c>
      <c r="AB145" s="328">
        <f t="shared" si="22"/>
        <v>41.65</v>
      </c>
      <c r="AC145" s="328">
        <f t="shared" si="22"/>
        <v>40.799999999999997</v>
      </c>
      <c r="AD145" s="328">
        <f t="shared" si="22"/>
        <v>39.949999999999996</v>
      </c>
      <c r="AE145" s="328">
        <f t="shared" si="22"/>
        <v>39.1</v>
      </c>
      <c r="AF145" s="328">
        <f>AF143*(1+$AG145)</f>
        <v>38.25</v>
      </c>
      <c r="AG145" s="9">
        <f>-0.15</f>
        <v>-0.15</v>
      </c>
    </row>
    <row r="146" spans="1:33" ht="15" customHeight="1">
      <c r="B146" s="64"/>
      <c r="C146" s="11" t="s">
        <v>768</v>
      </c>
      <c r="D146" s="329" t="s">
        <v>257</v>
      </c>
      <c r="E146" s="11" t="s">
        <v>772</v>
      </c>
      <c r="F146" s="329"/>
      <c r="G146" s="328"/>
      <c r="H146" s="328"/>
      <c r="I146" s="328"/>
      <c r="J146" s="53"/>
      <c r="K146" s="328"/>
      <c r="L146" s="328"/>
      <c r="M146" s="328"/>
      <c r="N146" s="328"/>
      <c r="O146" s="328"/>
      <c r="P146" s="328"/>
      <c r="Q146" s="328">
        <f>Q143*(1+$AG146)</f>
        <v>158.36609416351376</v>
      </c>
      <c r="R146" s="328">
        <f t="shared" ref="R146:AE146" si="23">R143*(1+$AG146)</f>
        <v>80.5</v>
      </c>
      <c r="S146" s="328">
        <f t="shared" si="23"/>
        <v>74.75</v>
      </c>
      <c r="T146" s="328">
        <f t="shared" si="23"/>
        <v>70.916666666666657</v>
      </c>
      <c r="U146" s="328">
        <f t="shared" si="23"/>
        <v>67.083333333333329</v>
      </c>
      <c r="V146" s="328">
        <f t="shared" si="23"/>
        <v>63.249999999999993</v>
      </c>
      <c r="W146" s="328">
        <f t="shared" si="23"/>
        <v>62.099999999999994</v>
      </c>
      <c r="X146" s="328">
        <f t="shared" si="23"/>
        <v>60.949999999999996</v>
      </c>
      <c r="Y146" s="328">
        <f t="shared" si="23"/>
        <v>59.8</v>
      </c>
      <c r="Z146" s="328">
        <f t="shared" si="23"/>
        <v>58.65</v>
      </c>
      <c r="AA146" s="328">
        <f t="shared" si="23"/>
        <v>57.499999999999993</v>
      </c>
      <c r="AB146" s="328">
        <f t="shared" si="23"/>
        <v>56.349999999999994</v>
      </c>
      <c r="AC146" s="328">
        <f t="shared" si="23"/>
        <v>55.199999999999996</v>
      </c>
      <c r="AD146" s="328">
        <f t="shared" si="23"/>
        <v>54.05</v>
      </c>
      <c r="AE146" s="328">
        <f t="shared" si="23"/>
        <v>52.9</v>
      </c>
      <c r="AF146" s="328">
        <f>AF143*(1+$AG146)</f>
        <v>51.749999999999993</v>
      </c>
      <c r="AG146" s="9">
        <v>0.15</v>
      </c>
    </row>
    <row r="147" spans="1:33" ht="15" customHeight="1">
      <c r="B147" s="64"/>
      <c r="C147" s="11" t="s">
        <v>769</v>
      </c>
      <c r="D147" s="329" t="s">
        <v>257</v>
      </c>
      <c r="E147" s="11" t="s">
        <v>773</v>
      </c>
      <c r="F147" s="329"/>
      <c r="G147" s="328"/>
      <c r="H147" s="328"/>
      <c r="I147" s="328"/>
      <c r="J147" s="53"/>
      <c r="K147" s="328"/>
      <c r="L147" s="328"/>
      <c r="M147" s="328"/>
      <c r="N147" s="328"/>
      <c r="O147" s="328"/>
      <c r="P147" s="328"/>
      <c r="Q147" s="328">
        <f>Q143*(1+$AG147)</f>
        <v>179.02254122831991</v>
      </c>
      <c r="R147" s="328">
        <f t="shared" ref="R147:AE147" si="24">R143*(1+$AG147)</f>
        <v>91</v>
      </c>
      <c r="S147" s="328">
        <f t="shared" si="24"/>
        <v>84.5</v>
      </c>
      <c r="T147" s="328">
        <f t="shared" si="24"/>
        <v>80.166666666666671</v>
      </c>
      <c r="U147" s="328">
        <f t="shared" si="24"/>
        <v>75.833333333333329</v>
      </c>
      <c r="V147" s="328">
        <f t="shared" si="24"/>
        <v>71.5</v>
      </c>
      <c r="W147" s="328">
        <f t="shared" si="24"/>
        <v>70.2</v>
      </c>
      <c r="X147" s="328">
        <f t="shared" si="24"/>
        <v>68.900000000000006</v>
      </c>
      <c r="Y147" s="328">
        <f t="shared" si="24"/>
        <v>67.600000000000009</v>
      </c>
      <c r="Z147" s="328">
        <f t="shared" si="24"/>
        <v>66.3</v>
      </c>
      <c r="AA147" s="328">
        <f t="shared" si="24"/>
        <v>65</v>
      </c>
      <c r="AB147" s="328">
        <f t="shared" si="24"/>
        <v>63.7</v>
      </c>
      <c r="AC147" s="328">
        <f t="shared" si="24"/>
        <v>62.400000000000006</v>
      </c>
      <c r="AD147" s="328">
        <f t="shared" si="24"/>
        <v>61.1</v>
      </c>
      <c r="AE147" s="328">
        <f t="shared" si="24"/>
        <v>59.800000000000004</v>
      </c>
      <c r="AF147" s="328">
        <f>AF143*(1+$AG147)</f>
        <v>58.5</v>
      </c>
      <c r="AG147" s="9">
        <v>0.3</v>
      </c>
    </row>
    <row r="148" spans="1:33" ht="15" customHeight="1">
      <c r="B148" s="64"/>
      <c r="C148" s="11" t="s">
        <v>776</v>
      </c>
      <c r="D148" s="329" t="s">
        <v>257</v>
      </c>
      <c r="E148" s="16" t="s">
        <v>762</v>
      </c>
      <c r="F148" s="329"/>
      <c r="G148" s="328"/>
      <c r="H148" s="328"/>
      <c r="I148" s="328"/>
      <c r="J148" s="53"/>
      <c r="K148" s="328"/>
      <c r="L148" s="328"/>
      <c r="M148" s="328"/>
      <c r="N148" s="328"/>
      <c r="O148" s="328"/>
      <c r="P148" s="328"/>
      <c r="Q148" s="328">
        <f>P143</f>
        <v>144.62860054842392</v>
      </c>
      <c r="R148" s="328">
        <f>$P$143</f>
        <v>144.62860054842392</v>
      </c>
      <c r="S148" s="328">
        <f>$P$143</f>
        <v>144.62860054842392</v>
      </c>
      <c r="T148" s="328">
        <f t="shared" ref="T148:AE148" si="25">$P$143</f>
        <v>144.62860054842392</v>
      </c>
      <c r="U148" s="328">
        <f t="shared" si="25"/>
        <v>144.62860054842392</v>
      </c>
      <c r="V148" s="328">
        <f t="shared" si="25"/>
        <v>144.62860054842392</v>
      </c>
      <c r="W148" s="328">
        <f t="shared" si="25"/>
        <v>144.62860054842392</v>
      </c>
      <c r="X148" s="328">
        <f t="shared" si="25"/>
        <v>144.62860054842392</v>
      </c>
      <c r="Y148" s="328">
        <f t="shared" si="25"/>
        <v>144.62860054842392</v>
      </c>
      <c r="Z148" s="328">
        <f t="shared" si="25"/>
        <v>144.62860054842392</v>
      </c>
      <c r="AA148" s="328">
        <f t="shared" si="25"/>
        <v>144.62860054842392</v>
      </c>
      <c r="AB148" s="328">
        <f t="shared" si="25"/>
        <v>144.62860054842392</v>
      </c>
      <c r="AC148" s="328">
        <f t="shared" si="25"/>
        <v>144.62860054842392</v>
      </c>
      <c r="AD148" s="328">
        <f t="shared" si="25"/>
        <v>144.62860054842392</v>
      </c>
      <c r="AE148" s="328">
        <f t="shared" si="25"/>
        <v>144.62860054842392</v>
      </c>
      <c r="AF148" s="328">
        <f>Q148</f>
        <v>144.62860054842392</v>
      </c>
    </row>
    <row r="149" spans="1:33" s="470" customFormat="1" ht="15" customHeight="1">
      <c r="A149" s="9"/>
      <c r="B149" s="471"/>
      <c r="C149" s="183"/>
      <c r="D149" s="168"/>
      <c r="E149" s="183"/>
      <c r="F149" s="168"/>
      <c r="G149" s="187"/>
      <c r="H149" s="187"/>
      <c r="I149" s="187"/>
      <c r="J149" s="16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9"/>
    </row>
    <row r="150" spans="1:33" s="470" customFormat="1" ht="15" customHeight="1">
      <c r="B150" s="471"/>
      <c r="C150" s="183"/>
      <c r="D150" s="168"/>
      <c r="E150" s="183"/>
      <c r="F150" s="168"/>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1:33" s="470" customFormat="1" ht="15" customHeight="1">
      <c r="B151" s="471"/>
      <c r="C151" s="191"/>
      <c r="D151" s="186"/>
      <c r="E151" s="191"/>
      <c r="F151" s="186"/>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1:33" s="470" customFormat="1" ht="15" customHeight="1">
      <c r="B152" s="471"/>
      <c r="C152" s="183"/>
      <c r="D152" s="186"/>
      <c r="E152" s="183"/>
      <c r="F152" s="186"/>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1:33" s="470" customFormat="1" ht="15" customHeight="1">
      <c r="B153" s="471"/>
      <c r="C153" s="169"/>
      <c r="D153" s="186"/>
      <c r="E153" s="183"/>
      <c r="F153" s="186"/>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1:33" s="470" customFormat="1" ht="15" customHeight="1">
      <c r="B154" s="471"/>
      <c r="C154" s="183"/>
      <c r="D154" s="186"/>
      <c r="E154" s="169"/>
      <c r="F154" s="186"/>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1:33" s="470" customFormat="1" ht="15" customHeight="1">
      <c r="B155" s="471"/>
      <c r="C155" s="183"/>
      <c r="D155" s="168"/>
      <c r="E155" s="183"/>
      <c r="F155" s="186"/>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3" s="470" customFormat="1" ht="15" customHeight="1">
      <c r="B156" s="471"/>
      <c r="C156" s="183"/>
      <c r="D156" s="186"/>
      <c r="E156" s="183"/>
      <c r="F156" s="168"/>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3" s="470" customFormat="1" ht="15" customHeight="1">
      <c r="B157" s="471"/>
      <c r="C157" s="183"/>
      <c r="D157" s="186"/>
      <c r="E157" s="183"/>
      <c r="F157" s="186"/>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3" s="470" customFormat="1" ht="15" customHeight="1">
      <c r="B158" s="471"/>
      <c r="C158" s="183"/>
      <c r="D158" s="186"/>
      <c r="E158" s="183"/>
      <c r="F158" s="186"/>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3" s="470" customFormat="1" ht="15" customHeight="1">
      <c r="B159" s="471"/>
      <c r="C159" s="183"/>
      <c r="D159" s="186"/>
      <c r="E159" s="183"/>
      <c r="F159" s="186"/>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3" s="470" customFormat="1" ht="15" customHeight="1">
      <c r="B160" s="471"/>
      <c r="C160" s="183"/>
      <c r="D160" s="186"/>
      <c r="E160" s="183"/>
      <c r="F160" s="186"/>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1:33" s="470" customFormat="1" ht="15" customHeight="1">
      <c r="B161" s="471"/>
      <c r="C161" s="183"/>
      <c r="D161" s="186"/>
      <c r="E161" s="183"/>
      <c r="F161" s="186"/>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1:33" s="470" customFormat="1" ht="15" customHeight="1">
      <c r="B162" s="471"/>
      <c r="C162" s="183"/>
      <c r="D162" s="186"/>
      <c r="E162" s="183"/>
      <c r="F162" s="186"/>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1:33" s="470" customFormat="1" ht="15" customHeight="1">
      <c r="B163" s="471"/>
      <c r="C163" s="183"/>
      <c r="D163" s="186"/>
      <c r="E163" s="183"/>
      <c r="F163" s="186"/>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1:33" s="470" customFormat="1" ht="15" customHeight="1">
      <c r="B164" s="471"/>
      <c r="C164" s="183"/>
      <c r="D164" s="186"/>
      <c r="E164" s="183"/>
      <c r="F164" s="186"/>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1:33" s="470" customFormat="1" ht="15" customHeight="1">
      <c r="B165" s="471"/>
      <c r="C165" s="183"/>
      <c r="D165" s="186"/>
      <c r="E165" s="183"/>
      <c r="F165" s="186"/>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1:33" s="470" customFormat="1" ht="15" customHeight="1">
      <c r="B166" s="471"/>
      <c r="C166" s="183"/>
      <c r="D166" s="186"/>
      <c r="E166" s="183"/>
      <c r="F166" s="186"/>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1:33" s="470" customFormat="1" ht="15" customHeight="1">
      <c r="B167" s="472"/>
      <c r="C167" s="183"/>
      <c r="D167" s="186"/>
      <c r="E167" s="183"/>
      <c r="F167" s="186"/>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1:33"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1:33" ht="15" customHeight="1">
      <c r="B169" s="172" t="s">
        <v>14</v>
      </c>
      <c r="C169" s="321" t="s">
        <v>138</v>
      </c>
      <c r="D169" s="22" t="s">
        <v>257</v>
      </c>
      <c r="E169" s="321" t="s">
        <v>765</v>
      </c>
      <c r="F169" s="22" t="s">
        <v>764</v>
      </c>
      <c r="G169" s="23"/>
      <c r="H169" s="23"/>
      <c r="I169" s="23"/>
      <c r="J169" s="23"/>
      <c r="K169" s="23"/>
      <c r="L169" s="23">
        <v>108.02793365944886</v>
      </c>
      <c r="M169" s="23">
        <v>110.45769389560584</v>
      </c>
      <c r="N169" s="1014">
        <v>101.35881575680968</v>
      </c>
      <c r="O169" s="1014">
        <v>109.04631799757858</v>
      </c>
      <c r="P169" s="1014">
        <v>106.93752173913046</v>
      </c>
      <c r="Q169" s="1014">
        <v>89.118500000000012</v>
      </c>
      <c r="R169" s="1014">
        <v>84.825000000000003</v>
      </c>
      <c r="S169" s="1014">
        <v>78.358541666666667</v>
      </c>
      <c r="T169" s="1014">
        <v>74.209166666666661</v>
      </c>
      <c r="U169" s="1014">
        <v>70.758208333333343</v>
      </c>
      <c r="V169" s="1014">
        <v>67.374750000000006</v>
      </c>
      <c r="W169" s="1014">
        <v>64.198750000000004</v>
      </c>
      <c r="X169" s="1014">
        <v>61.143458333333328</v>
      </c>
      <c r="Y169" s="1014">
        <v>58.260166666666649</v>
      </c>
      <c r="Z169" s="1014">
        <v>55.461749999999988</v>
      </c>
      <c r="AA169" s="1014">
        <v>52.840583333333328</v>
      </c>
      <c r="AB169" s="1014">
        <v>50.376916666666652</v>
      </c>
      <c r="AC169" s="1014">
        <v>47.916249999999991</v>
      </c>
      <c r="AD169" s="1014">
        <v>45.505749999999985</v>
      </c>
      <c r="AE169" s="1014">
        <v>43.285166666666655</v>
      </c>
      <c r="AF169" s="1014">
        <v>41.136499999999998</v>
      </c>
    </row>
    <row r="170" spans="1:33" ht="15" customHeight="1">
      <c r="B170" s="64"/>
      <c r="C170" s="11" t="s">
        <v>766</v>
      </c>
      <c r="D170" s="329" t="s">
        <v>257</v>
      </c>
      <c r="E170" s="11" t="s">
        <v>770</v>
      </c>
      <c r="F170" s="329"/>
      <c r="G170" s="328"/>
      <c r="H170" s="328"/>
      <c r="I170" s="328"/>
      <c r="J170" s="53"/>
      <c r="K170" s="328"/>
      <c r="L170" s="328"/>
      <c r="M170" s="328"/>
      <c r="N170" s="328"/>
      <c r="O170" s="328"/>
      <c r="P170" s="328"/>
      <c r="Q170" s="328">
        <f t="shared" ref="Q170:AE170" si="26">Q169*(1+$AG170)</f>
        <v>62.382950000000001</v>
      </c>
      <c r="R170" s="328">
        <f t="shared" si="26"/>
        <v>59.377499999999998</v>
      </c>
      <c r="S170" s="328">
        <f t="shared" si="26"/>
        <v>54.850979166666662</v>
      </c>
      <c r="T170" s="328">
        <f t="shared" si="26"/>
        <v>51.946416666666657</v>
      </c>
      <c r="U170" s="328">
        <f t="shared" si="26"/>
        <v>49.530745833333334</v>
      </c>
      <c r="V170" s="328">
        <f t="shared" si="26"/>
        <v>47.162325000000003</v>
      </c>
      <c r="W170" s="328">
        <f t="shared" si="26"/>
        <v>44.939124999999997</v>
      </c>
      <c r="X170" s="328">
        <f t="shared" si="26"/>
        <v>42.800420833333327</v>
      </c>
      <c r="Y170" s="328">
        <f t="shared" si="26"/>
        <v>40.782116666666653</v>
      </c>
      <c r="Z170" s="328">
        <f t="shared" si="26"/>
        <v>38.823224999999987</v>
      </c>
      <c r="AA170" s="328">
        <f t="shared" si="26"/>
        <v>36.988408333333325</v>
      </c>
      <c r="AB170" s="328">
        <f t="shared" si="26"/>
        <v>35.263841666666657</v>
      </c>
      <c r="AC170" s="328">
        <f t="shared" si="26"/>
        <v>33.541374999999995</v>
      </c>
      <c r="AD170" s="328">
        <f t="shared" si="26"/>
        <v>31.854024999999986</v>
      </c>
      <c r="AE170" s="328">
        <f t="shared" si="26"/>
        <v>30.299616666666655</v>
      </c>
      <c r="AF170" s="328">
        <f>AF169*(1+$AG170)</f>
        <v>28.795549999999995</v>
      </c>
      <c r="AG170" s="9">
        <f>-0.3</f>
        <v>-0.3</v>
      </c>
    </row>
    <row r="171" spans="1:33" ht="15" customHeight="1">
      <c r="B171" s="64"/>
      <c r="C171" s="11" t="s">
        <v>767</v>
      </c>
      <c r="D171" s="329" t="s">
        <v>257</v>
      </c>
      <c r="E171" s="11" t="s">
        <v>771</v>
      </c>
      <c r="F171" s="329"/>
      <c r="G171" s="328"/>
      <c r="H171" s="328"/>
      <c r="I171" s="328"/>
      <c r="J171" s="53"/>
      <c r="K171" s="328"/>
      <c r="L171" s="328"/>
      <c r="M171" s="328"/>
      <c r="N171" s="328"/>
      <c r="O171" s="328"/>
      <c r="P171" s="328"/>
      <c r="Q171" s="328">
        <f t="shared" ref="Q171:AE171" si="27">Q169*(1+$AG171)</f>
        <v>75.750725000000003</v>
      </c>
      <c r="R171" s="328">
        <f t="shared" si="27"/>
        <v>72.101250000000007</v>
      </c>
      <c r="S171" s="328">
        <f t="shared" si="27"/>
        <v>66.604760416666664</v>
      </c>
      <c r="T171" s="328">
        <f t="shared" si="27"/>
        <v>63.077791666666663</v>
      </c>
      <c r="U171" s="328">
        <f t="shared" si="27"/>
        <v>60.144477083333342</v>
      </c>
      <c r="V171" s="328">
        <f t="shared" si="27"/>
        <v>57.268537500000001</v>
      </c>
      <c r="W171" s="328">
        <f t="shared" si="27"/>
        <v>54.568937500000004</v>
      </c>
      <c r="X171" s="328">
        <f t="shared" si="27"/>
        <v>51.971939583333331</v>
      </c>
      <c r="Y171" s="328">
        <f t="shared" si="27"/>
        <v>49.521141666666651</v>
      </c>
      <c r="Z171" s="328">
        <f t="shared" si="27"/>
        <v>47.142487499999987</v>
      </c>
      <c r="AA171" s="328">
        <f t="shared" si="27"/>
        <v>44.914495833333326</v>
      </c>
      <c r="AB171" s="328">
        <f t="shared" si="27"/>
        <v>42.820379166666655</v>
      </c>
      <c r="AC171" s="328">
        <f t="shared" si="27"/>
        <v>40.728812499999989</v>
      </c>
      <c r="AD171" s="328">
        <f t="shared" si="27"/>
        <v>38.679887499999985</v>
      </c>
      <c r="AE171" s="328">
        <f t="shared" si="27"/>
        <v>36.792391666666653</v>
      </c>
      <c r="AF171" s="328">
        <f>AF169*(1+$AG171)</f>
        <v>34.966024999999995</v>
      </c>
      <c r="AG171" s="9">
        <f>-0.15</f>
        <v>-0.15</v>
      </c>
    </row>
    <row r="172" spans="1:33" ht="15" customHeight="1">
      <c r="B172" s="64"/>
      <c r="C172" s="11" t="s">
        <v>768</v>
      </c>
      <c r="D172" s="329" t="s">
        <v>257</v>
      </c>
      <c r="E172" s="11" t="s">
        <v>772</v>
      </c>
      <c r="F172" s="329"/>
      <c r="G172" s="328"/>
      <c r="H172" s="328"/>
      <c r="I172" s="328"/>
      <c r="J172" s="53"/>
      <c r="K172" s="328"/>
      <c r="L172" s="328"/>
      <c r="M172" s="328"/>
      <c r="N172" s="328"/>
      <c r="O172" s="328"/>
      <c r="P172" s="328"/>
      <c r="Q172" s="328">
        <f t="shared" ref="Q172:AE172" si="28">Q169*(1+$AG172)</f>
        <v>102.48627500000001</v>
      </c>
      <c r="R172" s="328">
        <f t="shared" si="28"/>
        <v>97.548749999999998</v>
      </c>
      <c r="S172" s="328">
        <f t="shared" si="28"/>
        <v>90.112322916666656</v>
      </c>
      <c r="T172" s="328">
        <f t="shared" si="28"/>
        <v>85.340541666666653</v>
      </c>
      <c r="U172" s="328">
        <f t="shared" si="28"/>
        <v>81.371939583333344</v>
      </c>
      <c r="V172" s="328">
        <f t="shared" si="28"/>
        <v>77.480962500000004</v>
      </c>
      <c r="W172" s="328">
        <f t="shared" si="28"/>
        <v>73.828562500000004</v>
      </c>
      <c r="X172" s="328">
        <f t="shared" si="28"/>
        <v>70.314977083333318</v>
      </c>
      <c r="Y172" s="328">
        <f t="shared" si="28"/>
        <v>66.999191666666647</v>
      </c>
      <c r="Z172" s="328">
        <f t="shared" si="28"/>
        <v>63.781012499999981</v>
      </c>
      <c r="AA172" s="328">
        <f t="shared" si="28"/>
        <v>60.766670833333322</v>
      </c>
      <c r="AB172" s="328">
        <f t="shared" si="28"/>
        <v>57.933454166666642</v>
      </c>
      <c r="AC172" s="328">
        <f t="shared" si="28"/>
        <v>55.103687499999985</v>
      </c>
      <c r="AD172" s="328">
        <f t="shared" si="28"/>
        <v>52.331612499999977</v>
      </c>
      <c r="AE172" s="328">
        <f t="shared" si="28"/>
        <v>49.777941666666649</v>
      </c>
      <c r="AF172" s="328">
        <f>AF169*(1+$AG172)</f>
        <v>47.306974999999994</v>
      </c>
      <c r="AG172" s="9">
        <v>0.15</v>
      </c>
    </row>
    <row r="173" spans="1:33" ht="15" customHeight="1">
      <c r="B173" s="64"/>
      <c r="C173" s="11" t="s">
        <v>769</v>
      </c>
      <c r="D173" s="329" t="s">
        <v>257</v>
      </c>
      <c r="E173" s="11" t="s">
        <v>773</v>
      </c>
      <c r="F173" s="329"/>
      <c r="G173" s="328"/>
      <c r="H173" s="328"/>
      <c r="I173" s="328"/>
      <c r="J173" s="53"/>
      <c r="K173" s="328"/>
      <c r="L173" s="328"/>
      <c r="M173" s="328"/>
      <c r="N173" s="328"/>
      <c r="O173" s="328"/>
      <c r="P173" s="328"/>
      <c r="Q173" s="328">
        <f t="shared" ref="Q173:AE173" si="29">Q169*(1+$AG173)</f>
        <v>115.85405000000002</v>
      </c>
      <c r="R173" s="328">
        <f t="shared" si="29"/>
        <v>110.27250000000001</v>
      </c>
      <c r="S173" s="328">
        <f t="shared" si="29"/>
        <v>101.86610416666667</v>
      </c>
      <c r="T173" s="328">
        <f t="shared" si="29"/>
        <v>96.471916666666658</v>
      </c>
      <c r="U173" s="328">
        <f t="shared" si="29"/>
        <v>91.985670833333344</v>
      </c>
      <c r="V173" s="328">
        <f t="shared" si="29"/>
        <v>87.587175000000016</v>
      </c>
      <c r="W173" s="328">
        <f t="shared" si="29"/>
        <v>83.458375000000004</v>
      </c>
      <c r="X173" s="328">
        <f t="shared" si="29"/>
        <v>79.486495833333322</v>
      </c>
      <c r="Y173" s="328">
        <f t="shared" si="29"/>
        <v>75.738216666666645</v>
      </c>
      <c r="Z173" s="328">
        <f t="shared" si="29"/>
        <v>72.100274999999982</v>
      </c>
      <c r="AA173" s="328">
        <f t="shared" si="29"/>
        <v>68.69275833333333</v>
      </c>
      <c r="AB173" s="328">
        <f t="shared" si="29"/>
        <v>65.489991666666654</v>
      </c>
      <c r="AC173" s="328">
        <f t="shared" si="29"/>
        <v>62.291124999999987</v>
      </c>
      <c r="AD173" s="328">
        <f t="shared" si="29"/>
        <v>59.157474999999984</v>
      </c>
      <c r="AE173" s="328">
        <f t="shared" si="29"/>
        <v>56.270716666666651</v>
      </c>
      <c r="AF173" s="328">
        <f>AF169*(1+$AG173)</f>
        <v>53.477449999999997</v>
      </c>
      <c r="AG173" s="9">
        <v>0.3</v>
      </c>
    </row>
    <row r="174" spans="1:33" ht="15" customHeight="1">
      <c r="B174" s="64"/>
      <c r="C174" s="11" t="s">
        <v>776</v>
      </c>
      <c r="D174" s="329" t="s">
        <v>257</v>
      </c>
      <c r="E174" s="16" t="s">
        <v>762</v>
      </c>
      <c r="F174" s="329"/>
      <c r="G174" s="328"/>
      <c r="H174" s="328"/>
      <c r="I174" s="328"/>
      <c r="J174" s="53"/>
      <c r="K174" s="328"/>
      <c r="L174" s="328"/>
      <c r="M174" s="328"/>
      <c r="N174" s="328"/>
      <c r="O174" s="328"/>
      <c r="P174" s="328"/>
      <c r="Q174" s="328">
        <f>P169</f>
        <v>106.93752173913046</v>
      </c>
      <c r="R174" s="328">
        <f>$Q174+($AF174-$Q174)/($AF$4-$Q$4)*(R$4-$Q$4)</f>
        <v>106.93752173913046</v>
      </c>
      <c r="S174" s="328">
        <f t="shared" ref="S174:AE174" si="30">$Q174+($AF174-$Q174)/($AF$4-$Q$4)*(S$4-$Q$4)</f>
        <v>106.93752173913046</v>
      </c>
      <c r="T174" s="328">
        <f t="shared" si="30"/>
        <v>106.93752173913046</v>
      </c>
      <c r="U174" s="328">
        <f t="shared" si="30"/>
        <v>106.93752173913046</v>
      </c>
      <c r="V174" s="328">
        <f t="shared" si="30"/>
        <v>106.93752173913046</v>
      </c>
      <c r="W174" s="328">
        <f t="shared" si="30"/>
        <v>106.93752173913046</v>
      </c>
      <c r="X174" s="328">
        <f t="shared" si="30"/>
        <v>106.93752173913046</v>
      </c>
      <c r="Y174" s="328">
        <f t="shared" si="30"/>
        <v>106.93752173913046</v>
      </c>
      <c r="Z174" s="328">
        <f t="shared" si="30"/>
        <v>106.93752173913046</v>
      </c>
      <c r="AA174" s="328">
        <f t="shared" si="30"/>
        <v>106.93752173913046</v>
      </c>
      <c r="AB174" s="328">
        <f t="shared" si="30"/>
        <v>106.93752173913046</v>
      </c>
      <c r="AC174" s="328">
        <f t="shared" si="30"/>
        <v>106.93752173913046</v>
      </c>
      <c r="AD174" s="328">
        <f t="shared" si="30"/>
        <v>106.93752173913046</v>
      </c>
      <c r="AE174" s="328">
        <f t="shared" si="30"/>
        <v>106.93752173913046</v>
      </c>
      <c r="AF174" s="328">
        <f>$Q$174</f>
        <v>106.93752173913046</v>
      </c>
    </row>
    <row r="175" spans="1:33" ht="15" customHeight="1">
      <c r="B175" s="471"/>
      <c r="C175" s="471"/>
      <c r="D175" s="183"/>
      <c r="E175" s="168"/>
      <c r="F175" s="183"/>
      <c r="G175" s="187"/>
      <c r="H175" s="187"/>
      <c r="I175" s="187"/>
      <c r="J175" s="16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1:33" ht="15" customHeight="1">
      <c r="A176" s="470"/>
      <c r="B176" s="471"/>
      <c r="C176" s="183"/>
      <c r="D176" s="168"/>
      <c r="E176" s="183"/>
      <c r="F176" s="168"/>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470"/>
    </row>
    <row r="177" spans="1:33" ht="15" customHeight="1">
      <c r="A177" s="470"/>
      <c r="B177" s="471"/>
      <c r="C177" s="191"/>
      <c r="D177" s="186"/>
      <c r="E177" s="191"/>
      <c r="F177" s="186"/>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470"/>
    </row>
    <row r="178" spans="1:33" s="470" customFormat="1" ht="15" customHeight="1">
      <c r="B178" s="471"/>
      <c r="C178" s="183"/>
      <c r="D178" s="186"/>
      <c r="E178" s="183"/>
      <c r="F178" s="186"/>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1:33" s="470" customFormat="1" ht="15" customHeight="1">
      <c r="B179" s="471"/>
      <c r="C179" s="169"/>
      <c r="D179" s="186"/>
      <c r="E179" s="183"/>
      <c r="F179" s="186"/>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1:33" s="470" customFormat="1" ht="15" customHeight="1">
      <c r="B180" s="471"/>
      <c r="C180" s="183"/>
      <c r="D180" s="186"/>
      <c r="E180" s="183"/>
      <c r="F180" s="186"/>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1:33" s="470" customFormat="1" ht="15" customHeight="1">
      <c r="B181" s="471"/>
      <c r="C181" s="183"/>
      <c r="D181" s="186"/>
      <c r="E181" s="183"/>
      <c r="F181" s="186"/>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1:33" s="470" customFormat="1" ht="15" customHeight="1">
      <c r="B182" s="471"/>
      <c r="C182" s="183"/>
      <c r="D182" s="168"/>
      <c r="E182" s="183"/>
      <c r="F182" s="168"/>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1:33" s="470" customFormat="1" ht="15" customHeight="1">
      <c r="B183" s="471"/>
      <c r="C183" s="183"/>
      <c r="D183" s="186"/>
      <c r="E183" s="183"/>
      <c r="F183" s="186"/>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1:33" s="470" customFormat="1" ht="15" customHeight="1">
      <c r="B184" s="471"/>
      <c r="C184" s="183"/>
      <c r="D184" s="186"/>
      <c r="E184" s="183"/>
      <c r="F184" s="186"/>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1:33" s="470" customFormat="1" ht="15" customHeight="1">
      <c r="B185" s="471"/>
      <c r="C185" s="183"/>
      <c r="D185" s="186"/>
      <c r="E185" s="183"/>
      <c r="F185" s="186"/>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1:33" s="470" customFormat="1" ht="15" customHeight="1">
      <c r="B186" s="471"/>
      <c r="C186" s="183"/>
      <c r="D186" s="186"/>
      <c r="E186" s="183"/>
      <c r="F186" s="186"/>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1:33" s="470" customFormat="1" ht="15" customHeight="1">
      <c r="B187" s="471"/>
      <c r="C187" s="183"/>
      <c r="D187" s="186"/>
      <c r="E187" s="183"/>
      <c r="F187" s="186"/>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1:33" ht="15" customHeight="1">
      <c r="A188" s="470"/>
      <c r="B188" s="471"/>
      <c r="C188" s="183"/>
      <c r="D188" s="186"/>
      <c r="E188" s="183"/>
      <c r="F188" s="186"/>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1:33" ht="15" customHeight="1">
      <c r="A189" s="470"/>
      <c r="B189" s="471"/>
      <c r="C189" s="183"/>
      <c r="D189" s="186"/>
      <c r="E189" s="183"/>
      <c r="F189" s="186"/>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1:33" ht="15" customHeight="1">
      <c r="A190" s="470"/>
      <c r="B190" s="471"/>
      <c r="C190" s="183"/>
      <c r="D190" s="186"/>
      <c r="E190" s="183"/>
      <c r="F190" s="186"/>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1:33" ht="15" customHeight="1">
      <c r="A191" s="470"/>
      <c r="B191" s="471"/>
      <c r="C191" s="183"/>
      <c r="D191" s="186"/>
      <c r="E191" s="183"/>
      <c r="F191" s="186"/>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1:33" ht="15" customHeight="1">
      <c r="A192" s="470"/>
      <c r="B192" s="471"/>
      <c r="C192" s="183"/>
      <c r="D192" s="186"/>
      <c r="E192" s="183"/>
      <c r="F192" s="186"/>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1:32" ht="15" customHeight="1">
      <c r="A193" s="470"/>
      <c r="B193" s="472"/>
      <c r="C193" s="183"/>
      <c r="D193" s="186"/>
      <c r="E193" s="183"/>
      <c r="F193" s="186"/>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row>
    <row r="194" spans="1:32" ht="15" customHeight="1">
      <c r="C194" s="17"/>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1:32" ht="15" customHeight="1"/>
    <row r="196" spans="1:32" ht="15" customHeight="1"/>
    <row r="197" spans="1:32" ht="15" customHeight="1"/>
    <row r="198" spans="1:32" ht="15" customHeight="1"/>
    <row r="199" spans="1:32" ht="15" customHeight="1"/>
    <row r="200" spans="1:32" ht="15" customHeight="1"/>
    <row r="201" spans="1:32" ht="15" customHeight="1"/>
    <row r="202" spans="1:32" ht="15" customHeight="1"/>
    <row r="203" spans="1:32" ht="15" customHeight="1"/>
    <row r="204" spans="1:32" ht="15" customHeight="1"/>
    <row r="205" spans="1:32" ht="15" customHeight="1"/>
    <row r="206" spans="1:32" ht="15" customHeight="1"/>
    <row r="207" spans="1:32" ht="15" customHeight="1"/>
    <row r="208" spans="1: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NswwLdAba0II0zQvVlbjuyrtmDJYWM08irae4MjUQ6kOLbSakhJ8FSK6tUouO/IwD6af+29Ob3rGhPt9bNvEwQ==" saltValue="6IKTskDfPLMsBdyWJrsldA==" spinCount="100000" sheet="1" objects="1" scenarios="1"/>
  <hyperlinks>
    <hyperlink ref="A1" location="'Start-Experte'!A1" display="zurück" xr:uid="{00000000-0004-0000-0E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96" operator="greaterThan" id="{00000000-0000-0000-0000-000000000000}">
            <xm:f>ControlPanel!$D$59-1</xm:f>
            <x14:dxf>
              <font>
                <color rgb="FF9C6500"/>
              </font>
              <fill>
                <patternFill>
                  <fgColor indexed="64"/>
                  <bgColor rgb="FFFFEB9C"/>
                </patternFill>
              </fill>
            </x14:dxf>
          </x14:cfRule>
          <x14:cfRule type="cellIs" priority="697" operator="lessThan" id="{00000000-0000-0000-0000-000000000000}">
            <xm:f>ControlPanel!$D$59</xm:f>
            <x14:dxf>
              <font>
                <color rgb="FF006100"/>
              </font>
              <fill>
                <patternFill>
                  <fgColor indexed="64"/>
                  <bgColor rgb="FFC6EFCE"/>
                </patternFill>
              </fill>
            </x14:dxf>
          </x14:cfRule>
          <x14:cfRule type="cellIs" priority="698" operator="lessThan" id="{F6F2F587-6FF4-4AE1-8A26-D474476CCC93}">
            <xm:f>ControlPanel!$D$59+1</xm:f>
            <x14:dxf>
              <font>
                <color rgb="FF006100"/>
              </font>
              <fill>
                <patternFill>
                  <fgColor indexed="64"/>
                  <bgColor rgb="FFC6EFCE"/>
                </patternFill>
              </fill>
            </x14:dxf>
          </x14:cfRule>
          <xm:sqref>G4:AF4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7">
    <tabColor theme="9" tint="0.39997558519241921"/>
  </sheetPr>
  <dimension ref="A1:AS238"/>
  <sheetViews>
    <sheetView workbookViewId="0"/>
  </sheetViews>
  <sheetFormatPr baseColWidth="10" defaultColWidth="11.5703125" defaultRowHeight="12.75" outlineLevelCol="2"/>
  <cols>
    <col min="1" max="1" width="3.7109375" style="9" customWidth="1"/>
    <col min="2" max="2" width="17.5703125" style="9" customWidth="1"/>
    <col min="3" max="3" width="13.42578125" style="45" bestFit="1" customWidth="1"/>
    <col min="4" max="4" width="7.140625" style="49" customWidth="1" outlineLevel="2"/>
    <col min="5" max="5" width="16.42578125" style="1066" customWidth="1"/>
    <col min="6" max="6" width="27.7109375" style="1062" customWidth="1"/>
    <col min="7" max="14" width="8.7109375" style="45" customWidth="1"/>
    <col min="15" max="32" width="8.7109375" style="45" customWidth="1" outlineLevel="1"/>
    <col min="33" max="16384" width="11.5703125" style="9"/>
  </cols>
  <sheetData>
    <row r="1" spans="1:32">
      <c r="A1" s="41" t="s">
        <v>183</v>
      </c>
      <c r="B1" s="71" t="s">
        <v>680</v>
      </c>
      <c r="C1" s="71"/>
      <c r="D1" s="44"/>
      <c r="E1" s="1065"/>
      <c r="F1" s="1060"/>
    </row>
    <row r="3" spans="1:32">
      <c r="B3" s="63"/>
      <c r="C3" s="170" t="s">
        <v>18</v>
      </c>
      <c r="D3" s="47" t="s">
        <v>64</v>
      </c>
      <c r="E3" s="1067" t="s">
        <v>16</v>
      </c>
      <c r="F3" s="1061" t="s">
        <v>377</v>
      </c>
      <c r="G3" s="48"/>
      <c r="H3" s="48"/>
      <c r="I3" s="48"/>
      <c r="J3" s="48"/>
      <c r="K3" s="48"/>
      <c r="L3" s="48"/>
      <c r="M3" s="48"/>
      <c r="N3" s="48"/>
      <c r="O3" s="48"/>
      <c r="P3" s="48"/>
      <c r="Q3" s="48"/>
      <c r="R3" s="48"/>
      <c r="S3" s="48"/>
      <c r="T3" s="48"/>
      <c r="U3" s="48"/>
      <c r="V3" s="48"/>
      <c r="W3" s="48"/>
      <c r="X3" s="48"/>
      <c r="Y3" s="48"/>
      <c r="Z3" s="48"/>
      <c r="AA3" s="48"/>
      <c r="AB3" s="48"/>
      <c r="AC3" s="48"/>
      <c r="AD3" s="48"/>
      <c r="AE3" s="48"/>
      <c r="AF3" s="48"/>
    </row>
    <row r="4" spans="1:32">
      <c r="B4" s="64"/>
      <c r="C4" s="83"/>
      <c r="E4" s="1068"/>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3.5" thickBot="1">
      <c r="B5" s="64"/>
      <c r="C5" s="83"/>
      <c r="E5" s="1068"/>
      <c r="G5" s="331" t="s">
        <v>43</v>
      </c>
      <c r="H5" s="331" t="s">
        <v>43</v>
      </c>
      <c r="I5" s="331" t="s">
        <v>43</v>
      </c>
      <c r="J5" s="331" t="s">
        <v>43</v>
      </c>
      <c r="K5" s="331" t="s">
        <v>43</v>
      </c>
      <c r="L5" s="331" t="s">
        <v>43</v>
      </c>
      <c r="M5" s="331" t="s">
        <v>43</v>
      </c>
      <c r="N5" s="331" t="s">
        <v>43</v>
      </c>
      <c r="O5" s="331" t="s">
        <v>43</v>
      </c>
      <c r="P5" s="331" t="s">
        <v>43</v>
      </c>
      <c r="Q5" s="331" t="s">
        <v>43</v>
      </c>
      <c r="R5" s="331" t="s">
        <v>43</v>
      </c>
      <c r="S5" s="331" t="s">
        <v>43</v>
      </c>
      <c r="T5" s="331" t="s">
        <v>43</v>
      </c>
      <c r="U5" s="331" t="s">
        <v>43</v>
      </c>
      <c r="V5" s="331" t="s">
        <v>43</v>
      </c>
      <c r="W5" s="331" t="s">
        <v>43</v>
      </c>
      <c r="X5" s="331" t="s">
        <v>43</v>
      </c>
      <c r="Y5" s="331" t="s">
        <v>43</v>
      </c>
      <c r="Z5" s="331" t="s">
        <v>43</v>
      </c>
      <c r="AA5" s="331" t="s">
        <v>43</v>
      </c>
      <c r="AB5" s="331" t="s">
        <v>43</v>
      </c>
      <c r="AC5" s="331" t="s">
        <v>43</v>
      </c>
      <c r="AD5" s="331" t="s">
        <v>43</v>
      </c>
      <c r="AE5" s="331" t="s">
        <v>43</v>
      </c>
      <c r="AF5" s="331" t="s">
        <v>43</v>
      </c>
    </row>
    <row r="6" spans="1:32" ht="39" thickBot="1">
      <c r="B6" s="172" t="s">
        <v>25</v>
      </c>
      <c r="C6" s="182" t="str">
        <f>ControlPanel!E13</f>
        <v>Referenz</v>
      </c>
      <c r="D6" s="51" t="str">
        <f>VLOOKUP($C$6,$C$13:$AF$37,2,FALSE)</f>
        <v>fh</v>
      </c>
      <c r="E6" s="1069" t="str">
        <f>VLOOKUP($C$6,$C$13:$AF$37,3,FALSE)</f>
        <v>0,01 GW/a</v>
      </c>
      <c r="F6" s="1063" t="str">
        <f>VLOOKUP($C$6,$C$13:$AF$37,4,FALSE)</f>
        <v>bis 2026: Mittelfristprognose (Trendszenario). Danach konstant</v>
      </c>
      <c r="G6" s="251">
        <f>IF(G$4&lt;(ControlPanel!$D$59-1),VLOOKUP("Referenz",$C$13:$AF$37,G$4-$G$4+5,FALSE),VLOOKUP($C$6,$C$13:$AF$37,G$4-$G$4+5,FALSE))</f>
        <v>0.11411000000000038</v>
      </c>
      <c r="H6" s="251">
        <f>IF(H$4&lt;(ControlPanel!$D$59-1),VLOOKUP("Referenz",$C$13:$AF$37,H$4-$G$4+5,FALSE),VLOOKUP($C$6,$C$13:$AF$37,H$4-$G$4+5,FALSE))</f>
        <v>9.2075899999999766E-2</v>
      </c>
      <c r="I6" s="251">
        <f>IF(I$4&lt;(ControlPanel!$D$59-1),VLOOKUP("Referenz",$C$13:$AF$37,I$4-$G$4+5,FALSE),VLOOKUP($C$6,$C$13:$AF$37,I$4-$G$4+5,FALSE))</f>
        <v>5.082349999999991E-2</v>
      </c>
      <c r="J6" s="251">
        <f>IF(J$4&lt;(ControlPanel!$D$59-1),VLOOKUP("Referenz",$C$13:$AF$37,J$4-$G$4+5,FALSE),VLOOKUP($C$6,$C$13:$AF$37,J$4-$G$4+5,FALSE))</f>
        <v>7.4043600000000209E-2</v>
      </c>
      <c r="K6" s="251">
        <f>IF(K$4&lt;(ControlPanel!$D$59-1),VLOOKUP("Referenz",$C$13:$AF$37,K$4-$G$4+5,FALSE),VLOOKUP($C$6,$C$13:$AF$37,K$4-$G$4+5,FALSE))</f>
        <v>0</v>
      </c>
      <c r="L6" s="251">
        <f>IF(L$4&lt;(ControlPanel!$D$59-1),VLOOKUP("Referenz",$C$13:$AF$37,L$4-$G$4+5,FALSE),VLOOKUP($C$6,$C$13:$AF$37,L$4-$G$4+5,FALSE))</f>
        <v>0.2908247849999997</v>
      </c>
      <c r="M6" s="251">
        <f>IF(M$4&lt;(ControlPanel!$D$59-1),VLOOKUP("Referenz",$C$13:$AF$37,M$4-$G$4+5,FALSE),VLOOKUP($C$6,$C$13:$AF$37,M$4-$G$4+5,FALSE))</f>
        <v>2.1633774999999821E-2</v>
      </c>
      <c r="N6" s="251">
        <f>IF(N$4&lt;(ControlPanel!$D$59-1),VLOOKUP("Referenz",$C$13:$AF$37,N$4-$G$4+5,FALSE),VLOOKUP($C$6,$C$13:$AF$37,N$4-$G$4+5,FALSE))</f>
        <v>5.4000000000000003E-3</v>
      </c>
      <c r="O6" s="251">
        <f>IF(O$4&lt;(ControlPanel!$D$59-1),VLOOKUP("Referenz",$C$13:$AF$37,O$4-$G$4+5,FALSE),VLOOKUP($C$6,$C$13:$AF$37,O$4-$G$4+5,FALSE))</f>
        <v>1.4999999999999999E-2</v>
      </c>
      <c r="P6" s="251">
        <f>IF(P$4&lt;(ControlPanel!$D$59-1),VLOOKUP("Referenz",$C$13:$AF$37,P$4-$G$4+5,FALSE),VLOOKUP($C$6,$C$13:$AF$37,P$4-$G$4+5,FALSE))</f>
        <v>1.7000000000000001E-2</v>
      </c>
      <c r="Q6" s="251">
        <f>IF(Q$4&lt;(ControlPanel!$D$59-1),VLOOKUP("Referenz",$C$13:$AF$37,Q$4-$G$4+5,FALSE),VLOOKUP($C$6,$C$13:$AF$37,Q$4-$G$4+5,FALSE))</f>
        <v>1.2999999999999999E-2</v>
      </c>
      <c r="R6" s="251">
        <f>IF(R$4&lt;(ControlPanel!$D$59-1),VLOOKUP("Referenz",$C$13:$AF$37,R$4-$G$4+5,FALSE),VLOOKUP($C$6,$C$13:$AF$37,R$4-$G$4+5,FALSE))</f>
        <v>1.4E-2</v>
      </c>
      <c r="S6" s="251">
        <f>IF(S$4&lt;(ControlPanel!$D$59-1),VLOOKUP("Referenz",$C$13:$AF$37,S$4-$G$4+5,FALSE),VLOOKUP($C$6,$C$13:$AF$37,S$4-$G$4+5,FALSE))</f>
        <v>1.0999999999999999E-2</v>
      </c>
      <c r="T6" s="251">
        <f>IF(T$4&lt;(ControlPanel!$D$59-1),VLOOKUP("Referenz",$C$13:$AF$37,T$4-$G$4+5,FALSE),VLOOKUP($C$6,$C$13:$AF$37,T$4-$G$4+5,FALSE))</f>
        <v>1.0999999999999999E-2</v>
      </c>
      <c r="U6" s="251">
        <f>IF(U$4&lt;(ControlPanel!$D$59-1),VLOOKUP("Referenz",$C$13:$AF$37,U$4-$G$4+5,FALSE),VLOOKUP($C$6,$C$13:$AF$37,U$4-$G$4+5,FALSE))</f>
        <v>1.0999999999999999E-2</v>
      </c>
      <c r="V6" s="251">
        <f>IF(V$4&lt;(ControlPanel!$D$59-1),VLOOKUP("Referenz",$C$13:$AF$37,V$4-$G$4+5,FALSE),VLOOKUP($C$6,$C$13:$AF$37,V$4-$G$4+5,FALSE))</f>
        <v>1.0999999999999999E-2</v>
      </c>
      <c r="W6" s="251">
        <f>IF(W$4&lt;(ControlPanel!$D$59-1),VLOOKUP("Referenz",$C$13:$AF$37,W$4-$G$4+5,FALSE),VLOOKUP($C$6,$C$13:$AF$37,W$4-$G$4+5,FALSE))</f>
        <v>1.0999999999999999E-2</v>
      </c>
      <c r="X6" s="251">
        <f>IF(X$4&lt;(ControlPanel!$D$59-1),VLOOKUP("Referenz",$C$13:$AF$37,X$4-$G$4+5,FALSE),VLOOKUP($C$6,$C$13:$AF$37,X$4-$G$4+5,FALSE))</f>
        <v>1.0999999999999999E-2</v>
      </c>
      <c r="Y6" s="251">
        <f>IF(Y$4&lt;(ControlPanel!$D$59-1),VLOOKUP("Referenz",$C$13:$AF$37,Y$4-$G$4+5,FALSE),VLOOKUP($C$6,$C$13:$AF$37,Y$4-$G$4+5,FALSE))</f>
        <v>1.0999999999999999E-2</v>
      </c>
      <c r="Z6" s="251">
        <f>IF(Z$4&lt;(ControlPanel!$D$59-1),VLOOKUP("Referenz",$C$13:$AF$37,Z$4-$G$4+5,FALSE),VLOOKUP($C$6,$C$13:$AF$37,Z$4-$G$4+5,FALSE))</f>
        <v>1.0999999999999999E-2</v>
      </c>
      <c r="AA6" s="251">
        <f>IF(AA$4&lt;(ControlPanel!$D$59-1),VLOOKUP("Referenz",$C$13:$AF$37,AA$4-$G$4+5,FALSE),VLOOKUP($C$6,$C$13:$AF$37,AA$4-$G$4+5,FALSE))</f>
        <v>1.0999999999999999E-2</v>
      </c>
      <c r="AB6" s="251">
        <f>IF(AB$4&lt;(ControlPanel!$D$59-1),VLOOKUP("Referenz",$C$13:$AF$37,AB$4-$G$4+5,FALSE),VLOOKUP($C$6,$C$13:$AF$37,AB$4-$G$4+5,FALSE))</f>
        <v>1.0999999999999999E-2</v>
      </c>
      <c r="AC6" s="251">
        <f>IF(AC$4&lt;(ControlPanel!$D$59-1),VLOOKUP("Referenz",$C$13:$AF$37,AC$4-$G$4+5,FALSE),VLOOKUP($C$6,$C$13:$AF$37,AC$4-$G$4+5,FALSE))</f>
        <v>1.0999999999999999E-2</v>
      </c>
      <c r="AD6" s="251">
        <f>IF(AD$4&lt;(ControlPanel!$D$59-1),VLOOKUP("Referenz",$C$13:$AF$37,AD$4-$G$4+5,FALSE),VLOOKUP($C$6,$C$13:$AF$37,AD$4-$G$4+5,FALSE))</f>
        <v>1.0999999999999999E-2</v>
      </c>
      <c r="AE6" s="251">
        <f>IF(AE$4&lt;(ControlPanel!$D$59-1),VLOOKUP("Referenz",$C$13:$AF$37,AE$4-$G$4+5,FALSE),VLOOKUP($C$6,$C$13:$AF$37,AE$4-$G$4+5,FALSE))</f>
        <v>1.0999999999999999E-2</v>
      </c>
      <c r="AF6" s="251">
        <f>IF(AF$4&lt;(ControlPanel!$D$59-1),VLOOKUP("Referenz",$C$13:$AF$37,AF$4-$G$4+5,FALSE),VLOOKUP($C$6,$C$13:$AF$37,AF$4-$G$4+5,FALSE))</f>
        <v>1.0999999999999999E-2</v>
      </c>
    </row>
    <row r="7" spans="1:32" ht="39" thickBot="1">
      <c r="B7" s="171" t="s">
        <v>27</v>
      </c>
      <c r="C7" s="182" t="str">
        <f>ControlPanel!E14</f>
        <v>Referenz</v>
      </c>
      <c r="D7" s="51" t="str">
        <f>VLOOKUP($C$7,$C$39:$AF$63,2,FALSE)</f>
        <v>fh</v>
      </c>
      <c r="E7" s="1069" t="str">
        <f>VLOOKUP($C$7,$C$39:$AF$63,3,FALSE)</f>
        <v>0,01GW/a</v>
      </c>
      <c r="F7" s="1063" t="str">
        <f>VLOOKUP($C$7,$C$39:$AF$63,4,FALSE)</f>
        <v>bis 2026: Mittelfristprognose (Trendszenario). Danach 0,01GW/a</v>
      </c>
      <c r="G7" s="251">
        <f>IF(G$4&lt;(ControlPanel!$D$59-1),VLOOKUP("Referenz",$C$39:$AF$63,G$4-$G$4+5,FALSE),VLOOKUP($C$7,$C$39:$AF$63,G$4-$G$4+5,FALSE))</f>
        <v>1.5435999999999849E-2</v>
      </c>
      <c r="H7" s="251">
        <f>IF(H$4&lt;(ControlPanel!$D$59-1),VLOOKUP("Referenz",$C$39:$AF$63,H$4-$G$4+5,FALSE),VLOOKUP($C$7,$C$39:$AF$63,H$4-$G$4+5,FALSE))</f>
        <v>1.2638999999999964E-2</v>
      </c>
      <c r="I7" s="251">
        <f>IF(I$4&lt;(ControlPanel!$D$59-1),VLOOKUP("Referenz",$C$39:$AF$63,I$4-$G$4+5,FALSE),VLOOKUP($C$7,$C$39:$AF$63,I$4-$G$4+5,FALSE))</f>
        <v>7.8030000000000209E-3</v>
      </c>
      <c r="J7" s="251">
        <f>IF(J$4&lt;(ControlPanel!$D$59-1),VLOOKUP("Referenz",$C$39:$AF$63,J$4-$G$4+5,FALSE),VLOOKUP($C$7,$C$39:$AF$63,J$4-$G$4+5,FALSE))</f>
        <v>8.2572000000000756E-3</v>
      </c>
      <c r="K7" s="251">
        <f>IF(K$4&lt;(ControlPanel!$D$59-1),VLOOKUP("Referenz",$C$39:$AF$63,K$4-$G$4+5,FALSE),VLOOKUP($C$7,$C$39:$AF$63,K$4-$G$4+5,FALSE))</f>
        <v>0</v>
      </c>
      <c r="L7" s="251">
        <f>IF(L$4&lt;(ControlPanel!$D$59-1),VLOOKUP("Referenz",$C$39:$AF$63,L$4-$G$4+5,FALSE),VLOOKUP($C$7,$C$39:$AF$63,L$4-$G$4+5,FALSE))</f>
        <v>4.5781999999999823E-2</v>
      </c>
      <c r="M7" s="251">
        <f>IF(M$4&lt;(ControlPanel!$D$59-1),VLOOKUP("Referenz",$C$39:$AF$63,M$4-$G$4+5,FALSE),VLOOKUP($C$7,$C$39:$AF$63,M$4-$G$4+5,FALSE))</f>
        <v>4.0839999999999765E-3</v>
      </c>
      <c r="N7" s="251">
        <f>IF(N$4&lt;(ControlPanel!$D$59-1),VLOOKUP("Referenz",$C$39:$AF$63,N$4-$G$4+5,FALSE),VLOOKUP($C$7,$C$39:$AF$63,N$4-$G$4+5,FALSE))</f>
        <v>1.6999999999999999E-3</v>
      </c>
      <c r="O7" s="251">
        <f>IF(O$4&lt;(ControlPanel!$D$59-1),VLOOKUP("Referenz",$C$39:$AF$63,O$4-$G$4+5,FALSE),VLOOKUP($C$7,$C$39:$AF$63,O$4-$G$4+5,FALSE))</f>
        <v>6.0000000000000001E-3</v>
      </c>
      <c r="P7" s="251">
        <f>IF(P$4&lt;(ControlPanel!$D$59-1),VLOOKUP("Referenz",$C$39:$AF$63,P$4-$G$4+5,FALSE),VLOOKUP($C$7,$C$39:$AF$63,P$4-$G$4+5,FALSE))</f>
        <v>2E-3</v>
      </c>
      <c r="Q7" s="251">
        <f>IF(Q$4&lt;(ControlPanel!$D$59-1),VLOOKUP("Referenz",$C$39:$AF$63,Q$4-$G$4+5,FALSE),VLOOKUP($C$7,$C$39:$AF$63,Q$4-$G$4+5,FALSE))</f>
        <v>2E-3</v>
      </c>
      <c r="R7" s="251">
        <f>IF(R$4&lt;(ControlPanel!$D$59-1),VLOOKUP("Referenz",$C$39:$AF$63,R$4-$G$4+5,FALSE),VLOOKUP($C$7,$C$39:$AF$63,R$4-$G$4+5,FALSE))</f>
        <v>1.9000000000000002E-3</v>
      </c>
      <c r="S7" s="251">
        <f>IF(S$4&lt;(ControlPanel!$D$59-1),VLOOKUP("Referenz",$C$39:$AF$63,S$4-$G$4+5,FALSE),VLOOKUP($C$7,$C$39:$AF$63,S$4-$G$4+5,FALSE))</f>
        <v>1.9000000000000002E-3</v>
      </c>
      <c r="T7" s="251">
        <f>IF(T$4&lt;(ControlPanel!$D$59-1),VLOOKUP("Referenz",$C$39:$AF$63,T$4-$G$4+5,FALSE),VLOOKUP($C$7,$C$39:$AF$63,T$4-$G$4+5,FALSE))</f>
        <v>1.9000000000000002E-3</v>
      </c>
      <c r="U7" s="251">
        <f>IF(U$4&lt;(ControlPanel!$D$59-1),VLOOKUP("Referenz",$C$39:$AF$63,U$4-$G$4+5,FALSE),VLOOKUP($C$7,$C$39:$AF$63,U$4-$G$4+5,FALSE))</f>
        <v>1.9000000000000002E-3</v>
      </c>
      <c r="V7" s="251">
        <f>IF(V$4&lt;(ControlPanel!$D$59-1),VLOOKUP("Referenz",$C$39:$AF$63,V$4-$G$4+5,FALSE),VLOOKUP($C$7,$C$39:$AF$63,V$4-$G$4+5,FALSE))</f>
        <v>1.9000000000000002E-3</v>
      </c>
      <c r="W7" s="251">
        <f>IF(W$4&lt;(ControlPanel!$D$59-1),VLOOKUP("Referenz",$C$39:$AF$63,W$4-$G$4+5,FALSE),VLOOKUP($C$7,$C$39:$AF$63,W$4-$G$4+5,FALSE))</f>
        <v>1.9000000000000002E-3</v>
      </c>
      <c r="X7" s="251">
        <f>IF(X$4&lt;(ControlPanel!$D$59-1),VLOOKUP("Referenz",$C$39:$AF$63,X$4-$G$4+5,FALSE),VLOOKUP($C$7,$C$39:$AF$63,X$4-$G$4+5,FALSE))</f>
        <v>0.01</v>
      </c>
      <c r="Y7" s="251">
        <f>IF(Y$4&lt;(ControlPanel!$D$59-1),VLOOKUP("Referenz",$C$39:$AF$63,Y$4-$G$4+5,FALSE),VLOOKUP($C$7,$C$39:$AF$63,Y$4-$G$4+5,FALSE))</f>
        <v>0.01</v>
      </c>
      <c r="Z7" s="251">
        <f>IF(Z$4&lt;(ControlPanel!$D$59-1),VLOOKUP("Referenz",$C$39:$AF$63,Z$4-$G$4+5,FALSE),VLOOKUP($C$7,$C$39:$AF$63,Z$4-$G$4+5,FALSE))</f>
        <v>0.01</v>
      </c>
      <c r="AA7" s="251">
        <f>IF(AA$4&lt;(ControlPanel!$D$59-1),VLOOKUP("Referenz",$C$39:$AF$63,AA$4-$G$4+5,FALSE),VLOOKUP($C$7,$C$39:$AF$63,AA$4-$G$4+5,FALSE))</f>
        <v>0.01</v>
      </c>
      <c r="AB7" s="251">
        <f>IF(AB$4&lt;(ControlPanel!$D$59-1),VLOOKUP("Referenz",$C$39:$AF$63,AB$4-$G$4+5,FALSE),VLOOKUP($C$7,$C$39:$AF$63,AB$4-$G$4+5,FALSE))</f>
        <v>0.01</v>
      </c>
      <c r="AC7" s="251">
        <f>IF(AC$4&lt;(ControlPanel!$D$59-1),VLOOKUP("Referenz",$C$39:$AF$63,AC$4-$G$4+5,FALSE),VLOOKUP($C$7,$C$39:$AF$63,AC$4-$G$4+5,FALSE))</f>
        <v>0.01</v>
      </c>
      <c r="AD7" s="251">
        <f>IF(AD$4&lt;(ControlPanel!$D$59-1),VLOOKUP("Referenz",$C$39:$AF$63,AD$4-$G$4+5,FALSE),VLOOKUP($C$7,$C$39:$AF$63,AD$4-$G$4+5,FALSE))</f>
        <v>0.01</v>
      </c>
      <c r="AE7" s="251">
        <f>IF(AE$4&lt;(ControlPanel!$D$59-1),VLOOKUP("Referenz",$C$39:$AF$63,AE$4-$G$4+5,FALSE),VLOOKUP($C$7,$C$39:$AF$63,AE$4-$G$4+5,FALSE))</f>
        <v>0.01</v>
      </c>
      <c r="AF7" s="251">
        <f>IF(AF$4&lt;(ControlPanel!$D$59-1),VLOOKUP("Referenz",$C$39:$AF$63,AF$4-$G$4+5,FALSE),VLOOKUP($C$7,$C$39:$AF$63,AF$4-$G$4+5,FALSE))</f>
        <v>0.01</v>
      </c>
    </row>
    <row r="8" spans="1:32" ht="39" thickBot="1">
      <c r="B8" s="171" t="s">
        <v>13</v>
      </c>
      <c r="C8" s="182" t="str">
        <f>ControlPanel!E11</f>
        <v>Referenz</v>
      </c>
      <c r="D8" s="51" t="str">
        <f>VLOOKUP($C$8,$C$65:$AF$89,2,FALSE)</f>
        <v>fh</v>
      </c>
      <c r="E8" s="1069" t="str">
        <f>VLOOKUP($C$8,$C$65:$AF$89,3,FALSE)</f>
        <v>MFP Trend; 0,2 GW/a</v>
      </c>
      <c r="F8" s="1063" t="str">
        <f>VLOOKUP($C$8,$C$65:$AF$89,4,FALSE)</f>
        <v>MFP Trend bis 2026, danach 0,2 GW/a</v>
      </c>
      <c r="G8" s="251">
        <f>IF(G$4&lt;(ControlPanel!$D$59-1),VLOOKUP("Referenz",$C$65:$AF$89,G$4-$G$4+5,FALSE),VLOOKUP($C$8,$C$65:$AF$89,G$4-$G$4+5,FALSE))</f>
        <v>0.41799999999999998</v>
      </c>
      <c r="H8" s="251">
        <f>IF(H$4&lt;(ControlPanel!$D$59-1),VLOOKUP("Referenz",$C$65:$AF$89,H$4-$G$4+5,FALSE),VLOOKUP($C$8,$C$65:$AF$89,H$4-$G$4+5,FALSE))</f>
        <v>0.86586812999999996</v>
      </c>
      <c r="I8" s="251">
        <f>IF(I$4&lt;(ControlPanel!$D$59-1),VLOOKUP("Referenz",$C$65:$AF$89,I$4-$G$4+5,FALSE),VLOOKUP($C$8,$C$65:$AF$89,I$4-$G$4+5,FALSE))</f>
        <v>0.32809184000000102</v>
      </c>
      <c r="J8" s="251">
        <f>IF(J$4&lt;(ControlPanel!$D$59-1),VLOOKUP("Referenz",$C$65:$AF$89,J$4-$G$4+5,FALSE),VLOOKUP($C$8,$C$65:$AF$89,J$4-$G$4+5,FALSE))</f>
        <v>0.67685502999999902</v>
      </c>
      <c r="K8" s="251">
        <f>IF(K$4&lt;(ControlPanel!$D$59-1),VLOOKUP("Referenz",$C$65:$AF$89,K$4-$G$4+5,FALSE),VLOOKUP($C$8,$C$65:$AF$89,K$4-$G$4+5,FALSE))</f>
        <v>0.21741000000000099</v>
      </c>
      <c r="L8" s="251">
        <f>IF(L$4&lt;(ControlPanel!$D$59-1),VLOOKUP("Referenz",$C$65:$AF$89,L$4-$G$4+5,FALSE),VLOOKUP($C$8,$C$65:$AF$89,L$4-$G$4+5,FALSE))</f>
        <v>0.23461600000000002</v>
      </c>
      <c r="M8" s="251">
        <f>IF(M$4&lt;(ControlPanel!$D$59-1),VLOOKUP("Referenz",$C$65:$AF$89,M$4-$G$4+5,FALSE),VLOOKUP($C$8,$C$65:$AF$89,M$4-$G$4+5,FALSE))</f>
        <v>0.22497200000000001</v>
      </c>
      <c r="N8" s="251">
        <f>IF(N$4&lt;(ControlPanel!$D$59-1),VLOOKUP("Referenz",$C$65:$AF$89,N$4-$G$4+5,FALSE),VLOOKUP($C$8,$C$65:$AF$89,N$4-$G$4+5,FALSE))</f>
        <v>0.30678699999999998</v>
      </c>
      <c r="O8" s="251">
        <f>IF(O$4&lt;(ControlPanel!$D$59-1),VLOOKUP("Referenz",$C$65:$AF$89,O$4-$G$4+5,FALSE),VLOOKUP($C$8,$C$65:$AF$89,O$4-$G$4+5,FALSE))</f>
        <v>0.42751108100000101</v>
      </c>
      <c r="P8" s="251">
        <f>IF(P$4&lt;(ControlPanel!$D$59-1),VLOOKUP("Referenz",$C$65:$AF$89,P$4-$G$4+5,FALSE),VLOOKUP($C$8,$C$65:$AF$89,P$4-$G$4+5,FALSE))</f>
        <v>0.33253365899999998</v>
      </c>
      <c r="Q8" s="251">
        <f>IF(Q$4&lt;(ControlPanel!$D$59-1),VLOOKUP("Referenz",$C$65:$AF$89,Q$4-$G$4+5,FALSE),VLOOKUP($C$8,$C$65:$AF$89,Q$4-$G$4+5,FALSE))</f>
        <v>0.17599999999999999</v>
      </c>
      <c r="R8" s="251">
        <f>IF(R$4&lt;(ControlPanel!$D$59-1),VLOOKUP("Referenz",$C$65:$AF$89,R$4-$G$4+5,FALSE),VLOOKUP($C$8,$C$65:$AF$89,R$4-$G$4+5,FALSE))</f>
        <v>0.124</v>
      </c>
      <c r="S8" s="251">
        <f>IF(S$4&lt;(ControlPanel!$D$59-1),VLOOKUP("Referenz",$C$65:$AF$89,S$4-$G$4+5,FALSE),VLOOKUP($C$8,$C$65:$AF$89,S$4-$G$4+5,FALSE))</f>
        <v>0.36699999999999999</v>
      </c>
      <c r="T8" s="251">
        <f>IF(T$4&lt;(ControlPanel!$D$59-1),VLOOKUP("Referenz",$C$65:$AF$89,T$4-$G$4+5,FALSE),VLOOKUP($C$8,$C$65:$AF$89,T$4-$G$4+5,FALSE))</f>
        <v>0.36699999999999999</v>
      </c>
      <c r="U8" s="251">
        <f>IF(U$4&lt;(ControlPanel!$D$59-1),VLOOKUP("Referenz",$C$65:$AF$89,U$4-$G$4+5,FALSE),VLOOKUP($C$8,$C$65:$AF$89,U$4-$G$4+5,FALSE))</f>
        <v>0.36699999999999999</v>
      </c>
      <c r="V8" s="251">
        <f>IF(V$4&lt;(ControlPanel!$D$59-1),VLOOKUP("Referenz",$C$65:$AF$89,V$4-$G$4+5,FALSE),VLOOKUP($C$8,$C$65:$AF$89,V$4-$G$4+5,FALSE))</f>
        <v>0.36699999999999999</v>
      </c>
      <c r="W8" s="251">
        <f>IF(W$4&lt;(ControlPanel!$D$59-1),VLOOKUP("Referenz",$C$65:$AF$89,W$4-$G$4+5,FALSE),VLOOKUP($C$8,$C$65:$AF$89,W$4-$G$4+5,FALSE))</f>
        <v>0.36699999999999999</v>
      </c>
      <c r="X8" s="251">
        <f>IF(X$4&lt;(ControlPanel!$D$59-1),VLOOKUP("Referenz",$C$65:$AF$89,X$4-$G$4+5,FALSE),VLOOKUP($C$8,$C$65:$AF$89,X$4-$G$4+5,FALSE))</f>
        <v>0.2</v>
      </c>
      <c r="Y8" s="251">
        <f>IF(Y$4&lt;(ControlPanel!$D$59-1),VLOOKUP("Referenz",$C$65:$AF$89,Y$4-$G$4+5,FALSE),VLOOKUP($C$8,$C$65:$AF$89,Y$4-$G$4+5,FALSE))</f>
        <v>0.2</v>
      </c>
      <c r="Z8" s="251">
        <f>IF(Z$4&lt;(ControlPanel!$D$59-1),VLOOKUP("Referenz",$C$65:$AF$89,Z$4-$G$4+5,FALSE),VLOOKUP($C$8,$C$65:$AF$89,Z$4-$G$4+5,FALSE))</f>
        <v>0.2</v>
      </c>
      <c r="AA8" s="251">
        <f>IF(AA$4&lt;(ControlPanel!$D$59-1),VLOOKUP("Referenz",$C$65:$AF$89,AA$4-$G$4+5,FALSE),VLOOKUP($C$8,$C$65:$AF$89,AA$4-$G$4+5,FALSE))</f>
        <v>0.2</v>
      </c>
      <c r="AB8" s="251">
        <f>IF(AB$4&lt;(ControlPanel!$D$59-1),VLOOKUP("Referenz",$C$65:$AF$89,AB$4-$G$4+5,FALSE),VLOOKUP($C$8,$C$65:$AF$89,AB$4-$G$4+5,FALSE))</f>
        <v>0.2</v>
      </c>
      <c r="AC8" s="251">
        <f>IF(AC$4&lt;(ControlPanel!$D$59-1),VLOOKUP("Referenz",$C$65:$AF$89,AC$4-$G$4+5,FALSE),VLOOKUP($C$8,$C$65:$AF$89,AC$4-$G$4+5,FALSE))</f>
        <v>0.2</v>
      </c>
      <c r="AD8" s="251">
        <f>IF(AD$4&lt;(ControlPanel!$D$59-1),VLOOKUP("Referenz",$C$65:$AF$89,AD$4-$G$4+5,FALSE),VLOOKUP($C$8,$C$65:$AF$89,AD$4-$G$4+5,FALSE))</f>
        <v>0.2</v>
      </c>
      <c r="AE8" s="251">
        <f>IF(AE$4&lt;(ControlPanel!$D$59-1),VLOOKUP("Referenz",$C$65:$AF$89,AE$4-$G$4+5,FALSE),VLOOKUP($C$8,$C$65:$AF$89,AE$4-$G$4+5,FALSE))</f>
        <v>0.2</v>
      </c>
      <c r="AF8" s="251">
        <f>IF(AF$4&lt;(ControlPanel!$D$59-1),VLOOKUP("Referenz",$C$65:$AF$89,AF$4-$G$4+5,FALSE),VLOOKUP($C$8,$C$65:$AF$89,AF$4-$G$4+5,FALSE))</f>
        <v>0.2</v>
      </c>
    </row>
    <row r="9" spans="1:32" ht="39" thickBot="1">
      <c r="B9" s="171" t="s">
        <v>12</v>
      </c>
      <c r="C9" s="182" t="str">
        <f>ControlPanel!E12</f>
        <v>Referenz</v>
      </c>
      <c r="D9" s="51" t="str">
        <f>VLOOKUP($C$9,$C$91:$AF$115,2,FALSE)</f>
        <v>fh</v>
      </c>
      <c r="E9" s="1069" t="str">
        <f>VLOOKUP($C$9,$C$91:$AF$115,3,FALSE)</f>
        <v>0,01GW/a</v>
      </c>
      <c r="F9" s="1063" t="str">
        <f>VLOOKUP($C$9,$C$91:$AF$115,4,FALSE)</f>
        <v>bis 2026: Mittelfristprognose (Trendszenario). Danach 0,01GW/a</v>
      </c>
      <c r="G9" s="251">
        <f>IF(G$4&lt;(ControlPanel!$D$59-1),VLOOKUP("Referenz",$C$91:$AF$115,G$4-$G$4+5,FALSE),VLOOKUP($C$9,$C$91:$AF$115,G$4-$G$4+5,FALSE))</f>
        <v>0</v>
      </c>
      <c r="H9" s="251">
        <f>IF(H$4&lt;(ControlPanel!$D$59-1),VLOOKUP("Referenz",$C$91:$AF$115,H$4-$G$4+5,FALSE),VLOOKUP($C$9,$C$91:$AF$115,H$4-$G$4+5,FALSE))</f>
        <v>0</v>
      </c>
      <c r="I9" s="251">
        <f>IF(I$4&lt;(ControlPanel!$D$59-1),VLOOKUP("Referenz",$C$91:$AF$115,I$4-$G$4+5,FALSE),VLOOKUP($C$9,$C$91:$AF$115,I$4-$G$4+5,FALSE))</f>
        <v>1.1799999999999998E-2</v>
      </c>
      <c r="J9" s="251">
        <f>IF(J$4&lt;(ControlPanel!$D$59-1),VLOOKUP("Referenz",$C$91:$AF$115,J$4-$G$4+5,FALSE),VLOOKUP($C$9,$C$91:$AF$115,J$4-$G$4+5,FALSE))</f>
        <v>1.132E-2</v>
      </c>
      <c r="K9" s="251">
        <f>IF(K$4&lt;(ControlPanel!$D$59-1),VLOOKUP("Referenz",$C$91:$AF$115,K$4-$G$4+5,FALSE),VLOOKUP($C$9,$C$91:$AF$115,K$4-$G$4+5,FALSE))</f>
        <v>3.7300000000000041E-3</v>
      </c>
      <c r="L9" s="251">
        <f>IF(L$4&lt;(ControlPanel!$D$59-1),VLOOKUP("Referenz",$C$91:$AF$115,L$4-$G$4+5,FALSE),VLOOKUP($C$9,$C$91:$AF$115,L$4-$G$4+5,FALSE))</f>
        <v>0</v>
      </c>
      <c r="M9" s="251">
        <f>IF(M$4&lt;(ControlPanel!$D$59-1),VLOOKUP("Referenz",$C$91:$AF$115,M$4-$G$4+5,FALSE),VLOOKUP($C$9,$C$91:$AF$115,M$4-$G$4+5,FALSE))</f>
        <v>4.9999999999999984E-3</v>
      </c>
      <c r="N9" s="251">
        <f>IF(N$4&lt;(ControlPanel!$D$59-1),VLOOKUP("Referenz",$C$91:$AF$115,N$4-$G$4+5,FALSE),VLOOKUP($C$9,$C$91:$AF$115,N$4-$G$4+5,FALSE))</f>
        <v>2E-3</v>
      </c>
      <c r="O9" s="251">
        <f>IF(O$4&lt;(ControlPanel!$D$59-1),VLOOKUP("Referenz",$C$91:$AF$115,O$4-$G$4+5,FALSE),VLOOKUP($C$9,$C$91:$AF$115,O$4-$G$4+5,FALSE))</f>
        <v>5.0000000000000001E-3</v>
      </c>
      <c r="P9" s="251">
        <f>IF(P$4&lt;(ControlPanel!$D$59-1),VLOOKUP("Referenz",$C$91:$AF$115,P$4-$G$4+5,FALSE),VLOOKUP($C$9,$C$91:$AF$115,P$4-$G$4+5,FALSE))</f>
        <v>4.0000000000000001E-3</v>
      </c>
      <c r="Q9" s="251">
        <f>IF(Q$4&lt;(ControlPanel!$D$59-1),VLOOKUP("Referenz",$C$91:$AF$115,Q$4-$G$4+5,FALSE),VLOOKUP($C$9,$C$91:$AF$115,Q$4-$G$4+5,FALSE))</f>
        <v>5.0000000000000001E-3</v>
      </c>
      <c r="R9" s="251">
        <f>IF(R$4&lt;(ControlPanel!$D$59-1),VLOOKUP("Referenz",$C$91:$AF$115,R$4-$G$4+5,FALSE),VLOOKUP($C$9,$C$91:$AF$115,R$4-$G$4+5,FALSE))</f>
        <v>8.9999999999999993E-3</v>
      </c>
      <c r="S9" s="251">
        <f>IF(S$4&lt;(ControlPanel!$D$59-1),VLOOKUP("Referenz",$C$91:$AF$115,S$4-$G$4+5,FALSE),VLOOKUP($C$9,$C$91:$AF$115,S$4-$G$4+5,FALSE))</f>
        <v>0.03</v>
      </c>
      <c r="T9" s="251">
        <f>IF(T$4&lt;(ControlPanel!$D$59-1),VLOOKUP("Referenz",$C$91:$AF$115,T$4-$G$4+5,FALSE),VLOOKUP($C$9,$C$91:$AF$115,T$4-$G$4+5,FALSE))</f>
        <v>3.4000000000000002E-2</v>
      </c>
      <c r="U9" s="251">
        <f>IF(U$4&lt;(ControlPanel!$D$59-1),VLOOKUP("Referenz",$C$91:$AF$115,U$4-$G$4+5,FALSE),VLOOKUP($C$9,$C$91:$AF$115,U$4-$G$4+5,FALSE))</f>
        <v>3.7999999999999999E-2</v>
      </c>
      <c r="V9" s="251">
        <f>IF(V$4&lt;(ControlPanel!$D$59-1),VLOOKUP("Referenz",$C$91:$AF$115,V$4-$G$4+5,FALSE),VLOOKUP($C$9,$C$91:$AF$115,V$4-$G$4+5,FALSE))</f>
        <v>4.1000000000000002E-2</v>
      </c>
      <c r="W9" s="251">
        <f>IF(W$4&lt;(ControlPanel!$D$59-1),VLOOKUP("Referenz",$C$91:$AF$115,W$4-$G$4+5,FALSE),VLOOKUP($C$9,$C$91:$AF$115,W$4-$G$4+5,FALSE))</f>
        <v>4.4999999999999998E-2</v>
      </c>
      <c r="X9" s="251">
        <f>IF(X$4&lt;(ControlPanel!$D$59-1),VLOOKUP("Referenz",$C$91:$AF$115,X$4-$G$4+5,FALSE),VLOOKUP($C$9,$C$91:$AF$115,X$4-$G$4+5,FALSE))</f>
        <v>0.01</v>
      </c>
      <c r="Y9" s="251">
        <f>IF(Y$4&lt;(ControlPanel!$D$59-1),VLOOKUP("Referenz",$C$91:$AF$115,Y$4-$G$4+5,FALSE),VLOOKUP($C$9,$C$91:$AF$115,Y$4-$G$4+5,FALSE))</f>
        <v>0.01</v>
      </c>
      <c r="Z9" s="251">
        <f>IF(Z$4&lt;(ControlPanel!$D$59-1),VLOOKUP("Referenz",$C$91:$AF$115,Z$4-$G$4+5,FALSE),VLOOKUP($C$9,$C$91:$AF$115,Z$4-$G$4+5,FALSE))</f>
        <v>0.01</v>
      </c>
      <c r="AA9" s="251">
        <f>IF(AA$4&lt;(ControlPanel!$D$59-1),VLOOKUP("Referenz",$C$91:$AF$115,AA$4-$G$4+5,FALSE),VLOOKUP($C$9,$C$91:$AF$115,AA$4-$G$4+5,FALSE))</f>
        <v>0.01</v>
      </c>
      <c r="AB9" s="251">
        <f>IF(AB$4&lt;(ControlPanel!$D$59-1),VLOOKUP("Referenz",$C$91:$AF$115,AB$4-$G$4+5,FALSE),VLOOKUP($C$9,$C$91:$AF$115,AB$4-$G$4+5,FALSE))</f>
        <v>0.01</v>
      </c>
      <c r="AC9" s="251">
        <f>IF(AC$4&lt;(ControlPanel!$D$59-1),VLOOKUP("Referenz",$C$91:$AF$115,AC$4-$G$4+5,FALSE),VLOOKUP($C$9,$C$91:$AF$115,AC$4-$G$4+5,FALSE))</f>
        <v>0.01</v>
      </c>
      <c r="AD9" s="251">
        <f>IF(AD$4&lt;(ControlPanel!$D$59-1),VLOOKUP("Referenz",$C$91:$AF$115,AD$4-$G$4+5,FALSE),VLOOKUP($C$9,$C$91:$AF$115,AD$4-$G$4+5,FALSE))</f>
        <v>0.01</v>
      </c>
      <c r="AE9" s="251">
        <f>IF(AE$4&lt;(ControlPanel!$D$59-1),VLOOKUP("Referenz",$C$91:$AF$115,AE$4-$G$4+5,FALSE),VLOOKUP($C$9,$C$91:$AF$115,AE$4-$G$4+5,FALSE))</f>
        <v>0.01</v>
      </c>
      <c r="AF9" s="251">
        <f>IF(AF$4&lt;(ControlPanel!$D$59-1),VLOOKUP("Referenz",$C$91:$AF$115,AF$4-$G$4+5,FALSE),VLOOKUP($C$9,$C$91:$AF$115,AF$4-$G$4+5,FALSE))</f>
        <v>0.01</v>
      </c>
    </row>
    <row r="10" spans="1:32" ht="39" thickBot="1">
      <c r="B10" s="171" t="s">
        <v>24</v>
      </c>
      <c r="C10" s="182" t="str">
        <f>ControlPanel!E8</f>
        <v>Referenz</v>
      </c>
      <c r="D10" s="51" t="str">
        <f>VLOOKUP($C$10,$C$117:$AF$144,2,FALSE)</f>
        <v>fh</v>
      </c>
      <c r="E10" s="1069" t="str">
        <f>VLOOKUP($C$10,$C$117:$AF$144,3,FALSE)</f>
        <v>1,5 GW bis 2021, ab 2023 2,5 GW/a</v>
      </c>
      <c r="F10" s="1063" t="str">
        <f>VLOOKUP($C$10,$C$117:$AF$144,4,FALSE)</f>
        <v>Fortführung der aktuell geringen Ausbauzahlen bis 2021, danach Anstieg auf 2,5 GW in 2023; ab 2023 konstant 2,5 GW; 2010-2019: historische Werte aus Auswertung Baujahre der Bestandsanlagen 2019</v>
      </c>
      <c r="G10" s="251">
        <f>IF(G$4&lt;(ControlPanel!$D$59-1),VLOOKUP("Referenz",$C$117:$AF$144,G$4-$G$4+5,FALSE),VLOOKUP($C$10,$C$117:$AF$144,G$4-$G$4+5,FALSE))</f>
        <v>1.411797</v>
      </c>
      <c r="H10" s="251">
        <f>IF(H$4&lt;(ControlPanel!$D$59-1),VLOOKUP("Referenz",$C$117:$AF$144,H$4-$G$4+5,FALSE),VLOOKUP($C$10,$C$117:$AF$144,H$4-$G$4+5,FALSE))</f>
        <v>1.8712979999999999</v>
      </c>
      <c r="I10" s="251">
        <f>IF(I$4&lt;(ControlPanel!$D$59-1),VLOOKUP("Referenz",$C$117:$AF$144,I$4-$G$4+5,FALSE),VLOOKUP($C$10,$C$117:$AF$144,I$4-$G$4+5,FALSE))</f>
        <v>2.4085290000000001</v>
      </c>
      <c r="J10" s="251">
        <f>IF(J$4&lt;(ControlPanel!$D$59-1),VLOOKUP("Referenz",$C$117:$AF$144,J$4-$G$4+5,FALSE),VLOOKUP($C$10,$C$117:$AF$144,J$4-$G$4+5,FALSE))</f>
        <v>2.9965709999999999</v>
      </c>
      <c r="K10" s="251">
        <f>IF(K$4&lt;(ControlPanel!$D$59-1),VLOOKUP("Referenz",$C$117:$AF$144,K$4-$G$4+5,FALSE),VLOOKUP($C$10,$C$117:$AF$144,K$4-$G$4+5,FALSE))</f>
        <v>4.6522969999999999</v>
      </c>
      <c r="L10" s="251">
        <f>IF(L$4&lt;(ControlPanel!$D$59-1),VLOOKUP("Referenz",$C$117:$AF$144,L$4-$G$4+5,FALSE),VLOOKUP($C$10,$C$117:$AF$144,L$4-$G$4+5,FALSE))</f>
        <v>3.7872080000000001</v>
      </c>
      <c r="M10" s="251">
        <f>IF(M$4&lt;(ControlPanel!$D$59-1),VLOOKUP("Referenz",$C$117:$AF$144,M$4-$G$4+5,FALSE),VLOOKUP($C$10,$C$117:$AF$144,M$4-$G$4+5,FALSE))</f>
        <v>4.4454030000000007</v>
      </c>
      <c r="N10" s="251">
        <f>IF(N$4&lt;(ControlPanel!$D$59-1),VLOOKUP("Referenz",$C$117:$AF$144,N$4-$G$4+5,FALSE),VLOOKUP($C$10,$C$117:$AF$144,N$4-$G$4+5,FALSE))</f>
        <v>5.5017449999999997</v>
      </c>
      <c r="O10" s="251">
        <f>IF(O$4&lt;(ControlPanel!$D$59-1),VLOOKUP("Referenz",$C$117:$AF$144,O$4-$G$4+5,FALSE),VLOOKUP($C$10,$C$117:$AF$144,O$4-$G$4+5,FALSE))</f>
        <v>2.4031500000000001</v>
      </c>
      <c r="P10" s="251">
        <v>1.5</v>
      </c>
      <c r="Q10" s="251">
        <f>IF(Q$4&lt;(ControlPanel!$D$59-1),VLOOKUP("Referenz",$C$117:$AF$144,Q$4-$G$4+5,FALSE),VLOOKUP($C$10,$C$117:$AF$144,Q$4-$G$4+5,FALSE))</f>
        <v>1.5</v>
      </c>
      <c r="R10" s="251">
        <f>IF(R$4&lt;(ControlPanel!$D$59-1),VLOOKUP("Referenz",$C$117:$AF$144,R$4-$G$4+5,FALSE),VLOOKUP($C$10,$C$117:$AF$144,R$4-$G$4+5,FALSE))</f>
        <v>1.5</v>
      </c>
      <c r="S10" s="251">
        <f>IF(S$4&lt;(ControlPanel!$D$59-1),VLOOKUP("Referenz",$C$117:$AF$144,S$4-$G$4+5,FALSE),VLOOKUP($C$10,$C$117:$AF$144,S$4-$G$4+5,FALSE))</f>
        <v>2</v>
      </c>
      <c r="T10" s="251">
        <f>IF(T$4&lt;(ControlPanel!$D$59-1),VLOOKUP("Referenz",$C$117:$AF$144,T$4-$G$4+5,FALSE),VLOOKUP($C$10,$C$117:$AF$144,T$4-$G$4+5,FALSE))</f>
        <v>2.5</v>
      </c>
      <c r="U10" s="251">
        <f>IF(U$4&lt;(ControlPanel!$D$59-1),VLOOKUP("Referenz",$C$117:$AF$144,U$4-$G$4+5,FALSE),VLOOKUP($C$10,$C$117:$AF$144,U$4-$G$4+5,FALSE))</f>
        <v>2.5</v>
      </c>
      <c r="V10" s="251">
        <f>IF(V$4&lt;(ControlPanel!$D$59-1),VLOOKUP("Referenz",$C$117:$AF$144,V$4-$G$4+5,FALSE),VLOOKUP($C$10,$C$117:$AF$144,V$4-$G$4+5,FALSE))</f>
        <v>2.5</v>
      </c>
      <c r="W10" s="251">
        <f>IF(W$4&lt;(ControlPanel!$D$59-1),VLOOKUP("Referenz",$C$117:$AF$144,W$4-$G$4+5,FALSE),VLOOKUP($C$10,$C$117:$AF$144,W$4-$G$4+5,FALSE))</f>
        <v>2.5</v>
      </c>
      <c r="X10" s="251">
        <f>IF(X$4&lt;(ControlPanel!$D$59-1),VLOOKUP("Referenz",$C$117:$AF$144,X$4-$G$4+5,FALSE),VLOOKUP($C$10,$C$117:$AF$144,X$4-$G$4+5,FALSE))</f>
        <v>2.5</v>
      </c>
      <c r="Y10" s="251">
        <f>IF(Y$4&lt;(ControlPanel!$D$59-1),VLOOKUP("Referenz",$C$117:$AF$144,Y$4-$G$4+5,FALSE),VLOOKUP($C$10,$C$117:$AF$144,Y$4-$G$4+5,FALSE))</f>
        <v>2.5</v>
      </c>
      <c r="Z10" s="251">
        <f>IF(Z$4&lt;(ControlPanel!$D$59-1),VLOOKUP("Referenz",$C$117:$AF$144,Z$4-$G$4+5,FALSE),VLOOKUP($C$10,$C$117:$AF$144,Z$4-$G$4+5,FALSE))</f>
        <v>2.5</v>
      </c>
      <c r="AA10" s="251">
        <f>IF(AA$4&lt;(ControlPanel!$D$59-1),VLOOKUP("Referenz",$C$117:$AF$144,AA$4-$G$4+5,FALSE),VLOOKUP($C$10,$C$117:$AF$144,AA$4-$G$4+5,FALSE))</f>
        <v>2.5</v>
      </c>
      <c r="AB10" s="251">
        <f>IF(AB$4&lt;(ControlPanel!$D$59-1),VLOOKUP("Referenz",$C$117:$AF$144,AB$4-$G$4+5,FALSE),VLOOKUP($C$10,$C$117:$AF$144,AB$4-$G$4+5,FALSE))</f>
        <v>2.5</v>
      </c>
      <c r="AC10" s="251">
        <f>IF(AC$4&lt;(ControlPanel!$D$59-1),VLOOKUP("Referenz",$C$117:$AF$144,AC$4-$G$4+5,FALSE),VLOOKUP($C$10,$C$117:$AF$144,AC$4-$G$4+5,FALSE))</f>
        <v>2.5</v>
      </c>
      <c r="AD10" s="251">
        <f>IF(AD$4&lt;(ControlPanel!$D$59-1),VLOOKUP("Referenz",$C$117:$AF$144,AD$4-$G$4+5,FALSE),VLOOKUP($C$10,$C$117:$AF$144,AD$4-$G$4+5,FALSE))</f>
        <v>2.5</v>
      </c>
      <c r="AE10" s="251">
        <f>IF(AE$4&lt;(ControlPanel!$D$59-1),VLOOKUP("Referenz",$C$117:$AF$144,AE$4-$G$4+5,FALSE),VLOOKUP($C$10,$C$117:$AF$144,AE$4-$G$4+5,FALSE))</f>
        <v>2.5</v>
      </c>
      <c r="AF10" s="251">
        <f>IF(AF$4&lt;(ControlPanel!$D$59-1),VLOOKUP("Referenz",$C$117:$AF$144,AF$4-$G$4+5,FALSE),VLOOKUP($C$10,$C$117:$AF$144,AF$4-$G$4+5,FALSE))</f>
        <v>2.5</v>
      </c>
    </row>
    <row r="11" spans="1:32" ht="39" thickBot="1">
      <c r="B11" s="171" t="s">
        <v>26</v>
      </c>
      <c r="C11" s="182" t="str">
        <f>ControlPanel!E9</f>
        <v>Referenz</v>
      </c>
      <c r="D11" s="51" t="str">
        <f>VLOOKUP($C$11,$C$146:$AF$173,2,FALSE)</f>
        <v>fh</v>
      </c>
      <c r="E11" s="1069" t="str">
        <f>VLOOKUP($C$11,$C$146:$AF$173,3,FALSE)</f>
        <v>MFP Trend, danach konstant 1,6 GW</v>
      </c>
      <c r="F11" s="1063" t="str">
        <f>VLOOKUP($C$11,$C$146:$AF$173,4,FALSE)</f>
        <v>bis 2026  MFP Trend Szenario, ab 2027 Fortschreibung</v>
      </c>
      <c r="G11" s="251">
        <f>IF(G$4&lt;(ControlPanel!$D$59-1),VLOOKUP("Referenz",$C$146:$AF$173,G$4-$G$4+5,FALSE),VLOOKUP($C$11,$C$146:$AF$173,G$4-$G$4+5,FALSE))</f>
        <v>4.4999999999999998E-2</v>
      </c>
      <c r="H11" s="251">
        <f>IF(H$4&lt;(ControlPanel!$D$59-1),VLOOKUP("Referenz",$C$146:$AF$173,H$4-$G$4+5,FALSE),VLOOKUP($C$11,$C$146:$AF$173,H$4-$G$4+5,FALSE))</f>
        <v>0.108</v>
      </c>
      <c r="I11" s="251">
        <f>IF(I$4&lt;(ControlPanel!$D$59-1),VLOOKUP("Referenz",$C$146:$AF$173,I$4-$G$4+5,FALSE),VLOOKUP($C$11,$C$146:$AF$173,I$4-$G$4+5,FALSE))</f>
        <v>0.08</v>
      </c>
      <c r="J11" s="251">
        <f>IF(J$4&lt;(ControlPanel!$D$59-1),VLOOKUP("Referenz",$C$146:$AF$173,J$4-$G$4+5,FALSE),VLOOKUP($C$11,$C$146:$AF$173,J$4-$G$4+5,FALSE))</f>
        <v>0.24</v>
      </c>
      <c r="K11" s="251">
        <f>IF(K$4&lt;(ControlPanel!$D$59-1),VLOOKUP("Referenz",$C$146:$AF$173,K$4-$G$4+5,FALSE),VLOOKUP($C$11,$C$146:$AF$173,K$4-$G$4+5,FALSE))</f>
        <v>0.48599999999999999</v>
      </c>
      <c r="L11" s="251">
        <f>IF(L$4&lt;(ControlPanel!$D$59-1),VLOOKUP("Referenz",$C$146:$AF$173,L$4-$G$4+5,FALSE),VLOOKUP($C$11,$C$146:$AF$173,L$4-$G$4+5,FALSE))</f>
        <v>2.2890000000000001</v>
      </c>
      <c r="M11" s="251">
        <f>IF(M$4&lt;(ControlPanel!$D$59-1),VLOOKUP("Referenz",$C$146:$AF$173,M$4-$G$4+5,FALSE),VLOOKUP($C$11,$C$146:$AF$173,M$4-$G$4+5,FALSE))</f>
        <v>0.86899999999999999</v>
      </c>
      <c r="N11" s="251">
        <f>IF(N$4&lt;(ControlPanel!$D$59-1),VLOOKUP("Referenz",$C$146:$AF$173,N$4-$G$4+5,FALSE),VLOOKUP($C$11,$C$146:$AF$173,N$4-$G$4+5,FALSE))</f>
        <v>1.254</v>
      </c>
      <c r="O11" s="251">
        <f>IF(O$4&lt;(ControlPanel!$D$59-1),VLOOKUP("Referenz",$C$146:$AF$173,O$4-$G$4+5,FALSE),VLOOKUP($C$11,$C$146:$AF$173,O$4-$G$4+5,FALSE))</f>
        <v>0.98699999999999999</v>
      </c>
      <c r="P11" s="251">
        <f>IF(P$4&lt;(ControlPanel!$D$59-1),VLOOKUP("Referenz",$C$146:$AF$173,P$4-$G$4+5,FALSE),VLOOKUP($C$11,$C$146:$AF$173,P$4-$G$4+5,FALSE))</f>
        <v>1.135</v>
      </c>
      <c r="Q11" s="251">
        <f>IF(Q$4&lt;(ControlPanel!$D$59-1),VLOOKUP("Referenz",$C$146:$AF$173,Q$4-$G$4+5,FALSE),VLOOKUP($C$11,$C$146:$AF$173,Q$4-$G$4+5,FALSE))</f>
        <v>0.219</v>
      </c>
      <c r="R11" s="251">
        <f>IF(R$4&lt;(ControlPanel!$D$59-1),VLOOKUP("Referenz",$C$146:$AF$173,R$4-$G$4+5,FALSE),VLOOKUP($C$11,$C$146:$AF$173,R$4-$G$4+5,FALSE))</f>
        <v>0</v>
      </c>
      <c r="S11" s="251">
        <f>IF(S$4&lt;(ControlPanel!$D$59-1),VLOOKUP("Referenz",$C$146:$AF$173,S$4-$G$4+5,FALSE),VLOOKUP($C$11,$C$146:$AF$173,S$4-$G$4+5,FALSE))</f>
        <v>0.34200000000000003</v>
      </c>
      <c r="T11" s="251">
        <f>IF(T$4&lt;(ControlPanel!$D$59-1),VLOOKUP("Referenz",$C$146:$AF$173,T$4-$G$4+5,FALSE),VLOOKUP($C$11,$C$146:$AF$173,T$4-$G$4+5,FALSE))</f>
        <v>0.749</v>
      </c>
      <c r="U11" s="251">
        <f>IF(U$4&lt;(ControlPanel!$D$59-1),VLOOKUP("Referenz",$C$146:$AF$173,U$4-$G$4+5,FALSE),VLOOKUP($C$11,$C$146:$AF$173,U$4-$G$4+5,FALSE))</f>
        <v>1.1259999999999999</v>
      </c>
      <c r="V11" s="251">
        <f>IF(V$4&lt;(ControlPanel!$D$59-1),VLOOKUP("Referenz",$C$146:$AF$173,V$4-$G$4+5,FALSE),VLOOKUP($C$11,$C$146:$AF$173,V$4-$G$4+5,FALSE))</f>
        <v>0.9</v>
      </c>
      <c r="W11" s="251">
        <f>IF(W$4&lt;(ControlPanel!$D$59-1),VLOOKUP("Referenz",$C$146:$AF$173,W$4-$G$4+5,FALSE),VLOOKUP($C$11,$C$146:$AF$173,W$4-$G$4+5,FALSE))</f>
        <v>0.95799999999999996</v>
      </c>
      <c r="X11" s="251">
        <f>IF(X$4&lt;(ControlPanel!$D$59-1),VLOOKUP("Referenz",$C$146:$AF$173,X$4-$G$4+5,FALSE),VLOOKUP($C$11,$C$146:$AF$173,X$4-$G$4+5,FALSE))</f>
        <v>0.95799999999999996</v>
      </c>
      <c r="Y11" s="251">
        <f>IF(Y$4&lt;(ControlPanel!$D$59-1),VLOOKUP("Referenz",$C$146:$AF$173,Y$4-$G$4+5,FALSE),VLOOKUP($C$11,$C$146:$AF$173,Y$4-$G$4+5,FALSE))</f>
        <v>0.95799999999999996</v>
      </c>
      <c r="Z11" s="251">
        <f>IF(Z$4&lt;(ControlPanel!$D$59-1),VLOOKUP("Referenz",$C$146:$AF$173,Z$4-$G$4+5,FALSE),VLOOKUP($C$11,$C$146:$AF$173,Z$4-$G$4+5,FALSE))</f>
        <v>0.95799999999999996</v>
      </c>
      <c r="AA11" s="251">
        <f>IF(AA$4&lt;(ControlPanel!$D$59-1),VLOOKUP("Referenz",$C$146:$AF$173,AA$4-$G$4+5,FALSE),VLOOKUP($C$11,$C$146:$AF$173,AA$4-$G$4+5,FALSE))</f>
        <v>0.95799999999999996</v>
      </c>
      <c r="AB11" s="251">
        <f>IF(AB$4&lt;(ControlPanel!$D$59-1),VLOOKUP("Referenz",$C$146:$AF$173,AB$4-$G$4+5,FALSE),VLOOKUP($C$11,$C$146:$AF$173,AB$4-$G$4+5,FALSE))</f>
        <v>0.95799999999999996</v>
      </c>
      <c r="AC11" s="251">
        <f>IF(AC$4&lt;(ControlPanel!$D$59-1),VLOOKUP("Referenz",$C$146:$AF$173,AC$4-$G$4+5,FALSE),VLOOKUP($C$11,$C$146:$AF$173,AC$4-$G$4+5,FALSE))</f>
        <v>0.95799999999999996</v>
      </c>
      <c r="AD11" s="251">
        <f>IF(AD$4&lt;(ControlPanel!$D$59-1),VLOOKUP("Referenz",$C$146:$AF$173,AD$4-$G$4+5,FALSE),VLOOKUP($C$11,$C$146:$AF$173,AD$4-$G$4+5,FALSE))</f>
        <v>0.95799999999999996</v>
      </c>
      <c r="AE11" s="251">
        <f>IF(AE$4&lt;(ControlPanel!$D$59-1),VLOOKUP("Referenz",$C$146:$AF$173,AE$4-$G$4+5,FALSE),VLOOKUP($C$11,$C$146:$AF$173,AE$4-$G$4+5,FALSE))</f>
        <v>0.95799999999999996</v>
      </c>
      <c r="AF11" s="251">
        <f>IF(AF$4&lt;(ControlPanel!$D$59-1),VLOOKUP("Referenz",$C$146:$AF$173,AF$4-$G$4+5,FALSE),VLOOKUP($C$11,$C$146:$AF$173,AF$4-$G$4+5,FALSE))</f>
        <v>0.95799999999999996</v>
      </c>
    </row>
    <row r="12" spans="1:32" ht="39" thickBot="1">
      <c r="B12" s="173" t="s">
        <v>14</v>
      </c>
      <c r="C12" s="182" t="str">
        <f>ControlPanel!E10</f>
        <v>Referenz</v>
      </c>
      <c r="D12" s="51" t="str">
        <f>VLOOKUP($C$12,$C$175:$AF$202,2,FALSE)</f>
        <v>fh</v>
      </c>
      <c r="E12" s="1069" t="str">
        <f>VLOOKUP($C$12,$C$175:$AF$202,3,FALSE)</f>
        <v>MFP Trend</v>
      </c>
      <c r="F12" s="1063" t="str">
        <f>VLOOKUP($C$12,$C$175:$AF$202,4,FALSE)</f>
        <v>bis 2026 wie MFP Trend-Szenario, danach 3 GW konstant</v>
      </c>
      <c r="G12" s="251">
        <f>IF(G$4&lt;(ControlPanel!$D$59-1),VLOOKUP("Referenz",$C$175:$AF$202,G$4-$G$4+5,FALSE),VLOOKUP($C$12,$C$175:$AF$202,G$4-$G$4+5,FALSE))</f>
        <v>7.44</v>
      </c>
      <c r="H12" s="251">
        <f>IF(H$4&lt;(ControlPanel!$D$59-1),VLOOKUP("Referenz",$C$175:$AF$202,H$4-$G$4+5,FALSE),VLOOKUP($C$12,$C$175:$AF$202,H$4-$G$4+5,FALSE))</f>
        <v>7.91</v>
      </c>
      <c r="I12" s="251">
        <f>IF(I$4&lt;(ControlPanel!$D$59-1),VLOOKUP("Referenz",$C$175:$AF$202,I$4-$G$4+5,FALSE),VLOOKUP($C$12,$C$175:$AF$202,I$4-$G$4+5,FALSE))</f>
        <v>8.1609999999999996</v>
      </c>
      <c r="J12" s="251">
        <f>IF(J$4&lt;(ControlPanel!$D$59-1),VLOOKUP("Referenz",$C$175:$AF$202,J$4-$G$4+5,FALSE),VLOOKUP($C$12,$C$175:$AF$202,J$4-$G$4+5,FALSE))</f>
        <v>2.633</v>
      </c>
      <c r="K12" s="251">
        <f>IF(K$4&lt;(ControlPanel!$D$59-1),VLOOKUP("Referenz",$C$175:$AF$202,K$4-$G$4+5,FALSE),VLOOKUP($C$12,$C$175:$AF$202,K$4-$G$4+5,FALSE))</f>
        <v>1.19</v>
      </c>
      <c r="L12" s="251">
        <f>IF(L$4&lt;(ControlPanel!$D$59-1),VLOOKUP("Referenz",$C$175:$AF$202,L$4-$G$4+5,FALSE),VLOOKUP($C$12,$C$175:$AF$202,L$4-$G$4+5,FALSE))</f>
        <v>1.3240000000000001</v>
      </c>
      <c r="M12" s="251">
        <f>IF(M$4&lt;(ControlPanel!$D$59-1),VLOOKUP("Referenz",$C$175:$AF$202,M$4-$G$4+5,FALSE),VLOOKUP($C$12,$C$175:$AF$202,M$4-$G$4+5,FALSE))</f>
        <v>1.4550000000000001</v>
      </c>
      <c r="N12" s="251">
        <f>IF(N$4&lt;(ControlPanel!$D$59-1),VLOOKUP("Referenz",$C$175:$AF$202,N$4-$G$4+5,FALSE),VLOOKUP($C$12,$C$175:$AF$202,N$4-$G$4+5,FALSE))</f>
        <v>1.6140000000000001</v>
      </c>
      <c r="O12" s="251">
        <f>IF(O$4&lt;(ControlPanel!$D$59-1),VLOOKUP("Referenz",$C$175:$AF$202,O$4-$G$4+5,FALSE),VLOOKUP($C$12,$C$175:$AF$202,O$4-$G$4+5,FALSE))</f>
        <v>2.8650000000000002</v>
      </c>
      <c r="P12" s="251">
        <f>IF(P$4&lt;(ControlPanel!$D$59-1),VLOOKUP("Referenz",$C$175:$AF$202,P$4-$G$4+5,FALSE),VLOOKUP($C$12,$C$175:$AF$202,P$4-$G$4+5,FALSE))</f>
        <v>3.8889999999999998</v>
      </c>
      <c r="Q12" s="251">
        <f>IF(Q$4&lt;(ControlPanel!$D$59-1),VLOOKUP("Referenz",$C$175:$AF$202,Q$4-$G$4+5,FALSE),VLOOKUP($C$12,$C$175:$AF$202,Q$4-$G$4+5,FALSE))</f>
        <v>4.8010000000000002</v>
      </c>
      <c r="R12" s="251">
        <f>IF(R$4&lt;(ControlPanel!$D$59-1),VLOOKUP("Referenz",$C$175:$AF$202,R$4-$G$4+5,FALSE),VLOOKUP($C$12,$C$175:$AF$202,R$4-$G$4+5,FALSE))</f>
        <v>5.4139999999999997</v>
      </c>
      <c r="S12" s="251">
        <f>IF(S$4&lt;(ControlPanel!$D$59-1),VLOOKUP("Referenz",$C$175:$AF$202,S$4-$G$4+5,FALSE),VLOOKUP($C$12,$C$175:$AF$202,S$4-$G$4+5,FALSE))</f>
        <v>6.335</v>
      </c>
      <c r="T12" s="251">
        <f>IF(T$4&lt;(ControlPanel!$D$59-1),VLOOKUP("Referenz",$C$175:$AF$202,T$4-$G$4+5,FALSE),VLOOKUP($C$12,$C$175:$AF$202,T$4-$G$4+5,FALSE))</f>
        <v>8.33</v>
      </c>
      <c r="U12" s="251">
        <f>IF(U$4&lt;(ControlPanel!$D$59-1),VLOOKUP("Referenz",$C$175:$AF$202,U$4-$G$4+5,FALSE),VLOOKUP($C$12,$C$175:$AF$202,U$4-$G$4+5,FALSE))</f>
        <v>8.1289999999999996</v>
      </c>
      <c r="V12" s="251">
        <f>IF(V$4&lt;(ControlPanel!$D$59-1),VLOOKUP("Referenz",$C$175:$AF$202,V$4-$G$4+5,FALSE),VLOOKUP($C$12,$C$175:$AF$202,V$4-$G$4+5,FALSE))</f>
        <v>7.766</v>
      </c>
      <c r="W12" s="251">
        <f>IF(W$4&lt;(ControlPanel!$D$59-1),VLOOKUP("Referenz",$C$175:$AF$202,W$4-$G$4+5,FALSE),VLOOKUP($C$12,$C$175:$AF$202,W$4-$G$4+5,FALSE))</f>
        <v>7.8319999999999999</v>
      </c>
      <c r="X12" s="251">
        <f>IF(X$4&lt;(ControlPanel!$D$59-1),VLOOKUP("Referenz",$C$175:$AF$202,X$4-$G$4+5,FALSE),VLOOKUP($C$12,$C$175:$AF$202,X$4-$G$4+5,FALSE))</f>
        <v>3</v>
      </c>
      <c r="Y12" s="251">
        <f>IF(Y$4&lt;(ControlPanel!$D$59-1),VLOOKUP("Referenz",$C$175:$AF$202,Y$4-$G$4+5,FALSE),VLOOKUP($C$12,$C$175:$AF$202,Y$4-$G$4+5,FALSE))</f>
        <v>3</v>
      </c>
      <c r="Z12" s="251">
        <f>IF(Z$4&lt;(ControlPanel!$D$59-1),VLOOKUP("Referenz",$C$175:$AF$202,Z$4-$G$4+5,FALSE),VLOOKUP($C$12,$C$175:$AF$202,Z$4-$G$4+5,FALSE))</f>
        <v>3</v>
      </c>
      <c r="AA12" s="251">
        <f>IF(AA$4&lt;(ControlPanel!$D$59-1),VLOOKUP("Referenz",$C$175:$AF$202,AA$4-$G$4+5,FALSE),VLOOKUP($C$12,$C$175:$AF$202,AA$4-$G$4+5,FALSE))</f>
        <v>3</v>
      </c>
      <c r="AB12" s="251">
        <f>IF(AB$4&lt;(ControlPanel!$D$59-1),VLOOKUP("Referenz",$C$175:$AF$202,AB$4-$G$4+5,FALSE),VLOOKUP($C$12,$C$175:$AF$202,AB$4-$G$4+5,FALSE))</f>
        <v>3</v>
      </c>
      <c r="AC12" s="251">
        <f>IF(AC$4&lt;(ControlPanel!$D$59-1),VLOOKUP("Referenz",$C$175:$AF$202,AC$4-$G$4+5,FALSE),VLOOKUP($C$12,$C$175:$AF$202,AC$4-$G$4+5,FALSE))</f>
        <v>3</v>
      </c>
      <c r="AD12" s="251">
        <f>IF(AD$4&lt;(ControlPanel!$D$59-1),VLOOKUP("Referenz",$C$175:$AF$202,AD$4-$G$4+5,FALSE),VLOOKUP($C$12,$C$175:$AF$202,AD$4-$G$4+5,FALSE))</f>
        <v>3</v>
      </c>
      <c r="AE12" s="251">
        <f>IF(AE$4&lt;(ControlPanel!$D$59-1),VLOOKUP("Referenz",$C$175:$AF$202,AE$4-$G$4+5,FALSE),VLOOKUP($C$12,$C$175:$AF$202,AE$4-$G$4+5,FALSE))</f>
        <v>3</v>
      </c>
      <c r="AF12" s="251">
        <f>IF(AF$4&lt;(ControlPanel!$D$59-1),VLOOKUP("Referenz",$C$175:$AF$202,AF$4-$G$4+5,FALSE),VLOOKUP($C$12,$C$175:$AF$202,AF$4-$G$4+5,FALSE))</f>
        <v>3</v>
      </c>
    </row>
    <row r="13" spans="1:32" ht="38.25">
      <c r="B13" s="171" t="s">
        <v>25</v>
      </c>
      <c r="C13" s="46" t="s">
        <v>138</v>
      </c>
      <c r="D13" s="52" t="s">
        <v>845</v>
      </c>
      <c r="E13" s="1067" t="s">
        <v>787</v>
      </c>
      <c r="F13" s="1061" t="s">
        <v>996</v>
      </c>
      <c r="G13" s="248">
        <v>0.11411000000000038</v>
      </c>
      <c r="H13" s="248">
        <v>9.2075899999999766E-2</v>
      </c>
      <c r="I13" s="248">
        <v>5.082349999999991E-2</v>
      </c>
      <c r="J13" s="248">
        <v>7.4043600000000209E-2</v>
      </c>
      <c r="K13" s="248">
        <v>0</v>
      </c>
      <c r="L13" s="248">
        <v>0.2908247849999997</v>
      </c>
      <c r="M13" s="248">
        <v>2.1633774999999821E-2</v>
      </c>
      <c r="N13" s="248">
        <v>5.4000000000000003E-3</v>
      </c>
      <c r="O13" s="248">
        <v>1.4999999999999999E-2</v>
      </c>
      <c r="P13" s="248">
        <v>1.7000000000000001E-2</v>
      </c>
      <c r="Q13" s="248">
        <v>1.2999999999999999E-2</v>
      </c>
      <c r="R13" s="248">
        <v>1.4E-2</v>
      </c>
      <c r="S13" s="248">
        <v>1.0999999999999999E-2</v>
      </c>
      <c r="T13" s="248">
        <v>1.0999999999999999E-2</v>
      </c>
      <c r="U13" s="248">
        <v>1.0999999999999999E-2</v>
      </c>
      <c r="V13" s="248">
        <v>1.0999999999999999E-2</v>
      </c>
      <c r="W13" s="248">
        <v>1.0999999999999999E-2</v>
      </c>
      <c r="X13" s="248">
        <v>1.0999999999999999E-2</v>
      </c>
      <c r="Y13" s="248">
        <v>1.0999999999999999E-2</v>
      </c>
      <c r="Z13" s="248">
        <v>1.0999999999999999E-2</v>
      </c>
      <c r="AA13" s="248">
        <v>1.0999999999999999E-2</v>
      </c>
      <c r="AB13" s="248">
        <v>1.0999999999999999E-2</v>
      </c>
      <c r="AC13" s="248">
        <v>1.0999999999999999E-2</v>
      </c>
      <c r="AD13" s="248">
        <v>1.0999999999999999E-2</v>
      </c>
      <c r="AE13" s="248">
        <v>1.0999999999999999E-2</v>
      </c>
      <c r="AF13" s="248">
        <v>1.0999999999999999E-2</v>
      </c>
    </row>
    <row r="14" spans="1:32" s="470" customFormat="1">
      <c r="A14" s="9"/>
      <c r="B14" s="64"/>
      <c r="C14" s="54"/>
      <c r="D14" s="54"/>
      <c r="E14" s="1068"/>
      <c r="F14" s="1062"/>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pans="1:32" s="470" customFormat="1">
      <c r="A15" s="9"/>
      <c r="B15" s="64"/>
      <c r="C15" s="54" t="s">
        <v>506</v>
      </c>
      <c r="D15" s="54" t="s">
        <v>65</v>
      </c>
      <c r="E15" s="1068" t="s">
        <v>573</v>
      </c>
      <c r="F15" s="1062"/>
      <c r="G15" s="249"/>
      <c r="H15" s="249"/>
      <c r="I15" s="249"/>
      <c r="J15" s="249"/>
      <c r="K15" s="249"/>
      <c r="L15" s="249"/>
      <c r="M15" s="249"/>
      <c r="N15" s="249"/>
      <c r="O15" s="249"/>
      <c r="P15" s="249"/>
      <c r="Q15" s="249"/>
      <c r="R15" s="249"/>
      <c r="S15" s="249">
        <v>0</v>
      </c>
      <c r="T15" s="249">
        <v>0</v>
      </c>
      <c r="U15" s="249">
        <v>0</v>
      </c>
      <c r="V15" s="249">
        <v>0</v>
      </c>
      <c r="W15" s="249">
        <v>0</v>
      </c>
      <c r="X15" s="249">
        <v>0</v>
      </c>
      <c r="Y15" s="249">
        <v>0</v>
      </c>
      <c r="Z15" s="249">
        <v>0</v>
      </c>
      <c r="AA15" s="249">
        <v>0</v>
      </c>
      <c r="AB15" s="249">
        <v>0</v>
      </c>
      <c r="AC15" s="249">
        <v>0</v>
      </c>
      <c r="AD15" s="249">
        <v>0</v>
      </c>
      <c r="AE15" s="249">
        <v>0</v>
      </c>
      <c r="AF15" s="249">
        <v>0</v>
      </c>
    </row>
    <row r="16" spans="1:32" s="470" customFormat="1">
      <c r="A16" s="9"/>
      <c r="B16" s="64"/>
      <c r="C16" s="54"/>
      <c r="D16" s="54"/>
      <c r="E16" s="1068"/>
      <c r="F16" s="1062"/>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pans="1:32" s="470" customFormat="1">
      <c r="A17" s="9"/>
      <c r="B17" s="64"/>
      <c r="C17" s="54"/>
      <c r="D17" s="54"/>
      <c r="E17" s="1068"/>
      <c r="F17" s="1062"/>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pans="1:32" s="470" customFormat="1">
      <c r="A18" s="9"/>
      <c r="B18" s="64"/>
      <c r="C18" s="54"/>
      <c r="D18" s="54"/>
      <c r="E18" s="1068"/>
      <c r="F18" s="1062"/>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pans="1:32" ht="25.5">
      <c r="B19" s="64"/>
      <c r="C19" s="16" t="s">
        <v>700</v>
      </c>
      <c r="D19" s="329" t="s">
        <v>845</v>
      </c>
      <c r="E19" s="495" t="s">
        <v>700</v>
      </c>
      <c r="F19" s="1064" t="s">
        <v>997</v>
      </c>
      <c r="G19" s="249"/>
      <c r="H19" s="249"/>
      <c r="I19" s="249"/>
      <c r="J19" s="249"/>
      <c r="K19" s="249"/>
      <c r="L19" s="249"/>
      <c r="M19" s="249"/>
      <c r="N19" s="249"/>
      <c r="O19" s="249"/>
      <c r="P19" s="249"/>
      <c r="Q19" s="249"/>
      <c r="R19" s="249"/>
      <c r="S19" s="249">
        <v>1.2999999999999999E-2</v>
      </c>
      <c r="T19" s="249">
        <v>1.2999999999999999E-2</v>
      </c>
      <c r="U19" s="249">
        <v>1.2999999999999999E-2</v>
      </c>
      <c r="V19" s="249">
        <v>1.2999999999999999E-2</v>
      </c>
      <c r="W19" s="249">
        <v>1.2999999999999999E-2</v>
      </c>
      <c r="X19" s="249">
        <f>X13</f>
        <v>1.0999999999999999E-2</v>
      </c>
      <c r="Y19" s="249">
        <f t="shared" ref="Y19:AF19" si="0">Y13</f>
        <v>1.0999999999999999E-2</v>
      </c>
      <c r="Z19" s="249">
        <f t="shared" si="0"/>
        <v>1.0999999999999999E-2</v>
      </c>
      <c r="AA19" s="249">
        <f t="shared" si="0"/>
        <v>1.0999999999999999E-2</v>
      </c>
      <c r="AB19" s="249">
        <f t="shared" si="0"/>
        <v>1.0999999999999999E-2</v>
      </c>
      <c r="AC19" s="249">
        <f t="shared" si="0"/>
        <v>1.0999999999999999E-2</v>
      </c>
      <c r="AD19" s="249">
        <f t="shared" si="0"/>
        <v>1.0999999999999999E-2</v>
      </c>
      <c r="AE19" s="249">
        <f t="shared" si="0"/>
        <v>1.0999999999999999E-2</v>
      </c>
      <c r="AF19" s="249">
        <f t="shared" si="0"/>
        <v>1.0999999999999999E-2</v>
      </c>
    </row>
    <row r="20" spans="1:32" ht="25.5">
      <c r="B20" s="64"/>
      <c r="C20" s="16" t="s">
        <v>701</v>
      </c>
      <c r="D20" s="329" t="s">
        <v>845</v>
      </c>
      <c r="E20" s="495" t="s">
        <v>701</v>
      </c>
      <c r="F20" s="1064" t="s">
        <v>998</v>
      </c>
      <c r="G20" s="249"/>
      <c r="H20" s="249"/>
      <c r="I20" s="249"/>
      <c r="J20" s="249"/>
      <c r="K20" s="249"/>
      <c r="L20" s="249"/>
      <c r="M20" s="249"/>
      <c r="N20" s="249"/>
      <c r="O20" s="249"/>
      <c r="P20" s="249"/>
      <c r="Q20" s="249"/>
      <c r="R20" s="249"/>
      <c r="S20" s="249">
        <v>8.0000000000000002E-3</v>
      </c>
      <c r="T20" s="249">
        <v>8.0000000000000002E-3</v>
      </c>
      <c r="U20" s="249">
        <v>8.0000000000000002E-3</v>
      </c>
      <c r="V20" s="249">
        <v>8.0000000000000002E-3</v>
      </c>
      <c r="W20" s="249">
        <v>8.0000000000000002E-3</v>
      </c>
      <c r="X20" s="249">
        <f>X13</f>
        <v>1.0999999999999999E-2</v>
      </c>
      <c r="Y20" s="249">
        <f t="shared" ref="Y20:AF20" si="1">Y13</f>
        <v>1.0999999999999999E-2</v>
      </c>
      <c r="Z20" s="249">
        <f t="shared" si="1"/>
        <v>1.0999999999999999E-2</v>
      </c>
      <c r="AA20" s="249">
        <f t="shared" si="1"/>
        <v>1.0999999999999999E-2</v>
      </c>
      <c r="AB20" s="249">
        <f t="shared" si="1"/>
        <v>1.0999999999999999E-2</v>
      </c>
      <c r="AC20" s="249">
        <f t="shared" si="1"/>
        <v>1.0999999999999999E-2</v>
      </c>
      <c r="AD20" s="249">
        <f t="shared" si="1"/>
        <v>1.0999999999999999E-2</v>
      </c>
      <c r="AE20" s="249">
        <f t="shared" si="1"/>
        <v>1.0999999999999999E-2</v>
      </c>
      <c r="AF20" s="249">
        <f t="shared" si="1"/>
        <v>1.0999999999999999E-2</v>
      </c>
    </row>
    <row r="21" spans="1:32">
      <c r="B21" s="471"/>
      <c r="C21" s="183"/>
      <c r="D21" s="168"/>
      <c r="E21" s="1201"/>
      <c r="F21" s="1202"/>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row>
    <row r="22" spans="1:32" s="470" customFormat="1">
      <c r="B22" s="471"/>
      <c r="C22" s="166"/>
      <c r="D22" s="166"/>
      <c r="E22" s="1070"/>
      <c r="F22" s="1044"/>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row>
    <row r="23" spans="1:32" s="470" customFormat="1">
      <c r="B23" s="471"/>
      <c r="C23" s="166"/>
      <c r="D23" s="166"/>
      <c r="E23" s="1070"/>
      <c r="F23" s="1044"/>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row>
    <row r="24" spans="1:32" s="470" customFormat="1">
      <c r="B24" s="471"/>
      <c r="C24" s="166"/>
      <c r="D24" s="166"/>
      <c r="E24" s="1070"/>
      <c r="F24" s="1044"/>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row>
    <row r="25" spans="1:32" s="470" customFormat="1">
      <c r="B25" s="471"/>
      <c r="C25" s="166"/>
      <c r="D25" s="166"/>
      <c r="E25" s="1070"/>
      <c r="F25" s="1044"/>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row>
    <row r="26" spans="1:32" s="470" customFormat="1">
      <c r="B26" s="471"/>
      <c r="C26" s="166"/>
      <c r="D26" s="166"/>
      <c r="E26" s="1070"/>
      <c r="F26" s="1044"/>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row>
    <row r="27" spans="1:32" s="470" customFormat="1">
      <c r="B27" s="471"/>
      <c r="C27" s="166"/>
      <c r="D27" s="166"/>
      <c r="E27" s="1070"/>
      <c r="F27" s="1044"/>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row>
    <row r="28" spans="1:32" s="470" customFormat="1">
      <c r="B28" s="471"/>
      <c r="C28" s="166"/>
      <c r="D28" s="166"/>
      <c r="E28" s="1070"/>
      <c r="F28" s="1044"/>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row>
    <row r="29" spans="1:32" s="470" customFormat="1">
      <c r="B29" s="471"/>
      <c r="C29" s="166"/>
      <c r="D29" s="166"/>
      <c r="E29" s="1070"/>
      <c r="F29" s="1044"/>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row>
    <row r="30" spans="1:32" s="470" customFormat="1">
      <c r="B30" s="471"/>
      <c r="C30" s="166"/>
      <c r="D30" s="166"/>
      <c r="E30" s="1070"/>
      <c r="F30" s="1044"/>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row>
    <row r="31" spans="1:32" s="470" customFormat="1">
      <c r="B31" s="471"/>
      <c r="C31" s="166"/>
      <c r="D31" s="166"/>
      <c r="E31" s="1070"/>
      <c r="F31" s="1044"/>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row>
    <row r="32" spans="1:32" s="470" customFormat="1">
      <c r="B32" s="471"/>
      <c r="C32" s="166"/>
      <c r="D32" s="166"/>
      <c r="E32" s="1070"/>
      <c r="F32" s="1044"/>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row>
    <row r="33" spans="1:32" s="470" customFormat="1">
      <c r="B33" s="471"/>
      <c r="C33" s="166"/>
      <c r="D33" s="166"/>
      <c r="E33" s="1070"/>
      <c r="F33" s="1044"/>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row>
    <row r="34" spans="1:32" s="470" customFormat="1">
      <c r="B34" s="471"/>
      <c r="C34" s="166"/>
      <c r="D34" s="166"/>
      <c r="E34" s="1070"/>
      <c r="F34" s="1044"/>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row>
    <row r="35" spans="1:32" s="470" customFormat="1">
      <c r="B35" s="471"/>
      <c r="C35" s="166"/>
      <c r="D35" s="166"/>
      <c r="E35" s="1070"/>
      <c r="F35" s="1044"/>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row>
    <row r="36" spans="1:32" s="470" customFormat="1">
      <c r="B36" s="471"/>
      <c r="C36" s="166"/>
      <c r="D36" s="166"/>
      <c r="E36" s="1070"/>
      <c r="F36" s="1044"/>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row>
    <row r="37" spans="1:32" s="470" customFormat="1">
      <c r="B37" s="472"/>
      <c r="C37" s="166"/>
      <c r="D37" s="166"/>
      <c r="E37" s="1070"/>
      <c r="F37" s="1044"/>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row>
    <row r="38" spans="1:32">
      <c r="C38" s="47"/>
      <c r="D38" s="47"/>
      <c r="E38" s="1047"/>
      <c r="F38" s="1061"/>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row>
    <row r="39" spans="1:32" ht="38.25">
      <c r="B39" s="172" t="s">
        <v>27</v>
      </c>
      <c r="C39" s="46" t="s">
        <v>138</v>
      </c>
      <c r="D39" s="52" t="s">
        <v>845</v>
      </c>
      <c r="E39" s="1067" t="s">
        <v>551</v>
      </c>
      <c r="F39" s="1061" t="s">
        <v>999</v>
      </c>
      <c r="G39" s="248">
        <v>1.5435999999999849E-2</v>
      </c>
      <c r="H39" s="248">
        <v>1.2638999999999964E-2</v>
      </c>
      <c r="I39" s="248">
        <v>7.8030000000000209E-3</v>
      </c>
      <c r="J39" s="248">
        <v>8.2572000000000756E-3</v>
      </c>
      <c r="K39" s="248">
        <v>0</v>
      </c>
      <c r="L39" s="248">
        <v>4.5781999999999823E-2</v>
      </c>
      <c r="M39" s="248">
        <v>4.0839999999999765E-3</v>
      </c>
      <c r="N39" s="248">
        <v>1.6999999999999999E-3</v>
      </c>
      <c r="O39" s="248">
        <v>6.0000000000000001E-3</v>
      </c>
      <c r="P39" s="248">
        <v>2E-3</v>
      </c>
      <c r="Q39" s="248">
        <v>2E-3</v>
      </c>
      <c r="R39" s="248">
        <v>1.9000000000000002E-3</v>
      </c>
      <c r="S39" s="248">
        <v>1.9000000000000002E-3</v>
      </c>
      <c r="T39" s="248">
        <v>1.9000000000000002E-3</v>
      </c>
      <c r="U39" s="248">
        <v>1.9000000000000002E-3</v>
      </c>
      <c r="V39" s="248">
        <v>1.9000000000000002E-3</v>
      </c>
      <c r="W39" s="248">
        <v>1.9000000000000002E-3</v>
      </c>
      <c r="X39" s="248">
        <v>0.01</v>
      </c>
      <c r="Y39" s="248">
        <v>0.01</v>
      </c>
      <c r="Z39" s="248">
        <v>0.01</v>
      </c>
      <c r="AA39" s="248">
        <v>0.01</v>
      </c>
      <c r="AB39" s="248">
        <v>0.01</v>
      </c>
      <c r="AC39" s="248">
        <v>0.01</v>
      </c>
      <c r="AD39" s="248">
        <v>0.01</v>
      </c>
      <c r="AE39" s="248">
        <v>0.01</v>
      </c>
      <c r="AF39" s="248">
        <v>0.01</v>
      </c>
    </row>
    <row r="40" spans="1:32" s="470" customFormat="1">
      <c r="A40" s="9"/>
      <c r="B40" s="64"/>
      <c r="C40" s="54"/>
      <c r="D40" s="54"/>
      <c r="E40" s="1068"/>
      <c r="F40" s="1062"/>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row>
    <row r="41" spans="1:32">
      <c r="B41" s="64"/>
      <c r="C41" s="54" t="s">
        <v>506</v>
      </c>
      <c r="D41" s="54" t="s">
        <v>65</v>
      </c>
      <c r="E41" s="1068" t="s">
        <v>573</v>
      </c>
      <c r="G41" s="249"/>
      <c r="H41" s="249"/>
      <c r="I41" s="249"/>
      <c r="J41" s="249"/>
      <c r="K41" s="249"/>
      <c r="L41" s="249"/>
      <c r="M41" s="249"/>
      <c r="N41" s="249"/>
      <c r="O41" s="249"/>
      <c r="P41" s="249"/>
      <c r="Q41" s="249"/>
      <c r="R41" s="249"/>
      <c r="S41" s="249">
        <v>0</v>
      </c>
      <c r="T41" s="249">
        <v>0</v>
      </c>
      <c r="U41" s="249">
        <v>0</v>
      </c>
      <c r="V41" s="249">
        <v>0</v>
      </c>
      <c r="W41" s="249">
        <v>0</v>
      </c>
      <c r="X41" s="249">
        <v>0</v>
      </c>
      <c r="Y41" s="249">
        <v>0</v>
      </c>
      <c r="Z41" s="249">
        <v>0</v>
      </c>
      <c r="AA41" s="249">
        <v>0</v>
      </c>
      <c r="AB41" s="249">
        <v>0</v>
      </c>
      <c r="AC41" s="249">
        <v>0</v>
      </c>
      <c r="AD41" s="249">
        <v>0</v>
      </c>
      <c r="AE41" s="249">
        <v>0</v>
      </c>
      <c r="AF41" s="249">
        <v>0</v>
      </c>
    </row>
    <row r="42" spans="1:32">
      <c r="B42" s="64"/>
      <c r="C42" s="16"/>
      <c r="D42" s="329"/>
      <c r="E42" s="498"/>
      <c r="G42" s="249"/>
      <c r="H42" s="249"/>
      <c r="I42" s="249"/>
      <c r="J42" s="249"/>
      <c r="K42" s="249"/>
      <c r="L42" s="249"/>
      <c r="M42" s="249"/>
      <c r="N42" s="249"/>
      <c r="O42" s="249"/>
      <c r="P42" s="249"/>
      <c r="Q42" s="249"/>
      <c r="R42" s="249"/>
      <c r="S42" s="249"/>
      <c r="T42" s="249"/>
      <c r="U42" s="249"/>
      <c r="V42" s="249"/>
      <c r="W42" s="249"/>
      <c r="X42" s="249"/>
      <c r="Y42" s="249"/>
      <c r="Z42" s="249"/>
      <c r="AA42" s="249"/>
      <c r="AB42" s="249"/>
      <c r="AC42" s="249"/>
      <c r="AD42" s="249"/>
      <c r="AE42" s="249"/>
      <c r="AF42" s="249"/>
    </row>
    <row r="43" spans="1:32">
      <c r="B43" s="64"/>
      <c r="C43" s="16"/>
      <c r="D43" s="329"/>
      <c r="E43" s="498"/>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row>
    <row r="44" spans="1:32" s="470" customFormat="1">
      <c r="A44" s="9"/>
      <c r="B44" s="64"/>
      <c r="C44" s="54"/>
      <c r="D44" s="54"/>
      <c r="E44" s="1068"/>
      <c r="F44" s="1062"/>
      <c r="G44" s="249"/>
      <c r="H44" s="249"/>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row>
    <row r="45" spans="1:32" s="470" customFormat="1" ht="25.5">
      <c r="A45" s="9"/>
      <c r="B45" s="64"/>
      <c r="C45" s="16" t="s">
        <v>700</v>
      </c>
      <c r="D45" s="54" t="s">
        <v>845</v>
      </c>
      <c r="E45" s="495" t="s">
        <v>700</v>
      </c>
      <c r="F45" s="1064" t="s">
        <v>997</v>
      </c>
      <c r="G45" s="249"/>
      <c r="H45" s="249"/>
      <c r="I45" s="249"/>
      <c r="J45" s="249"/>
      <c r="K45" s="249"/>
      <c r="L45" s="249"/>
      <c r="M45" s="249"/>
      <c r="N45" s="249"/>
      <c r="O45" s="249"/>
      <c r="P45" s="249"/>
      <c r="Q45" s="249"/>
      <c r="R45" s="249"/>
      <c r="S45" s="249">
        <v>3.5000000000000001E-3</v>
      </c>
      <c r="T45" s="249">
        <v>3.5000000000000001E-3</v>
      </c>
      <c r="U45" s="249">
        <v>3.5000000000000001E-3</v>
      </c>
      <c r="V45" s="249">
        <v>3.5000000000000001E-3</v>
      </c>
      <c r="W45" s="249">
        <v>3.5000000000000001E-3</v>
      </c>
      <c r="X45" s="249">
        <f t="shared" ref="X45:AF46" si="2">X$39</f>
        <v>0.01</v>
      </c>
      <c r="Y45" s="249">
        <f t="shared" si="2"/>
        <v>0.01</v>
      </c>
      <c r="Z45" s="249">
        <f t="shared" si="2"/>
        <v>0.01</v>
      </c>
      <c r="AA45" s="249">
        <f t="shared" si="2"/>
        <v>0.01</v>
      </c>
      <c r="AB45" s="249">
        <f t="shared" si="2"/>
        <v>0.01</v>
      </c>
      <c r="AC45" s="249">
        <f t="shared" si="2"/>
        <v>0.01</v>
      </c>
      <c r="AD45" s="249">
        <f t="shared" si="2"/>
        <v>0.01</v>
      </c>
      <c r="AE45" s="249">
        <f t="shared" si="2"/>
        <v>0.01</v>
      </c>
      <c r="AF45" s="249">
        <f t="shared" si="2"/>
        <v>0.01</v>
      </c>
    </row>
    <row r="46" spans="1:32" s="470" customFormat="1" ht="25.5">
      <c r="A46" s="9"/>
      <c r="B46" s="64"/>
      <c r="C46" s="16" t="s">
        <v>701</v>
      </c>
      <c r="D46" s="54" t="s">
        <v>845</v>
      </c>
      <c r="E46" s="495" t="s">
        <v>701</v>
      </c>
      <c r="F46" s="1064" t="s">
        <v>998</v>
      </c>
      <c r="G46" s="249"/>
      <c r="H46" s="249"/>
      <c r="I46" s="249"/>
      <c r="J46" s="249"/>
      <c r="K46" s="249"/>
      <c r="L46" s="249"/>
      <c r="M46" s="249"/>
      <c r="N46" s="249"/>
      <c r="O46" s="249"/>
      <c r="P46" s="249"/>
      <c r="Q46" s="249"/>
      <c r="R46" s="249"/>
      <c r="S46" s="249">
        <v>4.0000000000000002E-4</v>
      </c>
      <c r="T46" s="249">
        <v>4.0000000000000002E-4</v>
      </c>
      <c r="U46" s="249">
        <v>4.0000000000000002E-4</v>
      </c>
      <c r="V46" s="249">
        <v>4.0000000000000002E-4</v>
      </c>
      <c r="W46" s="249">
        <v>4.0000000000000002E-4</v>
      </c>
      <c r="X46" s="249">
        <f t="shared" si="2"/>
        <v>0.01</v>
      </c>
      <c r="Y46" s="249">
        <f t="shared" si="2"/>
        <v>0.01</v>
      </c>
      <c r="Z46" s="249">
        <f t="shared" si="2"/>
        <v>0.01</v>
      </c>
      <c r="AA46" s="249">
        <f t="shared" si="2"/>
        <v>0.01</v>
      </c>
      <c r="AB46" s="249">
        <f t="shared" si="2"/>
        <v>0.01</v>
      </c>
      <c r="AC46" s="249">
        <f t="shared" si="2"/>
        <v>0.01</v>
      </c>
      <c r="AD46" s="249">
        <f t="shared" si="2"/>
        <v>0.01</v>
      </c>
      <c r="AE46" s="249">
        <f t="shared" si="2"/>
        <v>0.01</v>
      </c>
      <c r="AF46" s="249">
        <f t="shared" si="2"/>
        <v>0.01</v>
      </c>
    </row>
    <row r="47" spans="1:32" s="470" customFormat="1">
      <c r="B47" s="471"/>
      <c r="C47" s="166"/>
      <c r="D47" s="166"/>
      <c r="E47" s="1070"/>
      <c r="F47" s="1044"/>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row>
    <row r="48" spans="1:32" s="470" customFormat="1">
      <c r="B48" s="471"/>
      <c r="C48" s="166"/>
      <c r="D48" s="166"/>
      <c r="E48" s="1070"/>
      <c r="F48" s="1044"/>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row>
    <row r="49" spans="2:32" s="470" customFormat="1">
      <c r="B49" s="471"/>
      <c r="C49" s="166"/>
      <c r="D49" s="166"/>
      <c r="E49" s="1070"/>
      <c r="F49" s="1044"/>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row>
    <row r="50" spans="2:32" s="470" customFormat="1">
      <c r="B50" s="471"/>
      <c r="C50" s="166"/>
      <c r="D50" s="166"/>
      <c r="E50" s="1070"/>
      <c r="F50" s="1044"/>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row>
    <row r="51" spans="2:32" s="470" customFormat="1">
      <c r="B51" s="471"/>
      <c r="C51" s="166"/>
      <c r="D51" s="166"/>
      <c r="E51" s="1070"/>
      <c r="F51" s="1044"/>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row>
    <row r="52" spans="2:32" s="470" customFormat="1">
      <c r="B52" s="471"/>
      <c r="C52" s="166"/>
      <c r="D52" s="166"/>
      <c r="E52" s="1070"/>
      <c r="F52" s="1044"/>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row>
    <row r="53" spans="2:32" s="470" customFormat="1">
      <c r="B53" s="471"/>
      <c r="C53" s="166"/>
      <c r="D53" s="166"/>
      <c r="E53" s="1070"/>
      <c r="F53" s="1044"/>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row>
    <row r="54" spans="2:32" s="470" customFormat="1">
      <c r="B54" s="471"/>
      <c r="C54" s="166"/>
      <c r="D54" s="166"/>
      <c r="E54" s="1070"/>
      <c r="F54" s="1044"/>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row>
    <row r="55" spans="2:32" s="470" customFormat="1">
      <c r="B55" s="471"/>
      <c r="C55" s="166"/>
      <c r="D55" s="166"/>
      <c r="E55" s="1070"/>
      <c r="F55" s="1044"/>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row>
    <row r="56" spans="2:32" s="470" customFormat="1">
      <c r="B56" s="471"/>
      <c r="C56" s="166"/>
      <c r="D56" s="166"/>
      <c r="E56" s="1070"/>
      <c r="F56" s="1044"/>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row>
    <row r="57" spans="2:32" s="470" customFormat="1">
      <c r="B57" s="471"/>
      <c r="C57" s="166"/>
      <c r="D57" s="166"/>
      <c r="E57" s="1070"/>
      <c r="F57" s="1044"/>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row>
    <row r="58" spans="2:32" s="470" customFormat="1">
      <c r="B58" s="471"/>
      <c r="C58" s="166"/>
      <c r="D58" s="166"/>
      <c r="E58" s="1070"/>
      <c r="F58" s="1044"/>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row>
    <row r="59" spans="2:32" s="470" customFormat="1">
      <c r="B59" s="471"/>
      <c r="C59" s="166"/>
      <c r="D59" s="166"/>
      <c r="E59" s="1070"/>
      <c r="F59" s="1044"/>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row>
    <row r="60" spans="2:32" s="470" customFormat="1">
      <c r="B60" s="471"/>
      <c r="C60" s="166"/>
      <c r="D60" s="166"/>
      <c r="E60" s="1070"/>
      <c r="F60" s="1044"/>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row>
    <row r="61" spans="2:32" s="470" customFormat="1">
      <c r="B61" s="471"/>
      <c r="C61" s="166"/>
      <c r="D61" s="166"/>
      <c r="E61" s="1070"/>
      <c r="F61" s="1044"/>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row>
    <row r="62" spans="2:32" s="470" customFormat="1">
      <c r="B62" s="471"/>
      <c r="C62" s="166"/>
      <c r="D62" s="166"/>
      <c r="E62" s="1070"/>
      <c r="F62" s="1044"/>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row>
    <row r="63" spans="2:32" s="470" customFormat="1">
      <c r="B63" s="472"/>
      <c r="C63" s="166"/>
      <c r="D63" s="166"/>
      <c r="E63" s="1070"/>
      <c r="F63" s="1044"/>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row>
    <row r="64" spans="2:32">
      <c r="C64" s="47"/>
      <c r="D64" s="47"/>
      <c r="E64" s="1047"/>
      <c r="F64" s="1061"/>
      <c r="G64" s="1261"/>
      <c r="H64" s="1261"/>
      <c r="I64" s="1261"/>
      <c r="J64" s="1261"/>
      <c r="K64" s="1261"/>
      <c r="L64" s="1261"/>
      <c r="M64" s="1261"/>
      <c r="N64" s="1261"/>
      <c r="O64" s="1261"/>
      <c r="P64" s="1261"/>
      <c r="Q64" s="257"/>
      <c r="R64" s="257"/>
      <c r="S64" s="257"/>
      <c r="T64" s="257"/>
      <c r="U64" s="257"/>
      <c r="V64" s="257"/>
      <c r="W64" s="257"/>
      <c r="X64" s="257"/>
      <c r="Y64" s="257"/>
      <c r="Z64" s="257"/>
      <c r="AA64" s="257"/>
      <c r="AB64" s="257"/>
      <c r="AC64" s="257"/>
      <c r="AD64" s="257"/>
      <c r="AE64" s="257"/>
      <c r="AF64" s="257"/>
    </row>
    <row r="65" spans="2:32" ht="25.5">
      <c r="B65" s="172" t="s">
        <v>13</v>
      </c>
      <c r="C65" s="46" t="s">
        <v>138</v>
      </c>
      <c r="D65" s="52" t="s">
        <v>845</v>
      </c>
      <c r="E65" s="1067" t="s">
        <v>1001</v>
      </c>
      <c r="F65" s="1173" t="s">
        <v>1000</v>
      </c>
      <c r="G65" s="248">
        <f>418/(1000)</f>
        <v>0.41799999999999998</v>
      </c>
      <c r="H65" s="248">
        <f>865.86813/(1000)</f>
        <v>0.86586812999999996</v>
      </c>
      <c r="I65" s="248">
        <f>328.091840000001/(1000)</f>
        <v>0.32809184000000102</v>
      </c>
      <c r="J65" s="248">
        <f>676.855029999999/(1000)</f>
        <v>0.67685502999999902</v>
      </c>
      <c r="K65" s="248">
        <f>217.410000000001/(1000)</f>
        <v>0.21741000000000099</v>
      </c>
      <c r="L65" s="248">
        <f>234.616/(1000)</f>
        <v>0.23461600000000002</v>
      </c>
      <c r="M65" s="248">
        <f>224.972/(1000)</f>
        <v>0.22497200000000001</v>
      </c>
      <c r="N65" s="248">
        <f>306.787/(1000)</f>
        <v>0.30678699999999998</v>
      </c>
      <c r="O65" s="248">
        <f>427.511081000001/(1000)</f>
        <v>0.42751108100000101</v>
      </c>
      <c r="P65" s="248">
        <f>332.533659/(1000)</f>
        <v>0.33253365899999998</v>
      </c>
      <c r="Q65" s="248">
        <v>0.17599999999999999</v>
      </c>
      <c r="R65" s="248">
        <v>0.124</v>
      </c>
      <c r="S65" s="248">
        <v>0.36699999999999999</v>
      </c>
      <c r="T65" s="248">
        <v>0.36699999999999999</v>
      </c>
      <c r="U65" s="248">
        <v>0.36699999999999999</v>
      </c>
      <c r="V65" s="248">
        <v>0.36699999999999999</v>
      </c>
      <c r="W65" s="248">
        <v>0.36699999999999999</v>
      </c>
      <c r="X65" s="248">
        <v>0.2</v>
      </c>
      <c r="Y65" s="248">
        <v>0.2</v>
      </c>
      <c r="Z65" s="248">
        <v>0.2</v>
      </c>
      <c r="AA65" s="248">
        <v>0.2</v>
      </c>
      <c r="AB65" s="248">
        <v>0.2</v>
      </c>
      <c r="AC65" s="248">
        <v>0.2</v>
      </c>
      <c r="AD65" s="248">
        <v>0.2</v>
      </c>
      <c r="AE65" s="248">
        <v>0.2</v>
      </c>
      <c r="AF65" s="248">
        <v>0.2</v>
      </c>
    </row>
    <row r="66" spans="2:32">
      <c r="B66" s="64"/>
      <c r="C66" s="54" t="s">
        <v>506</v>
      </c>
      <c r="D66" s="54" t="s">
        <v>65</v>
      </c>
      <c r="E66" s="1068" t="s">
        <v>573</v>
      </c>
      <c r="G66" s="249">
        <f>773.189/(1000)</f>
        <v>0.77318900000000002</v>
      </c>
      <c r="H66" s="249">
        <f>1265.73/(1000)</f>
        <v>1.26573</v>
      </c>
      <c r="I66" s="249">
        <f>295.369/(1000)</f>
        <v>0.29536900000000005</v>
      </c>
      <c r="J66" s="249">
        <f>264.841/(1000)</f>
        <v>0.26484099999999999</v>
      </c>
      <c r="K66" s="249"/>
      <c r="L66" s="249"/>
      <c r="M66" s="249"/>
      <c r="N66" s="249"/>
      <c r="O66" s="249"/>
      <c r="P66" s="249"/>
      <c r="Q66" s="249"/>
      <c r="R66" s="249"/>
      <c r="S66" s="249">
        <v>0</v>
      </c>
      <c r="T66" s="249">
        <v>0</v>
      </c>
      <c r="U66" s="249">
        <v>0</v>
      </c>
      <c r="V66" s="249">
        <v>0</v>
      </c>
      <c r="W66" s="249">
        <v>0</v>
      </c>
      <c r="X66" s="249">
        <v>0</v>
      </c>
      <c r="Y66" s="249">
        <v>0</v>
      </c>
      <c r="Z66" s="249">
        <v>0</v>
      </c>
      <c r="AA66" s="249">
        <v>0</v>
      </c>
      <c r="AB66" s="249">
        <v>0</v>
      </c>
      <c r="AC66" s="249">
        <v>0</v>
      </c>
      <c r="AD66" s="249">
        <v>0</v>
      </c>
      <c r="AE66" s="249">
        <v>0</v>
      </c>
      <c r="AF66" s="249">
        <v>0</v>
      </c>
    </row>
    <row r="67" spans="2:32">
      <c r="B67" s="64"/>
      <c r="C67" s="54" t="s">
        <v>98</v>
      </c>
      <c r="D67" s="54" t="s">
        <v>65</v>
      </c>
      <c r="E67" s="1068" t="s">
        <v>588</v>
      </c>
      <c r="G67" s="249"/>
      <c r="H67" s="249"/>
      <c r="I67" s="249"/>
      <c r="J67" s="249"/>
      <c r="K67" s="249"/>
      <c r="L67" s="249"/>
      <c r="M67" s="249"/>
      <c r="N67" s="249"/>
      <c r="O67" s="249"/>
      <c r="P67" s="249"/>
      <c r="Q67" s="249"/>
      <c r="R67" s="249"/>
      <c r="S67" s="249">
        <v>0.1</v>
      </c>
      <c r="T67" s="249">
        <v>0.1</v>
      </c>
      <c r="U67" s="249">
        <v>0.1</v>
      </c>
      <c r="V67" s="249">
        <v>0.1</v>
      </c>
      <c r="W67" s="249">
        <v>0.1</v>
      </c>
      <c r="X67" s="249">
        <v>0.1</v>
      </c>
      <c r="Y67" s="249">
        <v>0.1</v>
      </c>
      <c r="Z67" s="249">
        <v>0.1</v>
      </c>
      <c r="AA67" s="249">
        <v>0.1</v>
      </c>
      <c r="AB67" s="249">
        <v>0.1</v>
      </c>
      <c r="AC67" s="249">
        <v>0.1</v>
      </c>
      <c r="AD67" s="249">
        <v>0.1</v>
      </c>
      <c r="AE67" s="249">
        <v>0.1</v>
      </c>
      <c r="AF67" s="249">
        <v>0.1</v>
      </c>
    </row>
    <row r="68" spans="2:32">
      <c r="B68" s="64"/>
      <c r="C68" s="54" t="s">
        <v>96</v>
      </c>
      <c r="D68" s="54" t="s">
        <v>65</v>
      </c>
      <c r="E68" s="1068" t="s">
        <v>589</v>
      </c>
      <c r="G68" s="249"/>
      <c r="H68" s="249"/>
      <c r="I68" s="249"/>
      <c r="J68" s="249"/>
      <c r="K68" s="249"/>
      <c r="L68" s="249"/>
      <c r="M68" s="249"/>
      <c r="N68" s="249"/>
      <c r="O68" s="249"/>
      <c r="P68" s="249"/>
      <c r="Q68" s="249"/>
      <c r="R68" s="249"/>
      <c r="S68" s="249">
        <v>0.2</v>
      </c>
      <c r="T68" s="249">
        <v>0.2</v>
      </c>
      <c r="U68" s="249">
        <v>0.2</v>
      </c>
      <c r="V68" s="249">
        <v>0.2</v>
      </c>
      <c r="W68" s="249">
        <v>0.2</v>
      </c>
      <c r="X68" s="249">
        <v>0.2</v>
      </c>
      <c r="Y68" s="249">
        <v>0.2</v>
      </c>
      <c r="Z68" s="249">
        <v>0.2</v>
      </c>
      <c r="AA68" s="249">
        <v>0.2</v>
      </c>
      <c r="AB68" s="249">
        <v>0.2</v>
      </c>
      <c r="AC68" s="249">
        <v>0.2</v>
      </c>
      <c r="AD68" s="249">
        <v>0.2</v>
      </c>
      <c r="AE68" s="249">
        <v>0.2</v>
      </c>
      <c r="AF68" s="249">
        <v>0.2</v>
      </c>
    </row>
    <row r="69" spans="2:32">
      <c r="B69" s="64"/>
      <c r="C69" s="54" t="s">
        <v>99</v>
      </c>
      <c r="D69" s="54" t="s">
        <v>65</v>
      </c>
      <c r="E69" s="1068" t="s">
        <v>590</v>
      </c>
      <c r="G69" s="249"/>
      <c r="H69" s="249"/>
      <c r="I69" s="249"/>
      <c r="J69" s="249"/>
      <c r="K69" s="249"/>
      <c r="L69" s="249"/>
      <c r="M69" s="249"/>
      <c r="N69" s="249"/>
      <c r="O69" s="249"/>
      <c r="P69" s="249"/>
      <c r="Q69" s="249"/>
      <c r="R69" s="249"/>
      <c r="S69" s="249">
        <v>0.3</v>
      </c>
      <c r="T69" s="249">
        <v>0.3</v>
      </c>
      <c r="U69" s="249">
        <v>0.3</v>
      </c>
      <c r="V69" s="249">
        <v>0.3</v>
      </c>
      <c r="W69" s="249">
        <v>0.3</v>
      </c>
      <c r="X69" s="249">
        <v>0.3</v>
      </c>
      <c r="Y69" s="249">
        <v>0.3</v>
      </c>
      <c r="Z69" s="249">
        <v>0.3</v>
      </c>
      <c r="AA69" s="249">
        <v>0.3</v>
      </c>
      <c r="AB69" s="249">
        <v>0.3</v>
      </c>
      <c r="AC69" s="249">
        <v>0.3</v>
      </c>
      <c r="AD69" s="249">
        <v>0.3</v>
      </c>
      <c r="AE69" s="249">
        <v>0.3</v>
      </c>
      <c r="AF69" s="249">
        <v>0.3</v>
      </c>
    </row>
    <row r="70" spans="2:32">
      <c r="B70" s="64"/>
      <c r="C70" s="54" t="s">
        <v>100</v>
      </c>
      <c r="D70" s="54" t="s">
        <v>65</v>
      </c>
      <c r="E70" s="1068" t="s">
        <v>591</v>
      </c>
      <c r="G70" s="249"/>
      <c r="H70" s="249"/>
      <c r="I70" s="249"/>
      <c r="J70" s="249"/>
      <c r="K70" s="249"/>
      <c r="L70" s="249"/>
      <c r="M70" s="249"/>
      <c r="N70" s="249"/>
      <c r="O70" s="249"/>
      <c r="P70" s="249"/>
      <c r="Q70" s="249"/>
      <c r="R70" s="249"/>
      <c r="S70" s="249">
        <v>0.4</v>
      </c>
      <c r="T70" s="249">
        <v>0.4</v>
      </c>
      <c r="U70" s="249">
        <v>0.4</v>
      </c>
      <c r="V70" s="249">
        <v>0.4</v>
      </c>
      <c r="W70" s="249">
        <v>0.4</v>
      </c>
      <c r="X70" s="249">
        <v>0.4</v>
      </c>
      <c r="Y70" s="249">
        <v>0.4</v>
      </c>
      <c r="Z70" s="249">
        <v>0.4</v>
      </c>
      <c r="AA70" s="249">
        <v>0.4</v>
      </c>
      <c r="AB70" s="249">
        <v>0.4</v>
      </c>
      <c r="AC70" s="249">
        <v>0.4</v>
      </c>
      <c r="AD70" s="249">
        <v>0.4</v>
      </c>
      <c r="AE70" s="249">
        <v>0.4</v>
      </c>
      <c r="AF70" s="249">
        <v>0.4</v>
      </c>
    </row>
    <row r="71" spans="2:32">
      <c r="B71" s="64"/>
      <c r="C71" s="50"/>
      <c r="D71" s="54"/>
      <c r="E71" s="1068"/>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249"/>
      <c r="AE71" s="249"/>
      <c r="AF71" s="249"/>
    </row>
    <row r="72" spans="2:32" ht="25.5">
      <c r="B72" s="64"/>
      <c r="C72" s="16" t="s">
        <v>700</v>
      </c>
      <c r="D72" s="329" t="s">
        <v>845</v>
      </c>
      <c r="E72" s="495" t="s">
        <v>700</v>
      </c>
      <c r="F72" s="1064" t="s">
        <v>997</v>
      </c>
      <c r="G72" s="249"/>
      <c r="H72" s="249"/>
      <c r="I72" s="249"/>
      <c r="J72" s="249"/>
      <c r="K72" s="249"/>
      <c r="L72" s="249"/>
      <c r="M72" s="249"/>
      <c r="N72" s="249"/>
      <c r="O72" s="249"/>
      <c r="P72" s="249"/>
      <c r="Q72" s="249"/>
      <c r="R72" s="249"/>
      <c r="S72" s="249">
        <v>0.39400000000000002</v>
      </c>
      <c r="T72" s="249">
        <v>0.39400000000000002</v>
      </c>
      <c r="U72" s="249">
        <v>0.39400000000000002</v>
      </c>
      <c r="V72" s="249">
        <v>0.39400000000000002</v>
      </c>
      <c r="W72" s="249">
        <v>0.39400000000000002</v>
      </c>
      <c r="X72" s="249">
        <f t="shared" ref="X72:AF73" si="3">X$65</f>
        <v>0.2</v>
      </c>
      <c r="Y72" s="249">
        <f t="shared" si="3"/>
        <v>0.2</v>
      </c>
      <c r="Z72" s="249">
        <f t="shared" si="3"/>
        <v>0.2</v>
      </c>
      <c r="AA72" s="249">
        <f t="shared" si="3"/>
        <v>0.2</v>
      </c>
      <c r="AB72" s="249">
        <f t="shared" si="3"/>
        <v>0.2</v>
      </c>
      <c r="AC72" s="249">
        <f t="shared" si="3"/>
        <v>0.2</v>
      </c>
      <c r="AD72" s="249">
        <f t="shared" si="3"/>
        <v>0.2</v>
      </c>
      <c r="AE72" s="249">
        <f t="shared" si="3"/>
        <v>0.2</v>
      </c>
      <c r="AF72" s="249">
        <f t="shared" si="3"/>
        <v>0.2</v>
      </c>
    </row>
    <row r="73" spans="2:32" ht="25.5">
      <c r="B73" s="64"/>
      <c r="C73" s="16" t="s">
        <v>701</v>
      </c>
      <c r="D73" s="329" t="s">
        <v>845</v>
      </c>
      <c r="E73" s="495" t="s">
        <v>701</v>
      </c>
      <c r="F73" s="1064" t="s">
        <v>998</v>
      </c>
      <c r="G73" s="249"/>
      <c r="H73" s="249"/>
      <c r="I73" s="249"/>
      <c r="J73" s="249"/>
      <c r="K73" s="249"/>
      <c r="L73" s="249"/>
      <c r="M73" s="249"/>
      <c r="N73" s="249"/>
      <c r="O73" s="249"/>
      <c r="P73" s="249"/>
      <c r="Q73" s="249"/>
      <c r="R73" s="249"/>
      <c r="S73" s="249">
        <v>0.34100000000000003</v>
      </c>
      <c r="T73" s="249">
        <v>0.34100000000000003</v>
      </c>
      <c r="U73" s="249">
        <v>0.34100000000000003</v>
      </c>
      <c r="V73" s="249">
        <v>0.34100000000000003</v>
      </c>
      <c r="W73" s="249">
        <v>0.34100000000000003</v>
      </c>
      <c r="X73" s="249">
        <f t="shared" si="3"/>
        <v>0.2</v>
      </c>
      <c r="Y73" s="249">
        <f t="shared" si="3"/>
        <v>0.2</v>
      </c>
      <c r="Z73" s="249">
        <f t="shared" si="3"/>
        <v>0.2</v>
      </c>
      <c r="AA73" s="249">
        <f t="shared" si="3"/>
        <v>0.2</v>
      </c>
      <c r="AB73" s="249">
        <f t="shared" si="3"/>
        <v>0.2</v>
      </c>
      <c r="AC73" s="249">
        <f t="shared" si="3"/>
        <v>0.2</v>
      </c>
      <c r="AD73" s="249">
        <f t="shared" si="3"/>
        <v>0.2</v>
      </c>
      <c r="AE73" s="249">
        <f t="shared" si="3"/>
        <v>0.2</v>
      </c>
      <c r="AF73" s="249">
        <f t="shared" si="3"/>
        <v>0.2</v>
      </c>
    </row>
    <row r="74" spans="2:32" s="470" customFormat="1">
      <c r="B74" s="471"/>
      <c r="C74" s="183"/>
      <c r="D74" s="168"/>
      <c r="E74" s="600"/>
      <c r="F74" s="1202"/>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row>
    <row r="75" spans="2:32" s="470" customFormat="1" ht="38.25">
      <c r="B75" s="471"/>
      <c r="C75" s="166" t="s">
        <v>891</v>
      </c>
      <c r="D75" s="166" t="s">
        <v>845</v>
      </c>
      <c r="E75" s="1070" t="s">
        <v>894</v>
      </c>
      <c r="F75" s="1043" t="s">
        <v>895</v>
      </c>
      <c r="G75" s="250"/>
      <c r="H75" s="250"/>
      <c r="I75" s="250"/>
      <c r="J75" s="250"/>
      <c r="K75" s="250"/>
      <c r="L75" s="250"/>
      <c r="M75" s="250"/>
      <c r="N75" s="250"/>
      <c r="O75" s="250"/>
      <c r="P75" s="250"/>
      <c r="Q75" s="250"/>
      <c r="R75" s="250"/>
      <c r="S75" s="250">
        <v>0.2</v>
      </c>
      <c r="T75" s="250">
        <v>0.5</v>
      </c>
      <c r="U75" s="250">
        <v>0.5</v>
      </c>
      <c r="V75" s="250">
        <v>0.5</v>
      </c>
      <c r="W75" s="250">
        <v>0.5</v>
      </c>
      <c r="X75" s="250">
        <v>0.5</v>
      </c>
      <c r="Y75" s="250">
        <v>0.5</v>
      </c>
      <c r="Z75" s="250">
        <v>0.5</v>
      </c>
      <c r="AA75" s="250">
        <v>0.3</v>
      </c>
      <c r="AB75" s="250">
        <v>0.3</v>
      </c>
      <c r="AC75" s="250">
        <v>0.3</v>
      </c>
      <c r="AD75" s="250">
        <v>0.3</v>
      </c>
      <c r="AE75" s="250">
        <v>0.3</v>
      </c>
      <c r="AF75" s="250">
        <v>0.3</v>
      </c>
    </row>
    <row r="76" spans="2:32" s="470" customFormat="1">
      <c r="B76" s="471"/>
      <c r="C76" s="183"/>
      <c r="D76" s="530"/>
      <c r="E76" s="1289"/>
      <c r="F76" s="1044"/>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row>
    <row r="77" spans="2:32" s="470" customFormat="1" ht="38.25">
      <c r="B77" s="471"/>
      <c r="C77" s="1092" t="s">
        <v>908</v>
      </c>
      <c r="D77" s="1163" t="s">
        <v>257</v>
      </c>
      <c r="E77" s="1089" t="s">
        <v>909</v>
      </c>
      <c r="F77" s="1090" t="s">
        <v>910</v>
      </c>
      <c r="G77" s="250"/>
      <c r="H77" s="250"/>
      <c r="I77" s="250"/>
      <c r="J77" s="250"/>
      <c r="K77" s="250"/>
      <c r="L77" s="250"/>
      <c r="M77" s="250"/>
      <c r="N77" s="250"/>
      <c r="O77" s="250"/>
      <c r="P77" s="250"/>
      <c r="Q77" s="250"/>
      <c r="R77" s="250"/>
      <c r="S77" s="250">
        <f>200/(1000)</f>
        <v>0.2</v>
      </c>
      <c r="T77" s="250">
        <v>0.75</v>
      </c>
      <c r="U77" s="250">
        <v>0.75</v>
      </c>
      <c r="V77" s="250">
        <v>0.75</v>
      </c>
      <c r="W77" s="250">
        <v>0.75</v>
      </c>
      <c r="X77" s="250">
        <v>0.75</v>
      </c>
      <c r="Y77" s="250">
        <v>0.75</v>
      </c>
      <c r="Z77" s="250">
        <v>0.75</v>
      </c>
      <c r="AA77" s="250">
        <v>0.3</v>
      </c>
      <c r="AB77" s="250">
        <f>$AA$77</f>
        <v>0.3</v>
      </c>
      <c r="AC77" s="250">
        <f t="shared" ref="AC77:AF77" si="4">$AA$77</f>
        <v>0.3</v>
      </c>
      <c r="AD77" s="250">
        <f t="shared" si="4"/>
        <v>0.3</v>
      </c>
      <c r="AE77" s="250">
        <f t="shared" si="4"/>
        <v>0.3</v>
      </c>
      <c r="AF77" s="250">
        <f t="shared" si="4"/>
        <v>0.3</v>
      </c>
    </row>
    <row r="78" spans="2:32" s="470" customFormat="1" ht="38.25">
      <c r="B78" s="471"/>
      <c r="C78" s="166" t="s">
        <v>959</v>
      </c>
      <c r="D78" s="166" t="s">
        <v>845</v>
      </c>
      <c r="E78" s="1070" t="s">
        <v>960</v>
      </c>
      <c r="F78" s="1044" t="s">
        <v>961</v>
      </c>
      <c r="G78" s="250"/>
      <c r="H78" s="250"/>
      <c r="I78" s="250"/>
      <c r="J78" s="250"/>
      <c r="K78" s="250"/>
      <c r="L78" s="250"/>
      <c r="M78" s="250"/>
      <c r="N78" s="250"/>
      <c r="O78" s="250"/>
      <c r="P78" s="250"/>
      <c r="Q78" s="250"/>
      <c r="R78" s="250"/>
      <c r="S78" s="250">
        <v>0.2</v>
      </c>
      <c r="T78" s="250">
        <v>0.5</v>
      </c>
      <c r="U78" s="250">
        <v>0.5</v>
      </c>
      <c r="V78" s="250">
        <v>0.5</v>
      </c>
      <c r="W78" s="250">
        <v>0.5</v>
      </c>
      <c r="X78" s="250">
        <v>0.5</v>
      </c>
      <c r="Y78" s="250">
        <v>0.5</v>
      </c>
      <c r="Z78" s="250">
        <v>0.5</v>
      </c>
      <c r="AA78" s="250">
        <v>0.3</v>
      </c>
      <c r="AB78" s="250">
        <v>0</v>
      </c>
      <c r="AC78" s="250">
        <v>0</v>
      </c>
      <c r="AD78" s="250">
        <v>0</v>
      </c>
      <c r="AE78" s="250">
        <v>0</v>
      </c>
      <c r="AF78" s="250">
        <v>0</v>
      </c>
    </row>
    <row r="79" spans="2:32" s="470" customFormat="1">
      <c r="B79" s="471"/>
      <c r="C79" s="166"/>
      <c r="D79" s="166"/>
      <c r="E79" s="1070"/>
      <c r="F79" s="1044"/>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row>
    <row r="80" spans="2:32" s="470" customFormat="1">
      <c r="B80" s="471"/>
      <c r="C80" s="166"/>
      <c r="D80" s="166"/>
      <c r="E80" s="1070"/>
      <c r="F80" s="1044"/>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row>
    <row r="81" spans="1:32" s="470" customFormat="1">
      <c r="B81" s="471"/>
      <c r="C81" s="166"/>
      <c r="D81" s="166"/>
      <c r="E81" s="1070"/>
      <c r="F81" s="1044"/>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row>
    <row r="82" spans="1:32" s="470" customFormat="1">
      <c r="B82" s="471"/>
      <c r="C82" s="166"/>
      <c r="D82" s="166"/>
      <c r="E82" s="1070"/>
      <c r="F82" s="1044"/>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row>
    <row r="83" spans="1:32" s="470" customFormat="1">
      <c r="B83" s="471"/>
      <c r="C83" s="166"/>
      <c r="D83" s="166"/>
      <c r="E83" s="1070"/>
      <c r="F83" s="1044"/>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row>
    <row r="84" spans="1:32" s="470" customFormat="1">
      <c r="B84" s="471"/>
      <c r="C84" s="166"/>
      <c r="D84" s="166"/>
      <c r="E84" s="1070"/>
      <c r="F84" s="1044"/>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row>
    <row r="85" spans="1:32" s="470" customFormat="1">
      <c r="B85" s="471"/>
      <c r="C85" s="166"/>
      <c r="D85" s="166"/>
      <c r="E85" s="1070"/>
      <c r="F85" s="1044"/>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row>
    <row r="86" spans="1:32" s="470" customFormat="1">
      <c r="B86" s="471"/>
      <c r="C86" s="166"/>
      <c r="D86" s="166"/>
      <c r="E86" s="1070"/>
      <c r="F86" s="1044"/>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row>
    <row r="87" spans="1:32" s="470" customFormat="1">
      <c r="B87" s="471"/>
      <c r="C87" s="166"/>
      <c r="D87" s="166"/>
      <c r="E87" s="1070"/>
      <c r="F87" s="1044"/>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row>
    <row r="88" spans="1:32" s="470" customFormat="1">
      <c r="B88" s="471"/>
      <c r="C88" s="166"/>
      <c r="D88" s="166"/>
      <c r="E88" s="1070"/>
      <c r="F88" s="1044"/>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row>
    <row r="89" spans="1:32" s="470" customFormat="1">
      <c r="B89" s="472"/>
      <c r="C89" s="166"/>
      <c r="D89" s="166"/>
      <c r="E89" s="1070"/>
      <c r="F89" s="1044"/>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row>
    <row r="90" spans="1:32">
      <c r="C90" s="47"/>
      <c r="D90" s="47"/>
      <c r="E90" s="1047"/>
      <c r="F90" s="1061"/>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row>
    <row r="91" spans="1:32" ht="38.25">
      <c r="B91" s="172" t="s">
        <v>12</v>
      </c>
      <c r="C91" s="46" t="s">
        <v>138</v>
      </c>
      <c r="D91" s="52" t="s">
        <v>845</v>
      </c>
      <c r="E91" s="1067" t="s">
        <v>551</v>
      </c>
      <c r="F91" s="1061" t="s">
        <v>999</v>
      </c>
      <c r="G91" s="248">
        <v>0</v>
      </c>
      <c r="H91" s="1159">
        <v>0</v>
      </c>
      <c r="I91" s="1159">
        <v>1.1799999999999998E-2</v>
      </c>
      <c r="J91" s="1159">
        <v>1.132E-2</v>
      </c>
      <c r="K91" s="1159">
        <v>3.7300000000000041E-3</v>
      </c>
      <c r="L91" s="248">
        <v>0</v>
      </c>
      <c r="M91" s="248">
        <v>4.9999999999999984E-3</v>
      </c>
      <c r="N91" s="248">
        <v>2E-3</v>
      </c>
      <c r="O91" s="248">
        <v>5.0000000000000001E-3</v>
      </c>
      <c r="P91" s="248">
        <v>4.0000000000000001E-3</v>
      </c>
      <c r="Q91" s="248">
        <v>5.0000000000000001E-3</v>
      </c>
      <c r="R91" s="248">
        <v>8.9999999999999993E-3</v>
      </c>
      <c r="S91" s="248">
        <v>0.03</v>
      </c>
      <c r="T91" s="248">
        <v>3.4000000000000002E-2</v>
      </c>
      <c r="U91" s="248">
        <v>3.7999999999999999E-2</v>
      </c>
      <c r="V91" s="248">
        <v>4.1000000000000002E-2</v>
      </c>
      <c r="W91" s="248">
        <v>4.4999999999999998E-2</v>
      </c>
      <c r="X91" s="248">
        <v>0.01</v>
      </c>
      <c r="Y91" s="248">
        <v>0.01</v>
      </c>
      <c r="Z91" s="248">
        <v>0.01</v>
      </c>
      <c r="AA91" s="248">
        <v>0.01</v>
      </c>
      <c r="AB91" s="248">
        <v>0.01</v>
      </c>
      <c r="AC91" s="248">
        <v>0.01</v>
      </c>
      <c r="AD91" s="248">
        <v>0.01</v>
      </c>
      <c r="AE91" s="248">
        <v>0.01</v>
      </c>
      <c r="AF91" s="248">
        <v>0.01</v>
      </c>
    </row>
    <row r="92" spans="1:32" s="470" customFormat="1">
      <c r="A92" s="9"/>
      <c r="B92" s="64"/>
      <c r="C92" s="54"/>
      <c r="D92" s="54"/>
      <c r="E92" s="1068"/>
      <c r="F92" s="1062"/>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row>
    <row r="93" spans="1:32" s="470" customFormat="1">
      <c r="A93" s="9"/>
      <c r="B93" s="64"/>
      <c r="C93" s="54" t="s">
        <v>506</v>
      </c>
      <c r="D93" s="54" t="s">
        <v>65</v>
      </c>
      <c r="E93" s="1068" t="s">
        <v>573</v>
      </c>
      <c r="F93" s="1062"/>
      <c r="G93" s="249"/>
      <c r="H93" s="249"/>
      <c r="I93" s="249"/>
      <c r="J93" s="249"/>
      <c r="K93" s="249"/>
      <c r="L93" s="249"/>
      <c r="M93" s="249"/>
      <c r="N93" s="249"/>
      <c r="O93" s="249"/>
      <c r="P93" s="249"/>
      <c r="Q93" s="249"/>
      <c r="R93" s="249"/>
      <c r="S93" s="249">
        <v>0</v>
      </c>
      <c r="T93" s="249">
        <v>0</v>
      </c>
      <c r="U93" s="249">
        <v>0</v>
      </c>
      <c r="V93" s="249">
        <v>0</v>
      </c>
      <c r="W93" s="249">
        <v>0</v>
      </c>
      <c r="X93" s="249">
        <v>0</v>
      </c>
      <c r="Y93" s="249">
        <v>0</v>
      </c>
      <c r="Z93" s="249">
        <v>0</v>
      </c>
      <c r="AA93" s="249">
        <v>0</v>
      </c>
      <c r="AB93" s="249">
        <v>0</v>
      </c>
      <c r="AC93" s="249">
        <v>0</v>
      </c>
      <c r="AD93" s="249">
        <v>0</v>
      </c>
      <c r="AE93" s="249">
        <v>0</v>
      </c>
      <c r="AF93" s="249">
        <v>0</v>
      </c>
    </row>
    <row r="94" spans="1:32" s="470" customFormat="1">
      <c r="A94" s="9"/>
      <c r="B94" s="64"/>
      <c r="C94" s="54"/>
      <c r="D94" s="54"/>
      <c r="E94" s="1068"/>
      <c r="F94" s="1062"/>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row>
    <row r="95" spans="1:32" s="470" customFormat="1">
      <c r="A95" s="9"/>
      <c r="B95" s="64"/>
      <c r="C95" s="54"/>
      <c r="D95" s="54"/>
      <c r="E95" s="1068"/>
      <c r="F95" s="1062"/>
      <c r="G95" s="249"/>
      <c r="H95" s="249"/>
      <c r="I95" s="249"/>
      <c r="J95" s="249"/>
      <c r="K95" s="249"/>
      <c r="L95" s="249"/>
      <c r="M95" s="249"/>
      <c r="N95" s="249"/>
      <c r="O95" s="249"/>
      <c r="P95" s="249"/>
      <c r="Q95" s="249"/>
      <c r="R95" s="249"/>
      <c r="S95" s="249"/>
      <c r="T95" s="249"/>
      <c r="U95" s="249"/>
      <c r="V95" s="249"/>
      <c r="W95" s="249"/>
      <c r="X95" s="249"/>
      <c r="Y95" s="249"/>
      <c r="Z95" s="249"/>
      <c r="AA95" s="249"/>
      <c r="AB95" s="249"/>
      <c r="AC95" s="249"/>
      <c r="AD95" s="249"/>
      <c r="AE95" s="249"/>
      <c r="AF95" s="249"/>
    </row>
    <row r="96" spans="1:32" s="470" customFormat="1">
      <c r="A96" s="9"/>
      <c r="B96" s="64"/>
      <c r="C96" s="54"/>
      <c r="D96" s="54"/>
      <c r="E96" s="1068"/>
      <c r="F96" s="1062"/>
      <c r="G96" s="249"/>
      <c r="H96" s="249"/>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row>
    <row r="97" spans="1:32" ht="25.5">
      <c r="B97" s="64"/>
      <c r="C97" s="16" t="s">
        <v>700</v>
      </c>
      <c r="D97" s="329" t="s">
        <v>845</v>
      </c>
      <c r="E97" s="495" t="s">
        <v>700</v>
      </c>
      <c r="F97" s="1064" t="s">
        <v>997</v>
      </c>
      <c r="G97" s="249"/>
      <c r="H97" s="249"/>
      <c r="I97" s="249"/>
      <c r="J97" s="249"/>
      <c r="K97" s="249"/>
      <c r="L97" s="249"/>
      <c r="M97" s="249"/>
      <c r="N97" s="249"/>
      <c r="O97" s="249"/>
      <c r="P97" s="249"/>
      <c r="Q97" s="249"/>
      <c r="R97" s="249"/>
      <c r="S97" s="249">
        <v>0.04</v>
      </c>
      <c r="T97" s="249">
        <v>4.2999999999999997E-2</v>
      </c>
      <c r="U97" s="249">
        <v>4.4999999999999998E-2</v>
      </c>
      <c r="V97" s="249">
        <v>4.8000000000000001E-2</v>
      </c>
      <c r="W97" s="249">
        <v>0.05</v>
      </c>
      <c r="X97" s="249">
        <f t="shared" ref="X97:AF98" si="5">X$91</f>
        <v>0.01</v>
      </c>
      <c r="Y97" s="249">
        <f t="shared" si="5"/>
        <v>0.01</v>
      </c>
      <c r="Z97" s="249">
        <f t="shared" si="5"/>
        <v>0.01</v>
      </c>
      <c r="AA97" s="249">
        <f t="shared" si="5"/>
        <v>0.01</v>
      </c>
      <c r="AB97" s="249">
        <f t="shared" si="5"/>
        <v>0.01</v>
      </c>
      <c r="AC97" s="249">
        <f t="shared" si="5"/>
        <v>0.01</v>
      </c>
      <c r="AD97" s="249">
        <f t="shared" si="5"/>
        <v>0.01</v>
      </c>
      <c r="AE97" s="249">
        <f t="shared" si="5"/>
        <v>0.01</v>
      </c>
      <c r="AF97" s="249">
        <f t="shared" si="5"/>
        <v>0.01</v>
      </c>
    </row>
    <row r="98" spans="1:32" ht="25.5">
      <c r="B98" s="64"/>
      <c r="C98" s="16" t="s">
        <v>701</v>
      </c>
      <c r="D98" s="329" t="s">
        <v>845</v>
      </c>
      <c r="E98" s="495" t="s">
        <v>701</v>
      </c>
      <c r="F98" s="1064" t="s">
        <v>998</v>
      </c>
      <c r="G98" s="249"/>
      <c r="H98" s="249"/>
      <c r="I98" s="249"/>
      <c r="J98" s="249"/>
      <c r="K98" s="249"/>
      <c r="L98" s="249"/>
      <c r="M98" s="249"/>
      <c r="N98" s="249"/>
      <c r="O98" s="249"/>
      <c r="P98" s="249"/>
      <c r="Q98" s="249"/>
      <c r="R98" s="249"/>
      <c r="S98" s="249">
        <v>0.02</v>
      </c>
      <c r="T98" s="249">
        <v>2.5000000000000001E-2</v>
      </c>
      <c r="U98" s="249">
        <v>0.03</v>
      </c>
      <c r="V98" s="249">
        <v>3.5000000000000003E-2</v>
      </c>
      <c r="W98" s="249">
        <v>0.04</v>
      </c>
      <c r="X98" s="249">
        <f t="shared" si="5"/>
        <v>0.01</v>
      </c>
      <c r="Y98" s="249">
        <f t="shared" si="5"/>
        <v>0.01</v>
      </c>
      <c r="Z98" s="249">
        <f t="shared" si="5"/>
        <v>0.01</v>
      </c>
      <c r="AA98" s="249">
        <f t="shared" si="5"/>
        <v>0.01</v>
      </c>
      <c r="AB98" s="249">
        <f t="shared" si="5"/>
        <v>0.01</v>
      </c>
      <c r="AC98" s="249">
        <f t="shared" si="5"/>
        <v>0.01</v>
      </c>
      <c r="AD98" s="249">
        <f t="shared" si="5"/>
        <v>0.01</v>
      </c>
      <c r="AE98" s="249">
        <f t="shared" si="5"/>
        <v>0.01</v>
      </c>
      <c r="AF98" s="249">
        <f t="shared" si="5"/>
        <v>0.01</v>
      </c>
    </row>
    <row r="99" spans="1:32">
      <c r="A99" s="470"/>
      <c r="B99" s="471"/>
      <c r="C99" s="183"/>
      <c r="D99" s="168"/>
      <c r="E99" s="1201"/>
      <c r="F99" s="1202"/>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row>
    <row r="100" spans="1:32" s="470" customFormat="1">
      <c r="B100" s="471"/>
      <c r="C100" s="166"/>
      <c r="D100" s="166"/>
      <c r="E100" s="1070"/>
      <c r="F100" s="1044"/>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row>
    <row r="101" spans="1:32" s="470" customFormat="1">
      <c r="B101" s="471"/>
      <c r="C101" s="166"/>
      <c r="D101" s="166"/>
      <c r="E101" s="1070"/>
      <c r="F101" s="1044"/>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row>
    <row r="102" spans="1:32" s="470" customFormat="1">
      <c r="B102" s="471"/>
      <c r="C102" s="166"/>
      <c r="D102" s="166"/>
      <c r="E102" s="1070"/>
      <c r="F102" s="1044"/>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row>
    <row r="103" spans="1:32" s="470" customFormat="1">
      <c r="B103" s="471"/>
      <c r="C103" s="166"/>
      <c r="D103" s="166"/>
      <c r="E103" s="1070"/>
      <c r="F103" s="1044"/>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row>
    <row r="104" spans="1:32" s="470" customFormat="1">
      <c r="B104" s="471"/>
      <c r="C104" s="166"/>
      <c r="D104" s="166"/>
      <c r="E104" s="1070"/>
      <c r="F104" s="1044"/>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row>
    <row r="105" spans="1:32" s="470" customFormat="1">
      <c r="B105" s="471"/>
      <c r="C105" s="166"/>
      <c r="D105" s="166"/>
      <c r="E105" s="1070"/>
      <c r="F105" s="1044"/>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row>
    <row r="106" spans="1:32" s="470" customFormat="1">
      <c r="B106" s="471"/>
      <c r="C106" s="166"/>
      <c r="D106" s="166"/>
      <c r="E106" s="1070"/>
      <c r="F106" s="1044"/>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row>
    <row r="107" spans="1:32" s="470" customFormat="1">
      <c r="B107" s="471"/>
      <c r="C107" s="166"/>
      <c r="D107" s="166"/>
      <c r="E107" s="1070"/>
      <c r="F107" s="1044"/>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row>
    <row r="108" spans="1:32" s="470" customFormat="1">
      <c r="B108" s="471"/>
      <c r="C108" s="166"/>
      <c r="D108" s="166"/>
      <c r="E108" s="1070"/>
      <c r="F108" s="1044"/>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row>
    <row r="109" spans="1:32" s="470" customFormat="1">
      <c r="B109" s="471"/>
      <c r="C109" s="166"/>
      <c r="D109" s="166"/>
      <c r="E109" s="1070"/>
      <c r="F109" s="1044"/>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row>
    <row r="110" spans="1:32" s="470" customFormat="1">
      <c r="B110" s="471"/>
      <c r="C110" s="166"/>
      <c r="D110" s="166"/>
      <c r="E110" s="1070"/>
      <c r="F110" s="1044"/>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row>
    <row r="111" spans="1:32" s="470" customFormat="1">
      <c r="B111" s="471"/>
      <c r="C111" s="166"/>
      <c r="D111" s="166"/>
      <c r="E111" s="1070"/>
      <c r="F111" s="1044"/>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row>
    <row r="112" spans="1:32" s="470" customFormat="1">
      <c r="B112" s="471"/>
      <c r="C112" s="166"/>
      <c r="D112" s="166"/>
      <c r="E112" s="1070"/>
      <c r="F112" s="1044"/>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row>
    <row r="113" spans="2:35" s="470" customFormat="1">
      <c r="B113" s="471"/>
      <c r="C113" s="166"/>
      <c r="D113" s="166"/>
      <c r="E113" s="1070"/>
      <c r="F113" s="1044"/>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row>
    <row r="114" spans="2:35" s="470" customFormat="1">
      <c r="B114" s="471"/>
      <c r="C114" s="166"/>
      <c r="D114" s="166"/>
      <c r="E114" s="1070"/>
      <c r="F114" s="1044"/>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row>
    <row r="115" spans="2:35" s="470" customFormat="1">
      <c r="B115" s="472"/>
      <c r="C115" s="166"/>
      <c r="D115" s="166"/>
      <c r="E115" s="1070"/>
      <c r="F115" s="1044"/>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row>
    <row r="116" spans="2:35">
      <c r="C116" s="47"/>
      <c r="D116" s="47"/>
      <c r="E116" s="1047"/>
      <c r="F116" s="1061"/>
      <c r="G116" s="1261"/>
      <c r="H116" s="1261"/>
      <c r="I116" s="1261"/>
      <c r="J116" s="1261"/>
      <c r="K116" s="1260"/>
      <c r="L116" s="1261"/>
      <c r="M116" s="1261"/>
      <c r="N116" s="1261"/>
      <c r="O116" s="1261"/>
      <c r="P116" s="1261"/>
      <c r="Q116" s="1261"/>
      <c r="R116" s="257"/>
      <c r="S116" s="257"/>
      <c r="T116" s="257"/>
      <c r="U116" s="257"/>
      <c r="V116" s="257"/>
      <c r="W116" s="257"/>
      <c r="X116" s="257"/>
      <c r="Y116" s="257"/>
      <c r="Z116" s="257"/>
      <c r="AA116" s="257"/>
      <c r="AB116" s="257"/>
      <c r="AC116" s="257"/>
      <c r="AD116" s="257"/>
      <c r="AE116" s="257"/>
      <c r="AF116" s="257"/>
    </row>
    <row r="117" spans="2:35" ht="102">
      <c r="B117" s="172" t="s">
        <v>24</v>
      </c>
      <c r="C117" s="46" t="s">
        <v>138</v>
      </c>
      <c r="D117" s="1177" t="s">
        <v>845</v>
      </c>
      <c r="E117" s="1067" t="s">
        <v>863</v>
      </c>
      <c r="F117" s="1111" t="s">
        <v>899</v>
      </c>
      <c r="G117" s="248">
        <f>1411.797/(1000)</f>
        <v>1.411797</v>
      </c>
      <c r="H117" s="1159">
        <f>1871.298/(1000)</f>
        <v>1.8712979999999999</v>
      </c>
      <c r="I117" s="1159">
        <f>2408.529/(1000)</f>
        <v>2.4085290000000001</v>
      </c>
      <c r="J117" s="1159">
        <f>2996.571/(1000)</f>
        <v>2.9965709999999999</v>
      </c>
      <c r="K117" s="1159">
        <f>4652.297/(1000)</f>
        <v>4.6522969999999999</v>
      </c>
      <c r="L117" s="248">
        <f>3787.208/(1000)</f>
        <v>3.7872080000000001</v>
      </c>
      <c r="M117" s="248">
        <f>4445.403/(1000)</f>
        <v>4.4454030000000007</v>
      </c>
      <c r="N117" s="248">
        <f>5501.745/(1000)</f>
        <v>5.5017449999999997</v>
      </c>
      <c r="O117" s="248">
        <f>2403.15/(1000)</f>
        <v>2.4031500000000001</v>
      </c>
      <c r="P117" s="248">
        <f>986/(1000)</f>
        <v>0.98599999999999999</v>
      </c>
      <c r="Q117" s="248">
        <v>1.5</v>
      </c>
      <c r="R117" s="248">
        <v>1.5</v>
      </c>
      <c r="S117" s="248">
        <v>2</v>
      </c>
      <c r="T117" s="248">
        <v>2.5</v>
      </c>
      <c r="U117" s="248">
        <v>2.5</v>
      </c>
      <c r="V117" s="248">
        <v>2.5</v>
      </c>
      <c r="W117" s="248">
        <v>2.5</v>
      </c>
      <c r="X117" s="248">
        <v>2.5</v>
      </c>
      <c r="Y117" s="248">
        <v>2.5</v>
      </c>
      <c r="Z117" s="248">
        <v>2.5</v>
      </c>
      <c r="AA117" s="248">
        <v>2.5</v>
      </c>
      <c r="AB117" s="248">
        <v>2.5</v>
      </c>
      <c r="AC117" s="248">
        <v>2.5</v>
      </c>
      <c r="AD117" s="248">
        <v>2.5</v>
      </c>
      <c r="AE117" s="248">
        <v>2.5</v>
      </c>
      <c r="AF117" s="248">
        <v>2.5</v>
      </c>
    </row>
    <row r="118" spans="2:35">
      <c r="B118" s="171"/>
      <c r="C118" s="54"/>
      <c r="D118" s="26"/>
      <c r="E118" s="1068"/>
      <c r="F118" s="1064"/>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249"/>
      <c r="AE118" s="249"/>
      <c r="AF118" s="249"/>
    </row>
    <row r="119" spans="2:35" ht="89.25">
      <c r="B119" s="171"/>
      <c r="C119" s="54" t="s">
        <v>858</v>
      </c>
      <c r="D119" s="26" t="s">
        <v>859</v>
      </c>
      <c r="E119" s="1068" t="s">
        <v>861</v>
      </c>
      <c r="F119" s="1064" t="s">
        <v>890</v>
      </c>
      <c r="G119" s="249"/>
      <c r="H119" s="249"/>
      <c r="I119" s="249"/>
      <c r="J119" s="249"/>
      <c r="K119" s="1109"/>
      <c r="L119" s="249"/>
      <c r="M119" s="249"/>
      <c r="N119" s="249"/>
      <c r="O119" s="249"/>
      <c r="P119" s="249"/>
      <c r="Q119" s="249"/>
      <c r="R119" s="249"/>
      <c r="S119" s="249">
        <v>5.1160000000000005</v>
      </c>
      <c r="T119" s="249">
        <v>3.9870000000000001</v>
      </c>
      <c r="U119" s="249">
        <v>3.4289999999999998</v>
      </c>
      <c r="V119" s="249">
        <v>3.5</v>
      </c>
      <c r="W119" s="249">
        <f>V119</f>
        <v>3.5</v>
      </c>
      <c r="X119" s="249">
        <f t="shared" ref="X119:AF119" si="6">W119</f>
        <v>3.5</v>
      </c>
      <c r="Y119" s="249">
        <f t="shared" si="6"/>
        <v>3.5</v>
      </c>
      <c r="Z119" s="249">
        <f t="shared" si="6"/>
        <v>3.5</v>
      </c>
      <c r="AA119" s="249">
        <f t="shared" si="6"/>
        <v>3.5</v>
      </c>
      <c r="AB119" s="249">
        <f t="shared" si="6"/>
        <v>3.5</v>
      </c>
      <c r="AC119" s="249">
        <f t="shared" si="6"/>
        <v>3.5</v>
      </c>
      <c r="AD119" s="249">
        <f t="shared" si="6"/>
        <v>3.5</v>
      </c>
      <c r="AE119" s="249">
        <f t="shared" si="6"/>
        <v>3.5</v>
      </c>
      <c r="AF119" s="249">
        <f t="shared" si="6"/>
        <v>3.5</v>
      </c>
    </row>
    <row r="120" spans="2:35">
      <c r="B120" s="171"/>
      <c r="C120" s="54"/>
      <c r="D120" s="26"/>
      <c r="E120" s="1068"/>
      <c r="F120" s="1064"/>
      <c r="G120" s="249"/>
      <c r="H120" s="249"/>
      <c r="I120" s="249"/>
      <c r="J120" s="249"/>
      <c r="K120" s="1109"/>
      <c r="L120" s="249"/>
      <c r="M120" s="249"/>
      <c r="N120" s="249"/>
      <c r="O120" s="249"/>
      <c r="P120" s="249"/>
      <c r="Q120" s="249"/>
      <c r="R120" s="249"/>
      <c r="S120" s="249"/>
      <c r="T120" s="249"/>
      <c r="U120" s="249"/>
      <c r="V120" s="249"/>
      <c r="W120" s="249"/>
      <c r="X120" s="249"/>
      <c r="Y120" s="249"/>
      <c r="Z120" s="249"/>
      <c r="AA120" s="249"/>
      <c r="AB120" s="249"/>
      <c r="AC120" s="249"/>
      <c r="AD120" s="249"/>
      <c r="AE120" s="249"/>
      <c r="AF120" s="249"/>
    </row>
    <row r="121" spans="2:35">
      <c r="B121" s="64"/>
      <c r="C121" s="54" t="s">
        <v>506</v>
      </c>
      <c r="D121" s="49" t="s">
        <v>65</v>
      </c>
      <c r="E121" s="1068" t="s">
        <v>573</v>
      </c>
      <c r="G121" s="249"/>
      <c r="H121" s="249"/>
      <c r="I121" s="249"/>
      <c r="J121" s="249"/>
      <c r="K121" s="249"/>
      <c r="L121" s="249"/>
      <c r="M121" s="249"/>
      <c r="N121" s="249"/>
      <c r="O121" s="249"/>
      <c r="P121" s="249"/>
      <c r="Q121" s="249"/>
      <c r="R121" s="249"/>
      <c r="S121" s="249">
        <v>0</v>
      </c>
      <c r="T121" s="249">
        <v>0</v>
      </c>
      <c r="U121" s="249">
        <v>0</v>
      </c>
      <c r="V121" s="249">
        <v>0</v>
      </c>
      <c r="W121" s="249">
        <v>0</v>
      </c>
      <c r="X121" s="249">
        <v>0</v>
      </c>
      <c r="Y121" s="249">
        <v>0</v>
      </c>
      <c r="Z121" s="249">
        <v>0</v>
      </c>
      <c r="AA121" s="249">
        <v>0</v>
      </c>
      <c r="AB121" s="249">
        <v>0</v>
      </c>
      <c r="AC121" s="249">
        <v>0</v>
      </c>
      <c r="AD121" s="249">
        <v>0</v>
      </c>
      <c r="AE121" s="249">
        <v>0</v>
      </c>
      <c r="AF121" s="249">
        <v>0</v>
      </c>
      <c r="AI121" s="252"/>
    </row>
    <row r="122" spans="2:35">
      <c r="B122" s="64"/>
      <c r="C122" s="54" t="s">
        <v>98</v>
      </c>
      <c r="D122" s="49" t="s">
        <v>65</v>
      </c>
      <c r="E122" s="1068" t="s">
        <v>309</v>
      </c>
      <c r="G122" s="249"/>
      <c r="H122" s="249"/>
      <c r="I122" s="249"/>
      <c r="J122" s="249"/>
      <c r="K122" s="249"/>
      <c r="L122" s="249"/>
      <c r="M122" s="249"/>
      <c r="N122" s="249"/>
      <c r="O122" s="249"/>
      <c r="P122" s="249"/>
      <c r="Q122" s="249"/>
      <c r="R122" s="249"/>
      <c r="S122" s="249">
        <v>1.5</v>
      </c>
      <c r="T122" s="249">
        <v>1.5</v>
      </c>
      <c r="U122" s="249">
        <v>1.5</v>
      </c>
      <c r="V122" s="249">
        <v>1.5</v>
      </c>
      <c r="W122" s="249">
        <v>1.5</v>
      </c>
      <c r="X122" s="249">
        <v>1.5</v>
      </c>
      <c r="Y122" s="249">
        <v>1.5</v>
      </c>
      <c r="Z122" s="249">
        <v>1.5</v>
      </c>
      <c r="AA122" s="249">
        <v>1.5</v>
      </c>
      <c r="AB122" s="249">
        <v>1.5</v>
      </c>
      <c r="AC122" s="249">
        <v>1.5</v>
      </c>
      <c r="AD122" s="249">
        <v>1.5</v>
      </c>
      <c r="AE122" s="249">
        <v>1.5</v>
      </c>
      <c r="AF122" s="249">
        <v>1.5</v>
      </c>
    </row>
    <row r="123" spans="2:35">
      <c r="B123" s="64"/>
      <c r="C123" s="54" t="s">
        <v>96</v>
      </c>
      <c r="D123" s="49" t="s">
        <v>65</v>
      </c>
      <c r="E123" s="1068" t="s">
        <v>592</v>
      </c>
      <c r="G123" s="249"/>
      <c r="H123" s="249"/>
      <c r="I123" s="249"/>
      <c r="J123" s="249"/>
      <c r="K123" s="249"/>
      <c r="L123" s="249"/>
      <c r="M123" s="249"/>
      <c r="N123" s="249"/>
      <c r="O123" s="249"/>
      <c r="P123" s="249"/>
      <c r="Q123" s="249"/>
      <c r="R123" s="249"/>
      <c r="S123" s="249">
        <v>3</v>
      </c>
      <c r="T123" s="249">
        <v>3</v>
      </c>
      <c r="U123" s="249">
        <v>3</v>
      </c>
      <c r="V123" s="249">
        <v>3</v>
      </c>
      <c r="W123" s="249">
        <v>3</v>
      </c>
      <c r="X123" s="249">
        <v>3</v>
      </c>
      <c r="Y123" s="249">
        <v>3</v>
      </c>
      <c r="Z123" s="249">
        <v>3</v>
      </c>
      <c r="AA123" s="249">
        <v>3</v>
      </c>
      <c r="AB123" s="249">
        <v>3</v>
      </c>
      <c r="AC123" s="249">
        <v>3</v>
      </c>
      <c r="AD123" s="249">
        <v>3</v>
      </c>
      <c r="AE123" s="249">
        <v>3</v>
      </c>
      <c r="AF123" s="249">
        <v>3</v>
      </c>
    </row>
    <row r="124" spans="2:35">
      <c r="B124" s="64"/>
      <c r="C124" s="54" t="s">
        <v>99</v>
      </c>
      <c r="D124" s="49" t="s">
        <v>65</v>
      </c>
      <c r="E124" s="1068" t="s">
        <v>593</v>
      </c>
      <c r="G124" s="249"/>
      <c r="H124" s="249"/>
      <c r="I124" s="249"/>
      <c r="J124" s="249"/>
      <c r="K124" s="249"/>
      <c r="L124" s="249"/>
      <c r="M124" s="249"/>
      <c r="N124" s="249"/>
      <c r="O124" s="249"/>
      <c r="P124" s="249"/>
      <c r="Q124" s="249"/>
      <c r="R124" s="249"/>
      <c r="S124" s="249">
        <v>4.5</v>
      </c>
      <c r="T124" s="249">
        <v>4.5</v>
      </c>
      <c r="U124" s="249">
        <v>4.5</v>
      </c>
      <c r="V124" s="249">
        <v>4.5</v>
      </c>
      <c r="W124" s="249">
        <v>4.5</v>
      </c>
      <c r="X124" s="249">
        <v>4.5</v>
      </c>
      <c r="Y124" s="249">
        <v>4.5</v>
      </c>
      <c r="Z124" s="249">
        <v>4.5</v>
      </c>
      <c r="AA124" s="249">
        <v>4.5</v>
      </c>
      <c r="AB124" s="249">
        <v>4.5</v>
      </c>
      <c r="AC124" s="249">
        <v>4.5</v>
      </c>
      <c r="AD124" s="249">
        <v>4.5</v>
      </c>
      <c r="AE124" s="249">
        <v>4.5</v>
      </c>
      <c r="AF124" s="249">
        <v>4.5</v>
      </c>
    </row>
    <row r="125" spans="2:35">
      <c r="B125" s="64"/>
      <c r="C125" s="54" t="s">
        <v>100</v>
      </c>
      <c r="D125" s="49" t="s">
        <v>65</v>
      </c>
      <c r="E125" s="1068" t="s">
        <v>594</v>
      </c>
      <c r="G125" s="249"/>
      <c r="H125" s="249"/>
      <c r="I125" s="249"/>
      <c r="J125" s="249"/>
      <c r="K125" s="249"/>
      <c r="L125" s="249"/>
      <c r="M125" s="249"/>
      <c r="N125" s="249"/>
      <c r="O125" s="249"/>
      <c r="P125" s="249"/>
      <c r="Q125" s="249"/>
      <c r="R125" s="249"/>
      <c r="S125" s="249">
        <v>6</v>
      </c>
      <c r="T125" s="249">
        <v>6</v>
      </c>
      <c r="U125" s="249">
        <v>6</v>
      </c>
      <c r="V125" s="249">
        <v>6</v>
      </c>
      <c r="W125" s="249">
        <v>6</v>
      </c>
      <c r="X125" s="249">
        <v>6</v>
      </c>
      <c r="Y125" s="249">
        <v>6</v>
      </c>
      <c r="Z125" s="249">
        <v>6</v>
      </c>
      <c r="AA125" s="249">
        <v>6</v>
      </c>
      <c r="AB125" s="249">
        <v>6</v>
      </c>
      <c r="AC125" s="249">
        <v>6</v>
      </c>
      <c r="AD125" s="249">
        <v>6</v>
      </c>
      <c r="AE125" s="249">
        <v>6</v>
      </c>
      <c r="AF125" s="249">
        <v>6</v>
      </c>
    </row>
    <row r="126" spans="2:35">
      <c r="B126" s="64"/>
      <c r="C126" s="50"/>
      <c r="E126" s="1068"/>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s="249"/>
    </row>
    <row r="127" spans="2:35">
      <c r="B127" s="64"/>
      <c r="C127" s="54"/>
      <c r="E127" s="1068"/>
      <c r="F127" s="1178"/>
      <c r="G127" s="249"/>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c r="AD127" s="249"/>
      <c r="AE127" s="249"/>
      <c r="AF127" s="249"/>
    </row>
    <row r="128" spans="2:35" ht="51">
      <c r="B128" s="64"/>
      <c r="C128" s="16" t="s">
        <v>788</v>
      </c>
      <c r="D128" s="1162" t="s">
        <v>845</v>
      </c>
      <c r="E128" s="498" t="s">
        <v>788</v>
      </c>
      <c r="F128" s="1064" t="s">
        <v>1002</v>
      </c>
      <c r="G128" s="249"/>
      <c r="H128" s="249"/>
      <c r="I128" s="249"/>
      <c r="J128" s="249"/>
      <c r="K128" s="249"/>
      <c r="L128" s="249"/>
      <c r="M128" s="249"/>
      <c r="N128" s="249"/>
      <c r="O128" s="249"/>
      <c r="P128" s="249"/>
      <c r="Q128" s="249"/>
      <c r="R128" s="249"/>
      <c r="S128" s="249">
        <v>3.109</v>
      </c>
      <c r="T128" s="249">
        <v>3.6850000000000001</v>
      </c>
      <c r="U128" s="249">
        <v>3.577</v>
      </c>
      <c r="V128" s="249">
        <v>3.339</v>
      </c>
      <c r="W128" s="249">
        <v>3.0619999999999998</v>
      </c>
      <c r="X128" s="249">
        <v>2.61</v>
      </c>
      <c r="Y128" s="249">
        <v>2.61</v>
      </c>
      <c r="Z128" s="249">
        <v>2.61</v>
      </c>
      <c r="AA128" s="249">
        <v>2.61</v>
      </c>
      <c r="AB128" s="249">
        <v>2.61</v>
      </c>
      <c r="AC128" s="249">
        <v>2.61</v>
      </c>
      <c r="AD128" s="249">
        <v>2.61</v>
      </c>
      <c r="AE128" s="249">
        <v>2.61</v>
      </c>
      <c r="AF128" s="249">
        <v>2.61</v>
      </c>
    </row>
    <row r="129" spans="1:32" s="470" customFormat="1" ht="51">
      <c r="A129" s="9"/>
      <c r="B129" s="64"/>
      <c r="C129" s="16" t="s">
        <v>700</v>
      </c>
      <c r="D129" s="1162" t="s">
        <v>845</v>
      </c>
      <c r="E129" s="495" t="s">
        <v>700</v>
      </c>
      <c r="F129" s="1064" t="s">
        <v>1003</v>
      </c>
      <c r="G129" s="249"/>
      <c r="H129" s="249"/>
      <c r="I129" s="249"/>
      <c r="J129" s="249"/>
      <c r="K129" s="249"/>
      <c r="L129" s="249"/>
      <c r="M129" s="249"/>
      <c r="N129" s="249"/>
      <c r="O129" s="249"/>
      <c r="P129" s="249"/>
      <c r="Q129" s="249"/>
      <c r="R129" s="249"/>
      <c r="S129" s="249">
        <v>3.399</v>
      </c>
      <c r="T129" s="249">
        <v>4.226</v>
      </c>
      <c r="U129" s="249">
        <v>3.8580000000000001</v>
      </c>
      <c r="V129" s="249">
        <v>3.2240000000000002</v>
      </c>
      <c r="W129" s="249">
        <v>3.0640000000000001</v>
      </c>
      <c r="X129" s="249">
        <v>2.61</v>
      </c>
      <c r="Y129" s="249">
        <v>2.61</v>
      </c>
      <c r="Z129" s="249">
        <v>2.61</v>
      </c>
      <c r="AA129" s="249">
        <v>2.61</v>
      </c>
      <c r="AB129" s="249">
        <v>2.61</v>
      </c>
      <c r="AC129" s="249">
        <v>2.61</v>
      </c>
      <c r="AD129" s="249">
        <v>2.61</v>
      </c>
      <c r="AE129" s="249">
        <v>2.61</v>
      </c>
      <c r="AF129" s="249">
        <v>2.61</v>
      </c>
    </row>
    <row r="130" spans="1:32" s="470" customFormat="1" ht="51">
      <c r="A130" s="9"/>
      <c r="B130" s="64"/>
      <c r="C130" s="16" t="s">
        <v>701</v>
      </c>
      <c r="D130" s="1162" t="s">
        <v>845</v>
      </c>
      <c r="E130" s="495" t="s">
        <v>701</v>
      </c>
      <c r="F130" s="1064" t="s">
        <v>1004</v>
      </c>
      <c r="G130" s="249"/>
      <c r="H130" s="249"/>
      <c r="I130" s="249"/>
      <c r="J130" s="249"/>
      <c r="K130" s="249"/>
      <c r="L130" s="249"/>
      <c r="M130" s="249"/>
      <c r="N130" s="249"/>
      <c r="O130" s="249"/>
      <c r="P130" s="249"/>
      <c r="Q130" s="249"/>
      <c r="R130" s="249"/>
      <c r="S130" s="249">
        <v>2.8519999999999999</v>
      </c>
      <c r="T130" s="249">
        <v>3.306</v>
      </c>
      <c r="U130" s="249">
        <v>3.0489999999999999</v>
      </c>
      <c r="V130" s="249">
        <v>2.6829999999999998</v>
      </c>
      <c r="W130" s="249">
        <v>2.403</v>
      </c>
      <c r="X130" s="249">
        <v>2.61</v>
      </c>
      <c r="Y130" s="249">
        <v>2.61</v>
      </c>
      <c r="Z130" s="249">
        <v>2.61</v>
      </c>
      <c r="AA130" s="249">
        <v>2.61</v>
      </c>
      <c r="AB130" s="249">
        <v>2.61</v>
      </c>
      <c r="AC130" s="249">
        <v>2.61</v>
      </c>
      <c r="AD130" s="249">
        <v>2.61</v>
      </c>
      <c r="AE130" s="249">
        <v>2.61</v>
      </c>
      <c r="AF130" s="249">
        <v>2.61</v>
      </c>
    </row>
    <row r="131" spans="1:32" s="1087" customFormat="1" ht="63" customHeight="1">
      <c r="A131" s="557"/>
      <c r="B131" s="1180"/>
      <c r="C131" s="1181" t="s">
        <v>288</v>
      </c>
      <c r="D131" s="1182" t="s">
        <v>257</v>
      </c>
      <c r="E131" s="1183" t="s">
        <v>763</v>
      </c>
      <c r="F131" s="1184" t="s">
        <v>838</v>
      </c>
      <c r="G131" s="1109"/>
      <c r="H131" s="1109"/>
      <c r="I131" s="1109"/>
      <c r="J131" s="1109"/>
      <c r="K131" s="249"/>
      <c r="L131" s="249"/>
      <c r="M131" s="1109"/>
      <c r="N131" s="249"/>
      <c r="O131" s="249"/>
      <c r="P131" s="249"/>
      <c r="Q131" s="249"/>
      <c r="R131" s="249"/>
      <c r="S131" s="249">
        <v>2.827</v>
      </c>
      <c r="T131" s="249">
        <v>2.7280000000000002</v>
      </c>
      <c r="U131" s="1109">
        <v>2.9</v>
      </c>
      <c r="V131" s="1109">
        <v>2.9</v>
      </c>
      <c r="W131" s="1109">
        <v>2.9</v>
      </c>
      <c r="X131" s="1109">
        <v>2.9</v>
      </c>
      <c r="Y131" s="1109">
        <v>2.9</v>
      </c>
      <c r="Z131" s="1109">
        <v>2.9</v>
      </c>
      <c r="AA131" s="1109">
        <v>2.9</v>
      </c>
      <c r="AB131" s="1109">
        <v>2.9</v>
      </c>
      <c r="AC131" s="1109">
        <v>2.9</v>
      </c>
      <c r="AD131" s="1109">
        <v>2.9</v>
      </c>
      <c r="AE131" s="1109">
        <v>2.9</v>
      </c>
      <c r="AF131" s="1109">
        <v>2.9</v>
      </c>
    </row>
    <row r="132" spans="1:32" s="470" customFormat="1">
      <c r="B132" s="471"/>
      <c r="C132" s="183"/>
      <c r="D132" s="530"/>
      <c r="E132" s="1271"/>
      <c r="F132" s="1271"/>
      <c r="G132" s="250"/>
      <c r="H132" s="250"/>
      <c r="I132" s="250"/>
      <c r="J132" s="250"/>
      <c r="K132" s="250"/>
      <c r="L132" s="250"/>
      <c r="M132" s="250"/>
      <c r="N132" s="250"/>
      <c r="O132" s="250"/>
      <c r="P132" s="250"/>
      <c r="Q132" s="249"/>
      <c r="R132" s="249"/>
      <c r="S132" s="249"/>
      <c r="T132" s="249"/>
      <c r="U132" s="249"/>
      <c r="V132" s="249"/>
      <c r="W132" s="249"/>
      <c r="X132" s="249"/>
      <c r="Y132" s="249"/>
      <c r="Z132" s="249"/>
      <c r="AA132" s="249"/>
      <c r="AB132" s="249"/>
      <c r="AC132" s="249"/>
      <c r="AD132" s="249"/>
      <c r="AE132" s="249"/>
      <c r="AF132" s="249"/>
    </row>
    <row r="133" spans="1:32" s="470" customFormat="1" ht="38.25">
      <c r="B133" s="471"/>
      <c r="C133" s="1092" t="s">
        <v>908</v>
      </c>
      <c r="D133" s="1163" t="s">
        <v>257</v>
      </c>
      <c r="E133" s="1089" t="s">
        <v>909</v>
      </c>
      <c r="F133" s="1090" t="s">
        <v>910</v>
      </c>
      <c r="G133" s="1091"/>
      <c r="H133" s="1091"/>
      <c r="I133" s="1091"/>
      <c r="J133" s="1091"/>
      <c r="K133" s="250"/>
      <c r="L133" s="250"/>
      <c r="M133" s="1091"/>
      <c r="N133" s="250"/>
      <c r="O133" s="250"/>
      <c r="P133" s="250"/>
      <c r="Q133" s="250"/>
      <c r="R133" s="249"/>
      <c r="S133" s="249">
        <f>1800/(1000)</f>
        <v>1.8</v>
      </c>
      <c r="T133" s="249">
        <f>4300/(1000)</f>
        <v>4.3</v>
      </c>
      <c r="U133" s="249">
        <f>2900/(1000)</f>
        <v>2.9</v>
      </c>
      <c r="V133" s="249">
        <f>3700/(1000)</f>
        <v>3.7</v>
      </c>
      <c r="W133" s="249">
        <f>3900/(1000)</f>
        <v>3.9</v>
      </c>
      <c r="X133" s="249">
        <f>4500/(1000)</f>
        <v>4.5</v>
      </c>
      <c r="Y133" s="249">
        <f>4500/(1000)</f>
        <v>4.5</v>
      </c>
      <c r="Z133" s="249">
        <f>5400/(1000)</f>
        <v>5.4</v>
      </c>
      <c r="AA133" s="249">
        <f>$Z$133</f>
        <v>5.4</v>
      </c>
      <c r="AB133" s="249">
        <f t="shared" ref="AB133:AF133" si="7">$Z$133</f>
        <v>5.4</v>
      </c>
      <c r="AC133" s="249">
        <f t="shared" si="7"/>
        <v>5.4</v>
      </c>
      <c r="AD133" s="249">
        <f t="shared" si="7"/>
        <v>5.4</v>
      </c>
      <c r="AE133" s="249">
        <f t="shared" si="7"/>
        <v>5.4</v>
      </c>
      <c r="AF133" s="249">
        <f t="shared" si="7"/>
        <v>5.4</v>
      </c>
    </row>
    <row r="134" spans="1:32" s="470" customFormat="1" ht="38.25">
      <c r="B134" s="471"/>
      <c r="C134" s="166" t="s">
        <v>959</v>
      </c>
      <c r="D134" s="1164" t="s">
        <v>845</v>
      </c>
      <c r="E134" s="1070" t="s">
        <v>960</v>
      </c>
      <c r="F134" s="1044" t="s">
        <v>961</v>
      </c>
      <c r="G134" s="250"/>
      <c r="H134" s="250"/>
      <c r="I134" s="250"/>
      <c r="J134" s="250"/>
      <c r="K134" s="250"/>
      <c r="L134" s="250"/>
      <c r="M134" s="250"/>
      <c r="N134" s="250"/>
      <c r="O134" s="250"/>
      <c r="P134" s="250"/>
      <c r="Q134" s="250"/>
      <c r="R134" s="250"/>
      <c r="S134" s="250">
        <v>2.1</v>
      </c>
      <c r="T134" s="250">
        <v>2.1</v>
      </c>
      <c r="U134" s="250">
        <v>2.1</v>
      </c>
      <c r="V134" s="250">
        <v>2.2000000000000002</v>
      </c>
      <c r="W134" s="250">
        <v>5</v>
      </c>
      <c r="X134" s="250">
        <v>5.5</v>
      </c>
      <c r="Y134" s="250">
        <v>5.6</v>
      </c>
      <c r="Z134" s="250">
        <v>6</v>
      </c>
      <c r="AA134" s="250">
        <v>6</v>
      </c>
      <c r="AB134" s="250">
        <v>6.1</v>
      </c>
      <c r="AC134" s="250">
        <v>5</v>
      </c>
      <c r="AD134" s="250">
        <v>4.8</v>
      </c>
      <c r="AE134" s="250">
        <v>4.8</v>
      </c>
      <c r="AF134" s="250">
        <v>3.3</v>
      </c>
    </row>
    <row r="135" spans="1:32" s="470" customFormat="1" ht="38.25">
      <c r="B135" s="471"/>
      <c r="C135" s="166" t="s">
        <v>506</v>
      </c>
      <c r="D135" s="1164" t="s">
        <v>965</v>
      </c>
      <c r="E135" s="1070" t="s">
        <v>966</v>
      </c>
      <c r="F135" s="1044" t="s">
        <v>967</v>
      </c>
      <c r="G135" s="250">
        <v>1.411797</v>
      </c>
      <c r="H135" s="250">
        <v>1.8712979999999999</v>
      </c>
      <c r="I135" s="250">
        <v>2.4085290000000001</v>
      </c>
      <c r="J135" s="250">
        <v>2.9965709999999999</v>
      </c>
      <c r="K135" s="250">
        <v>4.6522969999999999</v>
      </c>
      <c r="L135" s="250">
        <v>3.7872080000000001</v>
      </c>
      <c r="M135" s="250">
        <v>4.4454030000000007</v>
      </c>
      <c r="N135" s="250">
        <v>5.5017449999999997</v>
      </c>
      <c r="O135" s="250">
        <v>2.4031500000000001</v>
      </c>
      <c r="P135" s="250">
        <v>0.98599999999999999</v>
      </c>
      <c r="Q135" s="250">
        <v>1.5</v>
      </c>
      <c r="R135" s="250">
        <v>1.5</v>
      </c>
      <c r="S135" s="250"/>
      <c r="T135" s="250"/>
      <c r="U135" s="250"/>
      <c r="V135" s="250"/>
      <c r="W135" s="250"/>
      <c r="X135" s="250"/>
      <c r="Y135" s="250"/>
      <c r="Z135" s="250"/>
      <c r="AA135" s="250"/>
      <c r="AB135" s="250"/>
      <c r="AC135" s="250"/>
      <c r="AD135" s="250"/>
      <c r="AE135" s="250"/>
      <c r="AF135" s="250"/>
    </row>
    <row r="136" spans="1:32" s="470" customFormat="1">
      <c r="B136" s="471"/>
      <c r="C136" s="166"/>
      <c r="D136" s="1164"/>
      <c r="E136" s="1070"/>
      <c r="F136" s="1044"/>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row>
    <row r="137" spans="1:32" s="470" customFormat="1">
      <c r="B137" s="471"/>
      <c r="C137" s="166"/>
      <c r="D137" s="1164"/>
      <c r="E137" s="1070"/>
      <c r="F137" s="1044"/>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row>
    <row r="138" spans="1:32" s="470" customFormat="1">
      <c r="B138" s="471"/>
      <c r="C138" s="166"/>
      <c r="D138" s="1164"/>
      <c r="E138" s="1070"/>
      <c r="F138" s="1044"/>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row>
    <row r="139" spans="1:32" s="470" customFormat="1">
      <c r="B139" s="471"/>
      <c r="C139" s="166"/>
      <c r="D139" s="1164"/>
      <c r="E139" s="1070"/>
      <c r="F139" s="1044"/>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row>
    <row r="140" spans="1:32" s="470" customFormat="1">
      <c r="B140" s="471"/>
      <c r="C140" s="166"/>
      <c r="D140" s="1164"/>
      <c r="E140" s="1070"/>
      <c r="F140" s="1044"/>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row>
    <row r="141" spans="1:32" s="470" customFormat="1">
      <c r="B141" s="471"/>
      <c r="C141" s="166"/>
      <c r="D141" s="1164"/>
      <c r="E141" s="1070"/>
      <c r="F141" s="1046"/>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row>
    <row r="142" spans="1:32" s="470" customFormat="1">
      <c r="B142" s="471"/>
      <c r="C142" s="166"/>
      <c r="D142" s="1164"/>
      <c r="E142" s="1070"/>
      <c r="F142" s="1044"/>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row>
    <row r="143" spans="1:32" s="470" customFormat="1">
      <c r="B143" s="471"/>
      <c r="C143" s="166"/>
      <c r="D143" s="1164"/>
      <c r="E143" s="1070"/>
      <c r="F143" s="1044"/>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row>
    <row r="144" spans="1:32" s="470" customFormat="1">
      <c r="B144" s="472"/>
      <c r="C144" s="166"/>
      <c r="D144" s="1164"/>
      <c r="E144" s="1165"/>
      <c r="F144" s="1044"/>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row>
    <row r="145" spans="1:34">
      <c r="C145" s="47"/>
      <c r="D145" s="47"/>
      <c r="E145" s="1047"/>
      <c r="F145" s="1061"/>
      <c r="G145" s="1259"/>
      <c r="H145" s="1259"/>
      <c r="I145" s="1259"/>
      <c r="J145" s="1259"/>
      <c r="K145" s="1260"/>
      <c r="L145" s="1260"/>
      <c r="M145" s="1260"/>
      <c r="N145" s="1260"/>
      <c r="O145" s="1260"/>
      <c r="P145" s="1260"/>
      <c r="Q145" s="1260"/>
      <c r="R145" s="257"/>
      <c r="S145" s="257"/>
      <c r="T145" s="257"/>
      <c r="U145" s="257"/>
      <c r="V145" s="257"/>
      <c r="W145" s="257"/>
      <c r="X145" s="257"/>
      <c r="Y145" s="257"/>
      <c r="Z145" s="257"/>
      <c r="AA145" s="257"/>
      <c r="AB145" s="257"/>
      <c r="AC145" s="257"/>
      <c r="AD145" s="257"/>
      <c r="AE145" s="257"/>
      <c r="AF145" s="257"/>
    </row>
    <row r="146" spans="1:34" ht="38.25">
      <c r="B146" s="172" t="s">
        <v>26</v>
      </c>
      <c r="C146" s="46" t="s">
        <v>138</v>
      </c>
      <c r="D146" s="52" t="s">
        <v>845</v>
      </c>
      <c r="E146" s="1067" t="s">
        <v>878</v>
      </c>
      <c r="F146" s="1262" t="s">
        <v>1005</v>
      </c>
      <c r="G146" s="517">
        <f>45/(1000)</f>
        <v>4.4999999999999998E-2</v>
      </c>
      <c r="H146" s="517">
        <f>108/(1000)</f>
        <v>0.108</v>
      </c>
      <c r="I146" s="517">
        <f>80/(1000)</f>
        <v>0.08</v>
      </c>
      <c r="J146" s="517">
        <f>240/(1000)</f>
        <v>0.24</v>
      </c>
      <c r="K146" s="517">
        <f>486/(1000)</f>
        <v>0.48599999999999999</v>
      </c>
      <c r="L146" s="517">
        <f>2289/(1000)</f>
        <v>2.2890000000000001</v>
      </c>
      <c r="M146" s="517">
        <f>869/(1000)</f>
        <v>0.86899999999999999</v>
      </c>
      <c r="N146" s="517">
        <f>1254/(1000)</f>
        <v>1.254</v>
      </c>
      <c r="O146" s="517">
        <f>987/(1000)</f>
        <v>0.98699999999999999</v>
      </c>
      <c r="P146" s="517">
        <f>1135/(1000)</f>
        <v>1.135</v>
      </c>
      <c r="Q146" s="517">
        <v>0.219</v>
      </c>
      <c r="R146" s="517">
        <v>0</v>
      </c>
      <c r="S146" s="517">
        <v>0.34200000000000003</v>
      </c>
      <c r="T146" s="517">
        <v>0.749</v>
      </c>
      <c r="U146" s="517">
        <v>1.1259999999999999</v>
      </c>
      <c r="V146" s="517">
        <v>0.9</v>
      </c>
      <c r="W146" s="517">
        <v>0.95799999999999996</v>
      </c>
      <c r="X146" s="517">
        <f>W146</f>
        <v>0.95799999999999996</v>
      </c>
      <c r="Y146" s="517">
        <f t="shared" ref="Y146:AF146" si="8">X146</f>
        <v>0.95799999999999996</v>
      </c>
      <c r="Z146" s="517">
        <f t="shared" si="8"/>
        <v>0.95799999999999996</v>
      </c>
      <c r="AA146" s="517">
        <f t="shared" si="8"/>
        <v>0.95799999999999996</v>
      </c>
      <c r="AB146" s="517">
        <f t="shared" si="8"/>
        <v>0.95799999999999996</v>
      </c>
      <c r="AC146" s="517">
        <f t="shared" si="8"/>
        <v>0.95799999999999996</v>
      </c>
      <c r="AD146" s="517">
        <f t="shared" si="8"/>
        <v>0.95799999999999996</v>
      </c>
      <c r="AE146" s="517">
        <f t="shared" si="8"/>
        <v>0.95799999999999996</v>
      </c>
      <c r="AF146" s="517">
        <f t="shared" si="8"/>
        <v>0.95799999999999996</v>
      </c>
      <c r="AH146" s="72"/>
    </row>
    <row r="147" spans="1:34">
      <c r="B147" s="171"/>
      <c r="C147" s="54"/>
      <c r="D147" s="54"/>
      <c r="E147" s="1068"/>
      <c r="G147" s="1222"/>
      <c r="H147" s="1222"/>
      <c r="I147" s="1222"/>
      <c r="J147" s="1222"/>
      <c r="K147" s="1109"/>
      <c r="L147" s="1109"/>
      <c r="M147" s="1109"/>
      <c r="N147" s="1109"/>
      <c r="O147" s="1109"/>
      <c r="P147" s="1109"/>
      <c r="Q147" s="1109"/>
      <c r="R147" s="1109"/>
      <c r="S147" s="1109"/>
      <c r="T147" s="1109"/>
      <c r="U147" s="1109"/>
      <c r="V147" s="1109"/>
      <c r="W147" s="1109"/>
      <c r="X147" s="1109"/>
      <c r="Y147" s="1109"/>
      <c r="Z147" s="1109"/>
      <c r="AA147" s="1109"/>
      <c r="AB147" s="1109"/>
      <c r="AC147" s="1109"/>
      <c r="AD147" s="1109"/>
      <c r="AE147" s="1109"/>
      <c r="AF147" s="1109"/>
      <c r="AH147" s="72"/>
    </row>
    <row r="148" spans="1:34">
      <c r="B148" s="171"/>
      <c r="C148" s="54"/>
      <c r="D148" s="54"/>
      <c r="E148" s="1068"/>
      <c r="G148" s="1222"/>
      <c r="H148" s="1222"/>
      <c r="I148" s="1222"/>
      <c r="J148" s="1222"/>
      <c r="K148" s="1109"/>
      <c r="L148" s="1109"/>
      <c r="M148" s="1109"/>
      <c r="N148" s="1109"/>
      <c r="O148" s="1109"/>
      <c r="P148" s="1109"/>
      <c r="Q148" s="1109"/>
      <c r="R148" s="1109"/>
      <c r="S148" s="1109"/>
      <c r="T148" s="1109"/>
      <c r="U148" s="1109"/>
      <c r="V148" s="1109"/>
      <c r="W148" s="1109"/>
      <c r="X148" s="1109"/>
      <c r="Y148" s="1109"/>
      <c r="Z148" s="1109"/>
      <c r="AA148" s="1109"/>
      <c r="AB148" s="1109"/>
      <c r="AC148" s="1109"/>
      <c r="AD148" s="1109"/>
      <c r="AE148" s="1109"/>
      <c r="AF148" s="1109"/>
      <c r="AH148" s="72"/>
    </row>
    <row r="149" spans="1:34">
      <c r="B149" s="171"/>
      <c r="C149" s="54"/>
      <c r="D149" s="54"/>
      <c r="E149" s="1068"/>
      <c r="G149" s="1222"/>
      <c r="H149" s="1222"/>
      <c r="I149" s="1222"/>
      <c r="J149" s="1222"/>
      <c r="K149" s="1109"/>
      <c r="L149" s="1109"/>
      <c r="M149" s="1109"/>
      <c r="N149" s="1109"/>
      <c r="O149" s="1109"/>
      <c r="P149" s="1109"/>
      <c r="Q149" s="1109"/>
      <c r="R149" s="1109"/>
      <c r="S149" s="1109"/>
      <c r="T149" s="1109"/>
      <c r="U149" s="1109"/>
      <c r="V149" s="1109"/>
      <c r="W149" s="1109"/>
      <c r="X149" s="1109"/>
      <c r="Y149" s="1109"/>
      <c r="Z149" s="1109"/>
      <c r="AA149" s="1109"/>
      <c r="AB149" s="1109"/>
      <c r="AC149" s="1109"/>
      <c r="AD149" s="1109"/>
      <c r="AE149" s="1109"/>
      <c r="AF149" s="1109"/>
      <c r="AH149" s="72"/>
    </row>
    <row r="150" spans="1:34">
      <c r="B150" s="64"/>
      <c r="C150" s="54" t="s">
        <v>506</v>
      </c>
      <c r="D150" s="54" t="s">
        <v>65</v>
      </c>
      <c r="E150" s="1068" t="s">
        <v>573</v>
      </c>
      <c r="G150" s="249"/>
      <c r="H150" s="249"/>
      <c r="I150" s="249"/>
      <c r="J150" s="249"/>
      <c r="K150" s="249"/>
      <c r="L150" s="249"/>
      <c r="M150" s="249"/>
      <c r="N150" s="249"/>
      <c r="O150" s="249"/>
      <c r="P150" s="249"/>
      <c r="Q150" s="249"/>
      <c r="R150" s="249"/>
      <c r="S150" s="249">
        <v>0</v>
      </c>
      <c r="T150" s="249">
        <v>0</v>
      </c>
      <c r="U150" s="249">
        <v>0</v>
      </c>
      <c r="V150" s="249">
        <v>0</v>
      </c>
      <c r="W150" s="249">
        <v>0</v>
      </c>
      <c r="X150" s="249">
        <v>0</v>
      </c>
      <c r="Y150" s="249">
        <v>0</v>
      </c>
      <c r="Z150" s="249">
        <v>0</v>
      </c>
      <c r="AA150" s="249">
        <v>0</v>
      </c>
      <c r="AB150" s="249">
        <v>0</v>
      </c>
      <c r="AC150" s="249">
        <v>0</v>
      </c>
      <c r="AD150" s="249">
        <v>0</v>
      </c>
      <c r="AE150" s="249">
        <v>0</v>
      </c>
      <c r="AF150" s="249">
        <v>0</v>
      </c>
    </row>
    <row r="151" spans="1:34">
      <c r="B151" s="64"/>
      <c r="C151" s="54" t="s">
        <v>98</v>
      </c>
      <c r="D151" s="54" t="s">
        <v>256</v>
      </c>
      <c r="E151" s="1068" t="s">
        <v>307</v>
      </c>
      <c r="G151" s="249"/>
      <c r="H151" s="249"/>
      <c r="I151" s="249"/>
      <c r="J151" s="249"/>
      <c r="K151" s="249"/>
      <c r="L151" s="249"/>
      <c r="M151" s="249"/>
      <c r="N151" s="249"/>
      <c r="O151" s="249"/>
      <c r="P151" s="249"/>
      <c r="Q151" s="249"/>
      <c r="R151" s="249"/>
      <c r="S151" s="249">
        <v>0.5</v>
      </c>
      <c r="T151" s="249">
        <v>0.5</v>
      </c>
      <c r="U151" s="249">
        <v>0.5</v>
      </c>
      <c r="V151" s="249">
        <v>0.5</v>
      </c>
      <c r="W151" s="249">
        <v>0.5</v>
      </c>
      <c r="X151" s="249">
        <v>0.5</v>
      </c>
      <c r="Y151" s="249">
        <v>0.5</v>
      </c>
      <c r="Z151" s="249">
        <v>0.5</v>
      </c>
      <c r="AA151" s="249">
        <v>0.5</v>
      </c>
      <c r="AB151" s="249">
        <v>0.5</v>
      </c>
      <c r="AC151" s="249">
        <v>0.5</v>
      </c>
      <c r="AD151" s="249">
        <v>0.5</v>
      </c>
      <c r="AE151" s="249">
        <v>0.5</v>
      </c>
      <c r="AF151" s="249">
        <v>0.5</v>
      </c>
    </row>
    <row r="152" spans="1:34">
      <c r="B152" s="64"/>
      <c r="C152" s="54" t="s">
        <v>96</v>
      </c>
      <c r="D152" s="54" t="s">
        <v>256</v>
      </c>
      <c r="E152" s="1068" t="s">
        <v>308</v>
      </c>
      <c r="G152" s="249"/>
      <c r="H152" s="249"/>
      <c r="I152" s="249"/>
      <c r="J152" s="249"/>
      <c r="K152" s="249"/>
      <c r="L152" s="249"/>
      <c r="M152" s="249"/>
      <c r="N152" s="249"/>
      <c r="O152" s="249"/>
      <c r="P152" s="249"/>
      <c r="Q152" s="249"/>
      <c r="R152" s="249"/>
      <c r="S152" s="249">
        <v>1</v>
      </c>
      <c r="T152" s="249">
        <v>1</v>
      </c>
      <c r="U152" s="249">
        <v>1</v>
      </c>
      <c r="V152" s="249">
        <v>1</v>
      </c>
      <c r="W152" s="249">
        <v>1</v>
      </c>
      <c r="X152" s="249">
        <v>1</v>
      </c>
      <c r="Y152" s="249">
        <v>1</v>
      </c>
      <c r="Z152" s="249">
        <v>1</v>
      </c>
      <c r="AA152" s="249">
        <v>1</v>
      </c>
      <c r="AB152" s="249">
        <v>1</v>
      </c>
      <c r="AC152" s="249">
        <v>1</v>
      </c>
      <c r="AD152" s="249">
        <v>1</v>
      </c>
      <c r="AE152" s="249">
        <v>1</v>
      </c>
      <c r="AF152" s="249">
        <v>1</v>
      </c>
    </row>
    <row r="153" spans="1:34">
      <c r="B153" s="64"/>
      <c r="C153" s="54" t="s">
        <v>99</v>
      </c>
      <c r="D153" s="54" t="s">
        <v>256</v>
      </c>
      <c r="E153" s="1068" t="s">
        <v>309</v>
      </c>
      <c r="G153" s="249"/>
      <c r="H153" s="249"/>
      <c r="I153" s="249"/>
      <c r="J153" s="249"/>
      <c r="K153" s="249"/>
      <c r="L153" s="249"/>
      <c r="M153" s="249"/>
      <c r="N153" s="249"/>
      <c r="O153" s="249"/>
      <c r="P153" s="249"/>
      <c r="Q153" s="249"/>
      <c r="R153" s="249"/>
      <c r="S153" s="249">
        <v>1.5</v>
      </c>
      <c r="T153" s="249">
        <v>1.5</v>
      </c>
      <c r="U153" s="249">
        <v>1.5</v>
      </c>
      <c r="V153" s="249">
        <v>1.5</v>
      </c>
      <c r="W153" s="249">
        <v>1.5</v>
      </c>
      <c r="X153" s="249">
        <v>1.5</v>
      </c>
      <c r="Y153" s="249">
        <v>1.5</v>
      </c>
      <c r="Z153" s="249">
        <v>1.5</v>
      </c>
      <c r="AA153" s="249">
        <v>1.5</v>
      </c>
      <c r="AB153" s="249">
        <v>1.5</v>
      </c>
      <c r="AC153" s="249">
        <v>1.5</v>
      </c>
      <c r="AD153" s="249">
        <v>1.5</v>
      </c>
      <c r="AE153" s="249">
        <v>1.5</v>
      </c>
      <c r="AF153" s="249">
        <v>1.5</v>
      </c>
    </row>
    <row r="154" spans="1:34">
      <c r="B154" s="64"/>
      <c r="C154" s="54" t="s">
        <v>100</v>
      </c>
      <c r="D154" s="54" t="s">
        <v>256</v>
      </c>
      <c r="E154" s="1068" t="s">
        <v>310</v>
      </c>
      <c r="G154" s="249"/>
      <c r="H154" s="249"/>
      <c r="I154" s="249"/>
      <c r="J154" s="249"/>
      <c r="K154" s="249"/>
      <c r="L154" s="249"/>
      <c r="M154" s="249"/>
      <c r="N154" s="249"/>
      <c r="O154" s="249"/>
      <c r="P154" s="249"/>
      <c r="Q154" s="249"/>
      <c r="R154" s="249"/>
      <c r="S154" s="249">
        <v>2</v>
      </c>
      <c r="T154" s="249">
        <v>2</v>
      </c>
      <c r="U154" s="249">
        <v>2</v>
      </c>
      <c r="V154" s="249">
        <v>2</v>
      </c>
      <c r="W154" s="249">
        <v>2</v>
      </c>
      <c r="X154" s="249">
        <v>2</v>
      </c>
      <c r="Y154" s="249">
        <v>2</v>
      </c>
      <c r="Z154" s="249">
        <v>2</v>
      </c>
      <c r="AA154" s="249">
        <v>2</v>
      </c>
      <c r="AB154" s="249">
        <v>2</v>
      </c>
      <c r="AC154" s="249">
        <v>2</v>
      </c>
      <c r="AD154" s="249">
        <v>2</v>
      </c>
      <c r="AE154" s="249">
        <v>2</v>
      </c>
      <c r="AF154" s="249">
        <v>2</v>
      </c>
    </row>
    <row r="155" spans="1:34">
      <c r="B155" s="64"/>
      <c r="C155" s="50"/>
      <c r="D155" s="54"/>
      <c r="E155" s="1068"/>
      <c r="G155" s="535"/>
      <c r="H155" s="535"/>
      <c r="I155" s="535"/>
      <c r="J155" s="535"/>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row>
    <row r="156" spans="1:34" ht="25.5">
      <c r="B156" s="64"/>
      <c r="C156" s="54" t="s">
        <v>839</v>
      </c>
      <c r="D156" s="1185" t="s">
        <v>65</v>
      </c>
      <c r="E156" s="1183" t="s">
        <v>840</v>
      </c>
      <c r="F156" s="1186" t="s">
        <v>747</v>
      </c>
      <c r="G156" s="249"/>
      <c r="H156" s="249"/>
      <c r="I156" s="249"/>
      <c r="J156" s="249"/>
      <c r="K156" s="249"/>
      <c r="L156" s="249"/>
      <c r="M156" s="249"/>
      <c r="N156" s="249"/>
      <c r="O156" s="249"/>
      <c r="P156" s="249"/>
      <c r="Q156" s="249"/>
      <c r="R156" s="249"/>
      <c r="S156" s="249">
        <v>0.5</v>
      </c>
      <c r="T156" s="249">
        <v>0.7</v>
      </c>
      <c r="U156" s="249">
        <v>0.7</v>
      </c>
      <c r="V156" s="249">
        <v>0.7</v>
      </c>
      <c r="W156" s="249">
        <v>0.95</v>
      </c>
      <c r="X156" s="249">
        <v>0.95</v>
      </c>
      <c r="Y156" s="249">
        <v>0.95</v>
      </c>
      <c r="Z156" s="249">
        <v>2.9</v>
      </c>
      <c r="AA156" s="249">
        <v>3.5</v>
      </c>
      <c r="AB156" s="249">
        <v>1</v>
      </c>
      <c r="AC156" s="249">
        <v>1</v>
      </c>
      <c r="AD156" s="249">
        <v>1</v>
      </c>
      <c r="AE156" s="249">
        <v>1</v>
      </c>
      <c r="AF156" s="249">
        <v>1</v>
      </c>
    </row>
    <row r="157" spans="1:34" s="470" customFormat="1" ht="51">
      <c r="A157" s="9"/>
      <c r="B157" s="64"/>
      <c r="C157" s="16" t="s">
        <v>788</v>
      </c>
      <c r="D157" s="329" t="s">
        <v>845</v>
      </c>
      <c r="E157" s="495" t="s">
        <v>788</v>
      </c>
      <c r="F157" s="1064" t="s">
        <v>1006</v>
      </c>
      <c r="G157" s="1187"/>
      <c r="H157" s="1187"/>
      <c r="I157" s="1187"/>
      <c r="J157" s="1187"/>
      <c r="K157" s="1187"/>
      <c r="L157" s="1187"/>
      <c r="M157" s="1187"/>
      <c r="N157" s="1187"/>
      <c r="O157" s="1187"/>
      <c r="P157" s="1187"/>
      <c r="Q157" s="1187"/>
      <c r="R157" s="1187"/>
      <c r="S157" s="1187">
        <v>0.34200000000000003</v>
      </c>
      <c r="T157" s="1187">
        <v>0.749</v>
      </c>
      <c r="U157" s="1187">
        <v>1.1259999999999999</v>
      </c>
      <c r="V157" s="1187">
        <v>0.9</v>
      </c>
      <c r="W157" s="1187">
        <v>0.95799999999999996</v>
      </c>
      <c r="X157" s="1187">
        <f t="shared" ref="X157:AF157" si="9">X$156</f>
        <v>0.95</v>
      </c>
      <c r="Y157" s="1187">
        <f t="shared" si="9"/>
        <v>0.95</v>
      </c>
      <c r="Z157" s="1187">
        <f t="shared" si="9"/>
        <v>2.9</v>
      </c>
      <c r="AA157" s="1187">
        <f t="shared" si="9"/>
        <v>3.5</v>
      </c>
      <c r="AB157" s="1187">
        <f t="shared" si="9"/>
        <v>1</v>
      </c>
      <c r="AC157" s="1187">
        <f t="shared" si="9"/>
        <v>1</v>
      </c>
      <c r="AD157" s="1187">
        <f t="shared" si="9"/>
        <v>1</v>
      </c>
      <c r="AE157" s="1187">
        <f t="shared" si="9"/>
        <v>1</v>
      </c>
      <c r="AF157" s="1187">
        <f t="shared" si="9"/>
        <v>1</v>
      </c>
      <c r="AG157" s="1046"/>
      <c r="AH157" s="1045"/>
    </row>
    <row r="158" spans="1:34" s="470" customFormat="1" ht="51">
      <c r="A158" s="9"/>
      <c r="B158" s="64"/>
      <c r="C158" s="16" t="s">
        <v>700</v>
      </c>
      <c r="D158" s="329" t="s">
        <v>845</v>
      </c>
      <c r="E158" s="495" t="s">
        <v>700</v>
      </c>
      <c r="F158" s="1064" t="s">
        <v>1007</v>
      </c>
      <c r="G158" s="1187"/>
      <c r="H158" s="1187"/>
      <c r="I158" s="1187"/>
      <c r="J158" s="1187"/>
      <c r="K158" s="1187"/>
      <c r="L158" s="1187"/>
      <c r="M158" s="1187"/>
      <c r="N158" s="1187"/>
      <c r="O158" s="1187"/>
      <c r="P158" s="1187"/>
      <c r="Q158" s="1187"/>
      <c r="R158" s="1187"/>
      <c r="S158" s="1187">
        <v>0.58899999999999997</v>
      </c>
      <c r="T158" s="1187">
        <v>0.72799999999999998</v>
      </c>
      <c r="U158" s="1187">
        <v>0.9</v>
      </c>
      <c r="V158" s="1187">
        <v>0.9</v>
      </c>
      <c r="W158" s="1187">
        <v>0.95799999999999996</v>
      </c>
      <c r="X158" s="1187">
        <f t="shared" ref="X158:AF158" si="10">X156</f>
        <v>0.95</v>
      </c>
      <c r="Y158" s="1187">
        <f t="shared" si="10"/>
        <v>0.95</v>
      </c>
      <c r="Z158" s="1187">
        <f t="shared" si="10"/>
        <v>2.9</v>
      </c>
      <c r="AA158" s="1187">
        <f t="shared" si="10"/>
        <v>3.5</v>
      </c>
      <c r="AB158" s="1187">
        <f t="shared" si="10"/>
        <v>1</v>
      </c>
      <c r="AC158" s="1187">
        <f t="shared" si="10"/>
        <v>1</v>
      </c>
      <c r="AD158" s="1187">
        <f t="shared" si="10"/>
        <v>1</v>
      </c>
      <c r="AE158" s="1187">
        <f t="shared" si="10"/>
        <v>1</v>
      </c>
      <c r="AF158" s="1187">
        <f t="shared" si="10"/>
        <v>1</v>
      </c>
      <c r="AG158" s="1046"/>
      <c r="AH158" s="1045"/>
    </row>
    <row r="159" spans="1:34" s="470" customFormat="1" ht="51">
      <c r="A159" s="9"/>
      <c r="B159" s="64"/>
      <c r="C159" s="16" t="s">
        <v>701</v>
      </c>
      <c r="D159" s="329" t="s">
        <v>845</v>
      </c>
      <c r="E159" s="495" t="s">
        <v>701</v>
      </c>
      <c r="F159" s="1064" t="s">
        <v>1008</v>
      </c>
      <c r="G159" s="249"/>
      <c r="H159" s="249"/>
      <c r="I159" s="249"/>
      <c r="J159" s="249"/>
      <c r="K159" s="249"/>
      <c r="L159" s="249"/>
      <c r="M159" s="249"/>
      <c r="N159" s="1109"/>
      <c r="O159" s="249"/>
      <c r="P159" s="249"/>
      <c r="Q159" s="249"/>
      <c r="R159" s="1187"/>
      <c r="S159" s="1187">
        <v>0.14399999999999999</v>
      </c>
      <c r="T159" s="1187">
        <v>0.44500000000000001</v>
      </c>
      <c r="U159" s="1187">
        <v>1.1779999999999999</v>
      </c>
      <c r="V159" s="1187">
        <v>0.45</v>
      </c>
      <c r="W159" s="1187">
        <v>1.694</v>
      </c>
      <c r="X159" s="1187">
        <f t="shared" ref="X159:AF159" si="11">X156</f>
        <v>0.95</v>
      </c>
      <c r="Y159" s="1187">
        <f t="shared" si="11"/>
        <v>0.95</v>
      </c>
      <c r="Z159" s="1187">
        <f t="shared" si="11"/>
        <v>2.9</v>
      </c>
      <c r="AA159" s="1187">
        <f t="shared" si="11"/>
        <v>3.5</v>
      </c>
      <c r="AB159" s="1187">
        <f t="shared" si="11"/>
        <v>1</v>
      </c>
      <c r="AC159" s="1187">
        <f t="shared" si="11"/>
        <v>1</v>
      </c>
      <c r="AD159" s="1187">
        <f t="shared" si="11"/>
        <v>1</v>
      </c>
      <c r="AE159" s="1187">
        <f t="shared" si="11"/>
        <v>1</v>
      </c>
      <c r="AF159" s="1187">
        <f t="shared" si="11"/>
        <v>1</v>
      </c>
    </row>
    <row r="160" spans="1:34" s="470" customFormat="1">
      <c r="B160" s="471"/>
      <c r="C160" s="183"/>
      <c r="D160" s="530"/>
      <c r="E160" s="1064"/>
      <c r="F160" s="1043"/>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row>
    <row r="161" spans="2:45" s="470" customFormat="1" ht="38.25">
      <c r="B161" s="471"/>
      <c r="C161" s="1092" t="s">
        <v>908</v>
      </c>
      <c r="D161" s="1163" t="s">
        <v>257</v>
      </c>
      <c r="E161" s="1089" t="s">
        <v>909</v>
      </c>
      <c r="F161" s="1090" t="s">
        <v>910</v>
      </c>
      <c r="G161" s="250"/>
      <c r="H161" s="250"/>
      <c r="I161" s="250"/>
      <c r="J161" s="250"/>
      <c r="K161" s="250"/>
      <c r="L161" s="250"/>
      <c r="M161" s="250"/>
      <c r="N161" s="250"/>
      <c r="O161" s="250"/>
      <c r="P161" s="250"/>
      <c r="Q161" s="250"/>
      <c r="R161" s="250"/>
      <c r="S161" s="250">
        <f>500/(1000)</f>
        <v>0.5</v>
      </c>
      <c r="T161" s="250">
        <f>700/(1000)</f>
        <v>0.7</v>
      </c>
      <c r="U161" s="250">
        <f>700/(1000)</f>
        <v>0.7</v>
      </c>
      <c r="V161" s="250">
        <f>700/(1000)</f>
        <v>0.7</v>
      </c>
      <c r="W161" s="250">
        <f>950/(1000)</f>
        <v>0.95</v>
      </c>
      <c r="X161" s="250">
        <f>950/(1000)</f>
        <v>0.95</v>
      </c>
      <c r="Y161" s="250">
        <f>950/(1000)</f>
        <v>0.95</v>
      </c>
      <c r="Z161" s="250">
        <f>2900/(1000)</f>
        <v>2.9</v>
      </c>
      <c r="AA161" s="250">
        <v>3.5</v>
      </c>
      <c r="AB161" s="250">
        <f>$AA$161</f>
        <v>3.5</v>
      </c>
      <c r="AC161" s="250">
        <f t="shared" ref="AC161:AF161" si="12">$AA$161</f>
        <v>3.5</v>
      </c>
      <c r="AD161" s="250">
        <f t="shared" si="12"/>
        <v>3.5</v>
      </c>
      <c r="AE161" s="250">
        <f t="shared" si="12"/>
        <v>3.5</v>
      </c>
      <c r="AF161" s="250">
        <f t="shared" si="12"/>
        <v>3.5</v>
      </c>
    </row>
    <row r="162" spans="2:45" s="470" customFormat="1" ht="38.25">
      <c r="B162" s="471"/>
      <c r="C162" s="166" t="s">
        <v>959</v>
      </c>
      <c r="D162" s="166" t="s">
        <v>845</v>
      </c>
      <c r="E162" s="1070" t="s">
        <v>960</v>
      </c>
      <c r="F162" s="1044" t="s">
        <v>961</v>
      </c>
      <c r="G162" s="250"/>
      <c r="H162" s="250"/>
      <c r="I162" s="250"/>
      <c r="J162" s="250"/>
      <c r="K162" s="250"/>
      <c r="L162" s="250"/>
      <c r="M162" s="250"/>
      <c r="N162" s="250"/>
      <c r="O162" s="250"/>
      <c r="P162" s="250"/>
      <c r="Q162" s="250"/>
      <c r="R162" s="250"/>
      <c r="S162" s="250">
        <v>0.4</v>
      </c>
      <c r="T162" s="250">
        <v>0.6</v>
      </c>
      <c r="U162" s="250">
        <v>0.8</v>
      </c>
      <c r="V162" s="250">
        <v>0.8</v>
      </c>
      <c r="W162" s="250">
        <v>1.5</v>
      </c>
      <c r="X162" s="250">
        <v>2.5</v>
      </c>
      <c r="Y162" s="250">
        <v>3</v>
      </c>
      <c r="Z162" s="250">
        <v>3.5</v>
      </c>
      <c r="AA162" s="250">
        <v>4</v>
      </c>
      <c r="AB162" s="250">
        <v>3.6</v>
      </c>
      <c r="AC162" s="250">
        <v>3.4</v>
      </c>
      <c r="AD162" s="250">
        <v>3.7</v>
      </c>
      <c r="AE162" s="250">
        <v>3.6</v>
      </c>
      <c r="AF162" s="250">
        <v>1.5</v>
      </c>
    </row>
    <row r="163" spans="2:45" s="470" customFormat="1" ht="25.5">
      <c r="B163" s="471"/>
      <c r="C163" s="166" t="s">
        <v>506</v>
      </c>
      <c r="D163" s="166" t="s">
        <v>965</v>
      </c>
      <c r="E163" s="1070" t="s">
        <v>968</v>
      </c>
      <c r="F163" s="1044" t="s">
        <v>969</v>
      </c>
      <c r="G163" s="250">
        <v>4.4999999999999998E-2</v>
      </c>
      <c r="H163" s="250">
        <v>0.108</v>
      </c>
      <c r="I163" s="250">
        <v>0.08</v>
      </c>
      <c r="J163" s="250">
        <v>0.24</v>
      </c>
      <c r="K163" s="250">
        <v>0.48599999999999999</v>
      </c>
      <c r="L163" s="250">
        <v>2.2890000000000001</v>
      </c>
      <c r="M163" s="250">
        <v>0.86899999999999999</v>
      </c>
      <c r="N163" s="250">
        <v>1.254</v>
      </c>
      <c r="O163" s="250">
        <v>0.98699999999999999</v>
      </c>
      <c r="P163" s="250">
        <v>1.135</v>
      </c>
      <c r="Q163" s="250">
        <v>0.219</v>
      </c>
      <c r="R163" s="250">
        <v>0</v>
      </c>
      <c r="S163" s="250"/>
      <c r="T163" s="250"/>
      <c r="U163" s="250"/>
      <c r="V163" s="250"/>
      <c r="W163" s="250"/>
      <c r="X163" s="250"/>
      <c r="Y163" s="250"/>
      <c r="Z163" s="250"/>
      <c r="AA163" s="250"/>
      <c r="AB163" s="250"/>
      <c r="AC163" s="250"/>
      <c r="AD163" s="250"/>
      <c r="AE163" s="250"/>
      <c r="AF163" s="250"/>
    </row>
    <row r="164" spans="2:45" s="470" customFormat="1">
      <c r="B164" s="471"/>
      <c r="C164" s="166"/>
      <c r="D164" s="166"/>
      <c r="E164" s="1070"/>
      <c r="F164" s="1044"/>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row>
    <row r="165" spans="2:45" s="470" customFormat="1">
      <c r="B165" s="471"/>
      <c r="C165" s="166"/>
      <c r="D165" s="166"/>
      <c r="E165" s="1070"/>
      <c r="F165" s="1044"/>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row>
    <row r="166" spans="2:45" s="470" customFormat="1">
      <c r="B166" s="471"/>
      <c r="C166" s="166"/>
      <c r="D166" s="166"/>
      <c r="E166" s="1070"/>
      <c r="F166" s="1044"/>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row>
    <row r="167" spans="2:45" s="470" customFormat="1">
      <c r="B167" s="471"/>
      <c r="C167" s="166"/>
      <c r="D167" s="166"/>
      <c r="E167" s="1070"/>
      <c r="F167" s="1044"/>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row>
    <row r="168" spans="2:45" s="470" customFormat="1">
      <c r="B168" s="471"/>
      <c r="C168" s="166"/>
      <c r="D168" s="166"/>
      <c r="E168" s="1070"/>
      <c r="F168" s="1044"/>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row>
    <row r="169" spans="2:45" s="470" customFormat="1">
      <c r="B169" s="471"/>
      <c r="C169" s="166"/>
      <c r="D169" s="166"/>
      <c r="E169" s="1070"/>
      <c r="F169" s="1044"/>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row>
    <row r="170" spans="2:45" s="470" customFormat="1">
      <c r="B170" s="471"/>
      <c r="C170" s="166"/>
      <c r="D170" s="166"/>
      <c r="E170" s="1070"/>
      <c r="F170" s="1044"/>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row>
    <row r="171" spans="2:45" s="470" customFormat="1">
      <c r="B171" s="471"/>
      <c r="C171" s="166"/>
      <c r="D171" s="166"/>
      <c r="E171" s="1070"/>
      <c r="F171" s="1044"/>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row>
    <row r="172" spans="2:45" s="470" customFormat="1">
      <c r="B172" s="471"/>
      <c r="C172" s="166"/>
      <c r="D172" s="166"/>
      <c r="E172" s="1070"/>
      <c r="F172" s="1044"/>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row>
    <row r="173" spans="2:45" s="470" customFormat="1">
      <c r="B173" s="472"/>
      <c r="C173" s="166"/>
      <c r="D173" s="166"/>
      <c r="E173" s="1070"/>
      <c r="F173" s="1044"/>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row>
    <row r="174" spans="2:45">
      <c r="C174" s="47"/>
      <c r="D174" s="47"/>
      <c r="E174" s="1047"/>
      <c r="F174" s="1061"/>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row>
    <row r="175" spans="2:45" ht="117.6" customHeight="1">
      <c r="B175" s="1188" t="s">
        <v>14</v>
      </c>
      <c r="C175" s="1173" t="s">
        <v>138</v>
      </c>
      <c r="D175" s="1189" t="s">
        <v>845</v>
      </c>
      <c r="E175" s="1190" t="s">
        <v>788</v>
      </c>
      <c r="F175" s="1111" t="s">
        <v>1009</v>
      </c>
      <c r="G175" s="1191">
        <f>7440/(1000)</f>
        <v>7.44</v>
      </c>
      <c r="H175" s="1191">
        <f>7910/(1000)</f>
        <v>7.91</v>
      </c>
      <c r="I175" s="1191">
        <f>8161/(1000)</f>
        <v>8.1609999999999996</v>
      </c>
      <c r="J175" s="1191">
        <f>2633/(1000)</f>
        <v>2.633</v>
      </c>
      <c r="K175" s="1191">
        <f>1190/(1000)</f>
        <v>1.19</v>
      </c>
      <c r="L175" s="1191">
        <f>1324/(1000)</f>
        <v>1.3240000000000001</v>
      </c>
      <c r="M175" s="1191">
        <f>1455/(1000)</f>
        <v>1.4550000000000001</v>
      </c>
      <c r="N175" s="1191">
        <f>1614/(1000)</f>
        <v>1.6140000000000001</v>
      </c>
      <c r="O175" s="1191">
        <f>2865/(1000)</f>
        <v>2.8650000000000002</v>
      </c>
      <c r="P175" s="1191">
        <f>3889/(1000)</f>
        <v>3.8889999999999998</v>
      </c>
      <c r="Q175" s="1191">
        <v>4.8010000000000002</v>
      </c>
      <c r="R175" s="1191">
        <v>5.4139999999999997</v>
      </c>
      <c r="S175" s="1191">
        <v>6.335</v>
      </c>
      <c r="T175" s="1191">
        <v>8.33</v>
      </c>
      <c r="U175" s="1191">
        <v>8.1289999999999996</v>
      </c>
      <c r="V175" s="1191">
        <v>7.766</v>
      </c>
      <c r="W175" s="1191">
        <v>7.8319999999999999</v>
      </c>
      <c r="X175" s="1191">
        <v>3</v>
      </c>
      <c r="Y175" s="1191">
        <v>3</v>
      </c>
      <c r="Z175" s="1191">
        <v>3</v>
      </c>
      <c r="AA175" s="1191">
        <v>3</v>
      </c>
      <c r="AB175" s="1191">
        <v>3</v>
      </c>
      <c r="AC175" s="1191">
        <v>3</v>
      </c>
      <c r="AD175" s="1191">
        <v>3</v>
      </c>
      <c r="AE175" s="1191">
        <v>3</v>
      </c>
      <c r="AF175" s="1191">
        <v>3</v>
      </c>
      <c r="AI175" s="1263"/>
      <c r="AJ175" s="1263"/>
      <c r="AK175" s="1263"/>
      <c r="AL175" s="1263"/>
      <c r="AM175" s="1263"/>
      <c r="AN175" s="1263"/>
      <c r="AO175" s="1263"/>
      <c r="AP175" s="1263"/>
      <c r="AQ175" s="1263"/>
      <c r="AR175" s="1263"/>
      <c r="AS175" s="1263"/>
    </row>
    <row r="176" spans="2:45" ht="44.25" customHeight="1">
      <c r="B176" s="1221"/>
      <c r="C176" s="1193"/>
      <c r="D176" s="1062"/>
      <c r="E176" s="1195"/>
      <c r="F176" s="1064"/>
      <c r="G176" s="1194"/>
      <c r="H176" s="1194"/>
      <c r="I176" s="1194"/>
      <c r="J176" s="1194"/>
      <c r="K176" s="1194"/>
      <c r="L176" s="1194"/>
      <c r="M176" s="1194"/>
      <c r="N176" s="1194"/>
      <c r="O176" s="1194"/>
      <c r="P176" s="1194"/>
      <c r="Q176" s="1194"/>
      <c r="R176" s="1194"/>
      <c r="S176" s="1194"/>
      <c r="T176" s="1194"/>
      <c r="U176" s="1194"/>
      <c r="V176" s="1194"/>
      <c r="W176" s="1194"/>
      <c r="X176" s="1194"/>
      <c r="Y176" s="1194"/>
      <c r="Z176" s="1194"/>
      <c r="AA176" s="1194"/>
      <c r="AB176" s="1194"/>
      <c r="AC176" s="1194"/>
      <c r="AD176" s="1194"/>
      <c r="AE176" s="1194"/>
      <c r="AF176" s="1194"/>
    </row>
    <row r="177" spans="1:32" ht="48" customHeight="1">
      <c r="B177" s="1221"/>
      <c r="C177" s="1193" t="s">
        <v>858</v>
      </c>
      <c r="D177" s="1062" t="s">
        <v>853</v>
      </c>
      <c r="E177" s="1195" t="s">
        <v>860</v>
      </c>
      <c r="F177" s="1064" t="s">
        <v>896</v>
      </c>
      <c r="G177" s="1187"/>
      <c r="H177" s="1187"/>
      <c r="I177" s="1187"/>
      <c r="J177" s="1187"/>
      <c r="K177" s="1187"/>
      <c r="L177" s="1187"/>
      <c r="M177" s="1187"/>
      <c r="N177" s="1194"/>
      <c r="O177" s="1194"/>
      <c r="P177" s="1194"/>
      <c r="Q177" s="1194"/>
      <c r="R177" s="1194"/>
      <c r="S177" s="1194">
        <f>S175+0.9*1.6</f>
        <v>7.7750000000000004</v>
      </c>
      <c r="T177" s="1194">
        <f>T175+2</f>
        <v>10.33</v>
      </c>
      <c r="U177" s="1194">
        <f>U175+2</f>
        <v>10.129</v>
      </c>
      <c r="V177" s="1194">
        <v>6</v>
      </c>
      <c r="W177" s="1194">
        <f>V177</f>
        <v>6</v>
      </c>
      <c r="X177" s="1194">
        <f t="shared" ref="X177:AF177" si="13">W177</f>
        <v>6</v>
      </c>
      <c r="Y177" s="1194">
        <f t="shared" si="13"/>
        <v>6</v>
      </c>
      <c r="Z177" s="1194">
        <f t="shared" si="13"/>
        <v>6</v>
      </c>
      <c r="AA177" s="1194">
        <f t="shared" si="13"/>
        <v>6</v>
      </c>
      <c r="AB177" s="1194">
        <f t="shared" si="13"/>
        <v>6</v>
      </c>
      <c r="AC177" s="1194">
        <f t="shared" si="13"/>
        <v>6</v>
      </c>
      <c r="AD177" s="1194">
        <f t="shared" si="13"/>
        <v>6</v>
      </c>
      <c r="AE177" s="1194">
        <f t="shared" si="13"/>
        <v>6</v>
      </c>
      <c r="AF177" s="1194">
        <f t="shared" si="13"/>
        <v>6</v>
      </c>
    </row>
    <row r="178" spans="1:32" ht="48" customHeight="1">
      <c r="B178" s="1221"/>
      <c r="C178" s="1193"/>
      <c r="D178" s="1062"/>
      <c r="E178" s="1195"/>
      <c r="F178" s="1064"/>
      <c r="G178" s="1187"/>
      <c r="H178" s="1187"/>
      <c r="I178" s="1187"/>
      <c r="J178" s="1187"/>
      <c r="K178" s="1187"/>
      <c r="L178" s="1187"/>
      <c r="M178" s="1187"/>
      <c r="N178" s="1194"/>
      <c r="O178" s="1194"/>
      <c r="P178" s="1194"/>
      <c r="Q178" s="1194"/>
      <c r="R178" s="1194"/>
      <c r="S178" s="1194"/>
      <c r="T178" s="1194"/>
      <c r="U178" s="1194"/>
      <c r="V178" s="1194"/>
      <c r="W178" s="1194"/>
      <c r="X178" s="1194"/>
      <c r="Y178" s="1194"/>
      <c r="Z178" s="1194"/>
      <c r="AA178" s="1194"/>
      <c r="AB178" s="1194"/>
      <c r="AC178" s="1194"/>
      <c r="AD178" s="1194"/>
      <c r="AE178" s="1194"/>
      <c r="AF178" s="1194"/>
    </row>
    <row r="179" spans="1:32">
      <c r="B179" s="1192"/>
      <c r="C179" s="1193" t="s">
        <v>506</v>
      </c>
      <c r="D179" s="1062" t="s">
        <v>65</v>
      </c>
      <c r="E179" s="1186" t="s">
        <v>573</v>
      </c>
      <c r="G179" s="1187"/>
      <c r="H179" s="1187"/>
      <c r="I179" s="1187"/>
      <c r="J179" s="1187"/>
      <c r="K179" s="1187"/>
      <c r="L179" s="1187"/>
      <c r="M179" s="1187"/>
      <c r="N179" s="1187"/>
      <c r="O179" s="1187"/>
      <c r="P179" s="1187"/>
      <c r="Q179" s="1187"/>
      <c r="R179" s="1187"/>
      <c r="S179" s="1187">
        <v>0</v>
      </c>
      <c r="T179" s="1187">
        <v>0</v>
      </c>
      <c r="U179" s="1187">
        <v>0</v>
      </c>
      <c r="V179" s="1187">
        <v>0</v>
      </c>
      <c r="W179" s="1187">
        <v>0</v>
      </c>
      <c r="X179" s="1187">
        <v>0</v>
      </c>
      <c r="Y179" s="1187">
        <v>0</v>
      </c>
      <c r="Z179" s="1187">
        <v>0</v>
      </c>
      <c r="AA179" s="1187">
        <v>0</v>
      </c>
      <c r="AB179" s="1187">
        <v>0</v>
      </c>
      <c r="AC179" s="1187">
        <v>0</v>
      </c>
      <c r="AD179" s="1187">
        <v>0</v>
      </c>
      <c r="AE179" s="1187">
        <v>0</v>
      </c>
      <c r="AF179" s="1187">
        <v>0</v>
      </c>
    </row>
    <row r="180" spans="1:32">
      <c r="B180" s="1192"/>
      <c r="C180" s="1193" t="s">
        <v>98</v>
      </c>
      <c r="D180" s="1062" t="s">
        <v>65</v>
      </c>
      <c r="E180" s="1186" t="s">
        <v>309</v>
      </c>
      <c r="G180" s="1187"/>
      <c r="H180" s="1187"/>
      <c r="I180" s="1187"/>
      <c r="J180" s="1187"/>
      <c r="K180" s="1187"/>
      <c r="L180" s="1187"/>
      <c r="M180" s="1187"/>
      <c r="N180" s="1187"/>
      <c r="O180" s="1187"/>
      <c r="P180" s="1187"/>
      <c r="Q180" s="1187"/>
      <c r="R180" s="1187"/>
      <c r="S180" s="1187">
        <v>1.5</v>
      </c>
      <c r="T180" s="1187">
        <v>1.5</v>
      </c>
      <c r="U180" s="1187">
        <v>1.5</v>
      </c>
      <c r="V180" s="1187">
        <v>1.5</v>
      </c>
      <c r="W180" s="1187">
        <v>1.5</v>
      </c>
      <c r="X180" s="1187">
        <v>1.5</v>
      </c>
      <c r="Y180" s="1187">
        <v>1.5</v>
      </c>
      <c r="Z180" s="1187">
        <v>1.5</v>
      </c>
      <c r="AA180" s="1187">
        <v>1.5</v>
      </c>
      <c r="AB180" s="1187">
        <v>1.5</v>
      </c>
      <c r="AC180" s="1187">
        <v>1.5</v>
      </c>
      <c r="AD180" s="1187">
        <v>1.5</v>
      </c>
      <c r="AE180" s="1187">
        <v>1.5</v>
      </c>
      <c r="AF180" s="1187">
        <v>1.5</v>
      </c>
    </row>
    <row r="181" spans="1:32">
      <c r="B181" s="1192"/>
      <c r="C181" s="1193" t="s">
        <v>96</v>
      </c>
      <c r="D181" s="1062" t="s">
        <v>65</v>
      </c>
      <c r="E181" s="1186" t="s">
        <v>592</v>
      </c>
      <c r="G181" s="1187"/>
      <c r="H181" s="1187"/>
      <c r="I181" s="1187"/>
      <c r="J181" s="1187"/>
      <c r="K181" s="1187"/>
      <c r="L181" s="1187"/>
      <c r="M181" s="1187"/>
      <c r="N181" s="1187"/>
      <c r="O181" s="1187"/>
      <c r="P181" s="1187"/>
      <c r="Q181" s="1187"/>
      <c r="R181" s="1187"/>
      <c r="S181" s="1187">
        <v>3</v>
      </c>
      <c r="T181" s="1187">
        <v>3</v>
      </c>
      <c r="U181" s="1187">
        <v>3</v>
      </c>
      <c r="V181" s="1187">
        <v>3</v>
      </c>
      <c r="W181" s="1187">
        <v>3</v>
      </c>
      <c r="X181" s="1187">
        <v>3</v>
      </c>
      <c r="Y181" s="1187">
        <v>3</v>
      </c>
      <c r="Z181" s="1187">
        <v>3</v>
      </c>
      <c r="AA181" s="1187">
        <v>3</v>
      </c>
      <c r="AB181" s="1187">
        <v>3</v>
      </c>
      <c r="AC181" s="1187">
        <v>3</v>
      </c>
      <c r="AD181" s="1187">
        <v>3</v>
      </c>
      <c r="AE181" s="1187">
        <v>3</v>
      </c>
      <c r="AF181" s="1187">
        <v>3</v>
      </c>
    </row>
    <row r="182" spans="1:32">
      <c r="B182" s="1192"/>
      <c r="C182" s="1193" t="s">
        <v>99</v>
      </c>
      <c r="D182" s="1062" t="s">
        <v>65</v>
      </c>
      <c r="E182" s="1186" t="s">
        <v>593</v>
      </c>
      <c r="G182" s="1187"/>
      <c r="H182" s="1187"/>
      <c r="I182" s="1187"/>
      <c r="J182" s="1187"/>
      <c r="K182" s="1187"/>
      <c r="L182" s="1187"/>
      <c r="M182" s="1187"/>
      <c r="N182" s="1187"/>
      <c r="O182" s="1187"/>
      <c r="P182" s="1187"/>
      <c r="Q182" s="1187"/>
      <c r="R182" s="1187"/>
      <c r="S182" s="1187">
        <v>4.5</v>
      </c>
      <c r="T182" s="1187">
        <v>4.5</v>
      </c>
      <c r="U182" s="1187">
        <v>4.5</v>
      </c>
      <c r="V182" s="1187">
        <v>4.5</v>
      </c>
      <c r="W182" s="1187">
        <v>4.5</v>
      </c>
      <c r="X182" s="1187">
        <v>4.5</v>
      </c>
      <c r="Y182" s="1187">
        <v>4.5</v>
      </c>
      <c r="Z182" s="1187">
        <v>4.5</v>
      </c>
      <c r="AA182" s="1187">
        <v>4.5</v>
      </c>
      <c r="AB182" s="1187">
        <v>4.5</v>
      </c>
      <c r="AC182" s="1187">
        <v>4.5</v>
      </c>
      <c r="AD182" s="1187">
        <v>4.5</v>
      </c>
      <c r="AE182" s="1187">
        <v>4.5</v>
      </c>
      <c r="AF182" s="1187">
        <v>4.5</v>
      </c>
    </row>
    <row r="183" spans="1:32">
      <c r="B183" s="1192"/>
      <c r="C183" s="1193" t="s">
        <v>100</v>
      </c>
      <c r="D183" s="1062" t="s">
        <v>65</v>
      </c>
      <c r="E183" s="1186" t="s">
        <v>594</v>
      </c>
      <c r="G183" s="1187"/>
      <c r="H183" s="1187"/>
      <c r="I183" s="1187"/>
      <c r="J183" s="1187"/>
      <c r="K183" s="1187"/>
      <c r="L183" s="1187"/>
      <c r="M183" s="1187"/>
      <c r="N183" s="1187"/>
      <c r="O183" s="1187"/>
      <c r="P183" s="1187"/>
      <c r="Q183" s="1187"/>
      <c r="R183" s="1187"/>
      <c r="S183" s="1187">
        <v>6</v>
      </c>
      <c r="T183" s="1187">
        <v>6</v>
      </c>
      <c r="U183" s="1187">
        <v>6</v>
      </c>
      <c r="V183" s="1187">
        <v>6</v>
      </c>
      <c r="W183" s="1187">
        <v>6</v>
      </c>
      <c r="X183" s="1187">
        <v>6</v>
      </c>
      <c r="Y183" s="1187">
        <v>6</v>
      </c>
      <c r="Z183" s="1187">
        <v>6</v>
      </c>
      <c r="AA183" s="1187">
        <v>6</v>
      </c>
      <c r="AB183" s="1187">
        <v>6</v>
      </c>
      <c r="AC183" s="1187">
        <v>6</v>
      </c>
      <c r="AD183" s="1187">
        <v>6</v>
      </c>
      <c r="AE183" s="1187">
        <v>6</v>
      </c>
      <c r="AF183" s="1187">
        <v>6</v>
      </c>
    </row>
    <row r="184" spans="1:32">
      <c r="B184" s="1192"/>
      <c r="C184" s="1186"/>
      <c r="D184" s="1062"/>
      <c r="E184" s="1186"/>
      <c r="G184" s="1187"/>
      <c r="H184" s="1187"/>
      <c r="I184" s="1187"/>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AF184" s="1187"/>
    </row>
    <row r="185" spans="1:32">
      <c r="B185" s="1192"/>
      <c r="C185" s="1193"/>
      <c r="D185" s="1062"/>
      <c r="E185" s="1186"/>
      <c r="F185" s="1178"/>
      <c r="G185" s="1187"/>
      <c r="H185" s="1187"/>
      <c r="I185" s="1187"/>
      <c r="J185" s="1187"/>
      <c r="K185" s="1187"/>
      <c r="L185" s="1187"/>
      <c r="M185" s="1187"/>
      <c r="N185" s="1187"/>
      <c r="O185" s="1187"/>
      <c r="P185" s="1194"/>
      <c r="Q185" s="1194"/>
      <c r="R185" s="1194"/>
      <c r="S185" s="1194"/>
      <c r="T185" s="1194"/>
      <c r="U185" s="1194"/>
      <c r="V185" s="1194"/>
      <c r="W185" s="1194"/>
      <c r="X185" s="1194"/>
      <c r="Y185" s="1194"/>
      <c r="Z185" s="1194"/>
      <c r="AA185" s="1194"/>
      <c r="AB185" s="1194"/>
      <c r="AC185" s="1194"/>
      <c r="AD185" s="1194"/>
      <c r="AE185" s="1194"/>
      <c r="AF185" s="1194"/>
    </row>
    <row r="186" spans="1:32" ht="51">
      <c r="B186" s="1192"/>
      <c r="C186" s="1195" t="s">
        <v>788</v>
      </c>
      <c r="D186" s="1196" t="s">
        <v>845</v>
      </c>
      <c r="E186" s="1197" t="s">
        <v>788</v>
      </c>
      <c r="F186" s="1064" t="s">
        <v>1010</v>
      </c>
      <c r="G186" s="1187"/>
      <c r="H186" s="1187"/>
      <c r="I186" s="1187"/>
      <c r="J186" s="1187"/>
      <c r="K186" s="1187"/>
      <c r="L186" s="1187"/>
      <c r="M186" s="1187"/>
      <c r="N186" s="1187"/>
      <c r="O186" s="1187"/>
      <c r="P186" s="1194"/>
      <c r="Q186" s="1194"/>
      <c r="R186" s="1194"/>
      <c r="S186" s="1194">
        <v>6.335</v>
      </c>
      <c r="T186" s="1187">
        <v>8.33</v>
      </c>
      <c r="U186" s="1187">
        <v>8.1289999999999996</v>
      </c>
      <c r="V186" s="1187">
        <v>7.766</v>
      </c>
      <c r="W186" s="1187">
        <v>7.8319999999999999</v>
      </c>
      <c r="X186" s="1187">
        <v>2.5</v>
      </c>
      <c r="Y186" s="1187">
        <v>2.5</v>
      </c>
      <c r="Z186" s="1187">
        <v>2.5</v>
      </c>
      <c r="AA186" s="1187">
        <v>2.5</v>
      </c>
      <c r="AB186" s="1187">
        <v>2.5</v>
      </c>
      <c r="AC186" s="1187">
        <v>2.5</v>
      </c>
      <c r="AD186" s="1187">
        <v>2.5</v>
      </c>
      <c r="AE186" s="1187">
        <v>2.5</v>
      </c>
      <c r="AF186" s="1187">
        <v>2.5</v>
      </c>
    </row>
    <row r="187" spans="1:32" s="470" customFormat="1" ht="51">
      <c r="A187" s="9"/>
      <c r="B187" s="1192"/>
      <c r="C187" s="1195" t="s">
        <v>700</v>
      </c>
      <c r="D187" s="1196" t="s">
        <v>845</v>
      </c>
      <c r="E187" s="1195" t="s">
        <v>700</v>
      </c>
      <c r="F187" s="1064" t="s">
        <v>1011</v>
      </c>
      <c r="G187" s="1187"/>
      <c r="H187" s="1187"/>
      <c r="I187" s="1187"/>
      <c r="J187" s="1198"/>
      <c r="K187" s="1187"/>
      <c r="L187" s="1187"/>
      <c r="M187" s="1187"/>
      <c r="N187" s="1187"/>
      <c r="O187" s="1187"/>
      <c r="P187" s="1187"/>
      <c r="Q187" s="1194"/>
      <c r="R187" s="1194"/>
      <c r="S187" s="1187">
        <v>7.25</v>
      </c>
      <c r="T187" s="1187">
        <v>10.108000000000001</v>
      </c>
      <c r="U187" s="1187">
        <v>9.032</v>
      </c>
      <c r="V187" s="1187">
        <v>8.7899999999999991</v>
      </c>
      <c r="W187" s="1187">
        <v>8.5060000000000002</v>
      </c>
      <c r="X187" s="1187">
        <v>2.5</v>
      </c>
      <c r="Y187" s="1187">
        <v>2.5</v>
      </c>
      <c r="Z187" s="1187">
        <v>2.5</v>
      </c>
      <c r="AA187" s="1187">
        <v>2.5</v>
      </c>
      <c r="AB187" s="1187">
        <v>2.5</v>
      </c>
      <c r="AC187" s="1187">
        <v>2.5</v>
      </c>
      <c r="AD187" s="1187">
        <v>2.5</v>
      </c>
      <c r="AE187" s="1187">
        <v>2.5</v>
      </c>
      <c r="AF187" s="1187">
        <v>2.5</v>
      </c>
    </row>
    <row r="188" spans="1:32" s="470" customFormat="1" ht="51">
      <c r="A188" s="9"/>
      <c r="B188" s="1192"/>
      <c r="C188" s="1195" t="s">
        <v>701</v>
      </c>
      <c r="D188" s="1196" t="s">
        <v>845</v>
      </c>
      <c r="E188" s="1195" t="s">
        <v>701</v>
      </c>
      <c r="F188" s="1064" t="s">
        <v>1012</v>
      </c>
      <c r="G188" s="1187"/>
      <c r="H188" s="1187"/>
      <c r="I188" s="1187"/>
      <c r="J188" s="1187"/>
      <c r="K188" s="1187"/>
      <c r="L188" s="1187"/>
      <c r="M188" s="1187"/>
      <c r="N188" s="1187"/>
      <c r="O188" s="1187"/>
      <c r="P188" s="1187"/>
      <c r="Q188" s="1187"/>
      <c r="R188" s="1187"/>
      <c r="S188" s="1187">
        <v>5.5110000000000001</v>
      </c>
      <c r="T188" s="1187">
        <v>6.7350000000000003</v>
      </c>
      <c r="U188" s="1187">
        <v>7.3040000000000003</v>
      </c>
      <c r="V188" s="1187">
        <v>6.9489999999999998</v>
      </c>
      <c r="W188" s="1187">
        <v>7.0519999999999996</v>
      </c>
      <c r="X188" s="1187">
        <v>2.5</v>
      </c>
      <c r="Y188" s="1187">
        <v>2.5</v>
      </c>
      <c r="Z188" s="1187">
        <v>2.5</v>
      </c>
      <c r="AA188" s="1187">
        <v>2.5</v>
      </c>
      <c r="AB188" s="1187">
        <v>2.5</v>
      </c>
      <c r="AC188" s="1187">
        <v>2.5</v>
      </c>
      <c r="AD188" s="1187">
        <v>2.5</v>
      </c>
      <c r="AE188" s="1187">
        <v>2.5</v>
      </c>
      <c r="AF188" s="1187">
        <v>2.5</v>
      </c>
    </row>
    <row r="189" spans="1:32" s="470" customFormat="1">
      <c r="B189" s="471"/>
      <c r="C189" s="183"/>
      <c r="D189" s="530"/>
      <c r="E189" s="1070"/>
      <c r="F189" s="1166"/>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row>
    <row r="190" spans="1:32" s="470" customFormat="1" ht="25.5">
      <c r="B190" s="471"/>
      <c r="C190" s="1092" t="s">
        <v>891</v>
      </c>
      <c r="D190" s="1163" t="s">
        <v>845</v>
      </c>
      <c r="E190" s="1089" t="s">
        <v>892</v>
      </c>
      <c r="F190" s="1166" t="s">
        <v>893</v>
      </c>
      <c r="G190" s="250"/>
      <c r="H190" s="250"/>
      <c r="I190" s="250"/>
      <c r="J190" s="250"/>
      <c r="K190" s="250"/>
      <c r="L190" s="250"/>
      <c r="M190" s="250"/>
      <c r="N190" s="250"/>
      <c r="O190" s="250"/>
      <c r="P190" s="250"/>
      <c r="Q190" s="250"/>
      <c r="R190" s="250"/>
      <c r="S190" s="250">
        <v>4.8</v>
      </c>
      <c r="T190" s="250">
        <v>4.8</v>
      </c>
      <c r="U190" s="250">
        <v>4.8</v>
      </c>
      <c r="V190" s="250">
        <v>4.8</v>
      </c>
      <c r="W190" s="250">
        <v>5.3</v>
      </c>
      <c r="X190" s="250">
        <v>5.4</v>
      </c>
      <c r="Y190" s="250">
        <v>5.5</v>
      </c>
      <c r="Z190" s="250">
        <v>5.6</v>
      </c>
      <c r="AA190" s="250">
        <v>5.6</v>
      </c>
      <c r="AB190" s="250">
        <v>5.6</v>
      </c>
      <c r="AC190" s="250">
        <v>5.6</v>
      </c>
      <c r="AD190" s="250">
        <v>5.6</v>
      </c>
      <c r="AE190" s="250">
        <v>5.6</v>
      </c>
      <c r="AF190" s="250">
        <v>5.6</v>
      </c>
    </row>
    <row r="191" spans="1:32" s="470" customFormat="1">
      <c r="B191" s="471"/>
      <c r="C191" s="183"/>
      <c r="D191" s="530"/>
      <c r="E191" s="1289"/>
      <c r="F191" s="1044"/>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row>
    <row r="192" spans="1:32" s="470" customFormat="1" ht="38.25">
      <c r="B192" s="471"/>
      <c r="C192" s="1092" t="s">
        <v>908</v>
      </c>
      <c r="D192" s="1163" t="s">
        <v>257</v>
      </c>
      <c r="E192" s="1089" t="s">
        <v>909</v>
      </c>
      <c r="F192" s="1090" t="s">
        <v>910</v>
      </c>
      <c r="G192" s="250"/>
      <c r="H192" s="250"/>
      <c r="I192" s="250"/>
      <c r="J192" s="250"/>
      <c r="K192" s="250"/>
      <c r="L192" s="250"/>
      <c r="M192" s="250"/>
      <c r="N192" s="250"/>
      <c r="O192" s="250"/>
      <c r="P192" s="250"/>
      <c r="Q192" s="250"/>
      <c r="R192" s="250"/>
      <c r="S192" s="250">
        <f>4800/(1000)</f>
        <v>4.8</v>
      </c>
      <c r="T192" s="250">
        <f>4750/(1000)</f>
        <v>4.75</v>
      </c>
      <c r="U192" s="250">
        <f>4750/(1000)</f>
        <v>4.75</v>
      </c>
      <c r="V192" s="250">
        <f>4750/(1000)</f>
        <v>4.75</v>
      </c>
      <c r="W192" s="250">
        <f>5250/(1000)</f>
        <v>5.25</v>
      </c>
      <c r="X192" s="250">
        <f>5350/(1000)</f>
        <v>5.35</v>
      </c>
      <c r="Y192" s="250">
        <f>5450/(1000)</f>
        <v>5.45</v>
      </c>
      <c r="Z192" s="250">
        <f>5550/(1000)</f>
        <v>5.55</v>
      </c>
      <c r="AA192" s="250">
        <f>$Z$192</f>
        <v>5.55</v>
      </c>
      <c r="AB192" s="250">
        <f t="shared" ref="AB192:AF192" si="14">$Z$192</f>
        <v>5.55</v>
      </c>
      <c r="AC192" s="250">
        <f t="shared" si="14"/>
        <v>5.55</v>
      </c>
      <c r="AD192" s="250">
        <f t="shared" si="14"/>
        <v>5.55</v>
      </c>
      <c r="AE192" s="250">
        <f t="shared" si="14"/>
        <v>5.55</v>
      </c>
      <c r="AF192" s="250">
        <f t="shared" si="14"/>
        <v>5.55</v>
      </c>
    </row>
    <row r="193" spans="2:32" s="470" customFormat="1" ht="38.25">
      <c r="B193" s="471"/>
      <c r="C193" s="166" t="s">
        <v>959</v>
      </c>
      <c r="D193" s="1164" t="s">
        <v>845</v>
      </c>
      <c r="E193" s="1070" t="s">
        <v>960</v>
      </c>
      <c r="F193" s="1044" t="s">
        <v>961</v>
      </c>
      <c r="G193" s="250"/>
      <c r="H193" s="250"/>
      <c r="I193" s="250"/>
      <c r="J193" s="250"/>
      <c r="K193" s="250"/>
      <c r="L193" s="250"/>
      <c r="M193" s="250"/>
      <c r="N193" s="250"/>
      <c r="O193" s="250"/>
      <c r="P193" s="250"/>
      <c r="Q193" s="250"/>
      <c r="R193" s="250"/>
      <c r="S193" s="250">
        <v>6.5</v>
      </c>
      <c r="T193" s="250">
        <v>8.5</v>
      </c>
      <c r="U193" s="250">
        <v>9</v>
      </c>
      <c r="V193" s="250">
        <v>9</v>
      </c>
      <c r="W193" s="250">
        <v>10</v>
      </c>
      <c r="X193" s="250">
        <v>11</v>
      </c>
      <c r="Y193" s="250">
        <v>12</v>
      </c>
      <c r="Z193" s="250">
        <v>13</v>
      </c>
      <c r="AA193" s="250">
        <v>14</v>
      </c>
      <c r="AB193" s="250">
        <v>17.600000000000001</v>
      </c>
      <c r="AC193" s="250">
        <v>17.600000000000001</v>
      </c>
      <c r="AD193" s="250">
        <v>17.3</v>
      </c>
      <c r="AE193" s="250">
        <v>16.5</v>
      </c>
      <c r="AF193" s="250">
        <v>14.7</v>
      </c>
    </row>
    <row r="194" spans="2:32" s="470" customFormat="1">
      <c r="B194" s="471"/>
      <c r="C194" s="166"/>
      <c r="D194" s="1164"/>
      <c r="E194" s="1070"/>
      <c r="F194" s="1044"/>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row>
    <row r="195" spans="2:32" s="470" customFormat="1">
      <c r="B195" s="471"/>
      <c r="C195" s="166"/>
      <c r="D195" s="1164"/>
      <c r="E195" s="1070"/>
      <c r="F195" s="1044"/>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row>
    <row r="196" spans="2:32" s="470" customFormat="1">
      <c r="B196" s="471"/>
      <c r="C196" s="166"/>
      <c r="D196" s="1164"/>
      <c r="E196" s="1070"/>
      <c r="F196" s="1044"/>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row>
    <row r="197" spans="2:32" s="470" customFormat="1">
      <c r="B197" s="471"/>
      <c r="C197" s="166"/>
      <c r="D197" s="1164"/>
      <c r="E197" s="1070"/>
      <c r="F197" s="1044"/>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row>
    <row r="198" spans="2:32" s="470" customFormat="1">
      <c r="B198" s="471"/>
      <c r="C198" s="166"/>
      <c r="D198" s="1164"/>
      <c r="E198" s="1070"/>
      <c r="F198" s="1044"/>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row>
    <row r="199" spans="2:32" s="470" customFormat="1">
      <c r="B199" s="471"/>
      <c r="C199" s="166"/>
      <c r="D199" s="1164"/>
      <c r="E199" s="1070"/>
      <c r="F199" s="1044"/>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row>
    <row r="200" spans="2:32" s="470" customFormat="1">
      <c r="B200" s="471"/>
      <c r="C200" s="166"/>
      <c r="D200" s="1164"/>
      <c r="E200" s="1070"/>
      <c r="F200" s="1044"/>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row>
    <row r="201" spans="2:32" s="470" customFormat="1">
      <c r="B201" s="471"/>
      <c r="C201" s="166"/>
      <c r="D201" s="1164"/>
      <c r="E201" s="1070"/>
      <c r="F201" s="1044"/>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row>
    <row r="202" spans="2:32" s="470" customFormat="1">
      <c r="B202" s="472"/>
      <c r="C202" s="166"/>
      <c r="D202" s="1164"/>
      <c r="E202" s="1165"/>
      <c r="F202" s="1044"/>
      <c r="G202" s="250"/>
      <c r="H202" s="250"/>
      <c r="I202" s="250"/>
      <c r="J202" s="250"/>
      <c r="K202" s="250"/>
      <c r="L202" s="250"/>
      <c r="M202" s="250"/>
      <c r="N202" s="250"/>
      <c r="O202" s="258"/>
      <c r="P202" s="258"/>
      <c r="Q202" s="258"/>
      <c r="R202" s="258"/>
      <c r="S202" s="258"/>
      <c r="T202" s="258"/>
      <c r="U202" s="258"/>
      <c r="V202" s="258"/>
      <c r="W202" s="258"/>
      <c r="X202" s="258"/>
      <c r="Y202" s="258"/>
      <c r="Z202" s="258"/>
      <c r="AA202" s="258"/>
      <c r="AB202" s="258"/>
      <c r="AC202" s="258"/>
      <c r="AD202" s="258"/>
      <c r="AE202" s="258"/>
      <c r="AF202" s="258"/>
    </row>
    <row r="203" spans="2:32">
      <c r="C203" s="48"/>
      <c r="D203" s="47"/>
      <c r="F203" s="1061"/>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57"/>
      <c r="AE203" s="257"/>
      <c r="AF203" s="257"/>
    </row>
    <row r="204" spans="2:3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row>
    <row r="205" spans="2:3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row>
    <row r="206" spans="2:3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row>
    <row r="207" spans="2:3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row>
    <row r="208" spans="2:3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row>
    <row r="209" spans="7:3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row>
    <row r="210" spans="7:3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row>
    <row r="211" spans="7:3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row>
    <row r="212" spans="7:3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row>
    <row r="213" spans="7:3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row>
    <row r="214" spans="7:3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row>
    <row r="215" spans="7:3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row>
    <row r="216" spans="7:3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row>
    <row r="217" spans="7:32">
      <c r="G217" s="72"/>
      <c r="H217" s="72"/>
      <c r="I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row>
    <row r="218" spans="7:32">
      <c r="G218" s="72"/>
      <c r="H218" s="72"/>
      <c r="I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row>
    <row r="219" spans="7:3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row>
    <row r="220" spans="7:32">
      <c r="G220" s="72"/>
      <c r="H220" s="72"/>
      <c r="I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row>
    <row r="221" spans="7:3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row>
    <row r="222" spans="7:32">
      <c r="G222" s="72"/>
      <c r="H222" s="72"/>
      <c r="I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row>
    <row r="223" spans="7:32">
      <c r="G223" s="72"/>
      <c r="H223" s="72"/>
      <c r="I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row>
    <row r="224" spans="7:32">
      <c r="G224" s="72"/>
      <c r="H224" s="72"/>
      <c r="I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row>
    <row r="225" spans="7:32">
      <c r="G225" s="72"/>
      <c r="H225" s="72"/>
      <c r="I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row>
    <row r="226" spans="7:3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row>
    <row r="227" spans="7:32">
      <c r="G227" s="72"/>
      <c r="H227" s="72"/>
      <c r="I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row>
    <row r="228" spans="7:32">
      <c r="G228" s="72"/>
      <c r="H228" s="72"/>
      <c r="I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row>
    <row r="229" spans="7:32">
      <c r="G229" s="72"/>
      <c r="H229" s="72"/>
      <c r="I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row>
    <row r="230" spans="7:32">
      <c r="G230" s="72"/>
      <c r="H230" s="72"/>
      <c r="I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row>
    <row r="231" spans="7:32">
      <c r="G231" s="72"/>
      <c r="H231" s="72"/>
      <c r="I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row>
    <row r="232" spans="7:32">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row>
    <row r="233" spans="7:3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row>
    <row r="234" spans="7:32">
      <c r="G234" s="72"/>
      <c r="H234" s="72"/>
      <c r="I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row>
    <row r="235" spans="7:32">
      <c r="G235" s="72"/>
      <c r="H235" s="72"/>
      <c r="I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row>
    <row r="236" spans="7:32">
      <c r="G236" s="72"/>
      <c r="H236" s="72"/>
      <c r="I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row>
    <row r="237" spans="7:3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row>
    <row r="238" spans="7:32">
      <c r="G238" s="72"/>
      <c r="H238" s="72"/>
      <c r="I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row>
  </sheetData>
  <sheetProtection algorithmName="SHA-512" hashValue="Kc/a8X2LaYu/+OBae5YW0WZCH2VkZQ5V8ppzcgwRZJQauILxTEHQkS9e30zeBD0xrS1EHBiq0aB+K7aGbGbjDQ==" saltValue="gSlvmzYb5EKyGbyKN/779Q==" spinCount="100000" sheet="1" objects="1" scenarios="1"/>
  <hyperlinks>
    <hyperlink ref="A1" location="'Start-Experte'!A1" display="zurück" xr:uid="{00000000-0004-0000-0F00-000000000000}"/>
  </hyperlinks>
  <pageMargins left="0.78740157480314965" right="0.78740157480314965" top="0.98425196850393704" bottom="0.98425196850393704" header="0.59055118110236227" footer="0.59055118110236227"/>
  <pageSetup paperSize="9" scale="58" fitToHeight="4"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5"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1" operator="greaterThan" id="{652B0D23-C6BA-4964-A45D-36B3838F971F}">
            <xm:f>ControlPanel!$D$59-1</xm:f>
            <x14:dxf>
              <font>
                <color rgb="FF9C6500"/>
              </font>
              <fill>
                <patternFill>
                  <fgColor indexed="64"/>
                  <bgColor rgb="FFFFEB9C"/>
                </patternFill>
              </fill>
            </x14:dxf>
          </x14:cfRule>
          <x14:cfRule type="cellIs" priority="2" operator="lessThan" id="{8A3BE508-5721-47AF-9A24-475605C10B58}">
            <xm:f>ControlPanel!$D$59</xm:f>
            <x14:dxf>
              <font>
                <color rgb="FF006100"/>
              </font>
              <fill>
                <patternFill>
                  <fgColor indexed="64"/>
                  <bgColor rgb="FFC6EFCE"/>
                </patternFill>
              </fill>
            </x14:dxf>
          </x14:cfRule>
          <x14:cfRule type="cellIs" priority="3" operator="lessThan" id="{C92541A8-5213-430E-85FC-BD347B9B9ED6}">
            <xm:f>ControlPanel!$D$59+1</xm:f>
            <x14:dxf>
              <font>
                <color rgb="FF006100"/>
              </font>
              <fill>
                <patternFill>
                  <fgColor indexed="64"/>
                  <bgColor rgb="FFC6EFCE"/>
                </patternFill>
              </fill>
            </x14:dxf>
          </x14:cfRule>
          <xm:sqref>G4:AF4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8">
    <tabColor theme="9" tint="0.39997558519241921"/>
  </sheetPr>
  <dimension ref="A1:AG1191"/>
  <sheetViews>
    <sheetView workbookViewId="0"/>
  </sheetViews>
  <sheetFormatPr baseColWidth="10" defaultColWidth="11.5703125" defaultRowHeight="12.75" outlineLevelCol="2"/>
  <cols>
    <col min="1" max="1" width="3.7109375" style="9" customWidth="1"/>
    <col min="2" max="2" width="12.42578125" style="9" customWidth="1"/>
    <col min="3" max="3" width="12" style="9" customWidth="1"/>
    <col min="4" max="4" width="20.7109375" style="10" customWidth="1" outlineLevel="2"/>
    <col min="5" max="5" width="26.85546875" style="10" customWidth="1"/>
    <col min="6" max="6" width="16.5703125" style="10" customWidth="1"/>
    <col min="7" max="7" width="9.28515625" style="9" bestFit="1" customWidth="1"/>
    <col min="8" max="8" width="8.7109375" style="9" customWidth="1"/>
    <col min="9" max="9" width="9.28515625" style="9" bestFit="1" customWidth="1"/>
    <col min="10" max="14" width="8.7109375" style="9" customWidth="1"/>
    <col min="15" max="32" width="8.7109375" style="9" customWidth="1" outlineLevel="1"/>
    <col min="33" max="16384" width="11.5703125" style="9"/>
  </cols>
  <sheetData>
    <row r="1" spans="1:32">
      <c r="A1" s="41" t="s">
        <v>183</v>
      </c>
      <c r="B1" s="62" t="s">
        <v>828</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44</v>
      </c>
      <c r="H5" s="330" t="s">
        <v>44</v>
      </c>
      <c r="I5" s="330" t="s">
        <v>44</v>
      </c>
      <c r="J5" s="330" t="s">
        <v>44</v>
      </c>
      <c r="K5" s="330" t="s">
        <v>44</v>
      </c>
      <c r="L5" s="330" t="s">
        <v>44</v>
      </c>
      <c r="M5" s="330" t="s">
        <v>44</v>
      </c>
      <c r="N5" s="330" t="s">
        <v>44</v>
      </c>
      <c r="O5" s="330" t="s">
        <v>44</v>
      </c>
      <c r="P5" s="330" t="s">
        <v>44</v>
      </c>
      <c r="Q5" s="330" t="s">
        <v>44</v>
      </c>
      <c r="R5" s="330" t="s">
        <v>44</v>
      </c>
      <c r="S5" s="330" t="s">
        <v>44</v>
      </c>
      <c r="T5" s="330" t="s">
        <v>44</v>
      </c>
      <c r="U5" s="330" t="s">
        <v>44</v>
      </c>
      <c r="V5" s="330" t="s">
        <v>44</v>
      </c>
      <c r="W5" s="330" t="s">
        <v>44</v>
      </c>
      <c r="X5" s="330" t="s">
        <v>44</v>
      </c>
      <c r="Y5" s="330" t="s">
        <v>44</v>
      </c>
      <c r="Z5" s="330" t="s">
        <v>44</v>
      </c>
      <c r="AA5" s="330" t="s">
        <v>44</v>
      </c>
      <c r="AB5" s="330" t="s">
        <v>44</v>
      </c>
      <c r="AC5" s="330" t="s">
        <v>44</v>
      </c>
      <c r="AD5" s="330" t="s">
        <v>44</v>
      </c>
      <c r="AE5" s="330" t="s">
        <v>44</v>
      </c>
      <c r="AF5" s="330" t="s">
        <v>44</v>
      </c>
    </row>
    <row r="6" spans="1:32" ht="13.5" thickBot="1">
      <c r="B6" s="172" t="s">
        <v>25</v>
      </c>
      <c r="C6" s="181" t="str">
        <f>ControlPanel!E39</f>
        <v>Referenz</v>
      </c>
      <c r="D6" s="15" t="str">
        <f>VLOOKUP($C$6,$C$13:$AF$37,2,FALSE)</f>
        <v>fh</v>
      </c>
      <c r="E6" s="494" t="str">
        <f>VLOOKUP($C$6,$C$13:$AF$37,3,FALSE)</f>
        <v>MFP Trend</v>
      </c>
      <c r="F6" s="15" t="str">
        <f>VLOOKUP($C$6,$C$13:$AF$37,4,FALSE)</f>
        <v>bis 2026 wie MFP Referenzszenario, danach konstant</v>
      </c>
      <c r="G6" s="39">
        <f>IF(G$4&lt;ControlPanel!$D$59,VLOOKUP("Referenz",$C$13:$AF$37,G$4-$G$4+5,FALSE),VLOOKUP($C$6,$C$13:$AF$37,G$4-$G$4+5,FALSE))</f>
        <v>0</v>
      </c>
      <c r="H6" s="39">
        <f>IF(H$4&lt;ControlPanel!$D$59,VLOOKUP("Referenz",$C$13:$AF$37,H$4-$G$4+5,FALSE),VLOOKUP($C$6,$C$13:$AF$37,H$4-$G$4+5,FALSE))</f>
        <v>0</v>
      </c>
      <c r="I6" s="39">
        <f>IF(I$4&lt;ControlPanel!$D$59,VLOOKUP("Referenz",$C$13:$AF$37,I$4-$G$4+5,FALSE),VLOOKUP($C$6,$C$13:$AF$37,I$4-$G$4+5,FALSE))</f>
        <v>0</v>
      </c>
      <c r="J6" s="39">
        <f>IF(J$4&lt;ControlPanel!$D$59,VLOOKUP("Referenz",$C$13:$AF$37,J$4-$G$4+5,FALSE),VLOOKUP($C$6,$C$13:$AF$37,J$4-$G$4+5,FALSE))</f>
        <v>0</v>
      </c>
      <c r="K6" s="39">
        <f>IF(K$4&lt;ControlPanel!$D$59,VLOOKUP("Referenz",$C$13:$AF$37,K$4-$G$4+5,FALSE),VLOOKUP($C$6,$C$13:$AF$37,K$4-$G$4+5,FALSE))</f>
        <v>0</v>
      </c>
      <c r="L6" s="39">
        <f>IF(L$4&lt;ControlPanel!$D$59,VLOOKUP("Referenz",$C$13:$AF$37,L$4-$G$4+5,FALSE),VLOOKUP($C$6,$C$13:$AF$37,L$4-$G$4+5,FALSE))</f>
        <v>3956</v>
      </c>
      <c r="M6" s="39">
        <f>IF(M$4&lt;ControlPanel!$D$59,VLOOKUP("Referenz",$C$13:$AF$37,M$4-$G$4+5,FALSE),VLOOKUP($C$6,$C$13:$AF$37,M$4-$G$4+5,FALSE))</f>
        <v>3956</v>
      </c>
      <c r="N6" s="39">
        <f>IF(N$4&lt;ControlPanel!$D$59,VLOOKUP("Referenz",$C$13:$AF$37,N$4-$G$4+5,FALSE),VLOOKUP($C$6,$C$13:$AF$37,N$4-$G$4+5,FALSE))</f>
        <v>3956</v>
      </c>
      <c r="O6" s="39">
        <f>IF(O$4&lt;ControlPanel!$D$59,VLOOKUP("Referenz",$C$13:$AF$37,O$4-$G$4+5,FALSE),VLOOKUP($C$6,$C$13:$AF$37,O$4-$G$4+5,FALSE))</f>
        <v>3956</v>
      </c>
      <c r="P6" s="39">
        <f>IF(P$4&lt;ControlPanel!$D$59,VLOOKUP("Referenz",$C$13:$AF$37,P$4-$G$4+5,FALSE),VLOOKUP($C$6,$C$13:$AF$37,P$4-$G$4+5,FALSE))</f>
        <v>3956</v>
      </c>
      <c r="Q6" s="39">
        <f>IF(Q$4&lt;ControlPanel!$D$59,VLOOKUP("Referenz",$C$13:$AF$37,Q$4-$G$4+5,FALSE),VLOOKUP($C$6,$C$13:$AF$37,Q$4-$G$4+5,FALSE))</f>
        <v>3956</v>
      </c>
      <c r="R6" s="39">
        <f>IF(R$4&lt;ControlPanel!$D$59,VLOOKUP("Referenz",$C$13:$AF$37,R$4-$G$4+5,FALSE),VLOOKUP($C$6,$C$13:$AF$37,R$4-$G$4+5,FALSE))</f>
        <v>3950</v>
      </c>
      <c r="S6" s="39">
        <f>IF(S$4&lt;ControlPanel!$D$59,VLOOKUP("Referenz",$C$13:$AF$37,S$4-$G$4+5,FALSE),VLOOKUP($C$6,$C$13:$AF$37,S$4-$G$4+5,FALSE))</f>
        <v>3764</v>
      </c>
      <c r="T6" s="39">
        <f>IF(T$4&lt;ControlPanel!$D$59,VLOOKUP("Referenz",$C$13:$AF$37,T$4-$G$4+5,FALSE),VLOOKUP($C$6,$C$13:$AF$37,T$4-$G$4+5,FALSE))</f>
        <v>3767</v>
      </c>
      <c r="U6" s="39">
        <f>IF(U$4&lt;ControlPanel!$D$59,VLOOKUP("Referenz",$C$13:$AF$37,U$4-$G$4+5,FALSE),VLOOKUP($C$6,$C$13:$AF$37,U$4-$G$4+5,FALSE))</f>
        <v>3769</v>
      </c>
      <c r="V6" s="39">
        <f>IF(V$4&lt;ControlPanel!$D$59,VLOOKUP("Referenz",$C$13:$AF$37,V$4-$G$4+5,FALSE),VLOOKUP($C$6,$C$13:$AF$37,V$4-$G$4+5,FALSE))</f>
        <v>3772</v>
      </c>
      <c r="W6" s="39">
        <f>IF(W$4&lt;ControlPanel!$D$59,VLOOKUP("Referenz",$C$13:$AF$37,W$4-$G$4+5,FALSE),VLOOKUP($C$6,$C$13:$AF$37,W$4-$G$4+5,FALSE))</f>
        <v>3774</v>
      </c>
      <c r="X6" s="39">
        <f>IF(X$4&lt;ControlPanel!$D$59,VLOOKUP("Referenz",$C$13:$AF$37,X$4-$G$4+5,FALSE),VLOOKUP($C$6,$C$13:$AF$37,X$4-$G$4+5,FALSE))</f>
        <v>3774</v>
      </c>
      <c r="Y6" s="39">
        <f>IF(Y$4&lt;ControlPanel!$D$59,VLOOKUP("Referenz",$C$13:$AF$37,Y$4-$G$4+5,FALSE),VLOOKUP($C$6,$C$13:$AF$37,Y$4-$G$4+5,FALSE))</f>
        <v>3774</v>
      </c>
      <c r="Z6" s="39">
        <f>IF(Z$4&lt;ControlPanel!$D$59,VLOOKUP("Referenz",$C$13:$AF$37,Z$4-$G$4+5,FALSE),VLOOKUP($C$6,$C$13:$AF$37,Z$4-$G$4+5,FALSE))</f>
        <v>3774</v>
      </c>
      <c r="AA6" s="39">
        <f>IF(AA$4&lt;ControlPanel!$D$59,VLOOKUP("Referenz",$C$13:$AF$37,AA$4-$G$4+5,FALSE),VLOOKUP($C$6,$C$13:$AF$37,AA$4-$G$4+5,FALSE))</f>
        <v>3774</v>
      </c>
      <c r="AB6" s="39">
        <f>IF(AB$4&lt;ControlPanel!$D$59,VLOOKUP("Referenz",$C$13:$AF$37,AB$4-$G$4+5,FALSE),VLOOKUP($C$6,$C$13:$AF$37,AB$4-$G$4+5,FALSE))</f>
        <v>3774</v>
      </c>
      <c r="AC6" s="39">
        <f>IF(AC$4&lt;ControlPanel!$D$59,VLOOKUP("Referenz",$C$13:$AF$37,AC$4-$G$4+5,FALSE),VLOOKUP($C$6,$C$13:$AF$37,AC$4-$G$4+5,FALSE))</f>
        <v>3774</v>
      </c>
      <c r="AD6" s="39">
        <f>IF(AD$4&lt;ControlPanel!$D$59,VLOOKUP("Referenz",$C$13:$AF$37,AD$4-$G$4+5,FALSE),VLOOKUP($C$6,$C$13:$AF$37,AD$4-$G$4+5,FALSE))</f>
        <v>3774</v>
      </c>
      <c r="AE6" s="39">
        <f>IF(AE$4&lt;ControlPanel!$D$59,VLOOKUP("Referenz",$C$13:$AF$37,AE$4-$G$4+5,FALSE),VLOOKUP($C$6,$C$13:$AF$37,AE$4-$G$4+5,FALSE))</f>
        <v>3774</v>
      </c>
      <c r="AF6" s="39">
        <f>IF(AF$4&lt;ControlPanel!$D$59,VLOOKUP("Referenz",$C$13:$AF$37,AF$4-$G$4+5,FALSE),VLOOKUP($C$6,$C$13:$AF$37,AF$4-$G$4+5,FALSE))</f>
        <v>3774</v>
      </c>
    </row>
    <row r="7" spans="1:32" ht="13.5" thickBot="1">
      <c r="B7" s="171" t="s">
        <v>27</v>
      </c>
      <c r="C7" s="181" t="str">
        <f>ControlPanel!E40</f>
        <v>Referenz</v>
      </c>
      <c r="D7" s="15" t="str">
        <f>VLOOKUP($C$7,$C$39:$AF$63,2,FALSE)</f>
        <v>fh</v>
      </c>
      <c r="E7" s="494" t="str">
        <f>VLOOKUP($C$7,$C$39:$AF$63,3,FALSE)</f>
        <v>MFP Trend</v>
      </c>
      <c r="F7" s="15" t="str">
        <f>VLOOKUP($C$7,$C$39:$AF$63,4,FALSE)</f>
        <v>bis 2026 wie MFP Referenzszenario, danach konstant</v>
      </c>
      <c r="G7" s="39">
        <f>IF(G$4&lt;ControlPanel!$D$59,VLOOKUP("Referenz",$C$39:$AF$63,G$4-$G$4+5,FALSE),VLOOKUP($C$7,$C$39:$AF$63,G$4-$G$4+5,FALSE))</f>
        <v>0</v>
      </c>
      <c r="H7" s="39">
        <f>IF(H$4&lt;ControlPanel!$D$59,VLOOKUP("Referenz",$C$39:$AF$63,H$4-$G$4+5,FALSE),VLOOKUP($C$7,$C$39:$AF$63,H$4-$G$4+5,FALSE))</f>
        <v>0</v>
      </c>
      <c r="I7" s="39">
        <f>IF(I$4&lt;ControlPanel!$D$59,VLOOKUP("Referenz",$C$39:$AF$63,I$4-$G$4+5,FALSE),VLOOKUP($C$7,$C$39:$AF$63,I$4-$G$4+5,FALSE))</f>
        <v>0</v>
      </c>
      <c r="J7" s="39">
        <f>IF(J$4&lt;ControlPanel!$D$59,VLOOKUP("Referenz",$C$39:$AF$63,J$4-$G$4+5,FALSE),VLOOKUP($C$7,$C$39:$AF$63,J$4-$G$4+5,FALSE))</f>
        <v>0</v>
      </c>
      <c r="K7" s="39">
        <f>IF(K$4&lt;ControlPanel!$D$59,VLOOKUP("Referenz",$C$39:$AF$63,K$4-$G$4+5,FALSE),VLOOKUP($C$7,$C$39:$AF$63,K$4-$G$4+5,FALSE))</f>
        <v>0</v>
      </c>
      <c r="L7" s="39">
        <f>IF(L$4&lt;ControlPanel!$D$59,VLOOKUP("Referenz",$C$39:$AF$63,L$4-$G$4+5,FALSE),VLOOKUP($C$7,$C$39:$AF$63,L$4-$G$4+5,FALSE))</f>
        <v>2901</v>
      </c>
      <c r="M7" s="39">
        <f>IF(M$4&lt;ControlPanel!$D$59,VLOOKUP("Referenz",$C$39:$AF$63,M$4-$G$4+5,FALSE),VLOOKUP($C$7,$C$39:$AF$63,M$4-$G$4+5,FALSE))</f>
        <v>2901</v>
      </c>
      <c r="N7" s="39">
        <f>IF(N$4&lt;ControlPanel!$D$59,VLOOKUP("Referenz",$C$39:$AF$63,N$4-$G$4+5,FALSE),VLOOKUP($C$7,$C$39:$AF$63,N$4-$G$4+5,FALSE))</f>
        <v>3944</v>
      </c>
      <c r="O7" s="39">
        <f>IF(O$4&lt;ControlPanel!$D$59,VLOOKUP("Referenz",$C$39:$AF$63,O$4-$G$4+5,FALSE),VLOOKUP($C$7,$C$39:$AF$63,O$4-$G$4+5,FALSE))</f>
        <v>3767</v>
      </c>
      <c r="P7" s="39">
        <f>IF(P$4&lt;ControlPanel!$D$59,VLOOKUP("Referenz",$C$39:$AF$63,P$4-$G$4+5,FALSE),VLOOKUP($C$7,$C$39:$AF$63,P$4-$G$4+5,FALSE))</f>
        <v>3685</v>
      </c>
      <c r="Q7" s="39">
        <f>IF(Q$4&lt;ControlPanel!$D$59,VLOOKUP("Referenz",$C$39:$AF$63,Q$4-$G$4+5,FALSE),VLOOKUP($C$7,$C$39:$AF$63,Q$4-$G$4+5,FALSE))</f>
        <v>3372.3653395784545</v>
      </c>
      <c r="R7" s="39">
        <f>IF(R$4&lt;ControlPanel!$D$59,VLOOKUP("Referenz",$C$39:$AF$63,R$4-$G$4+5,FALSE),VLOOKUP($C$7,$C$39:$AF$63,R$4-$G$4+5,FALSE))</f>
        <v>4128.712871287129</v>
      </c>
      <c r="S7" s="39">
        <f>IF(S$4&lt;ControlPanel!$D$59,VLOOKUP("Referenz",$C$39:$AF$63,S$4-$G$4+5,FALSE),VLOOKUP($C$7,$C$39:$AF$63,S$4-$G$4+5,FALSE))</f>
        <v>3840</v>
      </c>
      <c r="T7" s="39">
        <f>IF(T$4&lt;ControlPanel!$D$59,VLOOKUP("Referenz",$C$39:$AF$63,T$4-$G$4+5,FALSE),VLOOKUP($C$7,$C$39:$AF$63,T$4-$G$4+5,FALSE))</f>
        <v>3692.0821114369501</v>
      </c>
      <c r="U7" s="39">
        <f>IF(U$4&lt;ControlPanel!$D$59,VLOOKUP("Referenz",$C$39:$AF$63,U$4-$G$4+5,FALSE),VLOOKUP($C$7,$C$39:$AF$63,U$4-$G$4+5,FALSE))</f>
        <v>3679.0123456790125</v>
      </c>
      <c r="V7" s="39">
        <f>IF(V$4&lt;ControlPanel!$D$59,VLOOKUP("Referenz",$C$39:$AF$63,V$4-$G$4+5,FALSE),VLOOKUP($C$7,$C$39:$AF$63,V$4-$G$4+5,FALSE))</f>
        <v>4430.7692307692314</v>
      </c>
      <c r="W7" s="39">
        <f>IF(W$4&lt;ControlPanel!$D$59,VLOOKUP("Referenz",$C$39:$AF$63,W$4-$G$4+5,FALSE),VLOOKUP($C$7,$C$39:$AF$63,W$4-$G$4+5,FALSE))</f>
        <v>4502.4154589371974</v>
      </c>
      <c r="X7" s="39">
        <f>IF(X$4&lt;ControlPanel!$D$59,VLOOKUP("Referenz",$C$39:$AF$63,X$4-$G$4+5,FALSE),VLOOKUP($C$7,$C$39:$AF$63,X$4-$G$4+5,FALSE))</f>
        <v>4502.4154589371974</v>
      </c>
      <c r="Y7" s="39">
        <f>IF(Y$4&lt;ControlPanel!$D$59,VLOOKUP("Referenz",$C$39:$AF$63,Y$4-$G$4+5,FALSE),VLOOKUP($C$7,$C$39:$AF$63,Y$4-$G$4+5,FALSE))</f>
        <v>4502.4154589371974</v>
      </c>
      <c r="Z7" s="39">
        <f>IF(Z$4&lt;ControlPanel!$D$59,VLOOKUP("Referenz",$C$39:$AF$63,Z$4-$G$4+5,FALSE),VLOOKUP($C$7,$C$39:$AF$63,Z$4-$G$4+5,FALSE))</f>
        <v>4502.4154589371974</v>
      </c>
      <c r="AA7" s="39">
        <f>IF(AA$4&lt;ControlPanel!$D$59,VLOOKUP("Referenz",$C$39:$AF$63,AA$4-$G$4+5,FALSE),VLOOKUP($C$7,$C$39:$AF$63,AA$4-$G$4+5,FALSE))</f>
        <v>4502.4154589371974</v>
      </c>
      <c r="AB7" s="39">
        <f>IF(AB$4&lt;ControlPanel!$D$59,VLOOKUP("Referenz",$C$39:$AF$63,AB$4-$G$4+5,FALSE),VLOOKUP($C$7,$C$39:$AF$63,AB$4-$G$4+5,FALSE))</f>
        <v>4502.4154589371974</v>
      </c>
      <c r="AC7" s="39">
        <f>IF(AC$4&lt;ControlPanel!$D$59,VLOOKUP("Referenz",$C$39:$AF$63,AC$4-$G$4+5,FALSE),VLOOKUP($C$7,$C$39:$AF$63,AC$4-$G$4+5,FALSE))</f>
        <v>4502.4154589371974</v>
      </c>
      <c r="AD7" s="39">
        <f>IF(AD$4&lt;ControlPanel!$D$59,VLOOKUP("Referenz",$C$39:$AF$63,AD$4-$G$4+5,FALSE),VLOOKUP($C$7,$C$39:$AF$63,AD$4-$G$4+5,FALSE))</f>
        <v>4502.4154589371974</v>
      </c>
      <c r="AE7" s="39">
        <f>IF(AE$4&lt;ControlPanel!$D$59,VLOOKUP("Referenz",$C$39:$AF$63,AE$4-$G$4+5,FALSE),VLOOKUP($C$7,$C$39:$AF$63,AE$4-$G$4+5,FALSE))</f>
        <v>4502.4154589371974</v>
      </c>
      <c r="AF7" s="39">
        <f>IF(AF$4&lt;ControlPanel!$D$59,VLOOKUP("Referenz",$C$39:$AF$63,AF$4-$G$4+5,FALSE),VLOOKUP($C$7,$C$39:$AF$63,AF$4-$G$4+5,FALSE))</f>
        <v>4502.4154589371974</v>
      </c>
    </row>
    <row r="8" spans="1:32" ht="39" thickBot="1">
      <c r="B8" s="171" t="s">
        <v>13</v>
      </c>
      <c r="C8" s="181" t="str">
        <f>ControlPanel!E37</f>
        <v>Referenz</v>
      </c>
      <c r="D8" s="15" t="str">
        <f>VLOOKUP($C$8,$C$65:$AF$89,2,FALSE)</f>
        <v>fh</v>
      </c>
      <c r="E8" s="494" t="str">
        <f>VLOOKUP($C$8,$C$65:$AF$89,3,FALSE)</f>
        <v>MFP Trend</v>
      </c>
      <c r="F8" s="15" t="str">
        <f>VLOOKUP($C$8,$C$65:$AF$89,4,FALSE)</f>
        <v>bis 2026 MFP Trend, danach 4000 VLH</v>
      </c>
      <c r="G8" s="39">
        <f>IF(G$4&lt;ControlPanel!$D$59,VLOOKUP("Referenz",$C$65:$AF$89,G$4-$G$4+5,FALSE),VLOOKUP($C$8,$C$65:$AF$89,G$4-$G$4+5,FALSE))</f>
        <v>0</v>
      </c>
      <c r="H8" s="39">
        <f>IF(H$4&lt;ControlPanel!$D$59,VLOOKUP("Referenz",$C$65:$AF$89,H$4-$G$4+5,FALSE),VLOOKUP($C$8,$C$65:$AF$89,H$4-$G$4+5,FALSE))</f>
        <v>0</v>
      </c>
      <c r="I8" s="39">
        <f>IF(I$4&lt;ControlPanel!$D$59,VLOOKUP("Referenz",$C$65:$AF$89,I$4-$G$4+5,FALSE),VLOOKUP($C$8,$C$65:$AF$89,I$4-$G$4+5,FALSE))</f>
        <v>0</v>
      </c>
      <c r="J8" s="39">
        <f>IF(J$4&lt;ControlPanel!$D$59,VLOOKUP("Referenz",$C$65:$AF$89,J$4-$G$4+5,FALSE),VLOOKUP($C$8,$C$65:$AF$89,J$4-$G$4+5,FALSE))</f>
        <v>0</v>
      </c>
      <c r="K8" s="39">
        <f>IF(K$4&lt;ControlPanel!$D$59,VLOOKUP("Referenz",$C$65:$AF$89,K$4-$G$4+5,FALSE),VLOOKUP($C$8,$C$65:$AF$89,K$4-$G$4+5,FALSE))</f>
        <v>0</v>
      </c>
      <c r="L8" s="39">
        <f>IF(L$4&lt;ControlPanel!$D$59,VLOOKUP("Referenz",$C$65:$AF$89,L$4-$G$4+5,FALSE),VLOOKUP($C$8,$C$65:$AF$89,L$4-$G$4+5,FALSE))</f>
        <v>5605</v>
      </c>
      <c r="M8" s="39">
        <f>IF(M$4&lt;ControlPanel!$D$59,VLOOKUP("Referenz",$C$65:$AF$89,M$4-$G$4+5,FALSE),VLOOKUP($C$8,$C$65:$AF$89,M$4-$G$4+5,FALSE))</f>
        <v>4000</v>
      </c>
      <c r="N8" s="39">
        <f>IF(N$4&lt;ControlPanel!$D$59,VLOOKUP("Referenz",$C$65:$AF$89,N$4-$G$4+5,FALSE),VLOOKUP($C$8,$C$65:$AF$89,N$4-$G$4+5,FALSE))</f>
        <v>4000</v>
      </c>
      <c r="O8" s="39">
        <f>IF(O$4&lt;ControlPanel!$D$59,VLOOKUP("Referenz",$C$65:$AF$89,O$4-$G$4+5,FALSE),VLOOKUP($C$8,$C$65:$AF$89,O$4-$G$4+5,FALSE))</f>
        <v>4000</v>
      </c>
      <c r="P8" s="39">
        <f>IF(P$4&lt;ControlPanel!$D$59,VLOOKUP("Referenz",$C$65:$AF$89,P$4-$G$4+5,FALSE),VLOOKUP($C$8,$C$65:$AF$89,P$4-$G$4+5,FALSE))</f>
        <v>4000</v>
      </c>
      <c r="Q8" s="39">
        <f>IF(Q$4&lt;ControlPanel!$D$59,VLOOKUP("Referenz",$C$65:$AF$89,Q$4-$G$4+5,FALSE),VLOOKUP($C$8,$C$65:$AF$89,Q$4-$G$4+5,FALSE))</f>
        <v>4000</v>
      </c>
      <c r="R8" s="39">
        <f>IF(R$4&lt;ControlPanel!$D$59,VLOOKUP("Referenz",$C$65:$AF$89,R$4-$G$4+5,FALSE),VLOOKUP($C$8,$C$65:$AF$89,R$4-$G$4+5,FALSE))</f>
        <v>4000</v>
      </c>
      <c r="S8" s="39">
        <f>IF(S$4&lt;ControlPanel!$D$59,VLOOKUP("Referenz",$C$65:$AF$89,S$4-$G$4+5,FALSE),VLOOKUP($C$8,$C$65:$AF$89,S$4-$G$4+5,FALSE))</f>
        <v>4457</v>
      </c>
      <c r="T8" s="39">
        <f>IF(T$4&lt;ControlPanel!$D$59,VLOOKUP("Referenz",$C$65:$AF$89,T$4-$G$4+5,FALSE),VLOOKUP($C$8,$C$65:$AF$89,T$4-$G$4+5,FALSE))</f>
        <v>4224</v>
      </c>
      <c r="U8" s="39">
        <f>IF(U$4&lt;ControlPanel!$D$59,VLOOKUP("Referenz",$C$65:$AF$89,U$4-$G$4+5,FALSE),VLOOKUP($C$8,$C$65:$AF$89,U$4-$G$4+5,FALSE))</f>
        <v>4009</v>
      </c>
      <c r="V8" s="39">
        <f>IF(V$4&lt;ControlPanel!$D$59,VLOOKUP("Referenz",$C$65:$AF$89,V$4-$G$4+5,FALSE),VLOOKUP($C$8,$C$65:$AF$89,V$4-$G$4+5,FALSE))</f>
        <v>3804</v>
      </c>
      <c r="W8" s="39">
        <f>IF(W$4&lt;ControlPanel!$D$59,VLOOKUP("Referenz",$C$65:$AF$89,W$4-$G$4+5,FALSE),VLOOKUP($C$8,$C$65:$AF$89,W$4-$G$4+5,FALSE))</f>
        <v>3606</v>
      </c>
      <c r="X8" s="39">
        <f>IF(X$4&lt;ControlPanel!$D$59,VLOOKUP("Referenz",$C$65:$AF$89,X$4-$G$4+5,FALSE),VLOOKUP($C$8,$C$65:$AF$89,X$4-$G$4+5,FALSE))</f>
        <v>4000</v>
      </c>
      <c r="Y8" s="39">
        <f>IF(Y$4&lt;ControlPanel!$D$59,VLOOKUP("Referenz",$C$65:$AF$89,Y$4-$G$4+5,FALSE),VLOOKUP($C$8,$C$65:$AF$89,Y$4-$G$4+5,FALSE))</f>
        <v>4000</v>
      </c>
      <c r="Z8" s="39">
        <f>IF(Z$4&lt;ControlPanel!$D$59,VLOOKUP("Referenz",$C$65:$AF$89,Z$4-$G$4+5,FALSE),VLOOKUP($C$8,$C$65:$AF$89,Z$4-$G$4+5,FALSE))</f>
        <v>4000</v>
      </c>
      <c r="AA8" s="39">
        <f>IF(AA$4&lt;ControlPanel!$D$59,VLOOKUP("Referenz",$C$65:$AF$89,AA$4-$G$4+5,FALSE),VLOOKUP($C$8,$C$65:$AF$89,AA$4-$G$4+5,FALSE))</f>
        <v>4000</v>
      </c>
      <c r="AB8" s="39">
        <f>IF(AB$4&lt;ControlPanel!$D$59,VLOOKUP("Referenz",$C$65:$AF$89,AB$4-$G$4+5,FALSE),VLOOKUP($C$8,$C$65:$AF$89,AB$4-$G$4+5,FALSE))</f>
        <v>4000</v>
      </c>
      <c r="AC8" s="39">
        <f>IF(AC$4&lt;ControlPanel!$D$59,VLOOKUP("Referenz",$C$65:$AF$89,AC$4-$G$4+5,FALSE),VLOOKUP($C$8,$C$65:$AF$89,AC$4-$G$4+5,FALSE))</f>
        <v>4000</v>
      </c>
      <c r="AD8" s="39">
        <f>IF(AD$4&lt;ControlPanel!$D$59,VLOOKUP("Referenz",$C$65:$AF$89,AD$4-$G$4+5,FALSE),VLOOKUP($C$8,$C$65:$AF$89,AD$4-$G$4+5,FALSE))</f>
        <v>4000</v>
      </c>
      <c r="AE8" s="39">
        <f>IF(AE$4&lt;ControlPanel!$D$59,VLOOKUP("Referenz",$C$65:$AF$89,AE$4-$G$4+5,FALSE),VLOOKUP($C$8,$C$65:$AF$89,AE$4-$G$4+5,FALSE))</f>
        <v>4000</v>
      </c>
      <c r="AF8" s="39">
        <f>IF(AF$4&lt;ControlPanel!$D$59,VLOOKUP("Referenz",$C$65:$AF$89,AF$4-$G$4+5,FALSE),VLOOKUP($C$8,$C$65:$AF$89,AF$4-$G$4+5,FALSE))</f>
        <v>4000</v>
      </c>
    </row>
    <row r="9" spans="1:32" ht="13.5" thickBot="1">
      <c r="B9" s="171" t="s">
        <v>12</v>
      </c>
      <c r="C9" s="181" t="str">
        <f>ControlPanel!E38</f>
        <v>Referenz</v>
      </c>
      <c r="D9" s="15" t="str">
        <f>VLOOKUP($C$9,$C$91:$AF$115,2,FALSE)</f>
        <v>fh</v>
      </c>
      <c r="E9" s="494" t="str">
        <f>VLOOKUP($C$9,$C$91:$AF$115,3,FALSE)</f>
        <v>MFP Trend</v>
      </c>
      <c r="F9" s="15" t="str">
        <f>VLOOKUP($C$9,$C$91:$AF$115,4,FALSE)</f>
        <v>bis 2026 wie MFP Referenzszenario, danach konstant</v>
      </c>
      <c r="G9" s="39">
        <f>IF(G$4&lt;ControlPanel!$D$59,VLOOKUP("Referenz",$C$91:$AF$115,G$4-$G$4+5,FALSE),VLOOKUP($C$9,$C$91:$AF$115,G$4-$G$4+5,FALSE))</f>
        <v>0</v>
      </c>
      <c r="H9" s="39">
        <f>IF(H$4&lt;ControlPanel!$D$59,VLOOKUP("Referenz",$C$91:$AF$115,H$4-$G$4+5,FALSE),VLOOKUP($C$9,$C$91:$AF$115,H$4-$G$4+5,FALSE))</f>
        <v>0</v>
      </c>
      <c r="I9" s="39">
        <f>IF(I$4&lt;ControlPanel!$D$59,VLOOKUP("Referenz",$C$91:$AF$115,I$4-$G$4+5,FALSE),VLOOKUP($C$9,$C$91:$AF$115,I$4-$G$4+5,FALSE))</f>
        <v>0</v>
      </c>
      <c r="J9" s="39">
        <f>IF(J$4&lt;ControlPanel!$D$59,VLOOKUP("Referenz",$C$91:$AF$115,J$4-$G$4+5,FALSE),VLOOKUP($C$9,$C$91:$AF$115,J$4-$G$4+5,FALSE))</f>
        <v>0</v>
      </c>
      <c r="K9" s="39">
        <f>IF(K$4&lt;ControlPanel!$D$59,VLOOKUP("Referenz",$C$91:$AF$115,K$4-$G$4+5,FALSE),VLOOKUP($C$9,$C$91:$AF$115,K$4-$G$4+5,FALSE))</f>
        <v>0</v>
      </c>
      <c r="L9" s="39">
        <f>IF(L$4&lt;ControlPanel!$D$59,VLOOKUP("Referenz",$C$91:$AF$115,L$4-$G$4+5,FALSE),VLOOKUP($C$9,$C$91:$AF$115,L$4-$G$4+5,FALSE))</f>
        <v>4341</v>
      </c>
      <c r="M9" s="39">
        <f>IF(M$4&lt;ControlPanel!$D$59,VLOOKUP("Referenz",$C$91:$AF$115,M$4-$G$4+5,FALSE),VLOOKUP($C$9,$C$91:$AF$115,M$4-$G$4+5,FALSE))</f>
        <v>4341</v>
      </c>
      <c r="N9" s="39">
        <f>IF(N$4&lt;ControlPanel!$D$59,VLOOKUP("Referenz",$C$91:$AF$115,N$4-$G$4+5,FALSE),VLOOKUP($C$9,$C$91:$AF$115,N$4-$G$4+5,FALSE))</f>
        <v>6304</v>
      </c>
      <c r="O9" s="39">
        <f>IF(O$4&lt;ControlPanel!$D$59,VLOOKUP("Referenz",$C$91:$AF$115,O$4-$G$4+5,FALSE),VLOOKUP($C$9,$C$91:$AF$115,O$4-$G$4+5,FALSE))</f>
        <v>6304</v>
      </c>
      <c r="P9" s="39">
        <f>IF(P$4&lt;ControlPanel!$D$59,VLOOKUP("Referenz",$C$91:$AF$115,P$4-$G$4+5,FALSE),VLOOKUP($C$9,$C$91:$AF$115,P$4-$G$4+5,FALSE))</f>
        <v>6406</v>
      </c>
      <c r="Q9" s="39">
        <f>IF(Q$4&lt;ControlPanel!$D$59,VLOOKUP("Referenz",$C$91:$AF$115,Q$4-$G$4+5,FALSE),VLOOKUP($C$9,$C$91:$AF$115,Q$4-$G$4+5,FALSE))</f>
        <v>5457</v>
      </c>
      <c r="R9" s="39">
        <f>IF(R$4&lt;ControlPanel!$D$59,VLOOKUP("Referenz",$C$91:$AF$115,R$4-$G$4+5,FALSE),VLOOKUP($C$9,$C$91:$AF$115,R$4-$G$4+5,FALSE))</f>
        <v>5797</v>
      </c>
      <c r="S9" s="39">
        <f>IF(S$4&lt;ControlPanel!$D$59,VLOOKUP("Referenz",$C$91:$AF$115,S$4-$G$4+5,FALSE),VLOOKUP($C$9,$C$91:$AF$115,S$4-$G$4+5,FALSE))</f>
        <v>4532</v>
      </c>
      <c r="T9" s="39">
        <f>IF(T$4&lt;ControlPanel!$D$59,VLOOKUP("Referenz",$C$91:$AF$115,T$4-$G$4+5,FALSE),VLOOKUP($C$9,$C$91:$AF$115,T$4-$G$4+5,FALSE))</f>
        <v>4532</v>
      </c>
      <c r="U9" s="39">
        <f>IF(U$4&lt;ControlPanel!$D$59,VLOOKUP("Referenz",$C$91:$AF$115,U$4-$G$4+5,FALSE),VLOOKUP($C$9,$C$91:$AF$115,U$4-$G$4+5,FALSE))</f>
        <v>4532</v>
      </c>
      <c r="V9" s="39">
        <f>IF(V$4&lt;ControlPanel!$D$59,VLOOKUP("Referenz",$C$91:$AF$115,V$4-$G$4+5,FALSE),VLOOKUP($C$9,$C$91:$AF$115,V$4-$G$4+5,FALSE))</f>
        <v>4532</v>
      </c>
      <c r="W9" s="39">
        <f>IF(W$4&lt;ControlPanel!$D$59,VLOOKUP("Referenz",$C$91:$AF$115,W$4-$G$4+5,FALSE),VLOOKUP($C$9,$C$91:$AF$115,W$4-$G$4+5,FALSE))</f>
        <v>4532</v>
      </c>
      <c r="X9" s="39">
        <f>IF(X$4&lt;ControlPanel!$D$59,VLOOKUP("Referenz",$C$91:$AF$115,X$4-$G$4+5,FALSE),VLOOKUP($C$9,$C$91:$AF$115,X$4-$G$4+5,FALSE))</f>
        <v>4532</v>
      </c>
      <c r="Y9" s="39">
        <f>IF(Y$4&lt;ControlPanel!$D$59,VLOOKUP("Referenz",$C$91:$AF$115,Y$4-$G$4+5,FALSE),VLOOKUP($C$9,$C$91:$AF$115,Y$4-$G$4+5,FALSE))</f>
        <v>4532</v>
      </c>
      <c r="Z9" s="39">
        <f>IF(Z$4&lt;ControlPanel!$D$59,VLOOKUP("Referenz",$C$91:$AF$115,Z$4-$G$4+5,FALSE),VLOOKUP($C$9,$C$91:$AF$115,Z$4-$G$4+5,FALSE))</f>
        <v>4532</v>
      </c>
      <c r="AA9" s="39">
        <f>IF(AA$4&lt;ControlPanel!$D$59,VLOOKUP("Referenz",$C$91:$AF$115,AA$4-$G$4+5,FALSE),VLOOKUP($C$9,$C$91:$AF$115,AA$4-$G$4+5,FALSE))</f>
        <v>4532</v>
      </c>
      <c r="AB9" s="39">
        <f>IF(AB$4&lt;ControlPanel!$D$59,VLOOKUP("Referenz",$C$91:$AF$115,AB$4-$G$4+5,FALSE),VLOOKUP($C$9,$C$91:$AF$115,AB$4-$G$4+5,FALSE))</f>
        <v>4532</v>
      </c>
      <c r="AC9" s="39">
        <f>IF(AC$4&lt;ControlPanel!$D$59,VLOOKUP("Referenz",$C$91:$AF$115,AC$4-$G$4+5,FALSE),VLOOKUP($C$9,$C$91:$AF$115,AC$4-$G$4+5,FALSE))</f>
        <v>4532</v>
      </c>
      <c r="AD9" s="39">
        <f>IF(AD$4&lt;ControlPanel!$D$59,VLOOKUP("Referenz",$C$91:$AF$115,AD$4-$G$4+5,FALSE),VLOOKUP($C$9,$C$91:$AF$115,AD$4-$G$4+5,FALSE))</f>
        <v>4532</v>
      </c>
      <c r="AE9" s="39">
        <f>IF(AE$4&lt;ControlPanel!$D$59,VLOOKUP("Referenz",$C$91:$AF$115,AE$4-$G$4+5,FALSE),VLOOKUP($C$9,$C$91:$AF$115,AE$4-$G$4+5,FALSE))</f>
        <v>4532</v>
      </c>
      <c r="AF9" s="39">
        <f>IF(AF$4&lt;ControlPanel!$D$59,VLOOKUP("Referenz",$C$91:$AF$115,AF$4-$G$4+5,FALSE),VLOOKUP($C$9,$C$91:$AF$115,AF$4-$G$4+5,FALSE))</f>
        <v>4532</v>
      </c>
    </row>
    <row r="10" spans="1:32" ht="39" thickBot="1">
      <c r="B10" s="171" t="s">
        <v>24</v>
      </c>
      <c r="C10" s="181" t="str">
        <f>ControlPanel!E34</f>
        <v>Referenz</v>
      </c>
      <c r="D10" s="15" t="str">
        <f>VLOOKUP($C$10,$C$117:$AF$141,2,FALSE)</f>
        <v>fh</v>
      </c>
      <c r="E10" s="494" t="str">
        <f>VLOOKUP($C$10,$C$117:$AF$141,3,FALSE)</f>
        <v>Anstieg auf 2600h in 2035</v>
      </c>
      <c r="F10" s="15" t="str">
        <f>VLOOKUP($C$10,$C$117:$AF$141,4,FALSE)</f>
        <v>bis 2026 wie MFP hoch, danach degressiver Anstieg auf 2600h in 2035</v>
      </c>
      <c r="G10" s="39">
        <f>IF(G$4&lt;ControlPanel!$D$59,VLOOKUP("Referenz",$C$117:$AF$141,G$4-$G$4+5,FALSE),VLOOKUP($C$10,$C$117:$AF$141,G$4-$G$4+5,FALSE))</f>
        <v>0</v>
      </c>
      <c r="H10" s="39">
        <f>IF(H$4&lt;ControlPanel!$D$59,VLOOKUP("Referenz",$C$117:$AF$141,H$4-$G$4+5,FALSE),VLOOKUP($C$10,$C$117:$AF$141,H$4-$G$4+5,FALSE))</f>
        <v>0</v>
      </c>
      <c r="I10" s="39">
        <f>IF(I$4&lt;ControlPanel!$D$59,VLOOKUP("Referenz",$C$117:$AF$141,I$4-$G$4+5,FALSE),VLOOKUP($C$10,$C$117:$AF$141,I$4-$G$4+5,FALSE))</f>
        <v>0</v>
      </c>
      <c r="J10" s="39">
        <f>IF(J$4&lt;ControlPanel!$D$59,VLOOKUP("Referenz",$C$117:$AF$141,J$4-$G$4+5,FALSE),VLOOKUP($C$10,$C$117:$AF$141,J$4-$G$4+5,FALSE))</f>
        <v>0</v>
      </c>
      <c r="K10" s="39">
        <f>IF(K$4&lt;ControlPanel!$D$59,VLOOKUP("Referenz",$C$117:$AF$141,K$4-$G$4+5,FALSE),VLOOKUP($C$10,$C$117:$AF$141,K$4-$G$4+5,FALSE))</f>
        <v>0</v>
      </c>
      <c r="L10" s="39">
        <f>IF(L$4&lt;ControlPanel!$D$59,VLOOKUP("Referenz",$C$117:$AF$141,L$4-$G$4+5,FALSE),VLOOKUP($C$10,$C$117:$AF$141,L$4-$G$4+5,FALSE))</f>
        <v>2258.3528764765942</v>
      </c>
      <c r="M10" s="39">
        <f>IF(M$4&lt;ControlPanel!$D$59,VLOOKUP("Referenz",$C$117:$AF$141,M$4-$G$4+5,FALSE),VLOOKUP($C$10,$C$117:$AF$141,M$4-$G$4+5,FALSE))</f>
        <v>2316.6989503493969</v>
      </c>
      <c r="N10" s="39">
        <f>IF(N$4&lt;ControlPanel!$D$59,VLOOKUP("Referenz",$C$117:$AF$141,N$4-$G$4+5,FALSE),VLOOKUP($C$10,$C$117:$AF$141,N$4-$G$4+5,FALSE))</f>
        <v>2375.0450242222141</v>
      </c>
      <c r="O10" s="39">
        <f>IF(O$4&lt;ControlPanel!$D$59,VLOOKUP("Referenz",$C$117:$AF$141,O$4-$G$4+5,FALSE),VLOOKUP($C$10,$C$117:$AF$141,O$4-$G$4+5,FALSE))</f>
        <v>2433.3910980950168</v>
      </c>
      <c r="P10" s="39">
        <f>IF(P$4&lt;ControlPanel!$D$59,VLOOKUP("Referenz",$C$117:$AF$141,P$4-$G$4+5,FALSE),VLOOKUP($C$10,$C$117:$AF$141,P$4-$G$4+5,FALSE))</f>
        <v>2491.737171967834</v>
      </c>
      <c r="Q10" s="39">
        <f>IF(Q$4&lt;ControlPanel!$D$59,VLOOKUP("Referenz",$C$117:$AF$141,Q$4-$G$4+5,FALSE),VLOOKUP($C$10,$C$117:$AF$141,Q$4-$G$4+5,FALSE))</f>
        <v>2491.737171967834</v>
      </c>
      <c r="R10" s="39">
        <f>IF(R$4&lt;ControlPanel!$D$59,VLOOKUP("Referenz",$C$117:$AF$141,R$4-$G$4+5,FALSE),VLOOKUP($C$10,$C$117:$AF$141,R$4-$G$4+5,FALSE))</f>
        <v>2491.737171967834</v>
      </c>
      <c r="S10" s="39">
        <f>IF(S$4&lt;ControlPanel!$D$59,VLOOKUP("Referenz",$C$117:$AF$141,S$4-$G$4+5,FALSE),VLOOKUP($C$10,$C$117:$AF$141,S$4-$G$4+5,FALSE))</f>
        <v>2187</v>
      </c>
      <c r="T10" s="39">
        <f>IF(T$4&lt;ControlPanel!$D$59,VLOOKUP("Referenz",$C$117:$AF$141,T$4-$G$4+5,FALSE),VLOOKUP($C$10,$C$117:$AF$141,T$4-$G$4+5,FALSE))</f>
        <v>2232</v>
      </c>
      <c r="U10" s="39">
        <f>IF(U$4&lt;ControlPanel!$D$59,VLOOKUP("Referenz",$C$117:$AF$141,U$4-$G$4+5,FALSE),VLOOKUP($C$10,$C$117:$AF$141,U$4-$G$4+5,FALSE))</f>
        <v>2274</v>
      </c>
      <c r="V10" s="39">
        <f>IF(V$4&lt;ControlPanel!$D$59,VLOOKUP("Referenz",$C$117:$AF$141,V$4-$G$4+5,FALSE),VLOOKUP($C$10,$C$117:$AF$141,V$4-$G$4+5,FALSE))</f>
        <v>2307</v>
      </c>
      <c r="W10" s="39">
        <f>IF(W$4&lt;ControlPanel!$D$59,VLOOKUP("Referenz",$C$117:$AF$141,W$4-$G$4+5,FALSE),VLOOKUP($C$10,$C$117:$AF$141,W$4-$G$4+5,FALSE))</f>
        <v>2343</v>
      </c>
      <c r="X10" s="39">
        <f>IF(X$4&lt;ControlPanel!$D$59,VLOOKUP("Referenz",$C$117:$AF$141,X$4-$G$4+5,FALSE),VLOOKUP($C$10,$C$117:$AF$141,X$4-$G$4+5,FALSE))</f>
        <v>2394.4</v>
      </c>
      <c r="Y10" s="39">
        <f>IF(Y$4&lt;ControlPanel!$D$59,VLOOKUP("Referenz",$C$117:$AF$141,Y$4-$G$4+5,FALSE),VLOOKUP($C$10,$C$117:$AF$141,Y$4-$G$4+5,FALSE))</f>
        <v>2428.666666666667</v>
      </c>
      <c r="Z10" s="39">
        <f>IF(Z$4&lt;ControlPanel!$D$59,VLOOKUP("Referenz",$C$117:$AF$141,Z$4-$G$4+5,FALSE),VLOOKUP($C$10,$C$117:$AF$141,Z$4-$G$4+5,FALSE))</f>
        <v>2453.1428571428573</v>
      </c>
      <c r="AA10" s="39">
        <f>IF(AA$4&lt;ControlPanel!$D$59,VLOOKUP("Referenz",$C$117:$AF$141,AA$4-$G$4+5,FALSE),VLOOKUP($C$10,$C$117:$AF$141,AA$4-$G$4+5,FALSE))</f>
        <v>2471.5</v>
      </c>
      <c r="AB10" s="39">
        <f>IF(AB$4&lt;ControlPanel!$D$59,VLOOKUP("Referenz",$C$117:$AF$141,AB$4-$G$4+5,FALSE),VLOOKUP($C$10,$C$117:$AF$141,AB$4-$G$4+5,FALSE))</f>
        <v>2485.7777777777778</v>
      </c>
      <c r="AC10" s="39">
        <f>IF(AC$4&lt;ControlPanel!$D$59,VLOOKUP("Referenz",$C$117:$AF$141,AC$4-$G$4+5,FALSE),VLOOKUP($C$10,$C$117:$AF$141,AC$4-$G$4+5,FALSE))</f>
        <v>2497.1999999999998</v>
      </c>
      <c r="AD10" s="39">
        <f>IF(AD$4&lt;ControlPanel!$D$59,VLOOKUP("Referenz",$C$117:$AF$141,AD$4-$G$4+5,FALSE),VLOOKUP($C$10,$C$117:$AF$141,AD$4-$G$4+5,FALSE))</f>
        <v>2506.5454545454545</v>
      </c>
      <c r="AE10" s="39">
        <f>IF(AE$4&lt;ControlPanel!$D$59,VLOOKUP("Referenz",$C$117:$AF$141,AE$4-$G$4+5,FALSE),VLOOKUP($C$10,$C$117:$AF$141,AE$4-$G$4+5,FALSE))</f>
        <v>2514.3333333333335</v>
      </c>
      <c r="AF10" s="39">
        <f>IF(AF$4&lt;ControlPanel!$D$59,VLOOKUP("Referenz",$C$117:$AF$141,AF$4-$G$4+5,FALSE),VLOOKUP($C$10,$C$117:$AF$141,AF$4-$G$4+5,FALSE))</f>
        <v>2600</v>
      </c>
    </row>
    <row r="11" spans="1:32" ht="39" thickBot="1">
      <c r="B11" s="171" t="s">
        <v>26</v>
      </c>
      <c r="C11" s="181" t="str">
        <f>ControlPanel!E35</f>
        <v>Referenz</v>
      </c>
      <c r="D11" s="15" t="str">
        <f>VLOOKUP($C$11,$C$143:$AF$167,2,FALSE)</f>
        <v>as/pl/fh</v>
      </c>
      <c r="E11" s="494" t="str">
        <f>VLOOKUP($C$11,$C$143:$AF$167,3,FALSE)</f>
        <v>Anstieg auf 4700 h in 2035</v>
      </c>
      <c r="F11" s="15" t="str">
        <f>VLOOKUP($C$11,$C$143:$AF$167,4,FALSE)</f>
        <v>bis 2026 wie MFP hoch, danach degressiver Anstieg auf 4700h in 2035</v>
      </c>
      <c r="G11" s="39">
        <f>IF(G$4&lt;ControlPanel!$D$59,VLOOKUP("Referenz",$C$143:$AF$167,G$4-$G$4+5,FALSE),VLOOKUP($C$11,$C$143:$AF$167,G$4-$G$4+5,FALSE))</f>
        <v>0</v>
      </c>
      <c r="H11" s="39">
        <f>IF(H$4&lt;ControlPanel!$D$59,VLOOKUP("Referenz",$C$143:$AF$167,H$4-$G$4+5,FALSE),VLOOKUP($C$11,$C$143:$AF$167,H$4-$G$4+5,FALSE))</f>
        <v>0</v>
      </c>
      <c r="I11" s="39">
        <f>IF(I$4&lt;ControlPanel!$D$59,VLOOKUP("Referenz",$C$143:$AF$167,I$4-$G$4+5,FALSE),VLOOKUP($C$11,$C$143:$AF$167,I$4-$G$4+5,FALSE))</f>
        <v>0</v>
      </c>
      <c r="J11" s="39">
        <f>IF(J$4&lt;ControlPanel!$D$59,VLOOKUP("Referenz",$C$143:$AF$167,J$4-$G$4+5,FALSE),VLOOKUP($C$11,$C$143:$AF$167,J$4-$G$4+5,FALSE))</f>
        <v>0</v>
      </c>
      <c r="K11" s="39">
        <f>IF(K$4&lt;ControlPanel!$D$59,VLOOKUP("Referenz",$C$143:$AF$167,K$4-$G$4+5,FALSE),VLOOKUP($C$11,$C$143:$AF$167,K$4-$G$4+5,FALSE))</f>
        <v>0</v>
      </c>
      <c r="L11" s="39">
        <f>IF(L$4&lt;ControlPanel!$D$59,VLOOKUP("Referenz",$C$143:$AF$167,L$4-$G$4+5,FALSE),VLOOKUP($C$11,$C$143:$AF$167,L$4-$G$4+5,FALSE))</f>
        <v>3462</v>
      </c>
      <c r="M11" s="39">
        <f>IF(M$4&lt;ControlPanel!$D$59,VLOOKUP("Referenz",$C$143:$AF$167,M$4-$G$4+5,FALSE),VLOOKUP($C$11,$C$143:$AF$167,M$4-$G$4+5,FALSE))</f>
        <v>3562</v>
      </c>
      <c r="N11" s="39">
        <f>IF(N$4&lt;ControlPanel!$D$59,VLOOKUP("Referenz",$C$143:$AF$167,N$4-$G$4+5,FALSE),VLOOKUP($C$11,$C$143:$AF$167,N$4-$G$4+5,FALSE))</f>
        <v>3662</v>
      </c>
      <c r="O11" s="39">
        <f>IF(O$4&lt;ControlPanel!$D$59,VLOOKUP("Referenz",$C$143:$AF$167,O$4-$G$4+5,FALSE),VLOOKUP($C$11,$C$143:$AF$167,O$4-$G$4+5,FALSE))</f>
        <v>3762</v>
      </c>
      <c r="P11" s="39">
        <f>IF(P$4&lt;ControlPanel!$D$59,VLOOKUP("Referenz",$C$143:$AF$167,P$4-$G$4+5,FALSE),VLOOKUP($C$11,$C$143:$AF$167,P$4-$G$4+5,FALSE))</f>
        <v>3862</v>
      </c>
      <c r="Q11" s="39">
        <f>IF(Q$4&lt;ControlPanel!$D$59,VLOOKUP("Referenz",$C$143:$AF$167,Q$4-$G$4+5,FALSE),VLOOKUP($C$11,$C$143:$AF$167,Q$4-$G$4+5,FALSE))</f>
        <v>3962</v>
      </c>
      <c r="R11" s="39">
        <f>IF(R$4&lt;ControlPanel!$D$59,VLOOKUP("Referenz",$C$143:$AF$167,R$4-$G$4+5,FALSE),VLOOKUP($C$11,$C$143:$AF$167,R$4-$G$4+5,FALSE))</f>
        <v>4259</v>
      </c>
      <c r="S11" s="39">
        <f>IF(S$4&lt;ControlPanel!$D$59,VLOOKUP("Referenz",$C$143:$AF$167,S$4-$G$4+5,FALSE),VLOOKUP($C$11,$C$143:$AF$167,S$4-$G$4+5,FALSE))</f>
        <v>4252</v>
      </c>
      <c r="T11" s="39">
        <f>IF(T$4&lt;ControlPanel!$D$59,VLOOKUP("Referenz",$C$143:$AF$167,T$4-$G$4+5,FALSE),VLOOKUP($C$11,$C$143:$AF$167,T$4-$G$4+5,FALSE))</f>
        <v>4258</v>
      </c>
      <c r="U11" s="39">
        <f>IF(U$4&lt;ControlPanel!$D$59,VLOOKUP("Referenz",$C$143:$AF$167,U$4-$G$4+5,FALSE),VLOOKUP($C$11,$C$143:$AF$167,U$4-$G$4+5,FALSE))</f>
        <v>4276</v>
      </c>
      <c r="V11" s="39">
        <f>IF(V$4&lt;ControlPanel!$D$59,VLOOKUP("Referenz",$C$143:$AF$167,V$4-$G$4+5,FALSE),VLOOKUP($C$11,$C$143:$AF$167,V$4-$G$4+5,FALSE))</f>
        <v>4292</v>
      </c>
      <c r="W11" s="39">
        <f>IF(W$4&lt;ControlPanel!$D$59,VLOOKUP("Referenz",$C$143:$AF$167,W$4-$G$4+5,FALSE),VLOOKUP($C$11,$C$143:$AF$167,W$4-$G$4+5,FALSE))</f>
        <v>4394</v>
      </c>
      <c r="X11" s="39">
        <f>IF(X$4&lt;ControlPanel!$D$59,VLOOKUP("Referenz",$C$143:$AF$167,X$4-$G$4+5,FALSE),VLOOKUP($C$11,$C$143:$AF$167,X$4-$G$4+5,FALSE))</f>
        <v>4455.2</v>
      </c>
      <c r="Y11" s="39">
        <f>IF(Y$4&lt;ControlPanel!$D$59,VLOOKUP("Referenz",$C$143:$AF$167,Y$4-$G$4+5,FALSE),VLOOKUP($C$11,$C$143:$AF$167,Y$4-$G$4+5,FALSE))</f>
        <v>4496</v>
      </c>
      <c r="Z11" s="39">
        <f>IF(Z$4&lt;ControlPanel!$D$59,VLOOKUP("Referenz",$C$143:$AF$167,Z$4-$G$4+5,FALSE),VLOOKUP($C$11,$C$143:$AF$167,Z$4-$G$4+5,FALSE))</f>
        <v>4525.1428571428569</v>
      </c>
      <c r="AA11" s="39">
        <f>IF(AA$4&lt;ControlPanel!$D$59,VLOOKUP("Referenz",$C$143:$AF$167,AA$4-$G$4+5,FALSE),VLOOKUP($C$11,$C$143:$AF$167,AA$4-$G$4+5,FALSE))</f>
        <v>4547</v>
      </c>
      <c r="AB11" s="39">
        <f>IF(AB$4&lt;ControlPanel!$D$59,VLOOKUP("Referenz",$C$143:$AF$167,AB$4-$G$4+5,FALSE),VLOOKUP($C$11,$C$143:$AF$167,AB$4-$G$4+5,FALSE))</f>
        <v>4564</v>
      </c>
      <c r="AC11" s="39">
        <f>IF(AC$4&lt;ControlPanel!$D$59,VLOOKUP("Referenz",$C$143:$AF$167,AC$4-$G$4+5,FALSE),VLOOKUP($C$11,$C$143:$AF$167,AC$4-$G$4+5,FALSE))</f>
        <v>4577.6000000000004</v>
      </c>
      <c r="AD11" s="39">
        <f>IF(AD$4&lt;ControlPanel!$D$59,VLOOKUP("Referenz",$C$143:$AF$167,AD$4-$G$4+5,FALSE),VLOOKUP($C$11,$C$143:$AF$167,AD$4-$G$4+5,FALSE))</f>
        <v>4588.727272727273</v>
      </c>
      <c r="AE11" s="39">
        <f>IF(AE$4&lt;ControlPanel!$D$59,VLOOKUP("Referenz",$C$143:$AF$167,AE$4-$G$4+5,FALSE),VLOOKUP($C$11,$C$143:$AF$167,AE$4-$G$4+5,FALSE))</f>
        <v>4598</v>
      </c>
      <c r="AF11" s="39">
        <f>IF(AF$4&lt;ControlPanel!$D$59,VLOOKUP("Referenz",$C$143:$AF$167,AF$4-$G$4+5,FALSE),VLOOKUP($C$11,$C$143:$AF$167,AF$4-$G$4+5,FALSE))</f>
        <v>4700</v>
      </c>
    </row>
    <row r="12" spans="1:32" ht="26.25" customHeight="1" thickBot="1">
      <c r="B12" s="171" t="s">
        <v>14</v>
      </c>
      <c r="C12" s="184" t="str">
        <f>ControlPanel!E36</f>
        <v>Referenz</v>
      </c>
      <c r="D12" s="40" t="str">
        <f>VLOOKUP($C$12,$C$169:$AF$193,2,FALSE)</f>
        <v>fh</v>
      </c>
      <c r="E12" s="656" t="str">
        <f>VLOOKUP($C$12,$C$169:$AF$193,3,FALSE)</f>
        <v>Anstieg auf 950h in 2035</v>
      </c>
      <c r="F12" s="40" t="str">
        <f>VLOOKUP($C$12,$C$169:$AF$193,4,FALSE)</f>
        <v>bis 2026 wie MFP Referenzszenario, danach lineare Anpassung auf 950h in 2035</v>
      </c>
      <c r="G12" s="39">
        <f>IF(G$4&lt;ControlPanel!$D$59,VLOOKUP("Referenz",$C$169:$AF$193,G$4-$G$4+5,FALSE),VLOOKUP($C$12,$C$169:$AF$193,G$4-$G$4+5,FALSE))</f>
        <v>0</v>
      </c>
      <c r="H12" s="39">
        <f>IF(H$4&lt;ControlPanel!$D$59,VLOOKUP("Referenz",$C$169:$AF$193,H$4-$G$4+5,FALSE),VLOOKUP($C$12,$C$169:$AF$193,H$4-$G$4+5,FALSE))</f>
        <v>0</v>
      </c>
      <c r="I12" s="39">
        <f>IF(I$4&lt;ControlPanel!$D$59,VLOOKUP("Referenz",$C$169:$AF$193,I$4-$G$4+5,FALSE),VLOOKUP($C$12,$C$169:$AF$193,I$4-$G$4+5,FALSE))</f>
        <v>0</v>
      </c>
      <c r="J12" s="39">
        <f>IF(J$4&lt;ControlPanel!$D$59,VLOOKUP("Referenz",$C$169:$AF$193,J$4-$G$4+5,FALSE),VLOOKUP($C$12,$C$169:$AF$193,J$4-$G$4+5,FALSE))</f>
        <v>0</v>
      </c>
      <c r="K12" s="39">
        <f>IF(K$4&lt;ControlPanel!$D$59,VLOOKUP("Referenz",$C$169:$AF$193,K$4-$G$4+5,FALSE),VLOOKUP($C$12,$C$169:$AF$193,K$4-$G$4+5,FALSE))</f>
        <v>0</v>
      </c>
      <c r="L12" s="39">
        <f>IF(L$4&lt;ControlPanel!$D$59,VLOOKUP("Referenz",$C$169:$AF$193,L$4-$G$4+5,FALSE),VLOOKUP($C$12,$C$169:$AF$193,L$4-$G$4+5,FALSE))</f>
        <v>960</v>
      </c>
      <c r="M12" s="39">
        <f>IF(M$4&lt;ControlPanel!$D$59,VLOOKUP("Referenz",$C$169:$AF$193,M$4-$G$4+5,FALSE),VLOOKUP($C$12,$C$169:$AF$193,M$4-$G$4+5,FALSE))</f>
        <v>960</v>
      </c>
      <c r="N12" s="39">
        <f>IF(N$4&lt;ControlPanel!$D$59,VLOOKUP("Referenz",$C$169:$AF$193,N$4-$G$4+5,FALSE),VLOOKUP($C$12,$C$169:$AF$193,N$4-$G$4+5,FALSE))</f>
        <v>960</v>
      </c>
      <c r="O12" s="39">
        <f>IF(O$4&lt;ControlPanel!$D$59,VLOOKUP("Referenz",$C$169:$AF$193,O$4-$G$4+5,FALSE),VLOOKUP($C$12,$C$169:$AF$193,O$4-$G$4+5,FALSE))</f>
        <v>965</v>
      </c>
      <c r="P12" s="39">
        <f>IF(P$4&lt;ControlPanel!$D$59,VLOOKUP("Referenz",$C$169:$AF$193,P$4-$G$4+5,FALSE),VLOOKUP($C$12,$C$169:$AF$193,P$4-$G$4+5,FALSE))</f>
        <v>965</v>
      </c>
      <c r="Q12" s="39">
        <f>IF(Q$4&lt;ControlPanel!$D$59,VLOOKUP("Referenz",$C$169:$AF$193,Q$4-$G$4+5,FALSE),VLOOKUP($C$12,$C$169:$AF$193,Q$4-$G$4+5,FALSE))</f>
        <v>965</v>
      </c>
      <c r="R12" s="39">
        <f>IF(R$4&lt;ControlPanel!$D$59,VLOOKUP("Referenz",$C$169:$AF$193,R$4-$G$4+5,FALSE),VLOOKUP($C$12,$C$169:$AF$193,R$4-$G$4+5,FALSE))</f>
        <v>965</v>
      </c>
      <c r="S12" s="39">
        <f>IF(S$4&lt;ControlPanel!$D$59,VLOOKUP("Referenz",$C$169:$AF$193,S$4-$G$4+5,FALSE),VLOOKUP($C$12,$C$169:$AF$193,S$4-$G$4+5,FALSE))</f>
        <v>886.06344148903997</v>
      </c>
      <c r="T12" s="39">
        <f>IF(T$4&lt;ControlPanel!$D$59,VLOOKUP("Referenz",$C$169:$AF$193,T$4-$G$4+5,FALSE),VLOOKUP($C$12,$C$169:$AF$193,T$4-$G$4+5,FALSE))</f>
        <v>885.98771711691347</v>
      </c>
      <c r="U12" s="39">
        <f>IF(U$4&lt;ControlPanel!$D$59,VLOOKUP("Referenz",$C$169:$AF$193,U$4-$G$4+5,FALSE),VLOOKUP($C$12,$C$169:$AF$193,U$4-$G$4+5,FALSE))</f>
        <v>900.97551335716719</v>
      </c>
      <c r="V12" s="39">
        <f>IF(V$4&lt;ControlPanel!$D$59,VLOOKUP("Referenz",$C$169:$AF$193,V$4-$G$4+5,FALSE),VLOOKUP($C$12,$C$169:$AF$193,V$4-$G$4+5,FALSE))</f>
        <v>914.5359764530657</v>
      </c>
      <c r="W12" s="39">
        <f>IF(W$4&lt;ControlPanel!$D$59,VLOOKUP("Referenz",$C$169:$AF$193,W$4-$G$4+5,FALSE),VLOOKUP($C$12,$C$169:$AF$193,W$4-$G$4+5,FALSE))</f>
        <v>913.49014666246626</v>
      </c>
      <c r="X12" s="39">
        <f>IF(X$4&lt;ControlPanel!$D$59,VLOOKUP("Referenz",$C$169:$AF$193,X$4-$G$4+5,FALSE),VLOOKUP($C$12,$C$169:$AF$193,X$4-$G$4+5,FALSE))</f>
        <v>918.82450356939012</v>
      </c>
      <c r="Y12" s="39">
        <f>IF(Y$4&lt;ControlPanel!$D$59,VLOOKUP("Referenz",$C$169:$AF$193,Y$4-$G$4+5,FALSE),VLOOKUP($C$12,$C$169:$AF$193,Y$4-$G$4+5,FALSE))</f>
        <v>924.15886047631398</v>
      </c>
      <c r="Z12" s="39">
        <f>IF(Z$4&lt;ControlPanel!$D$59,VLOOKUP("Referenz",$C$169:$AF$193,Z$4-$G$4+5,FALSE),VLOOKUP($C$12,$C$169:$AF$193,Z$4-$G$4+5,FALSE))</f>
        <v>929.49321738323783</v>
      </c>
      <c r="AA12" s="39">
        <f>IF(AA$4&lt;ControlPanel!$D$59,VLOOKUP("Referenz",$C$169:$AF$193,AA$4-$G$4+5,FALSE),VLOOKUP($C$12,$C$169:$AF$193,AA$4-$G$4+5,FALSE))</f>
        <v>934.82757429016169</v>
      </c>
      <c r="AB12" s="39">
        <f>IF(AB$4&lt;ControlPanel!$D$59,VLOOKUP("Referenz",$C$169:$AF$193,AB$4-$G$4+5,FALSE),VLOOKUP($C$12,$C$169:$AF$193,AB$4-$G$4+5,FALSE))</f>
        <v>940.16193119708555</v>
      </c>
      <c r="AC12" s="39">
        <f>IF(AC$4&lt;ControlPanel!$D$59,VLOOKUP("Referenz",$C$169:$AF$193,AC$4-$G$4+5,FALSE),VLOOKUP($C$12,$C$169:$AF$193,AC$4-$G$4+5,FALSE))</f>
        <v>945.49628810400941</v>
      </c>
      <c r="AD12" s="39">
        <f>IF(AD$4&lt;ControlPanel!$D$59,VLOOKUP("Referenz",$C$169:$AF$193,AD$4-$G$4+5,FALSE),VLOOKUP($C$12,$C$169:$AF$193,AD$4-$G$4+5,FALSE))</f>
        <v>950.83064501093327</v>
      </c>
      <c r="AE12" s="39">
        <f>IF(AE$4&lt;ControlPanel!$D$59,VLOOKUP("Referenz",$C$169:$AF$193,AE$4-$G$4+5,FALSE),VLOOKUP($C$12,$C$169:$AF$193,AE$4-$G$4+5,FALSE))</f>
        <v>956.16500191785713</v>
      </c>
      <c r="AF12" s="39">
        <f>IF(AF$4&lt;ControlPanel!$D$59,VLOOKUP("Referenz",$C$169:$AF$193,AF$4-$G$4+5,FALSE),VLOOKUP($C$12,$C$169:$AF$193,AF$4-$G$4+5,FALSE))</f>
        <v>950</v>
      </c>
    </row>
    <row r="13" spans="1:32" ht="63.75">
      <c r="B13" s="172" t="s">
        <v>25</v>
      </c>
      <c r="C13" s="321" t="s">
        <v>138</v>
      </c>
      <c r="D13" s="22" t="s">
        <v>845</v>
      </c>
      <c r="E13" s="658" t="s">
        <v>788</v>
      </c>
      <c r="F13" s="658" t="s">
        <v>1013</v>
      </c>
      <c r="G13" s="328"/>
      <c r="H13" s="328"/>
      <c r="I13" s="328"/>
      <c r="J13" s="328"/>
      <c r="K13" s="328"/>
      <c r="L13" s="328">
        <f t="shared" ref="L13:O13" si="0">M13</f>
        <v>3956</v>
      </c>
      <c r="M13" s="328">
        <f t="shared" si="0"/>
        <v>3956</v>
      </c>
      <c r="N13" s="328">
        <f t="shared" si="0"/>
        <v>3956</v>
      </c>
      <c r="O13" s="328">
        <f t="shared" si="0"/>
        <v>3956</v>
      </c>
      <c r="P13" s="328">
        <f>Q13</f>
        <v>3956</v>
      </c>
      <c r="Q13" s="328">
        <v>3956</v>
      </c>
      <c r="R13" s="328">
        <v>3950</v>
      </c>
      <c r="S13" s="328">
        <v>3764</v>
      </c>
      <c r="T13" s="328">
        <v>3767</v>
      </c>
      <c r="U13" s="328">
        <v>3769</v>
      </c>
      <c r="V13" s="328">
        <v>3772</v>
      </c>
      <c r="W13" s="328">
        <v>3774</v>
      </c>
      <c r="X13" s="328">
        <f t="shared" ref="X13:AF13" si="1">W13</f>
        <v>3774</v>
      </c>
      <c r="Y13" s="328">
        <f t="shared" si="1"/>
        <v>3774</v>
      </c>
      <c r="Z13" s="328">
        <f t="shared" si="1"/>
        <v>3774</v>
      </c>
      <c r="AA13" s="328">
        <f t="shared" si="1"/>
        <v>3774</v>
      </c>
      <c r="AB13" s="328">
        <f t="shared" si="1"/>
        <v>3774</v>
      </c>
      <c r="AC13" s="328">
        <f t="shared" si="1"/>
        <v>3774</v>
      </c>
      <c r="AD13" s="328">
        <f t="shared" si="1"/>
        <v>3774</v>
      </c>
      <c r="AE13" s="328">
        <f t="shared" si="1"/>
        <v>3774</v>
      </c>
      <c r="AF13" s="328">
        <f t="shared" si="1"/>
        <v>3774</v>
      </c>
    </row>
    <row r="14" spans="1:32" ht="15" customHeight="1">
      <c r="B14" s="64"/>
      <c r="C14" s="16"/>
      <c r="D14" s="1162"/>
      <c r="E14" s="174"/>
      <c r="F14" s="1199"/>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row>
    <row r="15" spans="1:32" ht="15" customHeight="1">
      <c r="B15" s="64"/>
      <c r="C15" s="16" t="s">
        <v>700</v>
      </c>
      <c r="D15" s="329" t="s">
        <v>845</v>
      </c>
      <c r="E15" s="16" t="s">
        <v>700</v>
      </c>
      <c r="F15" s="542" t="s">
        <v>1014</v>
      </c>
      <c r="G15" s="328"/>
      <c r="H15" s="328"/>
      <c r="I15" s="328"/>
      <c r="J15" s="328"/>
      <c r="K15" s="328"/>
      <c r="L15" s="328"/>
      <c r="M15" s="328"/>
      <c r="N15" s="328"/>
      <c r="O15" s="328"/>
      <c r="P15" s="328"/>
      <c r="Q15" s="328"/>
      <c r="R15" s="328"/>
      <c r="S15" s="328">
        <v>4012</v>
      </c>
      <c r="T15" s="328">
        <v>4015</v>
      </c>
      <c r="U15" s="328">
        <v>4018</v>
      </c>
      <c r="V15" s="328">
        <v>4021</v>
      </c>
      <c r="W15" s="328">
        <v>4023</v>
      </c>
      <c r="X15" s="328">
        <f t="shared" ref="X15:AF15" si="2">W15</f>
        <v>4023</v>
      </c>
      <c r="Y15" s="328">
        <f t="shared" si="2"/>
        <v>4023</v>
      </c>
      <c r="Z15" s="328">
        <f t="shared" si="2"/>
        <v>4023</v>
      </c>
      <c r="AA15" s="328">
        <f t="shared" si="2"/>
        <v>4023</v>
      </c>
      <c r="AB15" s="328">
        <f t="shared" si="2"/>
        <v>4023</v>
      </c>
      <c r="AC15" s="328">
        <f t="shared" si="2"/>
        <v>4023</v>
      </c>
      <c r="AD15" s="328">
        <f t="shared" si="2"/>
        <v>4023</v>
      </c>
      <c r="AE15" s="328">
        <f t="shared" si="2"/>
        <v>4023</v>
      </c>
      <c r="AF15" s="328">
        <f t="shared" si="2"/>
        <v>4023</v>
      </c>
    </row>
    <row r="16" spans="1:32" ht="15" customHeight="1">
      <c r="B16" s="64"/>
      <c r="C16" s="16" t="s">
        <v>701</v>
      </c>
      <c r="D16" s="329" t="s">
        <v>845</v>
      </c>
      <c r="E16" s="16" t="s">
        <v>701</v>
      </c>
      <c r="F16" s="542" t="s">
        <v>1015</v>
      </c>
      <c r="G16" s="328"/>
      <c r="H16" s="328"/>
      <c r="I16" s="328"/>
      <c r="J16" s="328"/>
      <c r="K16" s="328"/>
      <c r="L16" s="328"/>
      <c r="M16" s="328"/>
      <c r="N16" s="328"/>
      <c r="O16" s="328"/>
      <c r="P16" s="328"/>
      <c r="Q16" s="328"/>
      <c r="R16" s="328"/>
      <c r="S16" s="328">
        <v>3518</v>
      </c>
      <c r="T16" s="328">
        <v>3524</v>
      </c>
      <c r="U16" s="328">
        <v>3530</v>
      </c>
      <c r="V16" s="328">
        <v>3535</v>
      </c>
      <c r="W16" s="328">
        <v>3541</v>
      </c>
      <c r="X16" s="328">
        <f t="shared" ref="X16:AF16" si="3">W16</f>
        <v>3541</v>
      </c>
      <c r="Y16" s="328">
        <f t="shared" si="3"/>
        <v>3541</v>
      </c>
      <c r="Z16" s="328">
        <f t="shared" si="3"/>
        <v>3541</v>
      </c>
      <c r="AA16" s="328">
        <f t="shared" si="3"/>
        <v>3541</v>
      </c>
      <c r="AB16" s="328">
        <f t="shared" si="3"/>
        <v>3541</v>
      </c>
      <c r="AC16" s="328">
        <f t="shared" si="3"/>
        <v>3541</v>
      </c>
      <c r="AD16" s="328">
        <f t="shared" si="3"/>
        <v>3541</v>
      </c>
      <c r="AE16" s="328">
        <f t="shared" si="3"/>
        <v>3541</v>
      </c>
      <c r="AF16" s="328">
        <f t="shared" si="3"/>
        <v>3541</v>
      </c>
    </row>
    <row r="17" spans="2:32" s="470" customFormat="1" ht="15" customHeight="1">
      <c r="B17" s="471"/>
      <c r="C17" s="183"/>
      <c r="D17" s="168"/>
      <c r="E17" s="169"/>
      <c r="F17" s="659"/>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row>
    <row r="18" spans="2:32" s="470" customFormat="1" ht="15" customHeight="1">
      <c r="B18" s="471"/>
      <c r="C18" s="183"/>
      <c r="D18" s="168"/>
      <c r="E18" s="169"/>
      <c r="F18" s="659"/>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2" s="470" customFormat="1" ht="15" customHeight="1">
      <c r="B19" s="471"/>
      <c r="C19" s="183"/>
      <c r="D19" s="168"/>
      <c r="E19" s="169"/>
      <c r="F19" s="659"/>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2" s="470" customFormat="1" ht="15" customHeight="1">
      <c r="B20" s="471"/>
      <c r="C20" s="183"/>
      <c r="D20" s="168"/>
      <c r="E20" s="169"/>
      <c r="F20" s="659"/>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2" s="470" customFormat="1" ht="15" customHeight="1">
      <c r="B21" s="471"/>
      <c r="C21" s="183"/>
      <c r="D21" s="186"/>
      <c r="E21" s="169"/>
      <c r="F21" s="659"/>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2" s="470" customFormat="1" ht="15" customHeight="1">
      <c r="B22" s="471"/>
      <c r="C22" s="183"/>
      <c r="D22" s="186"/>
      <c r="E22" s="169"/>
      <c r="F22" s="659"/>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2" s="470" customFormat="1" ht="15" customHeight="1">
      <c r="B23" s="471"/>
      <c r="C23" s="183"/>
      <c r="D23" s="186"/>
      <c r="E23" s="169"/>
      <c r="F23" s="659"/>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2" s="470" customFormat="1" ht="15" customHeight="1">
      <c r="B24" s="471"/>
      <c r="C24" s="183"/>
      <c r="D24" s="186"/>
      <c r="E24" s="169"/>
      <c r="F24" s="659"/>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2" s="470" customFormat="1" ht="15" customHeight="1">
      <c r="B25" s="471"/>
      <c r="C25" s="183"/>
      <c r="D25" s="186"/>
      <c r="E25" s="169"/>
      <c r="F25" s="659"/>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2" s="470" customFormat="1" ht="15" customHeight="1">
      <c r="B26" s="471"/>
      <c r="C26" s="183"/>
      <c r="D26" s="186"/>
      <c r="E26" s="169"/>
      <c r="F26" s="659"/>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2" s="470" customFormat="1" ht="15" customHeight="1">
      <c r="B27" s="471"/>
      <c r="C27" s="183"/>
      <c r="D27" s="186"/>
      <c r="E27" s="169"/>
      <c r="F27" s="659"/>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2" s="470" customFormat="1" ht="15" customHeight="1">
      <c r="B28" s="471"/>
      <c r="C28" s="183"/>
      <c r="D28" s="186"/>
      <c r="E28" s="169"/>
      <c r="F28" s="659"/>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2" s="470" customFormat="1" ht="15" customHeight="1">
      <c r="B29" s="471"/>
      <c r="C29" s="183"/>
      <c r="D29" s="186"/>
      <c r="E29" s="169"/>
      <c r="F29" s="659"/>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2" s="470" customFormat="1" ht="15" customHeight="1">
      <c r="B30" s="471"/>
      <c r="C30" s="183"/>
      <c r="D30" s="186"/>
      <c r="E30" s="169"/>
      <c r="F30" s="659"/>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2" s="470" customFormat="1" ht="15" customHeight="1">
      <c r="B31" s="471"/>
      <c r="C31" s="183"/>
      <c r="D31" s="186"/>
      <c r="E31" s="169"/>
      <c r="F31" s="659"/>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2" s="470" customFormat="1" ht="15" customHeight="1">
      <c r="B32" s="471"/>
      <c r="C32" s="183"/>
      <c r="D32" s="186"/>
      <c r="E32" s="169"/>
      <c r="F32" s="659"/>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659"/>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659"/>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659"/>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659"/>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5"/>
      <c r="D37" s="188"/>
      <c r="E37" s="189"/>
      <c r="F37" s="660"/>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row>
    <row r="38" spans="2: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ht="63.75">
      <c r="B39" s="172" t="s">
        <v>27</v>
      </c>
      <c r="C39" s="321" t="s">
        <v>138</v>
      </c>
      <c r="D39" s="22" t="s">
        <v>845</v>
      </c>
      <c r="E39" s="658" t="s">
        <v>788</v>
      </c>
      <c r="F39" s="658" t="s">
        <v>1013</v>
      </c>
      <c r="G39" s="23"/>
      <c r="H39" s="23"/>
      <c r="I39" s="1014"/>
      <c r="J39" s="1014"/>
      <c r="K39" s="1014"/>
      <c r="L39" s="1014">
        <v>2901</v>
      </c>
      <c r="M39" s="1014">
        <v>2901</v>
      </c>
      <c r="N39" s="1014">
        <v>3944</v>
      </c>
      <c r="O39" s="1014">
        <v>3767</v>
      </c>
      <c r="P39" s="1014">
        <v>3685</v>
      </c>
      <c r="Q39" s="1014">
        <v>3372.3653395784545</v>
      </c>
      <c r="R39" s="1014">
        <v>4128.712871287129</v>
      </c>
      <c r="S39" s="1014">
        <v>3840</v>
      </c>
      <c r="T39" s="1014">
        <v>3692.0821114369501</v>
      </c>
      <c r="U39" s="1014">
        <v>3679.0123456790125</v>
      </c>
      <c r="V39" s="1014">
        <v>4430.7692307692314</v>
      </c>
      <c r="W39" s="1014">
        <v>4502.4154589371974</v>
      </c>
      <c r="X39" s="1014">
        <f t="shared" ref="X39:AF39" si="4">W39</f>
        <v>4502.4154589371974</v>
      </c>
      <c r="Y39" s="1014">
        <f t="shared" si="4"/>
        <v>4502.4154589371974</v>
      </c>
      <c r="Z39" s="1014">
        <f t="shared" si="4"/>
        <v>4502.4154589371974</v>
      </c>
      <c r="AA39" s="1014">
        <f t="shared" si="4"/>
        <v>4502.4154589371974</v>
      </c>
      <c r="AB39" s="1014">
        <f t="shared" si="4"/>
        <v>4502.4154589371974</v>
      </c>
      <c r="AC39" s="1014">
        <f t="shared" si="4"/>
        <v>4502.4154589371974</v>
      </c>
      <c r="AD39" s="1014">
        <f t="shared" si="4"/>
        <v>4502.4154589371974</v>
      </c>
      <c r="AE39" s="1014">
        <f t="shared" si="4"/>
        <v>4502.4154589371974</v>
      </c>
      <c r="AF39" s="1014">
        <f t="shared" si="4"/>
        <v>4502.4154589371974</v>
      </c>
    </row>
    <row r="40" spans="2:32" ht="15" customHeight="1">
      <c r="B40" s="64"/>
      <c r="C40" s="16"/>
      <c r="D40" s="329"/>
      <c r="E40" s="174"/>
      <c r="F40" s="1199"/>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row>
    <row r="41" spans="2:32" ht="15" customHeight="1">
      <c r="B41" s="64"/>
      <c r="C41" s="16" t="s">
        <v>700</v>
      </c>
      <c r="D41" s="329" t="s">
        <v>830</v>
      </c>
      <c r="E41" s="16" t="s">
        <v>700</v>
      </c>
      <c r="F41" s="542" t="s">
        <v>1014</v>
      </c>
      <c r="G41" s="328"/>
      <c r="H41" s="328"/>
      <c r="I41" s="328"/>
      <c r="J41" s="328"/>
      <c r="K41" s="328"/>
      <c r="L41" s="328"/>
      <c r="M41" s="328"/>
      <c r="N41" s="328"/>
      <c r="O41" s="328"/>
      <c r="P41" s="328"/>
      <c r="Q41" s="328"/>
      <c r="R41" s="328"/>
      <c r="S41" s="328">
        <v>3893.1297709923665</v>
      </c>
      <c r="T41" s="328">
        <v>3795.5801104972379</v>
      </c>
      <c r="U41" s="328">
        <v>3814.2857142857147</v>
      </c>
      <c r="V41" s="328">
        <v>4508.5324232081912</v>
      </c>
      <c r="W41" s="328">
        <v>4491.7355371900831</v>
      </c>
      <c r="X41" s="328">
        <f t="shared" ref="X41:AF41" si="5">W41</f>
        <v>4491.7355371900831</v>
      </c>
      <c r="Y41" s="328">
        <f t="shared" si="5"/>
        <v>4491.7355371900831</v>
      </c>
      <c r="Z41" s="328">
        <f t="shared" si="5"/>
        <v>4491.7355371900831</v>
      </c>
      <c r="AA41" s="328">
        <f t="shared" si="5"/>
        <v>4491.7355371900831</v>
      </c>
      <c r="AB41" s="328">
        <f t="shared" si="5"/>
        <v>4491.7355371900831</v>
      </c>
      <c r="AC41" s="328">
        <f t="shared" si="5"/>
        <v>4491.7355371900831</v>
      </c>
      <c r="AD41" s="328">
        <f t="shared" si="5"/>
        <v>4491.7355371900831</v>
      </c>
      <c r="AE41" s="328">
        <f t="shared" si="5"/>
        <v>4491.7355371900831</v>
      </c>
      <c r="AF41" s="328">
        <f t="shared" si="5"/>
        <v>4491.7355371900831</v>
      </c>
    </row>
    <row r="42" spans="2:32" ht="15" customHeight="1">
      <c r="B42" s="64"/>
      <c r="C42" s="16" t="s">
        <v>701</v>
      </c>
      <c r="D42" s="329" t="s">
        <v>830</v>
      </c>
      <c r="E42" s="16" t="s">
        <v>701</v>
      </c>
      <c r="F42" s="542" t="s">
        <v>1016</v>
      </c>
      <c r="G42" s="328"/>
      <c r="H42" s="328"/>
      <c r="I42" s="328"/>
      <c r="J42" s="328"/>
      <c r="K42" s="328"/>
      <c r="L42" s="328"/>
      <c r="M42" s="328"/>
      <c r="N42" s="328"/>
      <c r="O42" s="328"/>
      <c r="P42" s="328"/>
      <c r="Q42" s="328"/>
      <c r="R42" s="328"/>
      <c r="S42" s="328">
        <v>3778.7114845938372</v>
      </c>
      <c r="T42" s="328">
        <v>3606.9182389937109</v>
      </c>
      <c r="U42" s="328">
        <v>3540.2684563758389</v>
      </c>
      <c r="V42" s="328">
        <v>4355.2631578947376</v>
      </c>
      <c r="W42" s="328">
        <v>4570.5882352941171</v>
      </c>
      <c r="X42" s="328">
        <f t="shared" ref="X42:AF42" si="6">W42</f>
        <v>4570.5882352941171</v>
      </c>
      <c r="Y42" s="328">
        <f t="shared" si="6"/>
        <v>4570.5882352941171</v>
      </c>
      <c r="Z42" s="328">
        <f t="shared" si="6"/>
        <v>4570.5882352941171</v>
      </c>
      <c r="AA42" s="328">
        <f t="shared" si="6"/>
        <v>4570.5882352941171</v>
      </c>
      <c r="AB42" s="328">
        <f t="shared" si="6"/>
        <v>4570.5882352941171</v>
      </c>
      <c r="AC42" s="328">
        <f t="shared" si="6"/>
        <v>4570.5882352941171</v>
      </c>
      <c r="AD42" s="328">
        <f t="shared" si="6"/>
        <v>4570.5882352941171</v>
      </c>
      <c r="AE42" s="328">
        <f t="shared" si="6"/>
        <v>4570.5882352941171</v>
      </c>
      <c r="AF42" s="328">
        <f t="shared" si="6"/>
        <v>4570.5882352941171</v>
      </c>
    </row>
    <row r="43" spans="2:32" s="470" customFormat="1" ht="15" customHeight="1">
      <c r="B43" s="471"/>
      <c r="C43" s="183"/>
      <c r="D43" s="168"/>
      <c r="E43" s="169"/>
      <c r="F43" s="659"/>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row>
    <row r="44" spans="2:32" s="470" customFormat="1" ht="15" customHeight="1">
      <c r="B44" s="471"/>
      <c r="C44" s="183"/>
      <c r="D44" s="168"/>
      <c r="E44" s="169"/>
      <c r="F44" s="659"/>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2:32" s="470" customFormat="1" ht="15" customHeight="1">
      <c r="B45" s="471"/>
      <c r="C45" s="183"/>
      <c r="D45" s="168"/>
      <c r="E45" s="169"/>
      <c r="F45" s="659"/>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2:32" s="470" customFormat="1" ht="15" customHeight="1">
      <c r="B46" s="471"/>
      <c r="C46" s="183"/>
      <c r="D46" s="168"/>
      <c r="E46" s="169"/>
      <c r="F46" s="659"/>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2:32" s="470" customFormat="1" ht="15" customHeight="1">
      <c r="B47" s="471"/>
      <c r="C47" s="183"/>
      <c r="D47" s="186"/>
      <c r="E47" s="169"/>
      <c r="F47" s="659"/>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2:32" s="470" customFormat="1" ht="15" customHeight="1">
      <c r="B48" s="471"/>
      <c r="C48" s="183"/>
      <c r="D48" s="186"/>
      <c r="E48" s="169"/>
      <c r="F48" s="659"/>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69"/>
      <c r="F49" s="659"/>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69"/>
      <c r="F50" s="659"/>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69"/>
      <c r="F51" s="659"/>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69"/>
      <c r="F52" s="659"/>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69"/>
      <c r="F53" s="659"/>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69"/>
      <c r="F54" s="659"/>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69"/>
      <c r="F55" s="659"/>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69"/>
      <c r="F56" s="659"/>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69"/>
      <c r="F57" s="659"/>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69"/>
      <c r="F58" s="659"/>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69"/>
      <c r="F59" s="659"/>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69"/>
      <c r="F60" s="659"/>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69"/>
      <c r="F61" s="659"/>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69"/>
      <c r="F62" s="659"/>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5"/>
      <c r="D63" s="188"/>
      <c r="E63" s="189"/>
      <c r="F63" s="66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264"/>
      <c r="M64" s="1264"/>
      <c r="N64" s="1264"/>
      <c r="O64" s="1264"/>
      <c r="P64" s="1264"/>
      <c r="Q64" s="1264"/>
      <c r="R64" s="1264"/>
      <c r="S64" s="17"/>
      <c r="T64" s="17"/>
      <c r="U64" s="17"/>
      <c r="V64" s="17"/>
      <c r="W64" s="17"/>
      <c r="X64" s="17"/>
      <c r="Y64" s="17"/>
      <c r="Z64" s="17"/>
      <c r="AA64" s="17"/>
      <c r="AB64" s="17"/>
      <c r="AC64" s="17"/>
      <c r="AD64" s="17"/>
      <c r="AE64" s="17"/>
      <c r="AF64" s="17"/>
    </row>
    <row r="65" spans="2:32" ht="38.25">
      <c r="B65" s="172" t="s">
        <v>13</v>
      </c>
      <c r="C65" s="321" t="s">
        <v>138</v>
      </c>
      <c r="D65" s="22" t="s">
        <v>845</v>
      </c>
      <c r="E65" s="658" t="s">
        <v>788</v>
      </c>
      <c r="F65" s="658" t="s">
        <v>1017</v>
      </c>
      <c r="G65" s="1014"/>
      <c r="H65" s="1014"/>
      <c r="I65" s="1014"/>
      <c r="J65" s="1014"/>
      <c r="K65" s="1014"/>
      <c r="L65" s="1014">
        <f>'D-Bestand Strommenge'!$K$18</f>
        <v>5605</v>
      </c>
      <c r="M65" s="1014">
        <v>4000</v>
      </c>
      <c r="N65" s="1014">
        <v>4000</v>
      </c>
      <c r="O65" s="1014">
        <v>4000</v>
      </c>
      <c r="P65" s="1014">
        <v>4000</v>
      </c>
      <c r="Q65" s="1014">
        <v>4000</v>
      </c>
      <c r="R65" s="1014">
        <v>4000</v>
      </c>
      <c r="S65" s="1014">
        <v>4457</v>
      </c>
      <c r="T65" s="1014">
        <v>4224</v>
      </c>
      <c r="U65" s="1014">
        <v>4009</v>
      </c>
      <c r="V65" s="1014">
        <v>3804</v>
      </c>
      <c r="W65" s="1014">
        <v>3606</v>
      </c>
      <c r="X65" s="1014">
        <v>4000</v>
      </c>
      <c r="Y65" s="1014">
        <v>4000</v>
      </c>
      <c r="Z65" s="1014">
        <v>4000</v>
      </c>
      <c r="AA65" s="1014">
        <v>4000</v>
      </c>
      <c r="AB65" s="1014">
        <v>4000</v>
      </c>
      <c r="AC65" s="1014">
        <v>4000</v>
      </c>
      <c r="AD65" s="1014">
        <v>4000</v>
      </c>
      <c r="AE65" s="1014">
        <v>4000</v>
      </c>
      <c r="AF65" s="1014">
        <v>4000</v>
      </c>
    </row>
    <row r="66" spans="2:32">
      <c r="B66" s="64"/>
      <c r="C66" s="16"/>
      <c r="D66" s="329"/>
      <c r="E66" s="536"/>
      <c r="F66" s="1199"/>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row>
    <row r="67" spans="2:32" ht="41.25" customHeight="1">
      <c r="B67" s="64"/>
      <c r="C67" s="16" t="s">
        <v>700</v>
      </c>
      <c r="D67" s="329" t="s">
        <v>845</v>
      </c>
      <c r="E67" s="16" t="s">
        <v>700</v>
      </c>
      <c r="F67" s="542" t="s">
        <v>1014</v>
      </c>
      <c r="G67" s="328"/>
      <c r="H67" s="328"/>
      <c r="I67" s="328"/>
      <c r="J67" s="328"/>
      <c r="K67" s="328"/>
      <c r="L67" s="328"/>
      <c r="M67" s="328"/>
      <c r="N67" s="328"/>
      <c r="O67" s="328"/>
      <c r="P67" s="328"/>
      <c r="Q67" s="328"/>
      <c r="R67" s="328"/>
      <c r="S67" s="328">
        <v>4734</v>
      </c>
      <c r="T67" s="328">
        <v>4486</v>
      </c>
      <c r="U67" s="328">
        <v>4256</v>
      </c>
      <c r="V67" s="328">
        <v>4038</v>
      </c>
      <c r="W67" s="328">
        <v>3827</v>
      </c>
      <c r="X67" s="328">
        <f t="shared" ref="X67:AF67" si="7">W67</f>
        <v>3827</v>
      </c>
      <c r="Y67" s="328">
        <f t="shared" si="7"/>
        <v>3827</v>
      </c>
      <c r="Z67" s="328">
        <f t="shared" si="7"/>
        <v>3827</v>
      </c>
      <c r="AA67" s="328">
        <f t="shared" si="7"/>
        <v>3827</v>
      </c>
      <c r="AB67" s="328">
        <f t="shared" si="7"/>
        <v>3827</v>
      </c>
      <c r="AC67" s="328">
        <f t="shared" si="7"/>
        <v>3827</v>
      </c>
      <c r="AD67" s="328">
        <f t="shared" si="7"/>
        <v>3827</v>
      </c>
      <c r="AE67" s="328">
        <f t="shared" si="7"/>
        <v>3827</v>
      </c>
      <c r="AF67" s="328">
        <f t="shared" si="7"/>
        <v>3827</v>
      </c>
    </row>
    <row r="68" spans="2:32" ht="15" customHeight="1">
      <c r="B68" s="64"/>
      <c r="C68" s="16" t="s">
        <v>701</v>
      </c>
      <c r="D68" s="329" t="s">
        <v>845</v>
      </c>
      <c r="E68" s="16" t="s">
        <v>701</v>
      </c>
      <c r="F68" s="542" t="s">
        <v>1015</v>
      </c>
      <c r="G68" s="328"/>
      <c r="H68" s="328"/>
      <c r="I68" s="328"/>
      <c r="J68" s="328"/>
      <c r="K68" s="328"/>
      <c r="L68" s="328"/>
      <c r="M68" s="328"/>
      <c r="N68" s="328"/>
      <c r="O68" s="328"/>
      <c r="P68" s="328"/>
      <c r="Q68" s="328"/>
      <c r="R68" s="328"/>
      <c r="S68" s="328">
        <v>4180</v>
      </c>
      <c r="T68" s="328">
        <v>3963</v>
      </c>
      <c r="U68" s="328">
        <v>3762</v>
      </c>
      <c r="V68" s="328">
        <v>3571</v>
      </c>
      <c r="W68" s="328">
        <v>3386</v>
      </c>
      <c r="X68" s="328">
        <f t="shared" ref="X68:AF69" si="8">W68</f>
        <v>3386</v>
      </c>
      <c r="Y68" s="328">
        <f t="shared" si="8"/>
        <v>3386</v>
      </c>
      <c r="Z68" s="328">
        <f t="shared" si="8"/>
        <v>3386</v>
      </c>
      <c r="AA68" s="328">
        <f t="shared" si="8"/>
        <v>3386</v>
      </c>
      <c r="AB68" s="328">
        <f t="shared" si="8"/>
        <v>3386</v>
      </c>
      <c r="AC68" s="328">
        <f t="shared" si="8"/>
        <v>3386</v>
      </c>
      <c r="AD68" s="328">
        <f t="shared" si="8"/>
        <v>3386</v>
      </c>
      <c r="AE68" s="328">
        <f t="shared" si="8"/>
        <v>3386</v>
      </c>
      <c r="AF68" s="328">
        <f t="shared" si="8"/>
        <v>3386</v>
      </c>
    </row>
    <row r="69" spans="2:32" s="470" customFormat="1" ht="114.75">
      <c r="B69" s="471"/>
      <c r="C69" s="183" t="s">
        <v>959</v>
      </c>
      <c r="D69" s="1164" t="s">
        <v>256</v>
      </c>
      <c r="E69" s="1203" t="s">
        <v>897</v>
      </c>
      <c r="F69" s="1251" t="s">
        <v>923</v>
      </c>
      <c r="G69" s="187"/>
      <c r="H69" s="187"/>
      <c r="I69" s="187"/>
      <c r="J69" s="187"/>
      <c r="K69" s="187"/>
      <c r="L69" s="1273"/>
      <c r="M69" s="1273"/>
      <c r="N69" s="1273"/>
      <c r="O69" s="1273"/>
      <c r="P69" s="1273"/>
      <c r="Q69" s="1273"/>
      <c r="R69" s="1273"/>
      <c r="S69" s="187">
        <f>R65</f>
        <v>4000</v>
      </c>
      <c r="T69" s="187">
        <f>S69</f>
        <v>4000</v>
      </c>
      <c r="U69" s="187">
        <f t="shared" ref="U69:V69" si="9">T69</f>
        <v>4000</v>
      </c>
      <c r="V69" s="187">
        <f t="shared" si="9"/>
        <v>4000</v>
      </c>
      <c r="W69" s="187">
        <v>5700</v>
      </c>
      <c r="X69" s="187">
        <f t="shared" si="8"/>
        <v>5700</v>
      </c>
      <c r="Y69" s="187">
        <f t="shared" si="8"/>
        <v>5700</v>
      </c>
      <c r="Z69" s="187">
        <f t="shared" si="8"/>
        <v>5700</v>
      </c>
      <c r="AA69" s="187">
        <f t="shared" si="8"/>
        <v>5700</v>
      </c>
      <c r="AB69" s="187">
        <v>3500</v>
      </c>
      <c r="AC69" s="187">
        <f t="shared" si="8"/>
        <v>3500</v>
      </c>
      <c r="AD69" s="187">
        <f t="shared" si="8"/>
        <v>3500</v>
      </c>
      <c r="AE69" s="187">
        <f t="shared" si="8"/>
        <v>3500</v>
      </c>
      <c r="AF69" s="187">
        <f t="shared" si="8"/>
        <v>3500</v>
      </c>
    </row>
    <row r="70" spans="2:32" s="470" customFormat="1" ht="15" customHeight="1">
      <c r="B70" s="471"/>
      <c r="C70" s="183" t="s">
        <v>908</v>
      </c>
      <c r="D70" s="168" t="s">
        <v>257</v>
      </c>
      <c r="E70" s="169" t="s">
        <v>924</v>
      </c>
      <c r="F70" s="659" t="s">
        <v>916</v>
      </c>
      <c r="G70" s="187"/>
      <c r="H70" s="187"/>
      <c r="I70" s="187"/>
      <c r="J70" s="187"/>
      <c r="K70" s="187"/>
      <c r="L70" s="187"/>
      <c r="M70" s="187"/>
      <c r="N70" s="187"/>
      <c r="O70" s="187"/>
      <c r="P70" s="187"/>
      <c r="Q70" s="187"/>
      <c r="R70" s="187"/>
      <c r="S70" s="187">
        <f>600/750*S65+150/750*8760*0.15</f>
        <v>3828.4000000000005</v>
      </c>
      <c r="T70" s="187">
        <f t="shared" ref="T70:AF70" si="10">600/750*T65+150/750*8760*0.15</f>
        <v>3642.0000000000005</v>
      </c>
      <c r="U70" s="187">
        <f t="shared" si="10"/>
        <v>3470.0000000000005</v>
      </c>
      <c r="V70" s="187">
        <f t="shared" si="10"/>
        <v>3306.0000000000005</v>
      </c>
      <c r="W70" s="187">
        <f t="shared" si="10"/>
        <v>3147.6000000000004</v>
      </c>
      <c r="X70" s="187">
        <f t="shared" si="10"/>
        <v>3462.8</v>
      </c>
      <c r="Y70" s="187">
        <f t="shared" si="10"/>
        <v>3462.8</v>
      </c>
      <c r="Z70" s="187">
        <f t="shared" si="10"/>
        <v>3462.8</v>
      </c>
      <c r="AA70" s="187">
        <f t="shared" si="10"/>
        <v>3462.8</v>
      </c>
      <c r="AB70" s="187">
        <f t="shared" si="10"/>
        <v>3462.8</v>
      </c>
      <c r="AC70" s="187">
        <f t="shared" si="10"/>
        <v>3462.8</v>
      </c>
      <c r="AD70" s="187">
        <f t="shared" si="10"/>
        <v>3462.8</v>
      </c>
      <c r="AE70" s="187">
        <f t="shared" si="10"/>
        <v>3462.8</v>
      </c>
      <c r="AF70" s="187">
        <f t="shared" si="10"/>
        <v>3462.8</v>
      </c>
    </row>
    <row r="71" spans="2:32" s="470" customFormat="1" ht="15" customHeight="1">
      <c r="B71" s="471"/>
      <c r="C71" s="183"/>
      <c r="D71" s="168"/>
      <c r="E71" s="169"/>
      <c r="F71" s="659"/>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s="470" customFormat="1" ht="15" customHeight="1">
      <c r="B72" s="471"/>
      <c r="C72" s="183"/>
      <c r="D72" s="168"/>
      <c r="E72" s="169"/>
      <c r="F72" s="659"/>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s="470" customFormat="1" ht="15" customHeight="1">
      <c r="B73" s="471"/>
      <c r="C73" s="183"/>
      <c r="D73" s="186"/>
      <c r="E73" s="169"/>
      <c r="F73" s="659"/>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s="470" customFormat="1" ht="15" customHeight="1">
      <c r="B74" s="471"/>
      <c r="C74" s="183"/>
      <c r="D74" s="186"/>
      <c r="E74" s="169"/>
      <c r="F74" s="659"/>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s="470" customFormat="1" ht="15" customHeight="1">
      <c r="B75" s="471"/>
      <c r="C75" s="183"/>
      <c r="D75" s="186"/>
      <c r="E75" s="169"/>
      <c r="F75" s="659"/>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2:32" s="470" customFormat="1" ht="15" customHeight="1">
      <c r="B76" s="471"/>
      <c r="C76" s="183"/>
      <c r="D76" s="186"/>
      <c r="E76" s="169"/>
      <c r="F76" s="659"/>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2:32" s="470" customFormat="1" ht="15" customHeight="1">
      <c r="B77" s="471"/>
      <c r="C77" s="183"/>
      <c r="D77" s="186"/>
      <c r="E77" s="169"/>
      <c r="F77" s="659"/>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2:32" s="470" customFormat="1" ht="15" customHeight="1">
      <c r="B78" s="471"/>
      <c r="C78" s="183"/>
      <c r="D78" s="186"/>
      <c r="E78" s="169"/>
      <c r="F78" s="659"/>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2:32" s="470" customFormat="1" ht="15" customHeight="1">
      <c r="B79" s="471"/>
      <c r="C79" s="183"/>
      <c r="D79" s="186"/>
      <c r="E79" s="169"/>
      <c r="F79" s="659"/>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2:32" s="470" customFormat="1" ht="15" customHeight="1">
      <c r="B80" s="471"/>
      <c r="C80" s="183"/>
      <c r="D80" s="186"/>
      <c r="E80" s="169"/>
      <c r="F80" s="659"/>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1:32" s="470" customFormat="1" ht="15" customHeight="1">
      <c r="B81" s="471"/>
      <c r="C81" s="183"/>
      <c r="D81" s="186"/>
      <c r="E81" s="169"/>
      <c r="F81" s="659"/>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1:32" s="470" customFormat="1" ht="15" customHeight="1">
      <c r="B82" s="471"/>
      <c r="C82" s="183"/>
      <c r="D82" s="186"/>
      <c r="E82" s="169"/>
      <c r="F82" s="659"/>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1:32" s="470" customFormat="1" ht="15" customHeight="1">
      <c r="B83" s="471"/>
      <c r="C83" s="183"/>
      <c r="D83" s="186"/>
      <c r="E83" s="169"/>
      <c r="F83" s="659"/>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1:32" s="470" customFormat="1" ht="15" customHeight="1">
      <c r="B84" s="471"/>
      <c r="C84" s="183"/>
      <c r="D84" s="186"/>
      <c r="E84" s="169"/>
      <c r="F84" s="659"/>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1:32" s="470" customFormat="1" ht="15" customHeight="1">
      <c r="B85" s="471"/>
      <c r="C85" s="183"/>
      <c r="D85" s="186"/>
      <c r="E85" s="169"/>
      <c r="F85" s="659"/>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1:32" s="470" customFormat="1" ht="15" customHeight="1">
      <c r="B86" s="471"/>
      <c r="C86" s="183"/>
      <c r="D86" s="186"/>
      <c r="E86" s="169"/>
      <c r="F86" s="659"/>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1:32" s="470" customFormat="1" ht="15" customHeight="1">
      <c r="B87" s="471"/>
      <c r="C87" s="183"/>
      <c r="D87" s="186"/>
      <c r="E87" s="169"/>
      <c r="F87" s="659"/>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1:32" s="470" customFormat="1" ht="15" customHeight="1">
      <c r="B88" s="471"/>
      <c r="C88" s="183"/>
      <c r="D88" s="186"/>
      <c r="E88" s="169"/>
      <c r="F88" s="659"/>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1:32" s="470" customFormat="1" ht="15" customHeight="1">
      <c r="B89" s="472"/>
      <c r="C89" s="185"/>
      <c r="D89" s="188"/>
      <c r="E89" s="189"/>
      <c r="F89" s="66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1:32" ht="15" customHeight="1">
      <c r="A90" s="470"/>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1:32" ht="63.75">
      <c r="B91" s="172" t="s">
        <v>12</v>
      </c>
      <c r="C91" s="321" t="s">
        <v>138</v>
      </c>
      <c r="D91" s="22" t="s">
        <v>845</v>
      </c>
      <c r="E91" s="658" t="s">
        <v>788</v>
      </c>
      <c r="F91" s="658" t="s">
        <v>1013</v>
      </c>
      <c r="G91" s="1014"/>
      <c r="H91" s="1014"/>
      <c r="I91" s="1014"/>
      <c r="J91" s="1014"/>
      <c r="K91" s="1014"/>
      <c r="L91" s="1014">
        <v>4341</v>
      </c>
      <c r="M91" s="1014">
        <v>4341</v>
      </c>
      <c r="N91" s="1014">
        <v>6304</v>
      </c>
      <c r="O91" s="1014">
        <v>6304</v>
      </c>
      <c r="P91" s="1014">
        <v>6406</v>
      </c>
      <c r="Q91" s="1014">
        <v>5457</v>
      </c>
      <c r="R91" s="1014">
        <v>5797</v>
      </c>
      <c r="S91" s="1014">
        <v>4532</v>
      </c>
      <c r="T91" s="1014">
        <v>4532</v>
      </c>
      <c r="U91" s="1014">
        <v>4532</v>
      </c>
      <c r="V91" s="1014">
        <v>4532</v>
      </c>
      <c r="W91" s="1014">
        <v>4532</v>
      </c>
      <c r="X91" s="1014">
        <f t="shared" ref="X91:AF91" si="11">W91</f>
        <v>4532</v>
      </c>
      <c r="Y91" s="1014">
        <f t="shared" si="11"/>
        <v>4532</v>
      </c>
      <c r="Z91" s="1014">
        <f t="shared" si="11"/>
        <v>4532</v>
      </c>
      <c r="AA91" s="1014">
        <f t="shared" si="11"/>
        <v>4532</v>
      </c>
      <c r="AB91" s="1014">
        <f t="shared" si="11"/>
        <v>4532</v>
      </c>
      <c r="AC91" s="1014">
        <f t="shared" si="11"/>
        <v>4532</v>
      </c>
      <c r="AD91" s="1014">
        <f t="shared" si="11"/>
        <v>4532</v>
      </c>
      <c r="AE91" s="1014">
        <f t="shared" si="11"/>
        <v>4532</v>
      </c>
      <c r="AF91" s="1014">
        <f t="shared" si="11"/>
        <v>4532</v>
      </c>
    </row>
    <row r="92" spans="1:32" ht="15" customHeight="1">
      <c r="B92" s="64"/>
      <c r="C92" s="16"/>
      <c r="D92" s="329"/>
      <c r="E92" s="536"/>
      <c r="F92" s="1199"/>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row>
    <row r="93" spans="1:32" ht="15" customHeight="1">
      <c r="B93" s="64"/>
      <c r="C93" s="16" t="s">
        <v>700</v>
      </c>
      <c r="D93" s="329" t="s">
        <v>845</v>
      </c>
      <c r="E93" s="16" t="s">
        <v>700</v>
      </c>
      <c r="F93" s="542" t="s">
        <v>1014</v>
      </c>
      <c r="G93" s="328"/>
      <c r="H93" s="328"/>
      <c r="I93" s="328"/>
      <c r="J93" s="328"/>
      <c r="K93" s="328"/>
      <c r="L93" s="328"/>
      <c r="M93" s="328"/>
      <c r="N93" s="328"/>
      <c r="O93" s="328"/>
      <c r="P93" s="328"/>
      <c r="Q93" s="328"/>
      <c r="R93" s="328"/>
      <c r="S93" s="328">
        <v>5114</v>
      </c>
      <c r="T93" s="328">
        <v>5114</v>
      </c>
      <c r="U93" s="328">
        <v>5114</v>
      </c>
      <c r="V93" s="328">
        <v>5114</v>
      </c>
      <c r="W93" s="328">
        <v>5114</v>
      </c>
      <c r="X93" s="328">
        <f t="shared" ref="X93:AF93" si="12">W93</f>
        <v>5114</v>
      </c>
      <c r="Y93" s="328">
        <f t="shared" si="12"/>
        <v>5114</v>
      </c>
      <c r="Z93" s="328">
        <f t="shared" si="12"/>
        <v>5114</v>
      </c>
      <c r="AA93" s="328">
        <f t="shared" si="12"/>
        <v>5114</v>
      </c>
      <c r="AB93" s="328">
        <f t="shared" si="12"/>
        <v>5114</v>
      </c>
      <c r="AC93" s="328">
        <f t="shared" si="12"/>
        <v>5114</v>
      </c>
      <c r="AD93" s="328">
        <f t="shared" si="12"/>
        <v>5114</v>
      </c>
      <c r="AE93" s="328">
        <f t="shared" si="12"/>
        <v>5114</v>
      </c>
      <c r="AF93" s="328">
        <f t="shared" si="12"/>
        <v>5114</v>
      </c>
    </row>
    <row r="94" spans="1:32" ht="15" customHeight="1">
      <c r="B94" s="64"/>
      <c r="C94" s="16" t="s">
        <v>701</v>
      </c>
      <c r="D94" s="329" t="s">
        <v>845</v>
      </c>
      <c r="E94" s="16" t="s">
        <v>701</v>
      </c>
      <c r="F94" s="542" t="s">
        <v>1018</v>
      </c>
      <c r="G94" s="328"/>
      <c r="H94" s="328"/>
      <c r="I94" s="328"/>
      <c r="J94" s="328"/>
      <c r="K94" s="328"/>
      <c r="L94" s="328"/>
      <c r="M94" s="328"/>
      <c r="N94" s="328"/>
      <c r="O94" s="328"/>
      <c r="P94" s="328"/>
      <c r="Q94" s="328"/>
      <c r="R94" s="328"/>
      <c r="S94" s="328">
        <v>3951</v>
      </c>
      <c r="T94" s="328">
        <v>3951</v>
      </c>
      <c r="U94" s="328">
        <v>3951</v>
      </c>
      <c r="V94" s="328">
        <v>3951</v>
      </c>
      <c r="W94" s="328">
        <v>3951</v>
      </c>
      <c r="X94" s="328">
        <f t="shared" ref="X94:AF94" si="13">W94</f>
        <v>3951</v>
      </c>
      <c r="Y94" s="328">
        <f t="shared" si="13"/>
        <v>3951</v>
      </c>
      <c r="Z94" s="328">
        <f t="shared" si="13"/>
        <v>3951</v>
      </c>
      <c r="AA94" s="328">
        <f t="shared" si="13"/>
        <v>3951</v>
      </c>
      <c r="AB94" s="328">
        <f t="shared" si="13"/>
        <v>3951</v>
      </c>
      <c r="AC94" s="328">
        <f t="shared" si="13"/>
        <v>3951</v>
      </c>
      <c r="AD94" s="328">
        <f t="shared" si="13"/>
        <v>3951</v>
      </c>
      <c r="AE94" s="328">
        <f t="shared" si="13"/>
        <v>3951</v>
      </c>
      <c r="AF94" s="328">
        <f t="shared" si="13"/>
        <v>3951</v>
      </c>
    </row>
    <row r="95" spans="1:32" s="470" customFormat="1" ht="15" customHeight="1">
      <c r="B95" s="471"/>
      <c r="C95" s="183"/>
      <c r="D95" s="168"/>
      <c r="E95" s="169"/>
      <c r="F95" s="659"/>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row>
    <row r="96" spans="1:32" s="470" customFormat="1" ht="15" customHeight="1">
      <c r="B96" s="471"/>
      <c r="C96" s="183"/>
      <c r="D96" s="168"/>
      <c r="E96" s="169"/>
      <c r="F96" s="659"/>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83"/>
      <c r="D97" s="168"/>
      <c r="E97" s="169"/>
      <c r="F97" s="659"/>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69"/>
      <c r="F98" s="659"/>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83"/>
      <c r="D99" s="186"/>
      <c r="E99" s="169"/>
      <c r="F99" s="659"/>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69"/>
      <c r="F100" s="659"/>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69"/>
      <c r="F101" s="659"/>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86"/>
      <c r="E102" s="169"/>
      <c r="F102" s="659"/>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69"/>
      <c r="F103" s="659"/>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69"/>
      <c r="F104" s="659"/>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69"/>
      <c r="F105" s="659"/>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69"/>
      <c r="F106" s="659"/>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69"/>
      <c r="F107" s="659"/>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69"/>
      <c r="F108" s="659"/>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69"/>
      <c r="F109" s="659"/>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69"/>
      <c r="F110" s="659"/>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69"/>
      <c r="F111" s="659"/>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69"/>
      <c r="F112" s="659"/>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3" s="470" customFormat="1" ht="15" customHeight="1">
      <c r="B113" s="471"/>
      <c r="C113" s="183"/>
      <c r="D113" s="186"/>
      <c r="E113" s="169"/>
      <c r="F113" s="659"/>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3" s="470" customFormat="1" ht="15" customHeight="1">
      <c r="B114" s="471"/>
      <c r="C114" s="183"/>
      <c r="D114" s="186"/>
      <c r="E114" s="169"/>
      <c r="F114" s="659"/>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3" s="470" customFormat="1" ht="15" customHeight="1">
      <c r="B115" s="472"/>
      <c r="C115" s="185"/>
      <c r="D115" s="188"/>
      <c r="E115" s="189"/>
      <c r="F115" s="660"/>
      <c r="G115" s="187"/>
      <c r="H115" s="187"/>
      <c r="I115" s="187"/>
      <c r="J115" s="187"/>
      <c r="K115" s="187"/>
      <c r="L115" s="187"/>
      <c r="M115" s="187"/>
      <c r="N115" s="187"/>
      <c r="O115" s="187"/>
      <c r="P115" s="187"/>
      <c r="Q115" s="187"/>
      <c r="R115" s="190"/>
      <c r="S115" s="187"/>
      <c r="T115" s="187"/>
      <c r="U115" s="187"/>
      <c r="V115" s="187"/>
      <c r="W115" s="187"/>
      <c r="X115" s="187"/>
      <c r="Y115" s="187"/>
      <c r="Z115" s="187"/>
      <c r="AA115" s="187"/>
      <c r="AB115" s="187"/>
      <c r="AC115" s="187"/>
      <c r="AD115" s="187"/>
      <c r="AE115" s="187"/>
      <c r="AF115" s="187"/>
    </row>
    <row r="116" spans="1:33" ht="15" customHeight="1">
      <c r="A116" s="470"/>
      <c r="C116" s="18"/>
      <c r="D116" s="18"/>
      <c r="E116" s="18"/>
      <c r="F116" s="18"/>
      <c r="G116" s="17"/>
      <c r="H116" s="17"/>
      <c r="I116" s="17"/>
      <c r="J116" s="17"/>
      <c r="K116" s="17"/>
      <c r="L116" s="989"/>
      <c r="M116" s="989"/>
      <c r="N116" s="989"/>
      <c r="O116" s="989"/>
      <c r="P116" s="989"/>
      <c r="Q116" s="989"/>
      <c r="R116" s="210"/>
      <c r="S116" s="17"/>
      <c r="T116" s="17"/>
      <c r="U116" s="17"/>
      <c r="V116" s="17"/>
      <c r="W116" s="17"/>
      <c r="X116" s="17"/>
      <c r="Y116" s="17"/>
      <c r="Z116" s="17"/>
      <c r="AA116" s="17"/>
      <c r="AB116" s="17"/>
      <c r="AC116" s="17"/>
      <c r="AD116" s="17"/>
      <c r="AE116" s="17"/>
      <c r="AF116" s="17"/>
    </row>
    <row r="117" spans="1:33" ht="76.5">
      <c r="B117" s="172" t="s">
        <v>24</v>
      </c>
      <c r="C117" s="321" t="s">
        <v>138</v>
      </c>
      <c r="D117" s="1168" t="s">
        <v>845</v>
      </c>
      <c r="E117" s="1171" t="s">
        <v>836</v>
      </c>
      <c r="F117" s="658" t="s">
        <v>1019</v>
      </c>
      <c r="G117" s="23"/>
      <c r="H117" s="23"/>
      <c r="I117" s="23"/>
      <c r="J117" s="23"/>
      <c r="K117" s="23"/>
      <c r="L117" s="1270">
        <v>2258.3528764765942</v>
      </c>
      <c r="M117" s="1270">
        <v>2316.6989503493969</v>
      </c>
      <c r="N117" s="1270">
        <v>2375.0450242222141</v>
      </c>
      <c r="O117" s="1270">
        <v>2433.3910980950168</v>
      </c>
      <c r="P117" s="1270">
        <v>2491.737171967834</v>
      </c>
      <c r="Q117" s="1270">
        <v>2491.737171967834</v>
      </c>
      <c r="R117" s="1270">
        <v>2491.737171967834</v>
      </c>
      <c r="S117" s="23">
        <v>2187</v>
      </c>
      <c r="T117" s="23">
        <v>2232</v>
      </c>
      <c r="U117" s="23">
        <v>2274</v>
      </c>
      <c r="V117" s="1014">
        <v>2307</v>
      </c>
      <c r="W117" s="1014">
        <v>2343</v>
      </c>
      <c r="X117" s="1014">
        <f t="shared" ref="X117:AD117" si="14">W117+(($AF$117-W117)/(Y4-$T$4))</f>
        <v>2394.4</v>
      </c>
      <c r="Y117" s="1014">
        <f t="shared" si="14"/>
        <v>2428.666666666667</v>
      </c>
      <c r="Z117" s="1014">
        <f t="shared" si="14"/>
        <v>2453.1428571428573</v>
      </c>
      <c r="AA117" s="1014">
        <f t="shared" si="14"/>
        <v>2471.5</v>
      </c>
      <c r="AB117" s="1014">
        <f t="shared" si="14"/>
        <v>2485.7777777777778</v>
      </c>
      <c r="AC117" s="1014">
        <f>AB117+(($AF$117-AB117)/(AD4-$T$4))</f>
        <v>2497.1999999999998</v>
      </c>
      <c r="AD117" s="1014">
        <f t="shared" si="14"/>
        <v>2506.5454545454545</v>
      </c>
      <c r="AE117" s="1014">
        <f>AD117+(($AF$117-AD117)/(AF4-$T$4))</f>
        <v>2514.3333333333335</v>
      </c>
      <c r="AF117" s="1014">
        <v>2600</v>
      </c>
    </row>
    <row r="118" spans="1:33" ht="15" customHeight="1">
      <c r="B118" s="64"/>
      <c r="C118" s="16"/>
      <c r="D118" s="1162"/>
      <c r="E118" s="174"/>
      <c r="F118" s="1199"/>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row>
    <row r="119" spans="1:33" ht="15" customHeight="1">
      <c r="B119" s="64"/>
      <c r="C119" s="16" t="s">
        <v>700</v>
      </c>
      <c r="D119" s="1162" t="s">
        <v>845</v>
      </c>
      <c r="E119" s="16" t="s">
        <v>700</v>
      </c>
      <c r="F119" s="542" t="s">
        <v>1020</v>
      </c>
      <c r="G119" s="328"/>
      <c r="H119" s="328"/>
      <c r="I119" s="328"/>
      <c r="J119" s="328"/>
      <c r="K119" s="328"/>
      <c r="L119" s="328"/>
      <c r="M119" s="328"/>
      <c r="N119" s="328"/>
      <c r="O119" s="328"/>
      <c r="P119" s="328"/>
      <c r="Q119" s="328"/>
      <c r="R119" s="328"/>
      <c r="S119" s="328">
        <v>2187</v>
      </c>
      <c r="T119" s="328">
        <v>2232</v>
      </c>
      <c r="U119" s="328">
        <v>2274</v>
      </c>
      <c r="V119" s="328">
        <v>2307</v>
      </c>
      <c r="W119" s="328">
        <v>2343</v>
      </c>
      <c r="X119" s="328">
        <f t="shared" ref="X119:AE119" si="15">W119+($AF119-$T119)/($AF$4-$T$4)</f>
        <v>2373.6666666666665</v>
      </c>
      <c r="Y119" s="328">
        <f t="shared" si="15"/>
        <v>2404.333333333333</v>
      </c>
      <c r="Z119" s="328">
        <f t="shared" si="15"/>
        <v>2434.9999999999995</v>
      </c>
      <c r="AA119" s="328">
        <f t="shared" si="15"/>
        <v>2465.6666666666661</v>
      </c>
      <c r="AB119" s="328">
        <f t="shared" si="15"/>
        <v>2496.3333333333326</v>
      </c>
      <c r="AC119" s="328">
        <f t="shared" si="15"/>
        <v>2526.9999999999991</v>
      </c>
      <c r="AD119" s="328">
        <f t="shared" si="15"/>
        <v>2557.6666666666656</v>
      </c>
      <c r="AE119" s="328">
        <f t="shared" si="15"/>
        <v>2588.3333333333321</v>
      </c>
      <c r="AF119" s="328">
        <f t="shared" ref="AF119" si="16">AF117</f>
        <v>2600</v>
      </c>
    </row>
    <row r="120" spans="1:33" ht="15" customHeight="1">
      <c r="B120" s="64"/>
      <c r="C120" s="16" t="s">
        <v>701</v>
      </c>
      <c r="D120" s="1162" t="s">
        <v>845</v>
      </c>
      <c r="E120" s="16" t="s">
        <v>701</v>
      </c>
      <c r="F120" s="542" t="s">
        <v>1021</v>
      </c>
      <c r="G120" s="328"/>
      <c r="H120" s="328"/>
      <c r="I120" s="328"/>
      <c r="J120" s="328"/>
      <c r="K120" s="328"/>
      <c r="L120" s="328"/>
      <c r="M120" s="328"/>
      <c r="N120" s="328"/>
      <c r="O120" s="328"/>
      <c r="P120" s="328"/>
      <c r="Q120" s="328"/>
      <c r="R120" s="328"/>
      <c r="S120" s="328">
        <v>1580</v>
      </c>
      <c r="T120" s="328">
        <v>1608</v>
      </c>
      <c r="U120" s="328">
        <v>1634</v>
      </c>
      <c r="V120" s="328">
        <v>1656</v>
      </c>
      <c r="W120" s="328">
        <v>1681</v>
      </c>
      <c r="X120" s="328">
        <f t="shared" ref="X120:AE121" si="17">W120+($AF120-$T120)/($AF$4-$T$4)</f>
        <v>1763.6666666666667</v>
      </c>
      <c r="Y120" s="328">
        <f t="shared" si="17"/>
        <v>1846.3333333333335</v>
      </c>
      <c r="Z120" s="328">
        <f t="shared" si="17"/>
        <v>1929.0000000000002</v>
      </c>
      <c r="AA120" s="328">
        <f t="shared" si="17"/>
        <v>2011.666666666667</v>
      </c>
      <c r="AB120" s="328">
        <f t="shared" si="17"/>
        <v>2094.3333333333335</v>
      </c>
      <c r="AC120" s="328">
        <f t="shared" si="17"/>
        <v>2177</v>
      </c>
      <c r="AD120" s="328">
        <f t="shared" si="17"/>
        <v>2259.6666666666665</v>
      </c>
      <c r="AE120" s="328">
        <f t="shared" si="17"/>
        <v>2342.333333333333</v>
      </c>
      <c r="AF120" s="328">
        <f t="shared" ref="AF120" si="18">AF117</f>
        <v>2600</v>
      </c>
    </row>
    <row r="121" spans="1:33" s="470" customFormat="1" ht="15" customHeight="1">
      <c r="A121" s="9"/>
      <c r="B121" s="64"/>
      <c r="C121" s="16" t="s">
        <v>788</v>
      </c>
      <c r="D121" s="1162" t="s">
        <v>845</v>
      </c>
      <c r="E121" s="11" t="s">
        <v>788</v>
      </c>
      <c r="F121" s="542" t="s">
        <v>1022</v>
      </c>
      <c r="G121" s="328"/>
      <c r="H121" s="328"/>
      <c r="I121" s="328"/>
      <c r="J121" s="328"/>
      <c r="K121" s="328"/>
      <c r="L121" s="328"/>
      <c r="M121" s="328"/>
      <c r="N121" s="328"/>
      <c r="O121" s="328"/>
      <c r="P121" s="328"/>
      <c r="Q121" s="328"/>
      <c r="R121" s="328"/>
      <c r="S121" s="328">
        <v>1892</v>
      </c>
      <c r="T121" s="328">
        <v>1926</v>
      </c>
      <c r="U121" s="328">
        <v>1960</v>
      </c>
      <c r="V121" s="328">
        <v>1989</v>
      </c>
      <c r="W121" s="328">
        <v>2021</v>
      </c>
      <c r="X121" s="328">
        <f t="shared" si="17"/>
        <v>2077.1666666666665</v>
      </c>
      <c r="Y121" s="328">
        <f t="shared" si="17"/>
        <v>2133.333333333333</v>
      </c>
      <c r="Z121" s="328">
        <f t="shared" si="17"/>
        <v>2189.4999999999995</v>
      </c>
      <c r="AA121" s="328">
        <f t="shared" si="17"/>
        <v>2245.6666666666661</v>
      </c>
      <c r="AB121" s="328">
        <f t="shared" si="17"/>
        <v>2301.8333333333326</v>
      </c>
      <c r="AC121" s="328">
        <f t="shared" si="17"/>
        <v>2357.9999999999991</v>
      </c>
      <c r="AD121" s="328">
        <f t="shared" si="17"/>
        <v>2414.1666666666656</v>
      </c>
      <c r="AE121" s="328">
        <f>AD121+($AF121-$T121)/($AF$4-$T$4)</f>
        <v>2470.3333333333321</v>
      </c>
      <c r="AF121" s="328">
        <v>2600</v>
      </c>
    </row>
    <row r="122" spans="1:33" s="470" customFormat="1" ht="38.25">
      <c r="B122" s="471"/>
      <c r="C122" s="183" t="s">
        <v>959</v>
      </c>
      <c r="D122" s="1164" t="s">
        <v>256</v>
      </c>
      <c r="E122" s="1203" t="s">
        <v>897</v>
      </c>
      <c r="F122" s="1203"/>
      <c r="G122" s="187"/>
      <c r="H122" s="187"/>
      <c r="I122" s="187"/>
      <c r="J122" s="187"/>
      <c r="K122" s="187"/>
      <c r="L122" s="187"/>
      <c r="M122" s="187"/>
      <c r="N122" s="187"/>
      <c r="O122" s="187"/>
      <c r="P122" s="187"/>
      <c r="Q122" s="187"/>
      <c r="R122" s="187"/>
      <c r="S122" s="187">
        <v>1750</v>
      </c>
      <c r="T122" s="187">
        <f>S122</f>
        <v>1750</v>
      </c>
      <c r="U122" s="187">
        <f t="shared" ref="U122:AF122" si="19">T122</f>
        <v>1750</v>
      </c>
      <c r="V122" s="187">
        <f t="shared" si="19"/>
        <v>1750</v>
      </c>
      <c r="W122" s="187">
        <v>1930</v>
      </c>
      <c r="X122" s="187">
        <f t="shared" si="19"/>
        <v>1930</v>
      </c>
      <c r="Y122" s="187">
        <f t="shared" si="19"/>
        <v>1930</v>
      </c>
      <c r="Z122" s="187">
        <f t="shared" si="19"/>
        <v>1930</v>
      </c>
      <c r="AA122" s="187">
        <f t="shared" si="19"/>
        <v>1930</v>
      </c>
      <c r="AB122" s="187">
        <v>2040</v>
      </c>
      <c r="AC122" s="187">
        <f t="shared" si="19"/>
        <v>2040</v>
      </c>
      <c r="AD122" s="187">
        <f t="shared" si="19"/>
        <v>2040</v>
      </c>
      <c r="AE122" s="187">
        <f t="shared" si="19"/>
        <v>2040</v>
      </c>
      <c r="AF122" s="187">
        <f t="shared" si="19"/>
        <v>2040</v>
      </c>
      <c r="AG122" s="1174"/>
    </row>
    <row r="123" spans="1:33" s="470" customFormat="1">
      <c r="B123" s="471"/>
      <c r="C123" s="1176"/>
      <c r="D123" s="168"/>
      <c r="E123" s="1203"/>
      <c r="F123" s="1203"/>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row>
    <row r="124" spans="1:33" s="470" customFormat="1" ht="15" customHeight="1">
      <c r="B124" s="471"/>
      <c r="C124" s="183" t="s">
        <v>908</v>
      </c>
      <c r="D124" s="530" t="s">
        <v>845</v>
      </c>
      <c r="E124" s="169" t="s">
        <v>908</v>
      </c>
      <c r="F124" s="659"/>
      <c r="G124" s="187"/>
      <c r="H124" s="187"/>
      <c r="I124" s="187"/>
      <c r="J124" s="187"/>
      <c r="K124" s="187"/>
      <c r="L124" s="187"/>
      <c r="M124" s="187"/>
      <c r="N124" s="187"/>
      <c r="O124" s="187"/>
      <c r="P124" s="187"/>
      <c r="Q124" s="187"/>
      <c r="R124" s="187"/>
      <c r="S124" s="187">
        <v>2080</v>
      </c>
      <c r="T124" s="187">
        <v>2080</v>
      </c>
      <c r="U124" s="187">
        <v>2080</v>
      </c>
      <c r="V124" s="187">
        <v>2080</v>
      </c>
      <c r="W124" s="187">
        <v>2080</v>
      </c>
      <c r="X124" s="187">
        <v>2080</v>
      </c>
      <c r="Y124" s="187">
        <v>2080</v>
      </c>
      <c r="Z124" s="187">
        <v>2080</v>
      </c>
      <c r="AA124" s="187">
        <v>2080</v>
      </c>
      <c r="AB124" s="187">
        <v>2080</v>
      </c>
      <c r="AC124" s="187">
        <v>2080</v>
      </c>
      <c r="AD124" s="187">
        <v>2080</v>
      </c>
      <c r="AE124" s="187">
        <v>2080</v>
      </c>
      <c r="AF124" s="187">
        <v>2080</v>
      </c>
    </row>
    <row r="125" spans="1:33" s="470" customFormat="1" ht="15" customHeight="1">
      <c r="B125" s="471"/>
      <c r="C125" s="183"/>
      <c r="D125" s="1169"/>
      <c r="E125" s="169"/>
      <c r="F125" s="659"/>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1:33" s="470" customFormat="1" ht="15" customHeight="1">
      <c r="B126" s="471"/>
      <c r="C126" s="183"/>
      <c r="D126" s="1169"/>
      <c r="E126" s="169"/>
      <c r="F126" s="659"/>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1:33" s="470" customFormat="1" ht="15" customHeight="1">
      <c r="B127" s="471"/>
      <c r="C127" s="183"/>
      <c r="D127" s="1169"/>
      <c r="E127" s="169"/>
      <c r="F127" s="659"/>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1:33" s="470" customFormat="1" ht="15" customHeight="1">
      <c r="B128" s="471"/>
      <c r="C128" s="183"/>
      <c r="D128" s="1169"/>
      <c r="E128" s="169"/>
      <c r="F128" s="659"/>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2:32" s="470" customFormat="1" ht="15" customHeight="1">
      <c r="B129" s="471"/>
      <c r="C129" s="183"/>
      <c r="D129" s="1169"/>
      <c r="E129" s="169"/>
      <c r="F129" s="659"/>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2:32" s="470" customFormat="1" ht="15" customHeight="1">
      <c r="B130" s="471"/>
      <c r="C130" s="183"/>
      <c r="D130" s="1169"/>
      <c r="E130" s="169"/>
      <c r="F130" s="659"/>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2:32" s="470" customFormat="1" ht="15" customHeight="1">
      <c r="B131" s="471"/>
      <c r="C131" s="183"/>
      <c r="D131" s="1169"/>
      <c r="E131" s="169"/>
      <c r="F131" s="659"/>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2:32" s="470" customFormat="1" ht="15" customHeight="1">
      <c r="B132" s="471"/>
      <c r="C132" s="183"/>
      <c r="D132" s="1169"/>
      <c r="E132" s="169"/>
      <c r="F132" s="659"/>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2:32" s="470" customFormat="1" ht="15" customHeight="1">
      <c r="B133" s="471"/>
      <c r="C133" s="183"/>
      <c r="D133" s="1169"/>
      <c r="E133" s="169"/>
      <c r="F133" s="659"/>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2:32" s="470" customFormat="1" ht="15" customHeight="1">
      <c r="B134" s="471"/>
      <c r="C134" s="183"/>
      <c r="D134" s="1169"/>
      <c r="E134" s="169"/>
      <c r="F134" s="659"/>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2:32" s="470" customFormat="1" ht="15" customHeight="1">
      <c r="B135" s="471"/>
      <c r="C135" s="183"/>
      <c r="D135" s="1169"/>
      <c r="E135" s="169"/>
      <c r="F135" s="659"/>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2:32" s="470" customFormat="1" ht="15" customHeight="1">
      <c r="B136" s="471"/>
      <c r="C136" s="183"/>
      <c r="D136" s="1169"/>
      <c r="E136" s="169"/>
      <c r="F136" s="659"/>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2:32" s="470" customFormat="1" ht="15" customHeight="1">
      <c r="B137" s="471"/>
      <c r="C137" s="183"/>
      <c r="D137" s="1169"/>
      <c r="E137" s="169"/>
      <c r="F137" s="659"/>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2:32" s="470" customFormat="1" ht="15" customHeight="1">
      <c r="B138" s="471"/>
      <c r="C138" s="183"/>
      <c r="D138" s="1169"/>
      <c r="E138" s="169"/>
      <c r="F138" s="659"/>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2:32" s="470" customFormat="1" ht="15" customHeight="1">
      <c r="B139" s="471"/>
      <c r="C139" s="183"/>
      <c r="D139" s="1169"/>
      <c r="E139" s="169"/>
      <c r="F139" s="659"/>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2:32" s="470" customFormat="1" ht="15" customHeight="1">
      <c r="B140" s="471"/>
      <c r="C140" s="183"/>
      <c r="D140" s="1169"/>
      <c r="E140" s="169"/>
      <c r="F140" s="659"/>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2:32" s="470" customFormat="1" ht="15" customHeight="1">
      <c r="B141" s="472"/>
      <c r="C141" s="185"/>
      <c r="D141" s="1170"/>
      <c r="E141" s="189"/>
      <c r="F141" s="66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2:32" ht="15" customHeight="1">
      <c r="C142" s="18"/>
      <c r="D142" s="18"/>
      <c r="E142" s="18"/>
      <c r="F142" s="18"/>
      <c r="G142" s="17"/>
      <c r="H142" s="17"/>
      <c r="I142" s="17"/>
      <c r="J142" s="17"/>
      <c r="K142" s="17"/>
      <c r="L142" s="1265"/>
      <c r="M142" s="1265"/>
      <c r="N142" s="1266"/>
      <c r="O142" s="1266"/>
      <c r="P142" s="1265"/>
      <c r="Q142" s="1265"/>
      <c r="R142" s="17"/>
      <c r="S142" s="17"/>
      <c r="T142" s="17"/>
      <c r="U142" s="17"/>
      <c r="V142" s="17"/>
      <c r="W142" s="17"/>
      <c r="X142" s="17"/>
      <c r="Y142" s="17"/>
      <c r="Z142" s="17"/>
      <c r="AA142" s="17"/>
      <c r="AB142" s="17"/>
      <c r="AC142" s="17"/>
      <c r="AD142" s="17"/>
      <c r="AE142" s="17"/>
      <c r="AF142" s="17"/>
    </row>
    <row r="143" spans="2:32" ht="76.5">
      <c r="B143" s="172" t="s">
        <v>26</v>
      </c>
      <c r="C143" s="321" t="s">
        <v>138</v>
      </c>
      <c r="D143" s="22" t="s">
        <v>859</v>
      </c>
      <c r="E143" s="1171" t="s">
        <v>835</v>
      </c>
      <c r="F143" s="658" t="s">
        <v>1023</v>
      </c>
      <c r="G143" s="23"/>
      <c r="H143" s="23"/>
      <c r="I143" s="23"/>
      <c r="J143" s="23"/>
      <c r="K143" s="23"/>
      <c r="L143" s="1240">
        <f>'D-Bestand Strommenge'!$K$21</f>
        <v>3462</v>
      </c>
      <c r="M143" s="1240">
        <f>L143+100</f>
        <v>3562</v>
      </c>
      <c r="N143" s="1240">
        <f t="shared" ref="N143:P143" si="20">M143+100</f>
        <v>3662</v>
      </c>
      <c r="O143" s="1240">
        <f t="shared" si="20"/>
        <v>3762</v>
      </c>
      <c r="P143" s="1240">
        <f t="shared" si="20"/>
        <v>3862</v>
      </c>
      <c r="Q143" s="1240">
        <v>3962</v>
      </c>
      <c r="R143" s="1014">
        <v>4259</v>
      </c>
      <c r="S143" s="1014">
        <v>4252</v>
      </c>
      <c r="T143" s="1014">
        <v>4258</v>
      </c>
      <c r="U143" s="1014">
        <v>4276</v>
      </c>
      <c r="V143" s="1014">
        <v>4292</v>
      </c>
      <c r="W143" s="1014">
        <f t="shared" ref="W143:AD143" si="21">V143+(($AF$143-V143)/(X4-$T$4))</f>
        <v>4394</v>
      </c>
      <c r="X143" s="1014">
        <f t="shared" si="21"/>
        <v>4455.2</v>
      </c>
      <c r="Y143" s="1014">
        <f t="shared" si="21"/>
        <v>4496</v>
      </c>
      <c r="Z143" s="1014">
        <f t="shared" si="21"/>
        <v>4525.1428571428569</v>
      </c>
      <c r="AA143" s="1014">
        <f t="shared" si="21"/>
        <v>4547</v>
      </c>
      <c r="AB143" s="1014">
        <f t="shared" si="21"/>
        <v>4564</v>
      </c>
      <c r="AC143" s="1014">
        <f t="shared" si="21"/>
        <v>4577.6000000000004</v>
      </c>
      <c r="AD143" s="1014">
        <f t="shared" si="21"/>
        <v>4588.727272727273</v>
      </c>
      <c r="AE143" s="1014">
        <f>AD143+(($AF$143-AD143)/(AF4-$T$4))</f>
        <v>4598</v>
      </c>
      <c r="AF143" s="1014">
        <v>4700</v>
      </c>
    </row>
    <row r="144" spans="2:32" ht="15" customHeight="1">
      <c r="B144" s="64"/>
      <c r="C144" s="16"/>
      <c r="D144" s="329"/>
      <c r="E144" s="174"/>
      <c r="F144" s="1199"/>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row>
    <row r="145" spans="1:32" ht="15" customHeight="1">
      <c r="B145" s="64"/>
      <c r="C145" s="16" t="s">
        <v>700</v>
      </c>
      <c r="D145" s="329" t="s">
        <v>845</v>
      </c>
      <c r="E145" s="16" t="s">
        <v>700</v>
      </c>
      <c r="F145" s="542" t="s">
        <v>1024</v>
      </c>
      <c r="G145" s="328"/>
      <c r="H145" s="328"/>
      <c r="I145" s="328"/>
      <c r="J145" s="328"/>
      <c r="K145" s="328"/>
      <c r="L145" s="328"/>
      <c r="M145" s="328"/>
      <c r="N145" s="1200"/>
      <c r="O145" s="328"/>
      <c r="P145" s="328"/>
      <c r="Q145" s="328"/>
      <c r="R145" s="328"/>
      <c r="S145" s="328">
        <v>4252</v>
      </c>
      <c r="T145" s="328">
        <v>4258</v>
      </c>
      <c r="U145" s="328">
        <v>4276</v>
      </c>
      <c r="V145" s="328">
        <v>4292</v>
      </c>
      <c r="W145" s="328">
        <v>4394</v>
      </c>
      <c r="X145" s="328">
        <f t="shared" ref="X145:AD145" si="22">W145+($AF145-$T145)/($AF$4-$T$4)</f>
        <v>4430.833333333333</v>
      </c>
      <c r="Y145" s="328">
        <f t="shared" si="22"/>
        <v>4467.6666666666661</v>
      </c>
      <c r="Z145" s="328">
        <f t="shared" si="22"/>
        <v>4504.4999999999991</v>
      </c>
      <c r="AA145" s="328">
        <f t="shared" si="22"/>
        <v>4541.3333333333321</v>
      </c>
      <c r="AB145" s="328">
        <f t="shared" si="22"/>
        <v>4578.1666666666652</v>
      </c>
      <c r="AC145" s="328">
        <f t="shared" si="22"/>
        <v>4614.9999999999982</v>
      </c>
      <c r="AD145" s="328">
        <f t="shared" si="22"/>
        <v>4651.8333333333312</v>
      </c>
      <c r="AE145" s="328">
        <f>AD145+($AF145-$T145)/($AF$4-$T$4)</f>
        <v>4688.6666666666642</v>
      </c>
      <c r="AF145" s="328">
        <v>4700</v>
      </c>
    </row>
    <row r="146" spans="1:32" ht="15" customHeight="1">
      <c r="B146" s="64"/>
      <c r="C146" s="16" t="s">
        <v>701</v>
      </c>
      <c r="D146" s="329" t="s">
        <v>845</v>
      </c>
      <c r="E146" s="16" t="s">
        <v>701</v>
      </c>
      <c r="F146" s="542" t="s">
        <v>1025</v>
      </c>
      <c r="G146" s="328"/>
      <c r="H146" s="328"/>
      <c r="I146" s="328"/>
      <c r="J146" s="328"/>
      <c r="K146" s="328"/>
      <c r="L146" s="328"/>
      <c r="M146" s="328"/>
      <c r="N146" s="1200"/>
      <c r="O146" s="328"/>
      <c r="P146" s="328"/>
      <c r="Q146" s="328"/>
      <c r="R146" s="328"/>
      <c r="S146" s="328">
        <v>3261</v>
      </c>
      <c r="T146" s="328">
        <v>3267</v>
      </c>
      <c r="U146" s="328">
        <v>3277</v>
      </c>
      <c r="V146" s="328">
        <v>3289</v>
      </c>
      <c r="W146" s="328">
        <v>3302</v>
      </c>
      <c r="X146" s="328">
        <f t="shared" ref="X146:AD146" si="23">W146+($AF146-$T146)/($AF$4-$T$4)</f>
        <v>3363.0833333333335</v>
      </c>
      <c r="Y146" s="328">
        <f t="shared" si="23"/>
        <v>3424.166666666667</v>
      </c>
      <c r="Z146" s="328">
        <f t="shared" si="23"/>
        <v>3485.2500000000005</v>
      </c>
      <c r="AA146" s="328">
        <f t="shared" si="23"/>
        <v>3546.3333333333339</v>
      </c>
      <c r="AB146" s="328">
        <f t="shared" si="23"/>
        <v>3607.4166666666674</v>
      </c>
      <c r="AC146" s="328">
        <f t="shared" si="23"/>
        <v>3668.5000000000009</v>
      </c>
      <c r="AD146" s="328">
        <f t="shared" si="23"/>
        <v>3729.5833333333344</v>
      </c>
      <c r="AE146" s="328">
        <f>AD146+($AF146-$T146)/($AF$4-$T$4)</f>
        <v>3790.6666666666679</v>
      </c>
      <c r="AF146" s="328">
        <v>4000</v>
      </c>
    </row>
    <row r="147" spans="1:32" s="470" customFormat="1">
      <c r="A147" s="9"/>
      <c r="B147" s="64"/>
      <c r="C147" s="1172" t="s">
        <v>788</v>
      </c>
      <c r="D147" s="50" t="s">
        <v>845</v>
      </c>
      <c r="E147" s="1172" t="s">
        <v>788</v>
      </c>
      <c r="F147" s="26" t="s">
        <v>1026</v>
      </c>
      <c r="G147" s="328"/>
      <c r="H147" s="328"/>
      <c r="I147" s="328"/>
      <c r="J147" s="328"/>
      <c r="K147" s="328"/>
      <c r="L147" s="328"/>
      <c r="M147" s="328"/>
      <c r="N147" s="1175"/>
      <c r="O147" s="1175"/>
      <c r="P147" s="1175"/>
      <c r="Q147" s="1175"/>
      <c r="R147" s="1175"/>
      <c r="S147" s="328">
        <v>3818</v>
      </c>
      <c r="T147" s="328">
        <v>3826</v>
      </c>
      <c r="U147" s="328">
        <v>3841</v>
      </c>
      <c r="V147" s="328">
        <v>3854</v>
      </c>
      <c r="W147" s="328">
        <v>3869</v>
      </c>
      <c r="X147" s="328">
        <f t="shared" ref="X147:AD147" si="24">W147+($AF147-$T147)/($AF$4-$T$4)</f>
        <v>3908.5</v>
      </c>
      <c r="Y147" s="328">
        <f t="shared" si="24"/>
        <v>3948</v>
      </c>
      <c r="Z147" s="328">
        <f t="shared" si="24"/>
        <v>3987.5</v>
      </c>
      <c r="AA147" s="328">
        <f t="shared" si="24"/>
        <v>4027</v>
      </c>
      <c r="AB147" s="328">
        <f t="shared" si="24"/>
        <v>4066.5</v>
      </c>
      <c r="AC147" s="328">
        <f t="shared" si="24"/>
        <v>4106</v>
      </c>
      <c r="AD147" s="328">
        <f t="shared" si="24"/>
        <v>4145.5</v>
      </c>
      <c r="AE147" s="328">
        <f>AD147+($AF147-$T147)/($AF$4-$T$4)</f>
        <v>4185</v>
      </c>
      <c r="AF147" s="328">
        <v>4300</v>
      </c>
    </row>
    <row r="148" spans="1:32" s="470" customFormat="1" ht="38.25">
      <c r="B148" s="471"/>
      <c r="C148" s="183" t="s">
        <v>959</v>
      </c>
      <c r="D148" s="1164" t="s">
        <v>256</v>
      </c>
      <c r="E148" s="1203" t="s">
        <v>897</v>
      </c>
      <c r="F148" s="1203"/>
      <c r="G148" s="187"/>
      <c r="H148" s="187"/>
      <c r="I148" s="187"/>
      <c r="J148" s="187"/>
      <c r="K148" s="187"/>
      <c r="L148" s="187"/>
      <c r="M148" s="187"/>
      <c r="N148" s="187"/>
      <c r="O148" s="187"/>
      <c r="P148" s="187"/>
      <c r="Q148" s="187"/>
      <c r="R148" s="187"/>
      <c r="S148" s="187">
        <v>3800</v>
      </c>
      <c r="T148" s="187">
        <f>S148</f>
        <v>3800</v>
      </c>
      <c r="U148" s="187">
        <f t="shared" ref="U148:AF148" si="25">T148</f>
        <v>3800</v>
      </c>
      <c r="V148" s="187">
        <f t="shared" si="25"/>
        <v>3800</v>
      </c>
      <c r="W148" s="187">
        <v>4000</v>
      </c>
      <c r="X148" s="187">
        <v>4100</v>
      </c>
      <c r="Y148" s="187">
        <v>4150</v>
      </c>
      <c r="Z148" s="187">
        <f t="shared" si="25"/>
        <v>4150</v>
      </c>
      <c r="AA148" s="187">
        <f t="shared" si="25"/>
        <v>4150</v>
      </c>
      <c r="AB148" s="187">
        <v>3350</v>
      </c>
      <c r="AC148" s="187">
        <f t="shared" si="25"/>
        <v>3350</v>
      </c>
      <c r="AD148" s="187">
        <f t="shared" si="25"/>
        <v>3350</v>
      </c>
      <c r="AE148" s="187">
        <f t="shared" si="25"/>
        <v>3350</v>
      </c>
      <c r="AF148" s="187">
        <f t="shared" si="25"/>
        <v>3350</v>
      </c>
    </row>
    <row r="149" spans="1:32" s="470" customFormat="1">
      <c r="B149" s="471"/>
      <c r="C149" s="183"/>
      <c r="E149" s="471"/>
      <c r="F149" s="471"/>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row>
    <row r="150" spans="1:32" s="470" customFormat="1" ht="15" customHeight="1">
      <c r="B150" s="471"/>
      <c r="C150" s="183" t="s">
        <v>908</v>
      </c>
      <c r="D150" s="168" t="s">
        <v>845</v>
      </c>
      <c r="E150" s="1203" t="s">
        <v>932</v>
      </c>
      <c r="G150" s="187"/>
      <c r="H150" s="187"/>
      <c r="I150" s="187"/>
      <c r="J150" s="187"/>
      <c r="K150" s="187"/>
      <c r="L150" s="187"/>
      <c r="M150" s="187"/>
      <c r="N150" s="187"/>
      <c r="O150" s="187"/>
      <c r="P150" s="187"/>
      <c r="Q150" s="187"/>
      <c r="R150" s="187"/>
      <c r="S150" s="187">
        <v>4500</v>
      </c>
      <c r="T150" s="187">
        <v>4600</v>
      </c>
      <c r="U150" s="187">
        <v>4700</v>
      </c>
      <c r="V150" s="187">
        <v>4700</v>
      </c>
      <c r="W150" s="187">
        <v>4700</v>
      </c>
      <c r="X150" s="187">
        <v>4700</v>
      </c>
      <c r="Y150" s="187">
        <v>4700</v>
      </c>
      <c r="Z150" s="187">
        <v>4700</v>
      </c>
      <c r="AA150" s="187">
        <v>4700</v>
      </c>
      <c r="AB150" s="187">
        <v>4700</v>
      </c>
      <c r="AC150" s="187">
        <v>4700</v>
      </c>
      <c r="AD150" s="187">
        <v>4700</v>
      </c>
      <c r="AE150" s="187">
        <v>4700</v>
      </c>
      <c r="AF150" s="187">
        <v>4700</v>
      </c>
    </row>
    <row r="151" spans="1:32" s="470" customFormat="1" ht="15" customHeight="1">
      <c r="B151" s="471"/>
      <c r="C151" s="183"/>
      <c r="D151" s="186"/>
      <c r="E151" s="169"/>
      <c r="F151" s="659"/>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1:32" s="470" customFormat="1" ht="15" customHeight="1">
      <c r="B152" s="471"/>
      <c r="C152" s="183"/>
      <c r="D152" s="186"/>
      <c r="E152" s="169"/>
      <c r="F152" s="659"/>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1:32" s="470" customFormat="1" ht="15" customHeight="1">
      <c r="B153" s="471"/>
      <c r="C153" s="183"/>
      <c r="D153" s="186"/>
      <c r="E153" s="169"/>
      <c r="F153" s="659"/>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1:32" s="470" customFormat="1" ht="15" customHeight="1">
      <c r="B154" s="471"/>
      <c r="C154" s="183"/>
      <c r="D154" s="186"/>
      <c r="E154" s="169"/>
      <c r="F154" s="659"/>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1:32" s="470" customFormat="1" ht="15" customHeight="1">
      <c r="B155" s="471"/>
      <c r="C155" s="183"/>
      <c r="D155" s="186"/>
      <c r="E155" s="169"/>
      <c r="F155" s="659"/>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2" s="470" customFormat="1" ht="15" customHeight="1">
      <c r="B156" s="471"/>
      <c r="C156" s="183"/>
      <c r="D156" s="186"/>
      <c r="E156" s="169"/>
      <c r="F156" s="659"/>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2" s="470" customFormat="1" ht="15" customHeight="1">
      <c r="B157" s="471"/>
      <c r="C157" s="183"/>
      <c r="D157" s="186"/>
      <c r="E157" s="169"/>
      <c r="F157" s="659"/>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2" s="470" customFormat="1" ht="15" customHeight="1">
      <c r="B158" s="471"/>
      <c r="C158" s="183"/>
      <c r="D158" s="186"/>
      <c r="E158" s="169"/>
      <c r="F158" s="659"/>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2" s="470" customFormat="1" ht="15" customHeight="1">
      <c r="B159" s="471"/>
      <c r="C159" s="183"/>
      <c r="D159" s="186"/>
      <c r="E159" s="169"/>
      <c r="F159" s="659"/>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2" s="470" customFormat="1" ht="15" customHeight="1">
      <c r="B160" s="471"/>
      <c r="C160" s="183"/>
      <c r="D160" s="186"/>
      <c r="E160" s="169"/>
      <c r="F160" s="659"/>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2:32" s="470" customFormat="1" ht="15" customHeight="1">
      <c r="B161" s="471"/>
      <c r="C161" s="183"/>
      <c r="D161" s="186"/>
      <c r="E161" s="169"/>
      <c r="F161" s="659"/>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2:32" s="470" customFormat="1" ht="15" customHeight="1">
      <c r="B162" s="471"/>
      <c r="C162" s="183"/>
      <c r="D162" s="186"/>
      <c r="E162" s="169"/>
      <c r="F162" s="659"/>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2:32" s="470" customFormat="1" ht="15" customHeight="1">
      <c r="B163" s="471"/>
      <c r="C163" s="183"/>
      <c r="D163" s="186"/>
      <c r="E163" s="169"/>
      <c r="F163" s="659"/>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2:32" s="470" customFormat="1" ht="15" customHeight="1">
      <c r="B164" s="471"/>
      <c r="C164" s="183"/>
      <c r="D164" s="186"/>
      <c r="E164" s="169"/>
      <c r="F164" s="659"/>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2:32" s="470" customFormat="1" ht="15" customHeight="1">
      <c r="B165" s="471"/>
      <c r="C165" s="183"/>
      <c r="D165" s="186"/>
      <c r="E165" s="169"/>
      <c r="F165" s="659"/>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2:32" s="470" customFormat="1" ht="15" customHeight="1">
      <c r="B166" s="471"/>
      <c r="C166" s="183"/>
      <c r="D166" s="186"/>
      <c r="E166" s="169"/>
      <c r="F166" s="659"/>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2:32" s="470" customFormat="1" ht="15" customHeight="1">
      <c r="B167" s="472"/>
      <c r="C167" s="185"/>
      <c r="D167" s="188"/>
      <c r="E167" s="189"/>
      <c r="F167" s="66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2:32" ht="15" customHeight="1">
      <c r="C168" s="18"/>
      <c r="D168" s="18"/>
      <c r="E168" s="18"/>
      <c r="F168" s="18"/>
      <c r="G168" s="17"/>
      <c r="H168" s="17"/>
      <c r="I168" s="17"/>
      <c r="J168" s="17"/>
      <c r="K168" s="17"/>
      <c r="L168" s="1264"/>
      <c r="M168" s="1264"/>
      <c r="N168" s="1236"/>
      <c r="O168" s="1236"/>
      <c r="P168" s="1236"/>
      <c r="Q168" s="1236"/>
      <c r="R168" s="1236"/>
      <c r="S168" s="17"/>
      <c r="T168" s="17"/>
      <c r="U168" s="17"/>
      <c r="V168" s="17"/>
      <c r="W168" s="17"/>
      <c r="X168" s="17"/>
      <c r="Y168" s="17"/>
      <c r="Z168" s="17"/>
      <c r="AA168" s="17"/>
      <c r="AB168" s="17"/>
      <c r="AC168" s="17"/>
      <c r="AD168" s="17"/>
      <c r="AE168" s="17"/>
      <c r="AF168" s="17"/>
    </row>
    <row r="169" spans="2:32" ht="89.25">
      <c r="B169" s="172" t="s">
        <v>14</v>
      </c>
      <c r="C169" s="321" t="s">
        <v>138</v>
      </c>
      <c r="D169" s="22" t="s">
        <v>845</v>
      </c>
      <c r="E169" s="658" t="s">
        <v>837</v>
      </c>
      <c r="F169" s="658" t="s">
        <v>1027</v>
      </c>
      <c r="G169" s="23"/>
      <c r="H169" s="23"/>
      <c r="I169" s="23"/>
      <c r="J169" s="23"/>
      <c r="K169" s="1014"/>
      <c r="L169" s="1167">
        <f>'D-Bestand Strommenge'!$K$22</f>
        <v>960</v>
      </c>
      <c r="M169" s="1167">
        <f>L169</f>
        <v>960</v>
      </c>
      <c r="N169" s="1167">
        <f t="shared" ref="N169:P169" si="26">M169</f>
        <v>960</v>
      </c>
      <c r="O169" s="1167">
        <v>965</v>
      </c>
      <c r="P169" s="1167">
        <f t="shared" si="26"/>
        <v>965</v>
      </c>
      <c r="Q169" s="1167">
        <v>965</v>
      </c>
      <c r="R169" s="1167">
        <v>965</v>
      </c>
      <c r="S169" s="1014">
        <v>886.06344148903997</v>
      </c>
      <c r="T169" s="1014">
        <v>885.98771711691347</v>
      </c>
      <c r="U169" s="1014">
        <v>900.97551335716719</v>
      </c>
      <c r="V169" s="1014">
        <v>914.5359764530657</v>
      </c>
      <c r="W169" s="1014">
        <v>913.49014666246626</v>
      </c>
      <c r="X169" s="1014">
        <f t="shared" ref="X169:AD169" si="27">W169+($AF169-$T169)/($AF$4-$T$4)</f>
        <v>918.82450356939012</v>
      </c>
      <c r="Y169" s="1014">
        <f t="shared" si="27"/>
        <v>924.15886047631398</v>
      </c>
      <c r="Z169" s="1014">
        <f t="shared" si="27"/>
        <v>929.49321738323783</v>
      </c>
      <c r="AA169" s="1014">
        <f t="shared" si="27"/>
        <v>934.82757429016169</v>
      </c>
      <c r="AB169" s="1014">
        <f t="shared" si="27"/>
        <v>940.16193119708555</v>
      </c>
      <c r="AC169" s="1014">
        <f t="shared" si="27"/>
        <v>945.49628810400941</v>
      </c>
      <c r="AD169" s="1014">
        <f t="shared" si="27"/>
        <v>950.83064501093327</v>
      </c>
      <c r="AE169" s="1014">
        <f>AD169+($AF169-$T169)/($AF$4-$T$4)</f>
        <v>956.16500191785713</v>
      </c>
      <c r="AF169" s="1014">
        <v>950</v>
      </c>
    </row>
    <row r="170" spans="2:32" ht="15" customHeight="1">
      <c r="B170" s="64"/>
      <c r="C170" s="16"/>
      <c r="D170" s="329"/>
      <c r="E170" s="174"/>
      <c r="F170" s="1199"/>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row>
    <row r="171" spans="2:32" ht="15" customHeight="1">
      <c r="B171" s="64"/>
      <c r="C171" s="16" t="s">
        <v>700</v>
      </c>
      <c r="D171" s="329" t="s">
        <v>845</v>
      </c>
      <c r="E171" s="16" t="s">
        <v>700</v>
      </c>
      <c r="F171" s="542" t="s">
        <v>1028</v>
      </c>
      <c r="G171" s="328"/>
      <c r="H171" s="328"/>
      <c r="I171" s="328"/>
      <c r="J171" s="328"/>
      <c r="K171" s="328"/>
      <c r="L171" s="328"/>
      <c r="M171" s="328"/>
      <c r="N171" s="328"/>
      <c r="O171" s="328"/>
      <c r="P171" s="328"/>
      <c r="Q171" s="328"/>
      <c r="R171" s="328"/>
      <c r="S171" s="328">
        <v>982.00164167450794</v>
      </c>
      <c r="T171" s="328">
        <v>981.51591788158282</v>
      </c>
      <c r="U171" s="328">
        <v>999.04216258403244</v>
      </c>
      <c r="V171" s="328">
        <v>1013.4812673087977</v>
      </c>
      <c r="W171" s="328">
        <v>1011.7234897034948</v>
      </c>
      <c r="X171" s="328">
        <f t="shared" ref="X171:AD171" si="28">W171+($AF171-$T171)/($AF$4-$T$4)</f>
        <v>1017.4304965466962</v>
      </c>
      <c r="Y171" s="328">
        <f t="shared" si="28"/>
        <v>1023.1375033898976</v>
      </c>
      <c r="Z171" s="328">
        <f t="shared" si="28"/>
        <v>1028.8445102330991</v>
      </c>
      <c r="AA171" s="328">
        <f t="shared" si="28"/>
        <v>1034.5515170763006</v>
      </c>
      <c r="AB171" s="328">
        <f t="shared" si="28"/>
        <v>1040.2585239195021</v>
      </c>
      <c r="AC171" s="328">
        <f t="shared" si="28"/>
        <v>1045.9655307627036</v>
      </c>
      <c r="AD171" s="328">
        <f t="shared" si="28"/>
        <v>1051.6725376059051</v>
      </c>
      <c r="AE171" s="328">
        <f>AD171+($AF171-$T171)/($AF$4-$T$4)</f>
        <v>1057.3795444491066</v>
      </c>
      <c r="AF171" s="328">
        <v>1050</v>
      </c>
    </row>
    <row r="172" spans="2:32" ht="15" customHeight="1">
      <c r="B172" s="64"/>
      <c r="C172" s="16" t="s">
        <v>701</v>
      </c>
      <c r="D172" s="329" t="s">
        <v>845</v>
      </c>
      <c r="E172" s="16" t="s">
        <v>701</v>
      </c>
      <c r="F172" s="542" t="s">
        <v>1029</v>
      </c>
      <c r="G172" s="328"/>
      <c r="H172" s="328"/>
      <c r="I172" s="328"/>
      <c r="J172" s="328"/>
      <c r="K172" s="328"/>
      <c r="L172" s="328"/>
      <c r="M172" s="328"/>
      <c r="N172" s="1200"/>
      <c r="O172" s="1200"/>
      <c r="P172" s="1200"/>
      <c r="Q172" s="1200"/>
      <c r="R172" s="1200"/>
      <c r="S172" s="328">
        <v>830.78110402534628</v>
      </c>
      <c r="T172" s="328">
        <v>830.97731738491768</v>
      </c>
      <c r="U172" s="328">
        <v>840.73879202423939</v>
      </c>
      <c r="V172" s="328">
        <v>857.46162566806424</v>
      </c>
      <c r="W172" s="328">
        <v>856.71433927901876</v>
      </c>
      <c r="X172" s="328">
        <f t="shared" ref="X172:AD172" si="29">W172+($AF172-$T172)/($AF$4-$T$4)</f>
        <v>858.29956283027559</v>
      </c>
      <c r="Y172" s="328">
        <f t="shared" si="29"/>
        <v>859.88478638153242</v>
      </c>
      <c r="Z172" s="328">
        <f t="shared" si="29"/>
        <v>861.47000993278925</v>
      </c>
      <c r="AA172" s="328">
        <f t="shared" si="29"/>
        <v>863.05523348404608</v>
      </c>
      <c r="AB172" s="328">
        <f t="shared" si="29"/>
        <v>864.64045703530292</v>
      </c>
      <c r="AC172" s="328">
        <f t="shared" si="29"/>
        <v>866.22568058655975</v>
      </c>
      <c r="AD172" s="328">
        <f t="shared" si="29"/>
        <v>867.81090413781658</v>
      </c>
      <c r="AE172" s="328">
        <f>AD172+($AF172-$T172)/($AF$4-$T$4)</f>
        <v>869.39612768907341</v>
      </c>
      <c r="AF172" s="328">
        <v>850</v>
      </c>
    </row>
    <row r="173" spans="2:32" s="470" customFormat="1" ht="30" customHeight="1">
      <c r="B173" s="471"/>
      <c r="C173" s="183" t="s">
        <v>959</v>
      </c>
      <c r="D173" s="1164" t="s">
        <v>256</v>
      </c>
      <c r="E173" s="1203" t="s">
        <v>897</v>
      </c>
      <c r="F173" s="659"/>
      <c r="G173" s="187"/>
      <c r="H173" s="187"/>
      <c r="I173" s="187"/>
      <c r="J173" s="187"/>
      <c r="K173" s="187"/>
      <c r="L173" s="187"/>
      <c r="M173" s="187"/>
      <c r="N173" s="187"/>
      <c r="O173" s="187"/>
      <c r="P173" s="187"/>
      <c r="Q173" s="187"/>
      <c r="R173" s="187"/>
      <c r="S173" s="1273">
        <v>1010</v>
      </c>
      <c r="T173" s="1273">
        <f>S173</f>
        <v>1010</v>
      </c>
      <c r="U173" s="1273">
        <f t="shared" ref="U173:AF173" si="30">T173</f>
        <v>1010</v>
      </c>
      <c r="V173" s="1273">
        <f t="shared" si="30"/>
        <v>1010</v>
      </c>
      <c r="W173" s="187">
        <v>950</v>
      </c>
      <c r="X173" s="187">
        <f t="shared" si="30"/>
        <v>950</v>
      </c>
      <c r="Y173" s="187">
        <f t="shared" si="30"/>
        <v>950</v>
      </c>
      <c r="Z173" s="187">
        <f t="shared" si="30"/>
        <v>950</v>
      </c>
      <c r="AA173" s="187">
        <f t="shared" si="30"/>
        <v>950</v>
      </c>
      <c r="AB173" s="187">
        <v>940</v>
      </c>
      <c r="AC173" s="187">
        <f t="shared" si="30"/>
        <v>940</v>
      </c>
      <c r="AD173" s="187">
        <f t="shared" si="30"/>
        <v>940</v>
      </c>
      <c r="AE173" s="187">
        <f t="shared" si="30"/>
        <v>940</v>
      </c>
      <c r="AF173" s="187">
        <f t="shared" si="30"/>
        <v>940</v>
      </c>
    </row>
    <row r="174" spans="2:32" s="470" customFormat="1" ht="15" customHeight="1">
      <c r="B174" s="471"/>
      <c r="C174" s="183"/>
      <c r="D174" s="168"/>
      <c r="E174" s="169"/>
      <c r="F174" s="659"/>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row>
    <row r="175" spans="2:32" s="470" customFormat="1" ht="15" customHeight="1">
      <c r="B175" s="471"/>
      <c r="C175" s="183" t="s">
        <v>908</v>
      </c>
      <c r="D175" s="168" t="s">
        <v>845</v>
      </c>
      <c r="E175" s="1203" t="s">
        <v>932</v>
      </c>
      <c r="F175" s="659"/>
      <c r="G175" s="187"/>
      <c r="H175" s="187"/>
      <c r="I175" s="187"/>
      <c r="J175" s="187"/>
      <c r="K175" s="187"/>
      <c r="L175" s="187"/>
      <c r="M175" s="187"/>
      <c r="N175" s="187"/>
      <c r="O175" s="187"/>
      <c r="P175" s="187"/>
      <c r="Q175" s="187"/>
      <c r="R175" s="187"/>
      <c r="S175" s="187">
        <v>915</v>
      </c>
      <c r="T175" s="187">
        <f t="shared" ref="T175:AD175" si="31">S175+($AF175-$S175)/($AF$4-$S$4)</f>
        <v>910</v>
      </c>
      <c r="U175" s="187">
        <f t="shared" si="31"/>
        <v>905</v>
      </c>
      <c r="V175" s="187">
        <f t="shared" si="31"/>
        <v>900</v>
      </c>
      <c r="W175" s="187">
        <f t="shared" si="31"/>
        <v>895</v>
      </c>
      <c r="X175" s="187">
        <f t="shared" si="31"/>
        <v>890</v>
      </c>
      <c r="Y175" s="187">
        <f t="shared" si="31"/>
        <v>885</v>
      </c>
      <c r="Z175" s="187">
        <f t="shared" si="31"/>
        <v>880</v>
      </c>
      <c r="AA175" s="187">
        <f t="shared" si="31"/>
        <v>875</v>
      </c>
      <c r="AB175" s="187">
        <f t="shared" si="31"/>
        <v>870</v>
      </c>
      <c r="AC175" s="187">
        <f t="shared" si="31"/>
        <v>865</v>
      </c>
      <c r="AD175" s="187">
        <f t="shared" si="31"/>
        <v>860</v>
      </c>
      <c r="AE175" s="187">
        <f>AD175+($AF175-$S175)/($AF$4-$S$4)</f>
        <v>855</v>
      </c>
      <c r="AF175" s="187">
        <v>850</v>
      </c>
    </row>
    <row r="176" spans="2:32" s="470" customFormat="1" ht="15" customHeight="1">
      <c r="B176" s="471"/>
      <c r="C176" s="183"/>
      <c r="D176" s="168"/>
      <c r="E176" s="169"/>
      <c r="F176" s="659"/>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row>
    <row r="177" spans="2:32" s="470" customFormat="1" ht="15" customHeight="1">
      <c r="B177" s="471"/>
      <c r="C177" s="183"/>
      <c r="D177" s="186"/>
      <c r="E177" s="169"/>
      <c r="F177" s="659"/>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row>
    <row r="178" spans="2:32" s="470" customFormat="1" ht="15" customHeight="1">
      <c r="B178" s="471"/>
      <c r="C178" s="183"/>
      <c r="D178" s="186"/>
      <c r="E178" s="169"/>
      <c r="F178" s="659"/>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2:32" s="470" customFormat="1" ht="15" customHeight="1">
      <c r="B179" s="471"/>
      <c r="C179" s="183"/>
      <c r="D179" s="186"/>
      <c r="E179" s="169"/>
      <c r="F179" s="659"/>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2:32" s="470" customFormat="1" ht="15" customHeight="1">
      <c r="B180" s="471"/>
      <c r="C180" s="183"/>
      <c r="D180" s="186"/>
      <c r="E180" s="169"/>
      <c r="F180" s="659"/>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2:32" s="470" customFormat="1" ht="15" customHeight="1">
      <c r="B181" s="471"/>
      <c r="C181" s="183"/>
      <c r="D181" s="186"/>
      <c r="E181" s="169"/>
      <c r="F181" s="659"/>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2:32" s="470" customFormat="1" ht="15" customHeight="1">
      <c r="B182" s="471"/>
      <c r="C182" s="183"/>
      <c r="D182" s="186"/>
      <c r="E182" s="169"/>
      <c r="F182" s="659"/>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2:32" s="470" customFormat="1" ht="15" customHeight="1">
      <c r="B183" s="471"/>
      <c r="C183" s="183"/>
      <c r="D183" s="186"/>
      <c r="E183" s="169"/>
      <c r="F183" s="659"/>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2:32" s="470" customFormat="1" ht="15" customHeight="1">
      <c r="B184" s="471"/>
      <c r="C184" s="183"/>
      <c r="D184" s="186"/>
      <c r="E184" s="169"/>
      <c r="F184" s="659"/>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2:32" s="470" customFormat="1" ht="15" customHeight="1">
      <c r="B185" s="471"/>
      <c r="C185" s="183"/>
      <c r="D185" s="186"/>
      <c r="E185" s="169"/>
      <c r="F185" s="659"/>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2:32" s="470" customFormat="1" ht="15" customHeight="1">
      <c r="B186" s="471"/>
      <c r="C186" s="183"/>
      <c r="D186" s="186"/>
      <c r="E186" s="169"/>
      <c r="F186" s="659"/>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2:32" s="470" customFormat="1" ht="15" customHeight="1">
      <c r="B187" s="471"/>
      <c r="C187" s="183"/>
      <c r="D187" s="186"/>
      <c r="E187" s="169"/>
      <c r="F187" s="659"/>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2:32" s="470" customFormat="1" ht="15" customHeight="1">
      <c r="B188" s="471"/>
      <c r="C188" s="183"/>
      <c r="D188" s="186"/>
      <c r="E188" s="169"/>
      <c r="F188" s="659"/>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2:32" s="470" customFormat="1" ht="15" customHeight="1">
      <c r="B189" s="471"/>
      <c r="C189" s="183"/>
      <c r="D189" s="186"/>
      <c r="E189" s="169"/>
      <c r="F189" s="659"/>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2:32" s="470" customFormat="1" ht="15" customHeight="1">
      <c r="B190" s="471"/>
      <c r="C190" s="183"/>
      <c r="D190" s="186"/>
      <c r="E190" s="169"/>
      <c r="F190" s="659"/>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2:32" s="470" customFormat="1" ht="15" customHeight="1">
      <c r="B191" s="471"/>
      <c r="C191" s="183"/>
      <c r="D191" s="186"/>
      <c r="E191" s="169"/>
      <c r="F191" s="659"/>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2:32" s="470" customFormat="1" ht="15" customHeight="1">
      <c r="B192" s="471"/>
      <c r="C192" s="183"/>
      <c r="D192" s="186"/>
      <c r="E192" s="169"/>
      <c r="F192" s="659"/>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1:32" s="470" customFormat="1" ht="15" customHeight="1">
      <c r="B193" s="472"/>
      <c r="C193" s="185"/>
      <c r="D193" s="188"/>
      <c r="E193" s="189"/>
      <c r="F193" s="66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1:32" ht="15" customHeight="1">
      <c r="A194" s="470"/>
      <c r="B194" s="470"/>
      <c r="C194" s="534"/>
      <c r="D194" s="533"/>
      <c r="E194" s="533"/>
      <c r="F194" s="533"/>
      <c r="G194" s="534"/>
      <c r="H194" s="534"/>
      <c r="I194" s="534"/>
      <c r="J194" s="534"/>
      <c r="K194" s="534"/>
      <c r="L194" s="534"/>
      <c r="M194" s="534"/>
      <c r="N194" s="534"/>
      <c r="O194" s="534"/>
      <c r="P194" s="534"/>
      <c r="Q194" s="534"/>
      <c r="R194" s="534"/>
      <c r="S194" s="534"/>
      <c r="T194" s="534"/>
      <c r="U194" s="534"/>
      <c r="V194" s="534"/>
      <c r="W194" s="534"/>
      <c r="X194" s="534"/>
      <c r="Y194" s="534"/>
      <c r="Z194" s="534"/>
      <c r="AA194" s="534"/>
      <c r="AB194" s="534"/>
      <c r="AC194" s="534"/>
      <c r="AD194" s="534"/>
      <c r="AE194" s="534"/>
      <c r="AF194" s="534"/>
    </row>
    <row r="195" spans="1:32" ht="15" customHeight="1"/>
    <row r="196" spans="1:32" ht="15" customHeight="1"/>
    <row r="197" spans="1:32" ht="15" customHeight="1"/>
    <row r="198" spans="1:32" ht="15" customHeight="1"/>
    <row r="199" spans="1:32" ht="15" customHeight="1"/>
    <row r="200" spans="1:32" ht="15" customHeight="1"/>
    <row r="201" spans="1:32" ht="15" customHeight="1"/>
    <row r="202" spans="1:32" ht="15" customHeight="1"/>
    <row r="203" spans="1:32" ht="15" customHeight="1"/>
    <row r="204" spans="1:32" ht="15" customHeight="1"/>
    <row r="205" spans="1:32" ht="15" customHeight="1"/>
    <row r="206" spans="1:32" ht="15" customHeight="1"/>
    <row r="207" spans="1:32" ht="15" customHeight="1"/>
    <row r="208" spans="1: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SegXKwgLGEuCSeSjeXUnv4/ancuORIUa9Gi4DAx8XBOs6t4ArI52YKgfavSD5njuTl31HVVM5deU3pMPXLN06Q==" saltValue="A/dI40lp/LzKMz7++rkqfA==" spinCount="100000" sheet="1" objects="1" scenarios="1"/>
  <hyperlinks>
    <hyperlink ref="A1" location="'Start-Experte'!A1" display="zurück" xr:uid="{00000000-0004-0000-10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80" operator="greaterThan" id="{00000000-0000-0000-0000-000000000000}">
            <xm:f>ControlPanel!$D$59-1</xm:f>
            <x14:dxf>
              <font>
                <color rgb="FF9C6500"/>
              </font>
              <fill>
                <patternFill>
                  <fgColor indexed="64"/>
                  <bgColor rgb="FFFFEB9C"/>
                </patternFill>
              </fill>
            </x14:dxf>
          </x14:cfRule>
          <x14:cfRule type="cellIs" priority="681" operator="lessThan" id="{00000000-0000-0000-0000-000000000000}">
            <xm:f>ControlPanel!$D$59</xm:f>
            <x14:dxf>
              <font>
                <color rgb="FF006100"/>
              </font>
              <fill>
                <patternFill>
                  <fgColor indexed="64"/>
                  <bgColor rgb="FFC6EFCE"/>
                </patternFill>
              </fill>
            </x14:dxf>
          </x14:cfRule>
          <x14:cfRule type="cellIs" priority="682"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36">
    <tabColor theme="9" tint="0.39997558519241921"/>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183</v>
      </c>
      <c r="B1" s="62" t="s">
        <v>11</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67</v>
      </c>
      <c r="H5" s="330" t="s">
        <v>67</v>
      </c>
      <c r="I5" s="330" t="s">
        <v>67</v>
      </c>
      <c r="J5" s="330" t="s">
        <v>67</v>
      </c>
      <c r="K5" s="330" t="s">
        <v>67</v>
      </c>
      <c r="L5" s="330" t="s">
        <v>67</v>
      </c>
      <c r="M5" s="330" t="s">
        <v>67</v>
      </c>
      <c r="N5" s="330" t="s">
        <v>67</v>
      </c>
      <c r="O5" s="330" t="s">
        <v>67</v>
      </c>
      <c r="P5" s="330" t="s">
        <v>67</v>
      </c>
      <c r="Q5" s="330" t="s">
        <v>67</v>
      </c>
      <c r="R5" s="330" t="s">
        <v>67</v>
      </c>
      <c r="S5" s="330" t="s">
        <v>67</v>
      </c>
      <c r="T5" s="330" t="s">
        <v>67</v>
      </c>
      <c r="U5" s="330" t="s">
        <v>67</v>
      </c>
      <c r="V5" s="330" t="s">
        <v>67</v>
      </c>
      <c r="W5" s="330" t="s">
        <v>67</v>
      </c>
      <c r="X5" s="330" t="s">
        <v>67</v>
      </c>
      <c r="Y5" s="330" t="s">
        <v>67</v>
      </c>
      <c r="Z5" s="330" t="s">
        <v>67</v>
      </c>
      <c r="AA5" s="330" t="s">
        <v>67</v>
      </c>
      <c r="AB5" s="330" t="s">
        <v>67</v>
      </c>
      <c r="AC5" s="330" t="s">
        <v>67</v>
      </c>
      <c r="AD5" s="330" t="s">
        <v>67</v>
      </c>
      <c r="AE5" s="330" t="s">
        <v>67</v>
      </c>
      <c r="AF5" s="330" t="s">
        <v>67</v>
      </c>
    </row>
    <row r="6" spans="1:32" ht="15" customHeight="1" thickBot="1">
      <c r="B6" s="172" t="s">
        <v>25</v>
      </c>
      <c r="C6" s="181" t="str">
        <f>ControlPanel!I39</f>
        <v>Referenz</v>
      </c>
      <c r="D6" s="15" t="str">
        <f>VLOOKUP($C$6,$C$13:$AF$37,2,FALSE)</f>
        <v>mh</v>
      </c>
      <c r="E6" s="15" t="str">
        <f>VLOOKUP($C$6,$C$13:$AF$37,3,FALSE)</f>
        <v>100%</v>
      </c>
      <c r="F6" s="15">
        <f>VLOOKUP($C$6,$C$13:$AF$37,4,FALSE)</f>
        <v>0</v>
      </c>
      <c r="G6" s="38">
        <f t="shared" ref="G6:AF6" si="0">VLOOKUP($C$6,$C$13:$AF$37,G$4-$G$4+5,FALSE)</f>
        <v>0</v>
      </c>
      <c r="H6" s="38">
        <f t="shared" si="0"/>
        <v>0</v>
      </c>
      <c r="I6" s="38">
        <f t="shared" si="0"/>
        <v>0</v>
      </c>
      <c r="J6" s="38">
        <f t="shared" si="0"/>
        <v>0</v>
      </c>
      <c r="K6" s="38">
        <f t="shared" si="0"/>
        <v>1</v>
      </c>
      <c r="L6" s="38">
        <f t="shared" si="0"/>
        <v>1</v>
      </c>
      <c r="M6" s="38">
        <f t="shared" si="0"/>
        <v>1</v>
      </c>
      <c r="N6" s="38">
        <f t="shared" si="0"/>
        <v>1</v>
      </c>
      <c r="O6" s="38">
        <f t="shared" si="0"/>
        <v>1</v>
      </c>
      <c r="P6" s="38">
        <f t="shared" si="0"/>
        <v>1</v>
      </c>
      <c r="Q6" s="38">
        <f t="shared" si="0"/>
        <v>1</v>
      </c>
      <c r="R6" s="38">
        <f t="shared" si="0"/>
        <v>1</v>
      </c>
      <c r="S6" s="38">
        <f t="shared" si="0"/>
        <v>1</v>
      </c>
      <c r="T6" s="38">
        <f t="shared" si="0"/>
        <v>1</v>
      </c>
      <c r="U6" s="38">
        <f t="shared" si="0"/>
        <v>1</v>
      </c>
      <c r="V6" s="38">
        <f t="shared" si="0"/>
        <v>1</v>
      </c>
      <c r="W6" s="38">
        <f t="shared" si="0"/>
        <v>1</v>
      </c>
      <c r="X6" s="38">
        <f t="shared" si="0"/>
        <v>1</v>
      </c>
      <c r="Y6" s="38">
        <f t="shared" si="0"/>
        <v>1</v>
      </c>
      <c r="Z6" s="38">
        <f t="shared" si="0"/>
        <v>1</v>
      </c>
      <c r="AA6" s="38">
        <f t="shared" si="0"/>
        <v>1</v>
      </c>
      <c r="AB6" s="38">
        <f t="shared" si="0"/>
        <v>1</v>
      </c>
      <c r="AC6" s="38">
        <f t="shared" si="0"/>
        <v>1</v>
      </c>
      <c r="AD6" s="38">
        <f t="shared" si="0"/>
        <v>1</v>
      </c>
      <c r="AE6" s="38">
        <f t="shared" si="0"/>
        <v>1</v>
      </c>
      <c r="AF6" s="38">
        <f t="shared" si="0"/>
        <v>1</v>
      </c>
    </row>
    <row r="7" spans="1:32" ht="15" customHeight="1" thickBot="1">
      <c r="B7" s="171" t="s">
        <v>27</v>
      </c>
      <c r="C7" s="181" t="str">
        <f>ControlPanel!I40</f>
        <v>Referenz</v>
      </c>
      <c r="D7" s="15" t="str">
        <f>VLOOKUP($C$7,$C$39:$AF$63,2,FALSE)</f>
        <v>mh</v>
      </c>
      <c r="E7" s="15" t="str">
        <f>VLOOKUP($C$7,$C$39:$AF$63,3,FALSE)</f>
        <v>100%</v>
      </c>
      <c r="F7" s="15">
        <f>VLOOKUP($C$7,$C$39:$AF$63,4,FALSE)</f>
        <v>0</v>
      </c>
      <c r="G7" s="38">
        <f t="shared" ref="G7:AF7" si="1">VLOOKUP($C$7,$C$39:$AF$63,G$4-$G$4+5,FALSE)</f>
        <v>0</v>
      </c>
      <c r="H7" s="38">
        <f t="shared" si="1"/>
        <v>0</v>
      </c>
      <c r="I7" s="38">
        <f t="shared" si="1"/>
        <v>0</v>
      </c>
      <c r="J7" s="38">
        <f t="shared" si="1"/>
        <v>0</v>
      </c>
      <c r="K7" s="38">
        <f t="shared" si="1"/>
        <v>1</v>
      </c>
      <c r="L7" s="38">
        <f t="shared" si="1"/>
        <v>1</v>
      </c>
      <c r="M7" s="38">
        <f t="shared" si="1"/>
        <v>1</v>
      </c>
      <c r="N7" s="38">
        <f t="shared" si="1"/>
        <v>1</v>
      </c>
      <c r="O7" s="38">
        <f t="shared" si="1"/>
        <v>1</v>
      </c>
      <c r="P7" s="38">
        <f t="shared" si="1"/>
        <v>1</v>
      </c>
      <c r="Q7" s="38">
        <f t="shared" si="1"/>
        <v>1</v>
      </c>
      <c r="R7" s="38">
        <f t="shared" si="1"/>
        <v>1</v>
      </c>
      <c r="S7" s="38">
        <f t="shared" si="1"/>
        <v>1</v>
      </c>
      <c r="T7" s="38">
        <f t="shared" si="1"/>
        <v>1</v>
      </c>
      <c r="U7" s="38">
        <f t="shared" si="1"/>
        <v>1</v>
      </c>
      <c r="V7" s="38">
        <f t="shared" si="1"/>
        <v>1</v>
      </c>
      <c r="W7" s="38">
        <f t="shared" si="1"/>
        <v>1</v>
      </c>
      <c r="X7" s="38">
        <f t="shared" si="1"/>
        <v>1</v>
      </c>
      <c r="Y7" s="38">
        <f t="shared" si="1"/>
        <v>1</v>
      </c>
      <c r="Z7" s="38">
        <f t="shared" si="1"/>
        <v>1</v>
      </c>
      <c r="AA7" s="38">
        <f t="shared" si="1"/>
        <v>1</v>
      </c>
      <c r="AB7" s="38">
        <f t="shared" si="1"/>
        <v>1</v>
      </c>
      <c r="AC7" s="38">
        <f t="shared" si="1"/>
        <v>1</v>
      </c>
      <c r="AD7" s="38">
        <f t="shared" si="1"/>
        <v>1</v>
      </c>
      <c r="AE7" s="38">
        <f t="shared" si="1"/>
        <v>1</v>
      </c>
      <c r="AF7" s="38">
        <f t="shared" si="1"/>
        <v>1</v>
      </c>
    </row>
    <row r="8" spans="1:32" ht="15" customHeight="1" thickBot="1">
      <c r="B8" s="171" t="s">
        <v>13</v>
      </c>
      <c r="C8" s="181" t="str">
        <f>ControlPanel!I37</f>
        <v>Referenz</v>
      </c>
      <c r="D8" s="15" t="str">
        <f>VLOOKUP($C$8,$C$65:$AF$89,2,FALSE)</f>
        <v>mh</v>
      </c>
      <c r="E8" s="15" t="str">
        <f>VLOOKUP($C$8,$C$65:$AF$89,3,FALSE)</f>
        <v>100%</v>
      </c>
      <c r="F8" s="15">
        <f>VLOOKUP($C$8,$C$65:$AF$89,4,FALSE)</f>
        <v>0</v>
      </c>
      <c r="G8" s="38">
        <f t="shared" ref="G8:AF8" si="2">VLOOKUP($C$8,$C$65:$AF$89,G$4-$G$4+5,FALSE)</f>
        <v>0</v>
      </c>
      <c r="H8" s="38">
        <f t="shared" si="2"/>
        <v>0</v>
      </c>
      <c r="I8" s="38">
        <f t="shared" si="2"/>
        <v>0</v>
      </c>
      <c r="J8" s="38">
        <f t="shared" si="2"/>
        <v>0</v>
      </c>
      <c r="K8" s="38">
        <f t="shared" si="2"/>
        <v>1</v>
      </c>
      <c r="L8" s="38">
        <f t="shared" si="2"/>
        <v>1</v>
      </c>
      <c r="M8" s="38">
        <f t="shared" si="2"/>
        <v>1</v>
      </c>
      <c r="N8" s="38">
        <f t="shared" si="2"/>
        <v>1</v>
      </c>
      <c r="O8" s="38">
        <f t="shared" si="2"/>
        <v>1</v>
      </c>
      <c r="P8" s="38">
        <f t="shared" si="2"/>
        <v>1</v>
      </c>
      <c r="Q8" s="38">
        <f t="shared" si="2"/>
        <v>1</v>
      </c>
      <c r="R8" s="38">
        <f t="shared" si="2"/>
        <v>1</v>
      </c>
      <c r="S8" s="38">
        <f t="shared" si="2"/>
        <v>1</v>
      </c>
      <c r="T8" s="38">
        <f t="shared" si="2"/>
        <v>1</v>
      </c>
      <c r="U8" s="38">
        <f t="shared" si="2"/>
        <v>1</v>
      </c>
      <c r="V8" s="38">
        <f t="shared" si="2"/>
        <v>1</v>
      </c>
      <c r="W8" s="38">
        <f t="shared" si="2"/>
        <v>1</v>
      </c>
      <c r="X8" s="38">
        <f t="shared" si="2"/>
        <v>1</v>
      </c>
      <c r="Y8" s="38">
        <f t="shared" si="2"/>
        <v>1</v>
      </c>
      <c r="Z8" s="38">
        <f t="shared" si="2"/>
        <v>1</v>
      </c>
      <c r="AA8" s="38">
        <f t="shared" si="2"/>
        <v>1</v>
      </c>
      <c r="AB8" s="38">
        <f t="shared" si="2"/>
        <v>1</v>
      </c>
      <c r="AC8" s="38">
        <f t="shared" si="2"/>
        <v>1</v>
      </c>
      <c r="AD8" s="38">
        <f t="shared" si="2"/>
        <v>1</v>
      </c>
      <c r="AE8" s="38">
        <f t="shared" si="2"/>
        <v>1</v>
      </c>
      <c r="AF8" s="38">
        <f t="shared" si="2"/>
        <v>1</v>
      </c>
    </row>
    <row r="9" spans="1:32" ht="15" customHeight="1" thickBot="1">
      <c r="B9" s="171" t="s">
        <v>12</v>
      </c>
      <c r="C9" s="181" t="str">
        <f>ControlPanel!I38</f>
        <v>Referenz</v>
      </c>
      <c r="D9" s="15" t="str">
        <f>VLOOKUP($C$9,$C$91:$AF$115,2,FALSE)</f>
        <v>mh</v>
      </c>
      <c r="E9" s="15" t="str">
        <f>VLOOKUP($C$9,$C$91:$AF$115,3,FALSE)</f>
        <v>100%</v>
      </c>
      <c r="F9" s="15">
        <f>VLOOKUP($C$9,$C$91:$AF$115,4,FALSE)</f>
        <v>0</v>
      </c>
      <c r="G9" s="38">
        <f t="shared" ref="G9:AF9" si="3">VLOOKUP($C$9,$C$91:$AF$115,G$4-$G$4+5,FALSE)</f>
        <v>0</v>
      </c>
      <c r="H9" s="38">
        <f t="shared" si="3"/>
        <v>0</v>
      </c>
      <c r="I9" s="38">
        <f t="shared" si="3"/>
        <v>0</v>
      </c>
      <c r="J9" s="38">
        <f t="shared" si="3"/>
        <v>0</v>
      </c>
      <c r="K9" s="38">
        <f t="shared" si="3"/>
        <v>1</v>
      </c>
      <c r="L9" s="38">
        <f t="shared" si="3"/>
        <v>1</v>
      </c>
      <c r="M9" s="38">
        <f t="shared" si="3"/>
        <v>1</v>
      </c>
      <c r="N9" s="38">
        <f t="shared" si="3"/>
        <v>1</v>
      </c>
      <c r="O9" s="38">
        <f t="shared" si="3"/>
        <v>1</v>
      </c>
      <c r="P9" s="38">
        <f t="shared" si="3"/>
        <v>1</v>
      </c>
      <c r="Q9" s="38">
        <f t="shared" si="3"/>
        <v>1</v>
      </c>
      <c r="R9" s="38">
        <f t="shared" si="3"/>
        <v>1</v>
      </c>
      <c r="S9" s="38">
        <f t="shared" si="3"/>
        <v>1</v>
      </c>
      <c r="T9" s="38">
        <f t="shared" si="3"/>
        <v>1</v>
      </c>
      <c r="U9" s="38">
        <f t="shared" si="3"/>
        <v>1</v>
      </c>
      <c r="V9" s="38">
        <f t="shared" si="3"/>
        <v>1</v>
      </c>
      <c r="W9" s="38">
        <f t="shared" si="3"/>
        <v>1</v>
      </c>
      <c r="X9" s="38">
        <f t="shared" si="3"/>
        <v>1</v>
      </c>
      <c r="Y9" s="38">
        <f t="shared" si="3"/>
        <v>1</v>
      </c>
      <c r="Z9" s="38">
        <f t="shared" si="3"/>
        <v>1</v>
      </c>
      <c r="AA9" s="38">
        <f t="shared" si="3"/>
        <v>1</v>
      </c>
      <c r="AB9" s="38">
        <f t="shared" si="3"/>
        <v>1</v>
      </c>
      <c r="AC9" s="38">
        <f t="shared" si="3"/>
        <v>1</v>
      </c>
      <c r="AD9" s="38">
        <f t="shared" si="3"/>
        <v>1</v>
      </c>
      <c r="AE9" s="38">
        <f t="shared" si="3"/>
        <v>1</v>
      </c>
      <c r="AF9" s="38">
        <f t="shared" si="3"/>
        <v>1</v>
      </c>
    </row>
    <row r="10" spans="1:32" ht="15" customHeight="1" thickBot="1">
      <c r="B10" s="171" t="s">
        <v>24</v>
      </c>
      <c r="C10" s="181" t="str">
        <f>ControlPanel!I34</f>
        <v>Referenz</v>
      </c>
      <c r="D10" s="15" t="str">
        <f>VLOOKUP($C$10,$C$117:$AF$141,2,FALSE)</f>
        <v>mh</v>
      </c>
      <c r="E10" s="15" t="str">
        <f>VLOOKUP($C$10,$C$117:$AF$141,3,FALSE)</f>
        <v>100%</v>
      </c>
      <c r="F10" s="15">
        <f>VLOOKUP($C$10,$C$117:$AF$141,4,FALSE)</f>
        <v>0</v>
      </c>
      <c r="G10" s="38">
        <f t="shared" ref="G10:AF10" si="4">VLOOKUP($C$10,$C$117:$AF$141,G$4-$G$4+5,FALSE)</f>
        <v>0</v>
      </c>
      <c r="H10" s="38">
        <f t="shared" si="4"/>
        <v>0</v>
      </c>
      <c r="I10" s="38">
        <f t="shared" si="4"/>
        <v>0</v>
      </c>
      <c r="J10" s="38">
        <f t="shared" si="4"/>
        <v>0</v>
      </c>
      <c r="K10" s="38">
        <f t="shared" si="4"/>
        <v>1</v>
      </c>
      <c r="L10" s="38">
        <f t="shared" si="4"/>
        <v>1</v>
      </c>
      <c r="M10" s="38">
        <f t="shared" si="4"/>
        <v>1</v>
      </c>
      <c r="N10" s="38">
        <f t="shared" si="4"/>
        <v>1</v>
      </c>
      <c r="O10" s="38">
        <f t="shared" si="4"/>
        <v>1</v>
      </c>
      <c r="P10" s="38">
        <f t="shared" si="4"/>
        <v>1</v>
      </c>
      <c r="Q10" s="38">
        <f t="shared" si="4"/>
        <v>1</v>
      </c>
      <c r="R10" s="38">
        <f t="shared" si="4"/>
        <v>1</v>
      </c>
      <c r="S10" s="38">
        <f t="shared" si="4"/>
        <v>1</v>
      </c>
      <c r="T10" s="38">
        <f t="shared" si="4"/>
        <v>1</v>
      </c>
      <c r="U10" s="38">
        <f t="shared" si="4"/>
        <v>1</v>
      </c>
      <c r="V10" s="38">
        <f t="shared" si="4"/>
        <v>1</v>
      </c>
      <c r="W10" s="38">
        <f t="shared" si="4"/>
        <v>1</v>
      </c>
      <c r="X10" s="38">
        <f t="shared" si="4"/>
        <v>1</v>
      </c>
      <c r="Y10" s="38">
        <f t="shared" si="4"/>
        <v>1</v>
      </c>
      <c r="Z10" s="38">
        <f t="shared" si="4"/>
        <v>1</v>
      </c>
      <c r="AA10" s="38">
        <f t="shared" si="4"/>
        <v>1</v>
      </c>
      <c r="AB10" s="38">
        <f t="shared" si="4"/>
        <v>1</v>
      </c>
      <c r="AC10" s="38">
        <f t="shared" si="4"/>
        <v>1</v>
      </c>
      <c r="AD10" s="38">
        <f t="shared" si="4"/>
        <v>1</v>
      </c>
      <c r="AE10" s="38">
        <f t="shared" si="4"/>
        <v>1</v>
      </c>
      <c r="AF10" s="38">
        <f t="shared" si="4"/>
        <v>1</v>
      </c>
    </row>
    <row r="11" spans="1:32" ht="15" customHeight="1" thickBot="1">
      <c r="B11" s="171" t="s">
        <v>26</v>
      </c>
      <c r="C11" s="181" t="str">
        <f>ControlPanel!I35</f>
        <v>Referenz</v>
      </c>
      <c r="D11" s="15" t="str">
        <f>VLOOKUP($C$11,$C$143:$AF$167,2,FALSE)</f>
        <v>mh</v>
      </c>
      <c r="E11" s="15" t="str">
        <f>VLOOKUP($C$11,$C$143:$AF$167,3,FALSE)</f>
        <v>100%</v>
      </c>
      <c r="F11" s="15">
        <f>VLOOKUP($C$11,$C$143:$AF$167,4,FALSE)</f>
        <v>0</v>
      </c>
      <c r="G11" s="38">
        <f t="shared" ref="G11:AF11" si="5">VLOOKUP($C$11,$C$143:$AF$167,G$4-$G$4+5,FALSE)</f>
        <v>0</v>
      </c>
      <c r="H11" s="38">
        <f t="shared" si="5"/>
        <v>0</v>
      </c>
      <c r="I11" s="38">
        <f t="shared" si="5"/>
        <v>0</v>
      </c>
      <c r="J11" s="38">
        <f t="shared" si="5"/>
        <v>0</v>
      </c>
      <c r="K11" s="38">
        <f t="shared" si="5"/>
        <v>1</v>
      </c>
      <c r="L11" s="38">
        <f t="shared" si="5"/>
        <v>1</v>
      </c>
      <c r="M11" s="38">
        <f t="shared" si="5"/>
        <v>1</v>
      </c>
      <c r="N11" s="38">
        <f t="shared" si="5"/>
        <v>1</v>
      </c>
      <c r="O11" s="38">
        <f t="shared" si="5"/>
        <v>1</v>
      </c>
      <c r="P11" s="38">
        <f t="shared" si="5"/>
        <v>1</v>
      </c>
      <c r="Q11" s="38">
        <f t="shared" si="5"/>
        <v>1</v>
      </c>
      <c r="R11" s="38">
        <f t="shared" si="5"/>
        <v>1</v>
      </c>
      <c r="S11" s="38">
        <f t="shared" si="5"/>
        <v>1</v>
      </c>
      <c r="T11" s="38">
        <f t="shared" si="5"/>
        <v>1</v>
      </c>
      <c r="U11" s="38">
        <f t="shared" si="5"/>
        <v>1</v>
      </c>
      <c r="V11" s="38">
        <f t="shared" si="5"/>
        <v>1</v>
      </c>
      <c r="W11" s="38">
        <f t="shared" si="5"/>
        <v>1</v>
      </c>
      <c r="X11" s="38">
        <f t="shared" si="5"/>
        <v>1</v>
      </c>
      <c r="Y11" s="38">
        <f t="shared" si="5"/>
        <v>1</v>
      </c>
      <c r="Z11" s="38">
        <f t="shared" si="5"/>
        <v>1</v>
      </c>
      <c r="AA11" s="38">
        <f t="shared" si="5"/>
        <v>1</v>
      </c>
      <c r="AB11" s="38">
        <f t="shared" si="5"/>
        <v>1</v>
      </c>
      <c r="AC11" s="38">
        <f t="shared" si="5"/>
        <v>1</v>
      </c>
      <c r="AD11" s="38">
        <f t="shared" si="5"/>
        <v>1</v>
      </c>
      <c r="AE11" s="38">
        <f t="shared" si="5"/>
        <v>1</v>
      </c>
      <c r="AF11" s="38">
        <f t="shared" si="5"/>
        <v>1</v>
      </c>
    </row>
    <row r="12" spans="1:32" ht="15" customHeight="1" thickBot="1">
      <c r="B12" s="173" t="s">
        <v>14</v>
      </c>
      <c r="C12" s="181" t="str">
        <f>ControlPanel!I36</f>
        <v>Referenz</v>
      </c>
      <c r="D12" s="15" t="str">
        <f>VLOOKUP($C$12,$C$169:$AF$193,2,FALSE)</f>
        <v>mh</v>
      </c>
      <c r="E12" s="15" t="str">
        <f>VLOOKUP($C$12,$C$169:$AF$193,3,FALSE)</f>
        <v>100%</v>
      </c>
      <c r="F12" s="15">
        <f>VLOOKUP($C$12,$C$169:$AF$193,4,FALSE)</f>
        <v>0</v>
      </c>
      <c r="G12" s="38">
        <f t="shared" ref="G12:AF12" si="6">VLOOKUP($C$12,$C$169:$AF$193,G$4-$G$4+5,FALSE)</f>
        <v>0</v>
      </c>
      <c r="H12" s="38">
        <f t="shared" si="6"/>
        <v>0</v>
      </c>
      <c r="I12" s="38">
        <f t="shared" si="6"/>
        <v>0</v>
      </c>
      <c r="J12" s="38">
        <f t="shared" si="6"/>
        <v>0</v>
      </c>
      <c r="K12" s="38">
        <f t="shared" si="6"/>
        <v>1</v>
      </c>
      <c r="L12" s="38">
        <f t="shared" si="6"/>
        <v>1</v>
      </c>
      <c r="M12" s="38">
        <f t="shared" si="6"/>
        <v>1</v>
      </c>
      <c r="N12" s="38">
        <f t="shared" si="6"/>
        <v>1</v>
      </c>
      <c r="O12" s="38">
        <f t="shared" si="6"/>
        <v>1</v>
      </c>
      <c r="P12" s="38">
        <f t="shared" si="6"/>
        <v>1</v>
      </c>
      <c r="Q12" s="38">
        <f t="shared" si="6"/>
        <v>1</v>
      </c>
      <c r="R12" s="38">
        <f t="shared" si="6"/>
        <v>1</v>
      </c>
      <c r="S12" s="38">
        <f t="shared" si="6"/>
        <v>1</v>
      </c>
      <c r="T12" s="38">
        <f t="shared" si="6"/>
        <v>1</v>
      </c>
      <c r="U12" s="38">
        <f t="shared" si="6"/>
        <v>1</v>
      </c>
      <c r="V12" s="38">
        <f t="shared" si="6"/>
        <v>1</v>
      </c>
      <c r="W12" s="38">
        <f t="shared" si="6"/>
        <v>1</v>
      </c>
      <c r="X12" s="38">
        <f t="shared" si="6"/>
        <v>1</v>
      </c>
      <c r="Y12" s="38">
        <f t="shared" si="6"/>
        <v>1</v>
      </c>
      <c r="Z12" s="38">
        <f t="shared" si="6"/>
        <v>1</v>
      </c>
      <c r="AA12" s="38">
        <f t="shared" si="6"/>
        <v>1</v>
      </c>
      <c r="AB12" s="38">
        <f t="shared" si="6"/>
        <v>1</v>
      </c>
      <c r="AC12" s="38">
        <f t="shared" si="6"/>
        <v>1</v>
      </c>
      <c r="AD12" s="38">
        <f t="shared" si="6"/>
        <v>1</v>
      </c>
      <c r="AE12" s="38">
        <f t="shared" si="6"/>
        <v>1</v>
      </c>
      <c r="AF12" s="38">
        <f t="shared" si="6"/>
        <v>1</v>
      </c>
    </row>
    <row r="13" spans="1:32" ht="15" customHeight="1">
      <c r="B13" s="172" t="s">
        <v>25</v>
      </c>
      <c r="C13" s="16" t="s">
        <v>138</v>
      </c>
      <c r="D13" s="12" t="s">
        <v>65</v>
      </c>
      <c r="E13" s="338" t="s">
        <v>288</v>
      </c>
      <c r="F13" s="222"/>
      <c r="G13" s="328"/>
      <c r="H13" s="328"/>
      <c r="I13" s="328"/>
      <c r="J13" s="328"/>
      <c r="K13" s="328">
        <v>1</v>
      </c>
      <c r="L13" s="328">
        <v>1</v>
      </c>
      <c r="M13" s="328">
        <v>1</v>
      </c>
      <c r="N13" s="328">
        <v>1</v>
      </c>
      <c r="O13" s="328">
        <v>1</v>
      </c>
      <c r="P13" s="328">
        <v>1</v>
      </c>
      <c r="Q13" s="328">
        <v>1</v>
      </c>
      <c r="R13" s="328">
        <v>1</v>
      </c>
      <c r="S13" s="328">
        <v>1</v>
      </c>
      <c r="T13" s="328">
        <v>1</v>
      </c>
      <c r="U13" s="328">
        <v>1</v>
      </c>
      <c r="V13" s="328">
        <v>1</v>
      </c>
      <c r="W13" s="328">
        <v>1</v>
      </c>
      <c r="X13" s="328">
        <v>1</v>
      </c>
      <c r="Y13" s="328">
        <v>1</v>
      </c>
      <c r="Z13" s="328">
        <v>1</v>
      </c>
      <c r="AA13" s="328">
        <v>1</v>
      </c>
      <c r="AB13" s="328">
        <v>1</v>
      </c>
      <c r="AC13" s="328">
        <v>1</v>
      </c>
      <c r="AD13" s="328">
        <v>1</v>
      </c>
      <c r="AE13" s="328">
        <v>1</v>
      </c>
      <c r="AF13" s="328">
        <v>1</v>
      </c>
    </row>
    <row r="14" spans="1:32" ht="15" customHeight="1">
      <c r="B14" s="64"/>
      <c r="C14" s="175" t="s">
        <v>511</v>
      </c>
      <c r="D14" s="12" t="s">
        <v>65</v>
      </c>
      <c r="E14" s="175" t="s">
        <v>511</v>
      </c>
      <c r="F14" s="544"/>
      <c r="G14" s="328"/>
      <c r="H14" s="328"/>
      <c r="I14" s="328"/>
      <c r="J14" s="328"/>
      <c r="K14" s="328"/>
      <c r="L14" s="328"/>
      <c r="M14" s="328"/>
      <c r="N14" s="328"/>
      <c r="O14" s="328"/>
      <c r="P14" s="328">
        <v>1.1000000000000001</v>
      </c>
      <c r="Q14" s="328">
        <v>1.1000000000000001</v>
      </c>
      <c r="R14" s="328">
        <v>1.1000000000000001</v>
      </c>
      <c r="S14" s="328">
        <v>1.1000000000000001</v>
      </c>
      <c r="T14" s="328">
        <v>1.1000000000000001</v>
      </c>
      <c r="U14" s="328">
        <v>1.1000000000000001</v>
      </c>
      <c r="V14" s="328">
        <v>1.1000000000000001</v>
      </c>
      <c r="W14" s="328">
        <v>1.1000000000000001</v>
      </c>
      <c r="X14" s="328">
        <v>1.1000000000000001</v>
      </c>
      <c r="Y14" s="328">
        <v>1.1000000000000001</v>
      </c>
      <c r="Z14" s="328">
        <v>1.1000000000000001</v>
      </c>
      <c r="AA14" s="328">
        <v>1.1000000000000001</v>
      </c>
      <c r="AB14" s="328">
        <v>1.1000000000000001</v>
      </c>
      <c r="AC14" s="328">
        <v>1.1000000000000001</v>
      </c>
      <c r="AD14" s="328">
        <v>1.1000000000000001</v>
      </c>
      <c r="AE14" s="328">
        <v>1.1000000000000001</v>
      </c>
      <c r="AF14" s="328">
        <v>1.1000000000000001</v>
      </c>
    </row>
    <row r="15" spans="1:32" s="470" customFormat="1" ht="15" customHeight="1">
      <c r="B15" s="471"/>
      <c r="C15" s="191"/>
      <c r="D15" s="186"/>
      <c r="E15" s="193"/>
      <c r="F15" s="543"/>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row>
    <row r="16" spans="1:32" s="470" customFormat="1" ht="15" customHeight="1">
      <c r="B16" s="471"/>
      <c r="C16" s="191"/>
      <c r="D16" s="186"/>
      <c r="E16" s="191"/>
      <c r="F16" s="539"/>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row>
    <row r="17" spans="2:32" s="470" customFormat="1" ht="15" customHeight="1">
      <c r="B17" s="471"/>
      <c r="C17" s="191"/>
      <c r="D17" s="186"/>
      <c r="E17" s="191"/>
      <c r="F17" s="539"/>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row>
    <row r="18" spans="2:32" s="470" customFormat="1" ht="15" customHeight="1">
      <c r="B18" s="471"/>
      <c r="C18" s="191"/>
      <c r="D18" s="186"/>
      <c r="E18" s="191"/>
      <c r="F18" s="539"/>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2" s="470" customFormat="1" ht="15" customHeight="1">
      <c r="B19" s="471"/>
      <c r="C19" s="183"/>
      <c r="D19" s="168"/>
      <c r="E19" s="169"/>
      <c r="F19" s="540"/>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2" s="470" customFormat="1" ht="15" customHeight="1">
      <c r="B20" s="471"/>
      <c r="C20" s="183"/>
      <c r="D20" s="168"/>
      <c r="E20" s="169"/>
      <c r="F20" s="540"/>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2" s="470" customFormat="1" ht="15" customHeight="1">
      <c r="B21" s="471"/>
      <c r="C21" s="183"/>
      <c r="D21" s="186"/>
      <c r="E21" s="169"/>
      <c r="F21" s="540"/>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2" s="470" customFormat="1" ht="15" customHeight="1">
      <c r="B22" s="471"/>
      <c r="C22" s="183"/>
      <c r="D22" s="186"/>
      <c r="E22" s="169"/>
      <c r="F22" s="540"/>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2" s="470" customFormat="1" ht="15" customHeight="1">
      <c r="B23" s="471"/>
      <c r="C23" s="183"/>
      <c r="D23" s="186"/>
      <c r="E23" s="169"/>
      <c r="F23" s="540"/>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2" s="470" customFormat="1" ht="15" customHeight="1">
      <c r="B24" s="471"/>
      <c r="C24" s="183"/>
      <c r="D24" s="186"/>
      <c r="E24" s="169"/>
      <c r="F24" s="540"/>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2" s="470" customFormat="1" ht="15" customHeight="1">
      <c r="B25" s="471"/>
      <c r="C25" s="183"/>
      <c r="D25" s="186"/>
      <c r="E25" s="169"/>
      <c r="F25" s="54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2" s="470" customFormat="1" ht="15" customHeight="1">
      <c r="B26" s="471"/>
      <c r="C26" s="183"/>
      <c r="D26" s="186"/>
      <c r="E26" s="169"/>
      <c r="F26" s="54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2" s="470" customFormat="1" ht="15" customHeight="1">
      <c r="B27" s="471"/>
      <c r="C27" s="183"/>
      <c r="D27" s="186"/>
      <c r="E27" s="169"/>
      <c r="F27" s="54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2" s="470" customFormat="1" ht="15" customHeight="1">
      <c r="B28" s="471"/>
      <c r="C28" s="183"/>
      <c r="D28" s="186"/>
      <c r="E28" s="169"/>
      <c r="F28" s="54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2" s="470" customFormat="1" ht="15" customHeight="1">
      <c r="B29" s="471"/>
      <c r="C29" s="183"/>
      <c r="D29" s="186"/>
      <c r="E29" s="169"/>
      <c r="F29" s="54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2" s="470" customFormat="1" ht="15" customHeight="1">
      <c r="B30" s="471"/>
      <c r="C30" s="183"/>
      <c r="D30" s="186"/>
      <c r="E30" s="169"/>
      <c r="F30" s="54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2" s="470" customFormat="1" ht="15" customHeight="1">
      <c r="B31" s="471"/>
      <c r="C31" s="183"/>
      <c r="D31" s="186"/>
      <c r="E31" s="169"/>
      <c r="F31" s="54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2" s="470" customFormat="1" ht="15" customHeight="1">
      <c r="B32" s="471"/>
      <c r="C32" s="183"/>
      <c r="D32" s="186"/>
      <c r="E32" s="169"/>
      <c r="F32" s="54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54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54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54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54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3"/>
      <c r="D37" s="186"/>
      <c r="E37" s="169"/>
      <c r="F37" s="540"/>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row>
    <row r="38" spans="2: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ht="15" customHeight="1">
      <c r="B39" s="172" t="s">
        <v>27</v>
      </c>
      <c r="C39" s="321" t="s">
        <v>138</v>
      </c>
      <c r="D39" s="22" t="s">
        <v>65</v>
      </c>
      <c r="E39" s="22" t="s">
        <v>288</v>
      </c>
      <c r="F39" s="548"/>
      <c r="G39" s="23"/>
      <c r="H39" s="23"/>
      <c r="I39" s="23"/>
      <c r="J39" s="23"/>
      <c r="K39" s="23">
        <v>1</v>
      </c>
      <c r="L39" s="23">
        <v>1</v>
      </c>
      <c r="M39" s="23">
        <v>1</v>
      </c>
      <c r="N39" s="23">
        <v>1</v>
      </c>
      <c r="O39" s="23">
        <v>1</v>
      </c>
      <c r="P39" s="23">
        <v>1</v>
      </c>
      <c r="Q39" s="23">
        <v>1</v>
      </c>
      <c r="R39" s="23">
        <v>1</v>
      </c>
      <c r="S39" s="23">
        <v>1</v>
      </c>
      <c r="T39" s="23">
        <v>1</v>
      </c>
      <c r="U39" s="23">
        <v>1</v>
      </c>
      <c r="V39" s="23">
        <v>1</v>
      </c>
      <c r="W39" s="23">
        <v>1</v>
      </c>
      <c r="X39" s="23">
        <v>1</v>
      </c>
      <c r="Y39" s="23">
        <v>1</v>
      </c>
      <c r="Z39" s="23">
        <v>1</v>
      </c>
      <c r="AA39" s="23">
        <v>1</v>
      </c>
      <c r="AB39" s="23">
        <v>1</v>
      </c>
      <c r="AC39" s="23">
        <v>1</v>
      </c>
      <c r="AD39" s="23">
        <v>1</v>
      </c>
      <c r="AE39" s="23">
        <v>1</v>
      </c>
      <c r="AF39" s="23">
        <v>1</v>
      </c>
    </row>
    <row r="40" spans="2:32" ht="15" customHeight="1">
      <c r="B40" s="64"/>
      <c r="C40" s="175" t="s">
        <v>511</v>
      </c>
      <c r="D40" s="12" t="s">
        <v>65</v>
      </c>
      <c r="E40" s="12" t="s">
        <v>511</v>
      </c>
      <c r="F40" s="544"/>
      <c r="G40" s="328"/>
      <c r="H40" s="328"/>
      <c r="I40" s="328"/>
      <c r="J40" s="328"/>
      <c r="K40" s="328"/>
      <c r="L40" s="328"/>
      <c r="M40" s="328"/>
      <c r="N40" s="328"/>
      <c r="O40" s="328"/>
      <c r="P40" s="328">
        <v>1.1000000000000001</v>
      </c>
      <c r="Q40" s="328">
        <v>1.1000000000000001</v>
      </c>
      <c r="R40" s="328">
        <v>1.1000000000000001</v>
      </c>
      <c r="S40" s="328">
        <v>1.1000000000000001</v>
      </c>
      <c r="T40" s="328">
        <v>1.1000000000000001</v>
      </c>
      <c r="U40" s="328">
        <v>1.1000000000000001</v>
      </c>
      <c r="V40" s="328">
        <v>1.1000000000000001</v>
      </c>
      <c r="W40" s="328">
        <v>1.1000000000000001</v>
      </c>
      <c r="X40" s="328">
        <v>1.1000000000000001</v>
      </c>
      <c r="Y40" s="328">
        <v>1.1000000000000001</v>
      </c>
      <c r="Z40" s="328">
        <v>1.1000000000000001</v>
      </c>
      <c r="AA40" s="328">
        <v>1.1000000000000001</v>
      </c>
      <c r="AB40" s="328">
        <v>1.1000000000000001</v>
      </c>
      <c r="AC40" s="328">
        <v>1.1000000000000001</v>
      </c>
      <c r="AD40" s="328">
        <v>1.1000000000000001</v>
      </c>
      <c r="AE40" s="328">
        <v>1.1000000000000001</v>
      </c>
      <c r="AF40" s="328">
        <v>1.1000000000000001</v>
      </c>
    </row>
    <row r="41" spans="2:32" s="470" customFormat="1" ht="15" customHeight="1">
      <c r="B41" s="471"/>
      <c r="C41" s="191"/>
      <c r="D41" s="186"/>
      <c r="E41" s="186"/>
      <c r="F41" s="543"/>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row>
    <row r="42" spans="2:32" s="470" customFormat="1" ht="15" customHeight="1">
      <c r="B42" s="471"/>
      <c r="C42" s="191"/>
      <c r="D42" s="186"/>
      <c r="E42" s="186"/>
      <c r="F42" s="539"/>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row>
    <row r="43" spans="2:32" s="470" customFormat="1" ht="15" customHeight="1">
      <c r="B43" s="471"/>
      <c r="C43" s="191"/>
      <c r="D43" s="186"/>
      <c r="E43" s="186"/>
      <c r="F43" s="539"/>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row>
    <row r="44" spans="2:32" s="470" customFormat="1" ht="15" customHeight="1">
      <c r="B44" s="471"/>
      <c r="C44" s="191"/>
      <c r="D44" s="186"/>
      <c r="E44" s="186"/>
      <c r="F44" s="539"/>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2:32" s="470" customFormat="1" ht="15" customHeight="1">
      <c r="B45" s="471"/>
      <c r="C45" s="183"/>
      <c r="D45" s="168"/>
      <c r="E45" s="168"/>
      <c r="F45" s="540"/>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2:32" s="470" customFormat="1" ht="15" customHeight="1">
      <c r="B46" s="471"/>
      <c r="C46" s="183"/>
      <c r="D46" s="168"/>
      <c r="E46" s="168"/>
      <c r="F46" s="540"/>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2:32" s="470" customFormat="1" ht="15" customHeight="1">
      <c r="B47" s="471"/>
      <c r="C47" s="183"/>
      <c r="D47" s="186"/>
      <c r="E47" s="186"/>
      <c r="F47" s="540"/>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2:32" s="470" customFormat="1" ht="15" customHeight="1">
      <c r="B48" s="471"/>
      <c r="C48" s="183"/>
      <c r="D48" s="186"/>
      <c r="E48" s="186"/>
      <c r="F48" s="540"/>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86"/>
      <c r="F49" s="540"/>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86"/>
      <c r="F50" s="540"/>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86"/>
      <c r="F51" s="54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86"/>
      <c r="F52" s="54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86"/>
      <c r="F53" s="54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86"/>
      <c r="F54" s="54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86"/>
      <c r="F55" s="54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86"/>
      <c r="F56" s="54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86"/>
      <c r="F57" s="54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86"/>
      <c r="F58" s="54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86"/>
      <c r="F59" s="54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86"/>
      <c r="F60" s="54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86"/>
      <c r="F61" s="54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86"/>
      <c r="F62" s="54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3"/>
      <c r="D63" s="186"/>
      <c r="E63" s="186"/>
      <c r="F63" s="54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2:32" ht="15" customHeight="1">
      <c r="B65" s="172" t="s">
        <v>13</v>
      </c>
      <c r="C65" s="321" t="s">
        <v>138</v>
      </c>
      <c r="D65" s="22" t="s">
        <v>65</v>
      </c>
      <c r="E65" s="22" t="s">
        <v>288</v>
      </c>
      <c r="F65" s="548"/>
      <c r="G65" s="23"/>
      <c r="H65" s="23"/>
      <c r="I65" s="23"/>
      <c r="J65" s="23"/>
      <c r="K65" s="23">
        <v>1</v>
      </c>
      <c r="L65" s="23">
        <v>1</v>
      </c>
      <c r="M65" s="23">
        <v>1</v>
      </c>
      <c r="N65" s="23">
        <v>1</v>
      </c>
      <c r="O65" s="23">
        <v>1</v>
      </c>
      <c r="P65" s="23">
        <v>1</v>
      </c>
      <c r="Q65" s="23">
        <v>1</v>
      </c>
      <c r="R65" s="23">
        <v>1</v>
      </c>
      <c r="S65" s="23">
        <v>1</v>
      </c>
      <c r="T65" s="23">
        <v>1</v>
      </c>
      <c r="U65" s="23">
        <v>1</v>
      </c>
      <c r="V65" s="23">
        <v>1</v>
      </c>
      <c r="W65" s="23">
        <v>1</v>
      </c>
      <c r="X65" s="23">
        <v>1</v>
      </c>
      <c r="Y65" s="23">
        <v>1</v>
      </c>
      <c r="Z65" s="23">
        <v>1</v>
      </c>
      <c r="AA65" s="23">
        <v>1</v>
      </c>
      <c r="AB65" s="23">
        <v>1</v>
      </c>
      <c r="AC65" s="23">
        <v>1</v>
      </c>
      <c r="AD65" s="23">
        <v>1</v>
      </c>
      <c r="AE65" s="23">
        <v>1</v>
      </c>
      <c r="AF65" s="23">
        <v>1</v>
      </c>
    </row>
    <row r="66" spans="2:32" ht="15" customHeight="1">
      <c r="B66" s="64"/>
      <c r="C66" s="175" t="s">
        <v>511</v>
      </c>
      <c r="D66" s="12" t="s">
        <v>65</v>
      </c>
      <c r="E66" s="12" t="s">
        <v>511</v>
      </c>
      <c r="F66" s="544"/>
      <c r="G66" s="328"/>
      <c r="H66" s="328"/>
      <c r="I66" s="328"/>
      <c r="J66" s="328"/>
      <c r="K66" s="328"/>
      <c r="L66" s="328"/>
      <c r="M66" s="328"/>
      <c r="N66" s="328"/>
      <c r="O66" s="328"/>
      <c r="P66" s="328">
        <v>1.1000000000000001</v>
      </c>
      <c r="Q66" s="328">
        <v>1.1000000000000001</v>
      </c>
      <c r="R66" s="328">
        <v>1.1000000000000001</v>
      </c>
      <c r="S66" s="328">
        <v>1.1000000000000001</v>
      </c>
      <c r="T66" s="328">
        <v>1.1000000000000001</v>
      </c>
      <c r="U66" s="328">
        <v>1.1000000000000001</v>
      </c>
      <c r="V66" s="328">
        <v>1.1000000000000001</v>
      </c>
      <c r="W66" s="328">
        <v>1.1000000000000001</v>
      </c>
      <c r="X66" s="328">
        <v>1.1000000000000001</v>
      </c>
      <c r="Y66" s="328">
        <v>1.1000000000000001</v>
      </c>
      <c r="Z66" s="328">
        <v>1.1000000000000001</v>
      </c>
      <c r="AA66" s="328">
        <v>1.1000000000000001</v>
      </c>
      <c r="AB66" s="328">
        <v>1.1000000000000001</v>
      </c>
      <c r="AC66" s="328">
        <v>1.1000000000000001</v>
      </c>
      <c r="AD66" s="328">
        <v>1.1000000000000001</v>
      </c>
      <c r="AE66" s="328">
        <v>1.1000000000000001</v>
      </c>
      <c r="AF66" s="328">
        <v>1.1000000000000001</v>
      </c>
    </row>
    <row r="67" spans="2:32" s="470" customFormat="1" ht="15" customHeight="1">
      <c r="B67" s="471"/>
      <c r="C67" s="191"/>
      <c r="D67" s="186"/>
      <c r="E67" s="186"/>
      <c r="F67" s="543"/>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row>
    <row r="68" spans="2:32" s="470" customFormat="1" ht="15" customHeight="1">
      <c r="B68" s="471"/>
      <c r="C68" s="191"/>
      <c r="D68" s="186"/>
      <c r="E68" s="186"/>
      <c r="F68" s="539"/>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row>
    <row r="69" spans="2:32" s="470" customFormat="1" ht="15" customHeight="1">
      <c r="B69" s="471"/>
      <c r="C69" s="191"/>
      <c r="D69" s="186"/>
      <c r="E69" s="186"/>
      <c r="F69" s="539"/>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row>
    <row r="70" spans="2:32" s="470" customFormat="1" ht="15" customHeight="1">
      <c r="B70" s="471"/>
      <c r="C70" s="191"/>
      <c r="D70" s="186"/>
      <c r="E70" s="186"/>
      <c r="F70" s="539"/>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row>
    <row r="71" spans="2:32" s="470" customFormat="1" ht="15" customHeight="1">
      <c r="B71" s="471"/>
      <c r="C71" s="183"/>
      <c r="D71" s="168"/>
      <c r="E71" s="168"/>
      <c r="F71" s="540"/>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s="470" customFormat="1" ht="15" customHeight="1">
      <c r="B72" s="471"/>
      <c r="C72" s="183"/>
      <c r="D72" s="168"/>
      <c r="E72" s="168"/>
      <c r="F72" s="540"/>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s="470" customFormat="1" ht="15" customHeight="1">
      <c r="B73" s="471"/>
      <c r="C73" s="183"/>
      <c r="D73" s="186"/>
      <c r="E73" s="186"/>
      <c r="F73" s="540"/>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s="470" customFormat="1" ht="15" customHeight="1">
      <c r="B74" s="471"/>
      <c r="C74" s="183"/>
      <c r="D74" s="186"/>
      <c r="E74" s="186"/>
      <c r="F74" s="540"/>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s="470" customFormat="1" ht="15" customHeight="1">
      <c r="B75" s="471"/>
      <c r="C75" s="183"/>
      <c r="D75" s="186"/>
      <c r="E75" s="186"/>
      <c r="F75" s="540"/>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2:32" s="470" customFormat="1" ht="15" customHeight="1">
      <c r="B76" s="471"/>
      <c r="C76" s="183"/>
      <c r="D76" s="186"/>
      <c r="E76" s="186"/>
      <c r="F76" s="540"/>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2:32" s="470" customFormat="1" ht="15" customHeight="1">
      <c r="B77" s="471"/>
      <c r="C77" s="183"/>
      <c r="D77" s="186"/>
      <c r="E77" s="186"/>
      <c r="F77" s="54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2:32" s="470" customFormat="1" ht="15" customHeight="1">
      <c r="B78" s="471"/>
      <c r="C78" s="183"/>
      <c r="D78" s="186"/>
      <c r="E78" s="186"/>
      <c r="F78" s="54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2:32" s="470" customFormat="1" ht="15" customHeight="1">
      <c r="B79" s="471"/>
      <c r="C79" s="183"/>
      <c r="D79" s="186"/>
      <c r="E79" s="186"/>
      <c r="F79" s="54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2:32" s="470" customFormat="1" ht="15" customHeight="1">
      <c r="B80" s="471"/>
      <c r="C80" s="183"/>
      <c r="D80" s="186"/>
      <c r="E80" s="186"/>
      <c r="F80" s="54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2:32" s="470" customFormat="1" ht="15" customHeight="1">
      <c r="B81" s="471"/>
      <c r="C81" s="183"/>
      <c r="D81" s="186"/>
      <c r="E81" s="186"/>
      <c r="F81" s="54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2:32" s="470" customFormat="1" ht="15" customHeight="1">
      <c r="B82" s="471"/>
      <c r="C82" s="183"/>
      <c r="D82" s="186"/>
      <c r="E82" s="186"/>
      <c r="F82" s="54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2:32" s="470" customFormat="1" ht="15" customHeight="1">
      <c r="B83" s="471"/>
      <c r="C83" s="183"/>
      <c r="D83" s="186"/>
      <c r="E83" s="186"/>
      <c r="F83" s="54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2:32" s="470" customFormat="1" ht="15" customHeight="1">
      <c r="B84" s="471"/>
      <c r="C84" s="183"/>
      <c r="D84" s="186"/>
      <c r="E84" s="186"/>
      <c r="F84" s="54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2:32" s="470" customFormat="1" ht="15" customHeight="1">
      <c r="B85" s="471"/>
      <c r="C85" s="183"/>
      <c r="D85" s="186"/>
      <c r="E85" s="186"/>
      <c r="F85" s="54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2:32" s="470" customFormat="1" ht="15" customHeight="1">
      <c r="B86" s="471"/>
      <c r="C86" s="183"/>
      <c r="D86" s="186"/>
      <c r="E86" s="186"/>
      <c r="F86" s="54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2:32" s="470" customFormat="1" ht="15" customHeight="1">
      <c r="B87" s="471"/>
      <c r="C87" s="183"/>
      <c r="D87" s="186"/>
      <c r="E87" s="186"/>
      <c r="F87" s="54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2:32" s="470" customFormat="1" ht="15" customHeight="1">
      <c r="B88" s="471"/>
      <c r="C88" s="183"/>
      <c r="D88" s="186"/>
      <c r="E88" s="186"/>
      <c r="F88" s="54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2:32" s="470" customFormat="1" ht="15" customHeight="1">
      <c r="B89" s="472"/>
      <c r="C89" s="183"/>
      <c r="D89" s="186"/>
      <c r="E89" s="186"/>
      <c r="F89" s="54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2:32"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2:32" ht="15" customHeight="1">
      <c r="B91" s="172" t="s">
        <v>12</v>
      </c>
      <c r="C91" s="321" t="s">
        <v>138</v>
      </c>
      <c r="D91" s="22" t="s">
        <v>65</v>
      </c>
      <c r="E91" s="22" t="s">
        <v>288</v>
      </c>
      <c r="F91" s="548"/>
      <c r="G91" s="23"/>
      <c r="H91" s="23"/>
      <c r="I91" s="23"/>
      <c r="J91" s="23"/>
      <c r="K91" s="23">
        <v>1</v>
      </c>
      <c r="L91" s="23">
        <v>1</v>
      </c>
      <c r="M91" s="23">
        <v>1</v>
      </c>
      <c r="N91" s="23">
        <v>1</v>
      </c>
      <c r="O91" s="23">
        <v>1</v>
      </c>
      <c r="P91" s="23">
        <v>1</v>
      </c>
      <c r="Q91" s="23">
        <v>1</v>
      </c>
      <c r="R91" s="23">
        <v>1</v>
      </c>
      <c r="S91" s="23">
        <v>1</v>
      </c>
      <c r="T91" s="23">
        <v>1</v>
      </c>
      <c r="U91" s="23">
        <v>1</v>
      </c>
      <c r="V91" s="23">
        <v>1</v>
      </c>
      <c r="W91" s="23">
        <v>1</v>
      </c>
      <c r="X91" s="23">
        <v>1</v>
      </c>
      <c r="Y91" s="23">
        <v>1</v>
      </c>
      <c r="Z91" s="23">
        <v>1</v>
      </c>
      <c r="AA91" s="23">
        <v>1</v>
      </c>
      <c r="AB91" s="23">
        <v>1</v>
      </c>
      <c r="AC91" s="23">
        <v>1</v>
      </c>
      <c r="AD91" s="23">
        <v>1</v>
      </c>
      <c r="AE91" s="23">
        <v>1</v>
      </c>
      <c r="AF91" s="23">
        <v>1</v>
      </c>
    </row>
    <row r="92" spans="2:32" ht="15" customHeight="1">
      <c r="B92" s="64"/>
      <c r="C92" s="175" t="s">
        <v>511</v>
      </c>
      <c r="D92" s="12" t="s">
        <v>65</v>
      </c>
      <c r="E92" s="12" t="s">
        <v>511</v>
      </c>
      <c r="F92" s="544"/>
      <c r="G92" s="328"/>
      <c r="H92" s="328"/>
      <c r="I92" s="328"/>
      <c r="J92" s="328"/>
      <c r="K92" s="328"/>
      <c r="L92" s="328"/>
      <c r="M92" s="328"/>
      <c r="N92" s="328"/>
      <c r="O92" s="328"/>
      <c r="P92" s="328">
        <v>1.1000000000000001</v>
      </c>
      <c r="Q92" s="328">
        <v>1.1000000000000001</v>
      </c>
      <c r="R92" s="328">
        <v>1.1000000000000001</v>
      </c>
      <c r="S92" s="328">
        <v>1.1000000000000001</v>
      </c>
      <c r="T92" s="328">
        <v>1.1000000000000001</v>
      </c>
      <c r="U92" s="328">
        <v>1.1000000000000001</v>
      </c>
      <c r="V92" s="328">
        <v>1.1000000000000001</v>
      </c>
      <c r="W92" s="328">
        <v>1.1000000000000001</v>
      </c>
      <c r="X92" s="328">
        <v>1.1000000000000001</v>
      </c>
      <c r="Y92" s="328">
        <v>1.1000000000000001</v>
      </c>
      <c r="Z92" s="328">
        <v>1.1000000000000001</v>
      </c>
      <c r="AA92" s="328">
        <v>1.1000000000000001</v>
      </c>
      <c r="AB92" s="328">
        <v>1.1000000000000001</v>
      </c>
      <c r="AC92" s="328">
        <v>1.1000000000000001</v>
      </c>
      <c r="AD92" s="328">
        <v>1.1000000000000001</v>
      </c>
      <c r="AE92" s="328">
        <v>1.1000000000000001</v>
      </c>
      <c r="AF92" s="328">
        <v>1.1000000000000001</v>
      </c>
    </row>
    <row r="93" spans="2:32" s="470" customFormat="1" ht="15" customHeight="1">
      <c r="B93" s="471"/>
      <c r="C93" s="191"/>
      <c r="D93" s="186"/>
      <c r="E93" s="186"/>
      <c r="F93" s="543"/>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row>
    <row r="94" spans="2:32" s="470" customFormat="1" ht="15" customHeight="1">
      <c r="B94" s="471"/>
      <c r="C94" s="191"/>
      <c r="D94" s="186"/>
      <c r="E94" s="186"/>
      <c r="F94" s="539"/>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row>
    <row r="95" spans="2:32" s="470" customFormat="1" ht="15" customHeight="1">
      <c r="B95" s="471"/>
      <c r="C95" s="191"/>
      <c r="D95" s="186"/>
      <c r="E95" s="186"/>
      <c r="F95" s="539"/>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row>
    <row r="96" spans="2:32" s="470" customFormat="1" ht="15" customHeight="1">
      <c r="B96" s="471"/>
      <c r="C96" s="191"/>
      <c r="D96" s="186"/>
      <c r="E96" s="186"/>
      <c r="F96" s="539"/>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83"/>
      <c r="D97" s="168"/>
      <c r="E97" s="168"/>
      <c r="F97" s="540"/>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68"/>
      <c r="F98" s="540"/>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83"/>
      <c r="D99" s="186"/>
      <c r="E99" s="186"/>
      <c r="F99" s="540"/>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86"/>
      <c r="F100" s="540"/>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86"/>
      <c r="F101" s="540"/>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86"/>
      <c r="E102" s="186"/>
      <c r="F102" s="540"/>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86"/>
      <c r="F103" s="54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86"/>
      <c r="F104" s="54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86"/>
      <c r="F105" s="54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86"/>
      <c r="F106" s="540"/>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86"/>
      <c r="F107" s="54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86"/>
      <c r="F108" s="54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86"/>
      <c r="F109" s="54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86"/>
      <c r="F110" s="54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86"/>
      <c r="F111" s="54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86"/>
      <c r="F112" s="54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2:32" s="470" customFormat="1" ht="15" customHeight="1">
      <c r="B113" s="471"/>
      <c r="C113" s="183"/>
      <c r="D113" s="186"/>
      <c r="E113" s="186"/>
      <c r="F113" s="54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2:32" s="470" customFormat="1" ht="15" customHeight="1">
      <c r="B114" s="471"/>
      <c r="C114" s="183"/>
      <c r="D114" s="186"/>
      <c r="E114" s="186"/>
      <c r="F114" s="54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2:32" s="470" customFormat="1" ht="15" customHeight="1">
      <c r="B115" s="472"/>
      <c r="C115" s="183"/>
      <c r="D115" s="186"/>
      <c r="E115" s="186"/>
      <c r="F115" s="54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2:32"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2:32" ht="15" customHeight="1">
      <c r="B117" s="172" t="s">
        <v>24</v>
      </c>
      <c r="C117" s="321" t="s">
        <v>138</v>
      </c>
      <c r="D117" s="22" t="s">
        <v>65</v>
      </c>
      <c r="E117" s="22" t="s">
        <v>288</v>
      </c>
      <c r="F117" s="548"/>
      <c r="G117" s="23"/>
      <c r="H117" s="23"/>
      <c r="I117" s="23"/>
      <c r="J117" s="23"/>
      <c r="K117" s="23">
        <v>1</v>
      </c>
      <c r="L117" s="23">
        <v>1</v>
      </c>
      <c r="M117" s="23">
        <v>1</v>
      </c>
      <c r="N117" s="23">
        <v>1</v>
      </c>
      <c r="O117" s="23">
        <v>1</v>
      </c>
      <c r="P117" s="23">
        <v>1</v>
      </c>
      <c r="Q117" s="23">
        <v>1</v>
      </c>
      <c r="R117" s="23">
        <v>1</v>
      </c>
      <c r="S117" s="23">
        <v>1</v>
      </c>
      <c r="T117" s="23">
        <v>1</v>
      </c>
      <c r="U117" s="23">
        <v>1</v>
      </c>
      <c r="V117" s="23">
        <v>1</v>
      </c>
      <c r="W117" s="23">
        <v>1</v>
      </c>
      <c r="X117" s="23">
        <v>1</v>
      </c>
      <c r="Y117" s="23">
        <v>1</v>
      </c>
      <c r="Z117" s="23">
        <v>1</v>
      </c>
      <c r="AA117" s="23">
        <v>1</v>
      </c>
      <c r="AB117" s="23">
        <v>1</v>
      </c>
      <c r="AC117" s="23">
        <v>1</v>
      </c>
      <c r="AD117" s="23">
        <v>1</v>
      </c>
      <c r="AE117" s="23">
        <v>1</v>
      </c>
      <c r="AF117" s="23">
        <v>1</v>
      </c>
    </row>
    <row r="118" spans="2:32" ht="15" customHeight="1">
      <c r="B118" s="64"/>
      <c r="C118" s="175" t="s">
        <v>511</v>
      </c>
      <c r="D118" s="12" t="s">
        <v>65</v>
      </c>
      <c r="E118" s="12" t="s">
        <v>511</v>
      </c>
      <c r="F118" s="544"/>
      <c r="G118" s="328"/>
      <c r="H118" s="328"/>
      <c r="I118" s="328"/>
      <c r="J118" s="328"/>
      <c r="K118" s="328"/>
      <c r="L118" s="328"/>
      <c r="M118" s="328"/>
      <c r="N118" s="328"/>
      <c r="O118" s="328"/>
      <c r="P118" s="328">
        <v>1.1000000000000001</v>
      </c>
      <c r="Q118" s="328">
        <v>1.1000000000000001</v>
      </c>
      <c r="R118" s="328">
        <v>1.1000000000000001</v>
      </c>
      <c r="S118" s="328">
        <v>1.1000000000000001</v>
      </c>
      <c r="T118" s="328">
        <v>1.1000000000000001</v>
      </c>
      <c r="U118" s="328">
        <v>1.1000000000000001</v>
      </c>
      <c r="V118" s="328">
        <v>1.1000000000000001</v>
      </c>
      <c r="W118" s="328">
        <v>1.1000000000000001</v>
      </c>
      <c r="X118" s="328">
        <v>1.1000000000000001</v>
      </c>
      <c r="Y118" s="328">
        <v>1.1000000000000001</v>
      </c>
      <c r="Z118" s="328">
        <v>1.1000000000000001</v>
      </c>
      <c r="AA118" s="328">
        <v>1.1000000000000001</v>
      </c>
      <c r="AB118" s="328">
        <v>1.1000000000000001</v>
      </c>
      <c r="AC118" s="328">
        <v>1.1000000000000001</v>
      </c>
      <c r="AD118" s="328">
        <v>1.1000000000000001</v>
      </c>
      <c r="AE118" s="328">
        <v>1.1000000000000001</v>
      </c>
      <c r="AF118" s="328">
        <v>1.1000000000000001</v>
      </c>
    </row>
    <row r="119" spans="2:32" s="470" customFormat="1" ht="15" customHeight="1">
      <c r="B119" s="471"/>
      <c r="C119" s="191"/>
      <c r="D119" s="186"/>
      <c r="E119" s="186"/>
      <c r="F119" s="543"/>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row>
    <row r="120" spans="2:32" s="470" customFormat="1" ht="15" customHeight="1">
      <c r="B120" s="471"/>
      <c r="C120" s="263"/>
      <c r="D120" s="186"/>
      <c r="E120" s="186"/>
      <c r="F120" s="549"/>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row>
    <row r="121" spans="2:32" s="470" customFormat="1" ht="15" customHeight="1">
      <c r="B121" s="471"/>
      <c r="C121" s="191"/>
      <c r="D121" s="186"/>
      <c r="E121" s="186"/>
      <c r="F121" s="539"/>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row>
    <row r="122" spans="2:32" s="470" customFormat="1" ht="15" customHeight="1">
      <c r="B122" s="471"/>
      <c r="C122" s="191"/>
      <c r="D122" s="186"/>
      <c r="E122" s="186"/>
      <c r="F122" s="539"/>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row>
    <row r="123" spans="2:32" s="470" customFormat="1" ht="15" customHeight="1">
      <c r="B123" s="471"/>
      <c r="C123" s="183"/>
      <c r="D123" s="168"/>
      <c r="E123" s="168"/>
      <c r="F123" s="540"/>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row>
    <row r="124" spans="2:32" s="470" customFormat="1" ht="15" customHeight="1">
      <c r="B124" s="471"/>
      <c r="C124" s="183"/>
      <c r="D124" s="168"/>
      <c r="E124" s="168"/>
      <c r="F124" s="540"/>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2:32" s="470" customFormat="1" ht="15" customHeight="1">
      <c r="B125" s="471"/>
      <c r="C125" s="183"/>
      <c r="D125" s="186"/>
      <c r="E125" s="186"/>
      <c r="F125" s="540"/>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2:32" s="470" customFormat="1" ht="15" customHeight="1">
      <c r="B126" s="471"/>
      <c r="C126" s="183"/>
      <c r="D126" s="186"/>
      <c r="E126" s="186"/>
      <c r="F126" s="540"/>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2:32" s="470" customFormat="1" ht="15" customHeight="1">
      <c r="B127" s="471"/>
      <c r="C127" s="183"/>
      <c r="D127" s="186"/>
      <c r="E127" s="186"/>
      <c r="F127" s="540"/>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2:32" s="470" customFormat="1" ht="15" customHeight="1">
      <c r="B128" s="471"/>
      <c r="C128" s="183"/>
      <c r="D128" s="186"/>
      <c r="E128" s="186"/>
      <c r="F128" s="540"/>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2:32" s="470" customFormat="1" ht="15" customHeight="1">
      <c r="B129" s="471"/>
      <c r="C129" s="183"/>
      <c r="D129" s="186"/>
      <c r="E129" s="186"/>
      <c r="F129" s="540"/>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2:32" s="470" customFormat="1" ht="15" customHeight="1">
      <c r="B130" s="471"/>
      <c r="C130" s="183"/>
      <c r="D130" s="186"/>
      <c r="E130" s="186"/>
      <c r="F130" s="540"/>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2:32" s="470" customFormat="1" ht="15" customHeight="1">
      <c r="B131" s="471"/>
      <c r="C131" s="183"/>
      <c r="D131" s="186"/>
      <c r="E131" s="186"/>
      <c r="F131" s="540"/>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2:32" s="470" customFormat="1" ht="15" customHeight="1">
      <c r="B132" s="471"/>
      <c r="C132" s="183"/>
      <c r="D132" s="186"/>
      <c r="E132" s="186"/>
      <c r="F132" s="540"/>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2:32" s="470" customFormat="1" ht="15" customHeight="1">
      <c r="B133" s="471"/>
      <c r="C133" s="183"/>
      <c r="D133" s="186"/>
      <c r="E133" s="186"/>
      <c r="F133" s="54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2:32" s="470" customFormat="1" ht="15" customHeight="1">
      <c r="B134" s="471"/>
      <c r="C134" s="183"/>
      <c r="D134" s="186"/>
      <c r="E134" s="186"/>
      <c r="F134" s="54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2:32" s="470" customFormat="1" ht="15" customHeight="1">
      <c r="B135" s="471"/>
      <c r="C135" s="183"/>
      <c r="D135" s="186"/>
      <c r="E135" s="186"/>
      <c r="F135" s="54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2:32" s="470" customFormat="1" ht="15" customHeight="1">
      <c r="B136" s="471"/>
      <c r="C136" s="183"/>
      <c r="D136" s="186"/>
      <c r="E136" s="186"/>
      <c r="F136" s="54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2:32" s="470" customFormat="1" ht="15" customHeight="1">
      <c r="B137" s="471"/>
      <c r="C137" s="183"/>
      <c r="D137" s="186"/>
      <c r="E137" s="186"/>
      <c r="F137" s="54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2:32" s="470" customFormat="1" ht="15" customHeight="1">
      <c r="B138" s="471"/>
      <c r="C138" s="183"/>
      <c r="D138" s="186"/>
      <c r="E138" s="186"/>
      <c r="F138" s="54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2:32" s="470" customFormat="1" ht="15" customHeight="1">
      <c r="B139" s="471"/>
      <c r="C139" s="183"/>
      <c r="D139" s="186"/>
      <c r="E139" s="186"/>
      <c r="F139" s="54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2:32" s="470" customFormat="1" ht="15" customHeight="1">
      <c r="B140" s="471"/>
      <c r="C140" s="183"/>
      <c r="D140" s="186"/>
      <c r="E140" s="186"/>
      <c r="F140" s="54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2:32" s="470" customFormat="1" ht="15" customHeight="1">
      <c r="B141" s="472"/>
      <c r="C141" s="183"/>
      <c r="D141" s="186"/>
      <c r="E141" s="186"/>
      <c r="F141" s="54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2: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2:32" ht="15" customHeight="1">
      <c r="B143" s="172" t="s">
        <v>26</v>
      </c>
      <c r="C143" s="321" t="s">
        <v>138</v>
      </c>
      <c r="D143" s="22" t="s">
        <v>65</v>
      </c>
      <c r="E143" s="22" t="s">
        <v>288</v>
      </c>
      <c r="F143" s="548"/>
      <c r="G143" s="23"/>
      <c r="H143" s="23"/>
      <c r="I143" s="23"/>
      <c r="J143" s="23"/>
      <c r="K143" s="23">
        <v>1</v>
      </c>
      <c r="L143" s="23">
        <v>1</v>
      </c>
      <c r="M143" s="23">
        <v>1</v>
      </c>
      <c r="N143" s="23">
        <v>1</v>
      </c>
      <c r="O143" s="23">
        <v>1</v>
      </c>
      <c r="P143" s="23">
        <v>1</v>
      </c>
      <c r="Q143" s="23">
        <v>1</v>
      </c>
      <c r="R143" s="23">
        <v>1</v>
      </c>
      <c r="S143" s="23">
        <v>1</v>
      </c>
      <c r="T143" s="23">
        <v>1</v>
      </c>
      <c r="U143" s="23">
        <v>1</v>
      </c>
      <c r="V143" s="23">
        <v>1</v>
      </c>
      <c r="W143" s="23">
        <v>1</v>
      </c>
      <c r="X143" s="23">
        <v>1</v>
      </c>
      <c r="Y143" s="23">
        <v>1</v>
      </c>
      <c r="Z143" s="23">
        <v>1</v>
      </c>
      <c r="AA143" s="23">
        <v>1</v>
      </c>
      <c r="AB143" s="23">
        <v>1</v>
      </c>
      <c r="AC143" s="23">
        <v>1</v>
      </c>
      <c r="AD143" s="23">
        <v>1</v>
      </c>
      <c r="AE143" s="23">
        <v>1</v>
      </c>
      <c r="AF143" s="23">
        <v>1</v>
      </c>
    </row>
    <row r="144" spans="2:32" ht="15" customHeight="1">
      <c r="B144" s="64"/>
      <c r="C144" s="175" t="s">
        <v>511</v>
      </c>
      <c r="D144" s="12" t="s">
        <v>65</v>
      </c>
      <c r="E144" s="12" t="s">
        <v>511</v>
      </c>
      <c r="F144" s="544"/>
      <c r="G144" s="328"/>
      <c r="H144" s="328"/>
      <c r="I144" s="328"/>
      <c r="J144" s="328"/>
      <c r="K144" s="328"/>
      <c r="L144" s="328"/>
      <c r="M144" s="328"/>
      <c r="N144" s="328"/>
      <c r="O144" s="328"/>
      <c r="P144" s="328">
        <v>1.1000000000000001</v>
      </c>
      <c r="Q144" s="328">
        <v>1.1000000000000001</v>
      </c>
      <c r="R144" s="328">
        <v>1.1000000000000001</v>
      </c>
      <c r="S144" s="328">
        <v>1.1000000000000001</v>
      </c>
      <c r="T144" s="328">
        <v>1.1000000000000001</v>
      </c>
      <c r="U144" s="328">
        <v>1.1000000000000001</v>
      </c>
      <c r="V144" s="328">
        <v>1.1000000000000001</v>
      </c>
      <c r="W144" s="328">
        <v>1.1000000000000001</v>
      </c>
      <c r="X144" s="328">
        <v>1.1000000000000001</v>
      </c>
      <c r="Y144" s="328">
        <v>1.1000000000000001</v>
      </c>
      <c r="Z144" s="328">
        <v>1.1000000000000001</v>
      </c>
      <c r="AA144" s="328">
        <v>1.1000000000000001</v>
      </c>
      <c r="AB144" s="328">
        <v>1.1000000000000001</v>
      </c>
      <c r="AC144" s="328">
        <v>1.1000000000000001</v>
      </c>
      <c r="AD144" s="328">
        <v>1.1000000000000001</v>
      </c>
      <c r="AE144" s="328">
        <v>1.1000000000000001</v>
      </c>
      <c r="AF144" s="328">
        <v>1.1000000000000001</v>
      </c>
    </row>
    <row r="145" spans="2:32" s="470" customFormat="1" ht="15" customHeight="1">
      <c r="B145" s="471"/>
      <c r="C145" s="191"/>
      <c r="D145" s="186"/>
      <c r="E145" s="186"/>
      <c r="F145" s="543"/>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row>
    <row r="146" spans="2:32" s="470" customFormat="1" ht="15" customHeight="1">
      <c r="B146" s="471"/>
      <c r="C146" s="263"/>
      <c r="D146" s="186"/>
      <c r="E146" s="186"/>
      <c r="F146" s="549"/>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row>
    <row r="147" spans="2:32" s="470" customFormat="1" ht="15" customHeight="1">
      <c r="B147" s="471"/>
      <c r="C147" s="191"/>
      <c r="D147" s="186"/>
      <c r="E147" s="186"/>
      <c r="F147" s="539"/>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row>
    <row r="148" spans="2:32" s="470" customFormat="1" ht="15" customHeight="1">
      <c r="B148" s="471"/>
      <c r="C148" s="191"/>
      <c r="D148" s="186"/>
      <c r="E148" s="186"/>
      <c r="F148" s="539"/>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row>
    <row r="149" spans="2:32" s="470" customFormat="1" ht="15" customHeight="1">
      <c r="B149" s="471"/>
      <c r="C149" s="183"/>
      <c r="D149" s="168"/>
      <c r="E149" s="168"/>
      <c r="F149" s="540"/>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row>
    <row r="150" spans="2:32" s="470" customFormat="1" ht="15" customHeight="1">
      <c r="B150" s="471"/>
      <c r="C150" s="183"/>
      <c r="D150" s="168"/>
      <c r="E150" s="168"/>
      <c r="F150" s="540"/>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2:32" s="470" customFormat="1" ht="15" customHeight="1">
      <c r="B151" s="471"/>
      <c r="C151" s="183"/>
      <c r="D151" s="186"/>
      <c r="E151" s="186"/>
      <c r="F151" s="540"/>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2:32" s="470" customFormat="1" ht="15" customHeight="1">
      <c r="B152" s="471"/>
      <c r="C152" s="183"/>
      <c r="D152" s="186"/>
      <c r="E152" s="186"/>
      <c r="F152" s="540"/>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2:32" s="470" customFormat="1" ht="15" customHeight="1">
      <c r="B153" s="471"/>
      <c r="C153" s="183"/>
      <c r="D153" s="186"/>
      <c r="E153" s="186"/>
      <c r="F153" s="540"/>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2:32" s="470" customFormat="1" ht="15" customHeight="1">
      <c r="B154" s="471"/>
      <c r="C154" s="183"/>
      <c r="D154" s="186"/>
      <c r="E154" s="186"/>
      <c r="F154" s="540"/>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2:32" s="470" customFormat="1" ht="15" customHeight="1">
      <c r="B155" s="471"/>
      <c r="C155" s="183"/>
      <c r="D155" s="186"/>
      <c r="E155" s="186"/>
      <c r="F155" s="54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2:32" s="470" customFormat="1" ht="15" customHeight="1">
      <c r="B156" s="471"/>
      <c r="C156" s="183"/>
      <c r="D156" s="186"/>
      <c r="E156" s="186"/>
      <c r="F156" s="54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2:32" s="470" customFormat="1" ht="15" customHeight="1">
      <c r="B157" s="471"/>
      <c r="C157" s="183"/>
      <c r="D157" s="186"/>
      <c r="E157" s="186"/>
      <c r="F157" s="54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2:32" s="470" customFormat="1" ht="15" customHeight="1">
      <c r="B158" s="471"/>
      <c r="C158" s="183"/>
      <c r="D158" s="186"/>
      <c r="E158" s="186"/>
      <c r="F158" s="54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2:32" s="470" customFormat="1" ht="15" customHeight="1">
      <c r="B159" s="471"/>
      <c r="C159" s="183"/>
      <c r="D159" s="186"/>
      <c r="E159" s="186"/>
      <c r="F159" s="54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2:32" s="470" customFormat="1" ht="15" customHeight="1">
      <c r="B160" s="471"/>
      <c r="C160" s="183"/>
      <c r="D160" s="186"/>
      <c r="E160" s="186"/>
      <c r="F160" s="54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2:32" s="470" customFormat="1" ht="15" customHeight="1">
      <c r="B161" s="471"/>
      <c r="C161" s="183"/>
      <c r="D161" s="186"/>
      <c r="E161" s="186"/>
      <c r="F161" s="54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2:32" s="470" customFormat="1" ht="15" customHeight="1">
      <c r="B162" s="471"/>
      <c r="C162" s="183"/>
      <c r="D162" s="186"/>
      <c r="E162" s="186"/>
      <c r="F162" s="54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2:32" s="470" customFormat="1" ht="15" customHeight="1">
      <c r="B163" s="471"/>
      <c r="C163" s="183"/>
      <c r="D163" s="186"/>
      <c r="E163" s="186"/>
      <c r="F163" s="54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2:32" s="470" customFormat="1" ht="15" customHeight="1">
      <c r="B164" s="471"/>
      <c r="C164" s="183"/>
      <c r="D164" s="186"/>
      <c r="E164" s="186"/>
      <c r="F164" s="54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2:32" s="470" customFormat="1" ht="15" customHeight="1">
      <c r="B165" s="471"/>
      <c r="C165" s="183"/>
      <c r="D165" s="186"/>
      <c r="E165" s="186"/>
      <c r="F165" s="54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2:32" s="470" customFormat="1" ht="15" customHeight="1">
      <c r="B166" s="471"/>
      <c r="C166" s="183"/>
      <c r="D166" s="186"/>
      <c r="E166" s="186"/>
      <c r="F166" s="54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2:32" s="470" customFormat="1" ht="15" customHeight="1">
      <c r="B167" s="472"/>
      <c r="C167" s="183"/>
      <c r="D167" s="186"/>
      <c r="E167" s="186"/>
      <c r="F167" s="54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2:32"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2:32" ht="15" customHeight="1">
      <c r="B169" s="172" t="s">
        <v>14</v>
      </c>
      <c r="C169" s="321" t="s">
        <v>138</v>
      </c>
      <c r="D169" s="22" t="s">
        <v>65</v>
      </c>
      <c r="E169" s="657" t="s">
        <v>288</v>
      </c>
      <c r="F169" s="548"/>
      <c r="G169" s="23"/>
      <c r="H169" s="23"/>
      <c r="I169" s="23"/>
      <c r="J169" s="23"/>
      <c r="K169" s="23">
        <v>1</v>
      </c>
      <c r="L169" s="23">
        <v>1</v>
      </c>
      <c r="M169" s="23">
        <v>1</v>
      </c>
      <c r="N169" s="23">
        <v>1</v>
      </c>
      <c r="O169" s="23">
        <v>1</v>
      </c>
      <c r="P169" s="23">
        <v>1</v>
      </c>
      <c r="Q169" s="23">
        <v>1</v>
      </c>
      <c r="R169" s="23">
        <v>1</v>
      </c>
      <c r="S169" s="23">
        <v>1</v>
      </c>
      <c r="T169" s="23">
        <v>1</v>
      </c>
      <c r="U169" s="23">
        <v>1</v>
      </c>
      <c r="V169" s="23">
        <v>1</v>
      </c>
      <c r="W169" s="23">
        <v>1</v>
      </c>
      <c r="X169" s="23">
        <v>1</v>
      </c>
      <c r="Y169" s="23">
        <v>1</v>
      </c>
      <c r="Z169" s="23">
        <v>1</v>
      </c>
      <c r="AA169" s="23">
        <v>1</v>
      </c>
      <c r="AB169" s="23">
        <v>1</v>
      </c>
      <c r="AC169" s="23">
        <v>1</v>
      </c>
      <c r="AD169" s="23">
        <v>1</v>
      </c>
      <c r="AE169" s="23">
        <v>1</v>
      </c>
      <c r="AF169" s="23">
        <v>1</v>
      </c>
    </row>
    <row r="170" spans="2:32" ht="15" customHeight="1">
      <c r="B170" s="64"/>
      <c r="C170" s="175" t="s">
        <v>511</v>
      </c>
      <c r="D170" s="12" t="s">
        <v>65</v>
      </c>
      <c r="E170" s="175" t="s">
        <v>361</v>
      </c>
      <c r="F170" s="665"/>
      <c r="G170" s="328"/>
      <c r="H170" s="328"/>
      <c r="I170" s="328"/>
      <c r="J170" s="328"/>
      <c r="K170" s="328"/>
      <c r="L170" s="328"/>
      <c r="M170" s="328"/>
      <c r="N170" s="328"/>
      <c r="O170" s="328"/>
      <c r="P170" s="328">
        <v>1.1000000000000001</v>
      </c>
      <c r="Q170" s="328">
        <v>1.1000000000000001</v>
      </c>
      <c r="R170" s="328">
        <v>1.1000000000000001</v>
      </c>
      <c r="S170" s="328">
        <v>1.1000000000000001</v>
      </c>
      <c r="T170" s="328">
        <v>1.1000000000000001</v>
      </c>
      <c r="U170" s="328">
        <v>1.1000000000000001</v>
      </c>
      <c r="V170" s="328">
        <v>1.1000000000000001</v>
      </c>
      <c r="W170" s="328">
        <v>1.1000000000000001</v>
      </c>
      <c r="X170" s="328">
        <v>1.1000000000000001</v>
      </c>
      <c r="Y170" s="328">
        <v>1.1000000000000001</v>
      </c>
      <c r="Z170" s="328">
        <v>1.1000000000000001</v>
      </c>
      <c r="AA170" s="328">
        <v>1.1000000000000001</v>
      </c>
      <c r="AB170" s="328">
        <v>1.1000000000000001</v>
      </c>
      <c r="AC170" s="328">
        <v>1.1000000000000001</v>
      </c>
      <c r="AD170" s="328">
        <v>1.1000000000000001</v>
      </c>
      <c r="AE170" s="328">
        <v>1.1000000000000001</v>
      </c>
      <c r="AF170" s="328">
        <v>1.1000000000000001</v>
      </c>
    </row>
    <row r="171" spans="2:32" ht="15" customHeight="1">
      <c r="B171" s="471"/>
      <c r="C171" s="191"/>
      <c r="D171" s="186"/>
      <c r="E171" s="191"/>
      <c r="F171" s="539"/>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row>
    <row r="172" spans="2:32" ht="28.5" customHeight="1">
      <c r="B172" s="471"/>
      <c r="C172" s="263"/>
      <c r="D172" s="186"/>
      <c r="E172" s="263"/>
      <c r="F172" s="1204"/>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row>
    <row r="173" spans="2:32" ht="15" customHeight="1">
      <c r="B173" s="471"/>
      <c r="C173" s="263"/>
      <c r="D173" s="186"/>
      <c r="E173" s="263"/>
      <c r="F173" s="549"/>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row>
    <row r="174" spans="2:32" s="470" customFormat="1" ht="15" customHeight="1">
      <c r="B174" s="471"/>
      <c r="C174" s="191"/>
      <c r="D174" s="186"/>
      <c r="E174" s="191"/>
      <c r="F174" s="539"/>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row>
    <row r="175" spans="2:32" s="470" customFormat="1" ht="15" customHeight="1">
      <c r="B175" s="471"/>
      <c r="C175" s="183"/>
      <c r="D175" s="168"/>
      <c r="E175" s="169"/>
      <c r="F175" s="540"/>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2:32" s="470" customFormat="1" ht="15" customHeight="1">
      <c r="B176" s="471"/>
      <c r="C176" s="183"/>
      <c r="D176" s="168"/>
      <c r="E176" s="169"/>
      <c r="F176" s="540"/>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row>
    <row r="177" spans="2:32" s="470" customFormat="1" ht="15" customHeight="1">
      <c r="B177" s="471"/>
      <c r="C177" s="183"/>
      <c r="D177" s="186"/>
      <c r="E177" s="169"/>
      <c r="F177" s="540"/>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row>
    <row r="178" spans="2:32" s="470" customFormat="1" ht="15" customHeight="1">
      <c r="B178" s="471"/>
      <c r="C178" s="183"/>
      <c r="D178" s="186"/>
      <c r="E178" s="169"/>
      <c r="F178" s="540"/>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2:32" s="470" customFormat="1" ht="15" customHeight="1">
      <c r="B179" s="471"/>
      <c r="C179" s="183"/>
      <c r="D179" s="186"/>
      <c r="E179" s="169"/>
      <c r="F179" s="540"/>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2:32" s="470" customFormat="1" ht="15" customHeight="1">
      <c r="B180" s="471"/>
      <c r="C180" s="183"/>
      <c r="D180" s="186"/>
      <c r="E180" s="169"/>
      <c r="F180" s="540"/>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2:32" s="470" customFormat="1" ht="15" customHeight="1">
      <c r="B181" s="471"/>
      <c r="C181" s="183"/>
      <c r="D181" s="186"/>
      <c r="E181" s="169"/>
      <c r="F181" s="54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2:32" s="470" customFormat="1" ht="15" customHeight="1">
      <c r="B182" s="471"/>
      <c r="C182" s="183"/>
      <c r="D182" s="186"/>
      <c r="E182" s="169"/>
      <c r="F182" s="540"/>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2:32" s="470" customFormat="1" ht="15" customHeight="1">
      <c r="B183" s="471"/>
      <c r="C183" s="183"/>
      <c r="D183" s="186"/>
      <c r="E183" s="169"/>
      <c r="F183" s="54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2:32" s="470" customFormat="1" ht="15" customHeight="1">
      <c r="B184" s="471"/>
      <c r="C184" s="183"/>
      <c r="D184" s="186"/>
      <c r="E184" s="169"/>
      <c r="F184" s="54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2:32" s="470" customFormat="1" ht="15" customHeight="1">
      <c r="B185" s="471"/>
      <c r="C185" s="183"/>
      <c r="D185" s="186"/>
      <c r="E185" s="169"/>
      <c r="F185" s="54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2:32" s="470" customFormat="1" ht="15" customHeight="1">
      <c r="B186" s="471"/>
      <c r="C186" s="183"/>
      <c r="D186" s="186"/>
      <c r="E186" s="169"/>
      <c r="F186" s="54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2:32" s="470" customFormat="1" ht="15" customHeight="1">
      <c r="B187" s="471"/>
      <c r="C187" s="183"/>
      <c r="D187" s="186"/>
      <c r="E187" s="169"/>
      <c r="F187" s="54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2:32" s="470" customFormat="1" ht="15" customHeight="1">
      <c r="B188" s="471"/>
      <c r="C188" s="183"/>
      <c r="D188" s="186"/>
      <c r="E188" s="169"/>
      <c r="F188" s="54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2:32" s="470" customFormat="1" ht="15" customHeight="1">
      <c r="B189" s="471"/>
      <c r="C189" s="183"/>
      <c r="D189" s="186"/>
      <c r="E189" s="169"/>
      <c r="F189" s="54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2:32" s="470" customFormat="1" ht="15" customHeight="1">
      <c r="B190" s="471"/>
      <c r="C190" s="183"/>
      <c r="D190" s="186"/>
      <c r="E190" s="169"/>
      <c r="F190" s="54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2:32" s="470" customFormat="1" ht="15" customHeight="1">
      <c r="B191" s="471"/>
      <c r="C191" s="183"/>
      <c r="D191" s="186"/>
      <c r="E191" s="169"/>
      <c r="F191" s="54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2:32" s="470" customFormat="1" ht="15" customHeight="1">
      <c r="B192" s="471"/>
      <c r="C192" s="183"/>
      <c r="D192" s="186"/>
      <c r="E192" s="169"/>
      <c r="F192" s="54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2:32" s="470" customFormat="1" ht="15" customHeight="1">
      <c r="B193" s="472"/>
      <c r="C193" s="185"/>
      <c r="D193" s="188"/>
      <c r="E193" s="189"/>
      <c r="F193" s="54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2:32" ht="15" customHeight="1">
      <c r="C194" s="17"/>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2:32" ht="15" customHeight="1"/>
    <row r="196" spans="2:32" ht="15" customHeight="1"/>
    <row r="197" spans="2:32" ht="15" customHeight="1"/>
    <row r="198" spans="2:32" ht="15" customHeight="1"/>
    <row r="199" spans="2:32" ht="15" customHeight="1"/>
    <row r="200" spans="2:32" ht="15" customHeight="1"/>
    <row r="201" spans="2:32" ht="15" customHeight="1"/>
    <row r="202" spans="2:32" ht="15" customHeight="1"/>
    <row r="203" spans="2:32" ht="15" customHeight="1"/>
    <row r="204" spans="2:32" ht="15" customHeight="1"/>
    <row r="205" spans="2:32" ht="15" customHeight="1"/>
    <row r="206" spans="2:32" ht="15" customHeight="1"/>
    <row r="207" spans="2:32" ht="15" customHeight="1"/>
    <row r="208" spans="2: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jEd8t2d8j5QFfx+xCnKyXfqip99QPwyfGU59KYinlNi6rIMWmjQTK9aNU2W427nCrxZgODT4vS1J76GZ5dxnBA==" saltValue="xv81f7scAHojTh0EVnouEg==" spinCount="100000" sheet="1" objects="1" scenarios="1"/>
  <hyperlinks>
    <hyperlink ref="A1" location="'Start-Experte'!A1" display="zurück" xr:uid="{00000000-0004-0000-11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83" operator="greaterThan" id="{00000000-0000-0000-0000-000000000000}">
            <xm:f>ControlPanel!$D$59-1</xm:f>
            <x14:dxf>
              <font>
                <color rgb="FF9C6500"/>
              </font>
              <fill>
                <patternFill>
                  <fgColor indexed="64"/>
                  <bgColor rgb="FFFFEB9C"/>
                </patternFill>
              </fill>
            </x14:dxf>
          </x14:cfRule>
          <x14:cfRule type="cellIs" priority="684" operator="lessThan" id="{00000000-0000-0000-0000-000000000000}">
            <xm:f>ControlPanel!$D$59</xm:f>
            <x14:dxf>
              <font>
                <color rgb="FF006100"/>
              </font>
              <fill>
                <patternFill>
                  <fgColor indexed="64"/>
                  <bgColor rgb="FFC6EFCE"/>
                </patternFill>
              </fill>
            </x14:dxf>
          </x14:cfRule>
          <x14:cfRule type="cellIs" priority="685"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0000"/>
  </sheetPr>
  <dimension ref="A1:X101"/>
  <sheetViews>
    <sheetView topLeftCell="A31" workbookViewId="0">
      <selection activeCell="C4" sqref="C4"/>
    </sheetView>
  </sheetViews>
  <sheetFormatPr baseColWidth="10" defaultColWidth="11.42578125" defaultRowHeight="15" customHeight="1"/>
  <cols>
    <col min="1" max="2" width="3.7109375" style="128" customWidth="1"/>
    <col min="3" max="3" width="34.42578125" style="128" customWidth="1"/>
    <col min="4" max="4" width="17.7109375" style="128" bestFit="1" customWidth="1"/>
    <col min="5" max="5" width="10.7109375" style="128" customWidth="1"/>
    <col min="6" max="6" width="40.7109375" style="143" customWidth="1"/>
    <col min="7" max="7" width="5.85546875" style="143" customWidth="1"/>
    <col min="8" max="8" width="6.85546875" style="143" customWidth="1"/>
    <col min="9" max="9" width="25.85546875" style="143" customWidth="1"/>
    <col min="10" max="10" width="17.7109375" style="143" bestFit="1" customWidth="1"/>
    <col min="11" max="11" width="7.5703125" style="143" customWidth="1"/>
    <col min="12" max="12" width="15.85546875" style="143" customWidth="1"/>
    <col min="13" max="13" width="39.140625" style="143" customWidth="1"/>
    <col min="14" max="14" width="2.140625" style="143" customWidth="1"/>
    <col min="15" max="15" width="3.7109375" style="143" customWidth="1"/>
    <col min="16" max="16" width="3.85546875" style="143" customWidth="1"/>
    <col min="17" max="17" width="28.5703125" style="143" customWidth="1"/>
    <col min="18" max="18" width="25.42578125" style="143" customWidth="1"/>
    <col min="19" max="22" width="12.7109375" style="128" customWidth="1"/>
    <col min="23" max="23" width="4.42578125" style="128" customWidth="1"/>
    <col min="24" max="16384" width="11.42578125" style="128"/>
  </cols>
  <sheetData>
    <row r="1" spans="1:23" ht="15" customHeight="1">
      <c r="A1" s="127"/>
      <c r="B1" s="127"/>
      <c r="C1" s="127"/>
      <c r="D1" s="127"/>
      <c r="E1" s="127"/>
      <c r="F1" s="127"/>
      <c r="G1" s="127"/>
      <c r="H1" s="127"/>
      <c r="I1" s="127"/>
      <c r="J1" s="127"/>
      <c r="K1" s="127"/>
      <c r="L1" s="127"/>
      <c r="M1" s="127"/>
      <c r="N1" s="127"/>
      <c r="O1" s="127"/>
      <c r="P1" s="127"/>
      <c r="Q1" s="127"/>
      <c r="R1" s="127"/>
      <c r="S1" s="127"/>
      <c r="T1" s="127"/>
      <c r="U1" s="127"/>
      <c r="V1" s="127"/>
    </row>
    <row r="2" spans="1:23" ht="17.100000000000001" customHeight="1">
      <c r="A2" s="127"/>
      <c r="B2" s="144"/>
      <c r="C2" s="1420" t="s">
        <v>101</v>
      </c>
      <c r="D2" s="145"/>
      <c r="E2" s="145"/>
      <c r="F2" s="145"/>
      <c r="G2" s="145"/>
      <c r="H2" s="145"/>
      <c r="I2" s="145"/>
      <c r="J2" s="145"/>
      <c r="K2" s="145"/>
      <c r="L2" s="145"/>
      <c r="M2" s="145"/>
      <c r="N2" s="145"/>
      <c r="O2" s="145"/>
      <c r="P2" s="145"/>
      <c r="Q2" s="145"/>
      <c r="R2" s="145"/>
      <c r="S2" s="145"/>
      <c r="T2" s="1434"/>
      <c r="U2" s="1434"/>
      <c r="V2" s="476"/>
      <c r="W2" s="146"/>
    </row>
    <row r="3" spans="1:23" ht="17.100000000000001" customHeight="1">
      <c r="A3" s="127"/>
      <c r="B3" s="147"/>
      <c r="C3" s="1421"/>
      <c r="D3" s="148"/>
      <c r="E3" s="148"/>
      <c r="F3" s="148"/>
      <c r="G3" s="148"/>
      <c r="H3" s="148"/>
      <c r="I3" s="148"/>
      <c r="J3" s="148"/>
      <c r="K3" s="148"/>
      <c r="L3" s="148"/>
      <c r="M3" s="148"/>
      <c r="N3" s="148"/>
      <c r="O3" s="148"/>
      <c r="P3" s="148"/>
      <c r="Q3" s="148"/>
      <c r="R3" s="148"/>
      <c r="S3" s="148"/>
      <c r="T3" s="1435"/>
      <c r="U3" s="1435"/>
      <c r="V3" s="477"/>
      <c r="W3" s="149"/>
    </row>
    <row r="4" spans="1:23" ht="17.100000000000001" customHeight="1" thickBot="1">
      <c r="A4" s="127"/>
      <c r="B4" s="156"/>
      <c r="C4" s="506" t="s">
        <v>143</v>
      </c>
      <c r="D4" s="129"/>
      <c r="E4" s="129"/>
      <c r="F4" s="129"/>
      <c r="G4" s="129"/>
      <c r="H4" s="129"/>
      <c r="I4" s="129"/>
      <c r="J4" s="129"/>
      <c r="K4" s="129"/>
      <c r="L4" s="129"/>
      <c r="M4" s="129"/>
      <c r="N4" s="129"/>
      <c r="O4" s="129"/>
      <c r="P4" s="129"/>
      <c r="Q4" s="129"/>
      <c r="R4" s="129"/>
      <c r="S4" s="129"/>
      <c r="T4" s="129"/>
      <c r="U4" s="129"/>
      <c r="V4" s="129"/>
      <c r="W4" s="157"/>
    </row>
    <row r="5" spans="1:23" ht="17.100000000000001" customHeight="1" thickBot="1">
      <c r="A5" s="127"/>
      <c r="B5" s="158"/>
      <c r="C5" s="159"/>
      <c r="D5" s="130"/>
      <c r="E5" s="130"/>
      <c r="F5" s="130"/>
      <c r="G5" s="130"/>
      <c r="H5" s="130"/>
      <c r="I5" s="130"/>
      <c r="J5" s="130"/>
      <c r="K5" s="130"/>
      <c r="L5" s="130"/>
      <c r="M5" s="130"/>
      <c r="N5" s="130"/>
      <c r="O5" s="130"/>
      <c r="P5" s="130"/>
      <c r="Q5" s="1409" t="s">
        <v>513</v>
      </c>
      <c r="R5" s="1410"/>
      <c r="S5" s="1411"/>
      <c r="T5" s="981" t="s">
        <v>416</v>
      </c>
      <c r="U5" s="130"/>
      <c r="V5" s="130"/>
      <c r="W5" s="160"/>
    </row>
    <row r="6" spans="1:23" ht="37.5" customHeight="1" thickBot="1">
      <c r="A6" s="127"/>
      <c r="B6" s="158"/>
      <c r="C6" s="385"/>
      <c r="D6" s="1422" t="s">
        <v>335</v>
      </c>
      <c r="E6" s="1423"/>
      <c r="F6" s="1424"/>
      <c r="G6" s="130"/>
      <c r="H6" s="130"/>
      <c r="I6" s="130"/>
      <c r="J6" s="1422" t="s">
        <v>334</v>
      </c>
      <c r="K6" s="1423"/>
      <c r="L6" s="1423"/>
      <c r="M6" s="1424"/>
      <c r="N6" s="110"/>
      <c r="O6" s="130"/>
      <c r="P6" s="130"/>
      <c r="Q6" s="130"/>
      <c r="R6" s="130"/>
      <c r="S6" s="130"/>
      <c r="T6" s="130"/>
      <c r="U6" s="130"/>
      <c r="V6" s="130"/>
      <c r="W6" s="160"/>
    </row>
    <row r="7" spans="1:23" ht="17.100000000000001" customHeight="1" thickBot="1">
      <c r="A7" s="127"/>
      <c r="B7" s="158"/>
      <c r="C7" s="410" t="s">
        <v>145</v>
      </c>
      <c r="D7" s="411" t="s">
        <v>140</v>
      </c>
      <c r="E7" s="1416" t="s">
        <v>141</v>
      </c>
      <c r="F7" s="1417"/>
      <c r="G7" s="130"/>
      <c r="H7" s="130"/>
      <c r="I7" s="410" t="s">
        <v>145</v>
      </c>
      <c r="J7" s="1428" t="s">
        <v>140</v>
      </c>
      <c r="K7" s="1429"/>
      <c r="L7" s="1416" t="s">
        <v>141</v>
      </c>
      <c r="M7" s="1417"/>
      <c r="N7" s="110"/>
      <c r="O7" s="130"/>
      <c r="P7" s="130"/>
      <c r="Q7" s="130"/>
      <c r="R7" s="130" t="s">
        <v>512</v>
      </c>
      <c r="S7" s="130"/>
      <c r="T7" s="130"/>
      <c r="U7" s="130"/>
      <c r="V7" s="130"/>
      <c r="W7" s="160"/>
    </row>
    <row r="8" spans="1:23" ht="17.100000000000001" customHeight="1">
      <c r="A8" s="127"/>
      <c r="B8" s="158"/>
      <c r="C8" s="136" t="s">
        <v>24</v>
      </c>
      <c r="D8" s="478"/>
      <c r="E8" s="439" t="str">
        <f>IF($C$4="Entscheidermodus",'Parameter-Entscheider'!E8,'Start-Experte'!E8)</f>
        <v>Referenz</v>
      </c>
      <c r="F8" s="419" t="str">
        <f>'D-Bruttozubau'!E10</f>
        <v>1,5 GW bis 2021, ab 2023 2,5 GW/a</v>
      </c>
      <c r="G8" s="130"/>
      <c r="H8" s="130"/>
      <c r="I8" s="136" t="s">
        <v>24</v>
      </c>
      <c r="J8" s="1430" t="s">
        <v>183</v>
      </c>
      <c r="K8" s="1431"/>
      <c r="L8" s="439" t="str">
        <f>IF($C$4="Entscheidermodus",'Parameter-Entscheider'!L8,'Start-Experte'!L8)</f>
        <v>Referenz</v>
      </c>
      <c r="M8" s="420" t="str">
        <f>'D-Vergütungssatz Neuanlagen'!E10</f>
        <v>sinkt auf 3,5 ct/kWh in 2035</v>
      </c>
      <c r="N8" s="110"/>
      <c r="O8" s="130"/>
      <c r="P8" s="130"/>
      <c r="Q8" s="130"/>
      <c r="R8" s="128" t="s">
        <v>416</v>
      </c>
      <c r="S8" s="130"/>
      <c r="T8" s="130"/>
      <c r="U8" s="130"/>
      <c r="V8" s="130"/>
      <c r="W8" s="160"/>
    </row>
    <row r="9" spans="1:23" ht="17.100000000000001" customHeight="1">
      <c r="A9" s="127"/>
      <c r="B9" s="158"/>
      <c r="C9" s="137" t="s">
        <v>26</v>
      </c>
      <c r="D9" s="479"/>
      <c r="E9" s="131" t="str">
        <f>IF($C$4="Entscheidermodus",'Parameter-Entscheider'!E9,'Start-Experte'!E9)</f>
        <v>Referenz</v>
      </c>
      <c r="F9" s="253" t="str">
        <f>'D-Bruttozubau'!E11</f>
        <v>MFP Trend, danach konstant 1,6 GW</v>
      </c>
      <c r="G9" s="130"/>
      <c r="H9" s="130"/>
      <c r="I9" s="137" t="s">
        <v>26</v>
      </c>
      <c r="J9" s="1432" t="s">
        <v>183</v>
      </c>
      <c r="K9" s="1433"/>
      <c r="L9" s="131" t="str">
        <f>IF($C$4="Entscheidermodus",'Parameter-Entscheider'!L9,'Start-Experte'!L9)</f>
        <v>Referenz</v>
      </c>
      <c r="M9" s="388" t="str">
        <f>'D-Vergütungssatz Neuanlagen'!E11</f>
        <v>sinkt auf 4,5 ct/kWh in 2035</v>
      </c>
      <c r="N9" s="110"/>
      <c r="O9" s="130"/>
      <c r="P9" s="130"/>
      <c r="Q9" s="130"/>
      <c r="R9" s="128" t="s">
        <v>417</v>
      </c>
      <c r="S9" s="130"/>
      <c r="T9" s="130"/>
      <c r="U9" s="130"/>
      <c r="V9" s="130"/>
      <c r="W9" s="160"/>
    </row>
    <row r="10" spans="1:23" ht="17.100000000000001" customHeight="1">
      <c r="A10" s="127"/>
      <c r="B10" s="158"/>
      <c r="C10" s="393" t="s">
        <v>14</v>
      </c>
      <c r="D10" s="479"/>
      <c r="E10" s="131" t="str">
        <f>IF($C$4="Entscheidermodus",'Parameter-Entscheider'!E10,'Start-Experte'!E10)</f>
        <v>Referenz</v>
      </c>
      <c r="F10" s="408" t="str">
        <f>'D-Bruttozubau'!E12</f>
        <v>MFP Trend</v>
      </c>
      <c r="G10" s="130"/>
      <c r="H10" s="130"/>
      <c r="I10" s="393" t="s">
        <v>74</v>
      </c>
      <c r="J10" s="1432" t="s">
        <v>183</v>
      </c>
      <c r="K10" s="1433"/>
      <c r="L10" s="131" t="str">
        <f>IF($C$4="Entscheidermodus",'Parameter-Entscheider'!L10,'Start-Experte'!L10)</f>
        <v>Referenz</v>
      </c>
      <c r="M10" s="408" t="str">
        <f>'D-Vergütungssatz Neuanlagen'!E12</f>
        <v>EEG 2017; Anteil Ausschreibungen ab 2020 50%</v>
      </c>
      <c r="N10" s="110"/>
      <c r="O10" s="130"/>
      <c r="P10" s="130"/>
      <c r="Q10" s="130"/>
      <c r="R10" s="130"/>
      <c r="S10" s="130"/>
      <c r="T10" s="130"/>
      <c r="U10" s="130"/>
      <c r="V10" s="130"/>
      <c r="W10" s="160"/>
    </row>
    <row r="11" spans="1:23" ht="17.100000000000001" customHeight="1">
      <c r="A11" s="127"/>
      <c r="B11" s="158"/>
      <c r="C11" s="137" t="s">
        <v>13</v>
      </c>
      <c r="D11" s="479"/>
      <c r="E11" s="131" t="str">
        <f>IF($C$4="Entscheidermodus",'Parameter-Entscheider'!E11,'Start-Experte'!E11)</f>
        <v>Referenz</v>
      </c>
      <c r="F11" s="253" t="str">
        <f>'D-Bruttozubau'!E8</f>
        <v>MFP Trend; 0,2 GW/a</v>
      </c>
      <c r="G11" s="130"/>
      <c r="H11" s="130"/>
      <c r="I11" s="137" t="s">
        <v>13</v>
      </c>
      <c r="J11" s="1432" t="s">
        <v>183</v>
      </c>
      <c r="K11" s="1433"/>
      <c r="L11" s="131" t="str">
        <f>IF($C$4="Entscheidermodus",'Parameter-Entscheider'!L11,'Start-Experte'!L11)</f>
        <v>Referenz</v>
      </c>
      <c r="M11" s="388" t="str">
        <f>'D-Vergütungssatz Neuanlagen'!E8</f>
        <v>EEG 2017</v>
      </c>
      <c r="N11" s="110"/>
      <c r="O11" s="130"/>
      <c r="P11" s="130"/>
      <c r="Q11" s="130"/>
      <c r="R11" s="130" t="s">
        <v>532</v>
      </c>
      <c r="S11" s="130"/>
      <c r="T11" s="130"/>
      <c r="U11" s="130"/>
      <c r="V11" s="130"/>
      <c r="W11" s="160"/>
    </row>
    <row r="12" spans="1:23" ht="17.100000000000001" customHeight="1">
      <c r="A12" s="127"/>
      <c r="B12" s="158"/>
      <c r="C12" s="137" t="s">
        <v>12</v>
      </c>
      <c r="D12" s="479"/>
      <c r="E12" s="440" t="str">
        <f>IF($C$4="Entscheidermodus",'Parameter-Entscheider'!E12,'Start-Experte'!E12)</f>
        <v>Referenz</v>
      </c>
      <c r="F12" s="253" t="str">
        <f>'D-Bruttozubau'!E9</f>
        <v>0,01GW/a</v>
      </c>
      <c r="G12" s="130"/>
      <c r="H12" s="130"/>
      <c r="I12" s="137" t="s">
        <v>12</v>
      </c>
      <c r="J12" s="1432" t="s">
        <v>183</v>
      </c>
      <c r="K12" s="1433"/>
      <c r="L12" s="440" t="str">
        <f>IF($C$4="Entscheidermodus",'Parameter-Entscheider'!L12,'Start-Experte'!L12)</f>
        <v>Referenz</v>
      </c>
      <c r="M12" s="388" t="str">
        <f>'D-Vergütungssatz Neuanlagen'!E9</f>
        <v>EEG 2017</v>
      </c>
      <c r="N12" s="110"/>
      <c r="O12" s="130"/>
      <c r="P12" s="130"/>
      <c r="Q12" s="130"/>
      <c r="R12" s="130" t="str">
        <f>IF(T5="real",CONCATENATE("Mrd. € (",D60,")"),"Mrd. €")</f>
        <v>Mrd. €</v>
      </c>
      <c r="S12" s="130"/>
      <c r="T12" s="130"/>
      <c r="U12" s="130"/>
      <c r="V12" s="130"/>
      <c r="W12" s="160"/>
    </row>
    <row r="13" spans="1:23" ht="17.100000000000001" customHeight="1">
      <c r="A13" s="127"/>
      <c r="B13" s="158"/>
      <c r="C13" s="137" t="s">
        <v>25</v>
      </c>
      <c r="D13" s="479"/>
      <c r="E13" s="440" t="str">
        <f>IF($C$4="Entscheidermodus",'Parameter-Entscheider'!E13,'Start-Experte'!E13)</f>
        <v>Referenz</v>
      </c>
      <c r="F13" s="253" t="str">
        <f>'D-Bruttozubau'!E6</f>
        <v>0,01 GW/a</v>
      </c>
      <c r="G13" s="130"/>
      <c r="H13" s="130"/>
      <c r="I13" s="137" t="s">
        <v>25</v>
      </c>
      <c r="J13" s="1432" t="s">
        <v>183</v>
      </c>
      <c r="K13" s="1433"/>
      <c r="L13" s="440" t="str">
        <f>IF($C$4="Entscheidermodus",'Parameter-Entscheider'!L13,'Start-Experte'!L13)</f>
        <v>Referenz</v>
      </c>
      <c r="M13" s="388" t="str">
        <f>'D-Vergütungssatz Neuanlagen'!E6</f>
        <v>EEG 2017</v>
      </c>
      <c r="N13" s="110"/>
      <c r="O13" s="130"/>
      <c r="P13" s="130"/>
      <c r="Q13" s="130"/>
      <c r="R13" s="130" t="str">
        <f>IF(T5="real",CONCATENATE("ct/kWh (",D60,")"),"ct/kWh")</f>
        <v>ct/kWh</v>
      </c>
      <c r="S13" s="130"/>
      <c r="T13" s="130"/>
      <c r="U13" s="130"/>
      <c r="V13" s="130"/>
      <c r="W13" s="160"/>
    </row>
    <row r="14" spans="1:23" ht="17.100000000000001" customHeight="1" thickBot="1">
      <c r="A14" s="127"/>
      <c r="B14" s="158"/>
      <c r="C14" s="138" t="s">
        <v>27</v>
      </c>
      <c r="D14" s="479"/>
      <c r="E14" s="441" t="str">
        <f>IF($C$4="Entscheidermodus",'Parameter-Entscheider'!E14,'Start-Experte'!E14)</f>
        <v>Referenz</v>
      </c>
      <c r="F14" s="409" t="str">
        <f>'D-Bruttozubau'!E7</f>
        <v>0,01GW/a</v>
      </c>
      <c r="G14" s="130"/>
      <c r="H14" s="130"/>
      <c r="I14" s="138" t="s">
        <v>27</v>
      </c>
      <c r="J14" s="1418" t="s">
        <v>183</v>
      </c>
      <c r="K14" s="1419"/>
      <c r="L14" s="441" t="str">
        <f>IF($C$4="Entscheidermodus",'Parameter-Entscheider'!L14,'Start-Experte'!L14)</f>
        <v>Referenz</v>
      </c>
      <c r="M14" s="409" t="str">
        <f>'D-Vergütungssatz Neuanlagen'!E7</f>
        <v>EEG 2017</v>
      </c>
      <c r="N14" s="110"/>
      <c r="O14" s="130"/>
      <c r="P14" s="130"/>
      <c r="Q14" s="130"/>
      <c r="R14" s="130"/>
      <c r="S14" s="130"/>
      <c r="T14" s="130"/>
      <c r="U14" s="130"/>
      <c r="V14" s="130"/>
      <c r="W14" s="160"/>
    </row>
    <row r="15" spans="1:23" ht="17.100000000000001" customHeight="1">
      <c r="A15" s="127"/>
      <c r="B15" s="158"/>
      <c r="C15" s="130"/>
      <c r="D15" s="130"/>
      <c r="E15" s="130"/>
      <c r="F15" s="110"/>
      <c r="G15" s="130"/>
      <c r="H15" s="130"/>
      <c r="I15" s="130"/>
      <c r="J15" s="130"/>
      <c r="K15" s="130"/>
      <c r="L15" s="130"/>
      <c r="M15" s="111"/>
      <c r="N15" s="130"/>
      <c r="O15" s="130"/>
      <c r="P15" s="130"/>
      <c r="Q15" s="130"/>
      <c r="R15" s="130"/>
      <c r="S15" s="130"/>
      <c r="T15" s="130"/>
      <c r="U15" s="130"/>
      <c r="V15" s="130"/>
      <c r="W15" s="160"/>
    </row>
    <row r="16" spans="1:23" ht="17.100000000000001" customHeight="1" thickBot="1">
      <c r="A16" s="127"/>
      <c r="B16" s="158"/>
      <c r="C16" s="130"/>
      <c r="D16" s="130"/>
      <c r="E16" s="130"/>
      <c r="F16" s="130"/>
      <c r="G16" s="130"/>
      <c r="H16" s="130"/>
      <c r="I16" s="130"/>
      <c r="J16" s="130"/>
      <c r="K16" s="130"/>
      <c r="L16" s="130"/>
      <c r="M16" s="130"/>
      <c r="N16" s="130"/>
      <c r="O16" s="130"/>
      <c r="P16" s="130"/>
      <c r="Q16" s="130"/>
      <c r="R16" s="130"/>
      <c r="S16" s="130"/>
      <c r="T16" s="130"/>
      <c r="U16" s="130"/>
      <c r="V16" s="130"/>
      <c r="W16" s="160"/>
    </row>
    <row r="17" spans="1:23" ht="34.5" customHeight="1" thickBot="1">
      <c r="A17" s="127"/>
      <c r="B17" s="158"/>
      <c r="C17" s="130"/>
      <c r="D17" s="1422" t="s">
        <v>336</v>
      </c>
      <c r="E17" s="1423"/>
      <c r="F17" s="1424"/>
      <c r="G17" s="130"/>
      <c r="H17" s="130"/>
      <c r="I17" s="130"/>
      <c r="J17" s="1422" t="s">
        <v>337</v>
      </c>
      <c r="K17" s="1423"/>
      <c r="L17" s="1423"/>
      <c r="M17" s="1424"/>
      <c r="N17" s="130"/>
      <c r="O17" s="130"/>
      <c r="P17" s="130"/>
      <c r="Q17" s="130"/>
      <c r="R17" s="130"/>
      <c r="S17" s="130"/>
      <c r="T17" s="130"/>
      <c r="U17" s="130"/>
      <c r="V17" s="130"/>
      <c r="W17" s="160"/>
    </row>
    <row r="18" spans="1:23" ht="36" customHeight="1" thickBot="1">
      <c r="A18" s="127"/>
      <c r="B18" s="158"/>
      <c r="C18" s="130"/>
      <c r="D18" s="411" t="s">
        <v>140</v>
      </c>
      <c r="E18" s="1416" t="s">
        <v>141</v>
      </c>
      <c r="F18" s="1417"/>
      <c r="G18" s="130"/>
      <c r="H18" s="130"/>
      <c r="I18" s="130"/>
      <c r="J18" s="1428" t="s">
        <v>140</v>
      </c>
      <c r="K18" s="1429"/>
      <c r="L18" s="1416" t="s">
        <v>141</v>
      </c>
      <c r="M18" s="1417"/>
      <c r="N18" s="130"/>
      <c r="O18" s="130"/>
      <c r="P18" s="130"/>
      <c r="Q18" s="130"/>
      <c r="R18" s="130"/>
      <c r="S18" s="130"/>
      <c r="T18" s="130"/>
      <c r="U18" s="130"/>
      <c r="V18" s="130"/>
      <c r="W18" s="160"/>
    </row>
    <row r="19" spans="1:23" ht="30.75" customHeight="1">
      <c r="A19" s="127"/>
      <c r="B19" s="158"/>
      <c r="C19" s="413" t="s">
        <v>142</v>
      </c>
      <c r="D19" s="414"/>
      <c r="E19" s="439" t="str">
        <f>IF($C$4="Entscheidermodus",'Parameter-Entscheider'!E19,'Start-Experte'!E19)</f>
        <v>Referenz</v>
      </c>
      <c r="F19" s="391" t="str">
        <f>'D-Privilegierter Letztverbrauch'!$D$6</f>
        <v>MFP Referenz</v>
      </c>
      <c r="G19" s="130"/>
      <c r="H19" s="108"/>
      <c r="I19" s="435" t="s">
        <v>182</v>
      </c>
      <c r="J19" s="1430"/>
      <c r="K19" s="1431"/>
      <c r="L19" s="439" t="str">
        <f>IF($C$4="Entscheidermodus",'Parameter-Entscheider'!L19,'Start-Experte'!L19)</f>
        <v>Referenz</v>
      </c>
      <c r="M19" s="391" t="str">
        <f>'D-Future Strompreis'!$D$6</f>
        <v>7,8 -&gt; 5,4 ct/kWh</v>
      </c>
      <c r="N19" s="130"/>
      <c r="O19" s="108"/>
      <c r="P19" s="130"/>
      <c r="Q19" s="130"/>
      <c r="R19" s="130"/>
      <c r="S19" s="130"/>
      <c r="T19" s="130"/>
      <c r="U19" s="130"/>
      <c r="V19" s="130"/>
      <c r="W19" s="160"/>
    </row>
    <row r="20" spans="1:23" ht="33" customHeight="1" thickBot="1">
      <c r="A20" s="127"/>
      <c r="B20" s="158"/>
      <c r="C20" s="416" t="s">
        <v>265</v>
      </c>
      <c r="D20" s="417"/>
      <c r="E20" s="442" t="str">
        <f>IF($C$4="Entscheidermodus",'Parameter-Entscheider'!E20,'Start-Experte'!E20)</f>
        <v>Referenz</v>
      </c>
      <c r="F20" s="429" t="str">
        <f>'D-Umlage priv. Letztverbrauch'!$D$6</f>
        <v>15% (gem. EEG 2021)</v>
      </c>
      <c r="G20" s="130"/>
      <c r="H20" s="108"/>
      <c r="I20" s="392" t="s">
        <v>75</v>
      </c>
      <c r="J20" s="1432"/>
      <c r="K20" s="1433"/>
      <c r="L20" s="443" t="str">
        <f>IF($C$4="Entscheidermodus",'Parameter-Entscheider'!L20,'Start-Experte'!L20)</f>
        <v>Referenz</v>
      </c>
      <c r="M20" s="389" t="str">
        <f>'D-Liquiditätspuffer'!$D$6</f>
        <v>ÜNB-Umlageberechnungen, danach 6%</v>
      </c>
      <c r="N20" s="130"/>
      <c r="O20" s="108"/>
      <c r="P20" s="130"/>
      <c r="Q20" s="130"/>
      <c r="R20" s="130"/>
      <c r="S20" s="130"/>
      <c r="T20" s="130"/>
      <c r="U20" s="130"/>
      <c r="V20" s="130"/>
      <c r="W20" s="160"/>
    </row>
    <row r="21" spans="1:23" ht="32.25" customHeight="1" thickBot="1">
      <c r="A21" s="127"/>
      <c r="B21" s="158"/>
      <c r="C21" s="416" t="s">
        <v>368</v>
      </c>
      <c r="D21" s="417"/>
      <c r="E21" s="442" t="str">
        <f>IF($C$4="Entscheidermodus",'Parameter-Entscheider'!E21,'Start-Experte'!E21)</f>
        <v>Referenz</v>
      </c>
      <c r="F21" s="429"/>
      <c r="G21" s="130"/>
      <c r="H21" s="130"/>
      <c r="I21" s="137" t="str">
        <f>CONCATENATE("Kontostand am 30.9.",ControlPanel!$D$59-1)</f>
        <v>Kontostand am 30.9.2022</v>
      </c>
      <c r="J21" s="1432"/>
      <c r="K21" s="1433"/>
      <c r="L21" s="131" t="str">
        <f>IF($C$4="Entscheidermodus",'Parameter-Entscheider'!L21,'Start-Experte'!L21)</f>
        <v>endogen</v>
      </c>
      <c r="M21" s="132" t="str">
        <f>'D-Kontostand aktuelles Jahr'!D6</f>
        <v>wird endogen berechnet</v>
      </c>
      <c r="N21" s="130"/>
      <c r="O21" s="108"/>
      <c r="P21" s="130"/>
      <c r="Q21" s="130"/>
      <c r="R21" s="130"/>
      <c r="S21" s="130"/>
      <c r="T21" s="130"/>
      <c r="U21" s="130"/>
      <c r="V21" s="130"/>
      <c r="W21" s="160"/>
    </row>
    <row r="22" spans="1:23" ht="39" thickBot="1">
      <c r="A22" s="127"/>
      <c r="B22" s="158"/>
      <c r="C22" s="130"/>
      <c r="D22" s="130"/>
      <c r="E22" s="130"/>
      <c r="F22" s="130"/>
      <c r="G22" s="130"/>
      <c r="H22" s="130"/>
      <c r="I22" s="140" t="str">
        <f>CONCATENATE("Alternativ: Prognosefehler für Kontostand am 30.9.",ControlPanel!$D$59-1)</f>
        <v>Alternativ: Prognosefehler für Kontostand am 30.9.2022</v>
      </c>
      <c r="J22" s="1418"/>
      <c r="K22" s="1419"/>
      <c r="L22" s="442" t="str">
        <f>IF($C$4="Entscheidermodus",'Parameter-Entscheider'!L22,'Start-Experte'!L22)</f>
        <v>keine Abweichung</v>
      </c>
      <c r="M22" s="133" t="str">
        <f>'D-Prognosefehler Kontostand'!D6</f>
        <v>keine Abweichung</v>
      </c>
      <c r="N22" s="130"/>
      <c r="O22" s="108"/>
      <c r="P22" s="130"/>
      <c r="Q22" s="130"/>
      <c r="R22" s="130"/>
      <c r="S22" s="130"/>
      <c r="T22" s="130"/>
      <c r="U22" s="130"/>
      <c r="V22" s="130"/>
      <c r="W22" s="160"/>
    </row>
    <row r="23" spans="1:23" ht="32.25" customHeight="1" thickBot="1">
      <c r="A23" s="127"/>
      <c r="B23" s="158"/>
      <c r="C23" s="130"/>
      <c r="D23" s="130"/>
      <c r="E23" s="130"/>
      <c r="F23" s="130"/>
      <c r="G23" s="130"/>
      <c r="H23" s="130"/>
      <c r="I23" s="134"/>
      <c r="J23" s="134"/>
      <c r="K23" s="134"/>
      <c r="L23" s="130"/>
      <c r="M23" s="134"/>
      <c r="N23" s="130"/>
      <c r="O23" s="130"/>
      <c r="P23" s="130"/>
      <c r="Q23" s="130"/>
      <c r="R23" s="130"/>
      <c r="S23" s="130"/>
      <c r="T23" s="130"/>
      <c r="U23" s="130"/>
      <c r="V23" s="130"/>
      <c r="W23" s="160"/>
    </row>
    <row r="24" spans="1:23" ht="32.25" customHeight="1" thickBot="1">
      <c r="A24" s="127"/>
      <c r="B24" s="158"/>
      <c r="C24" s="130"/>
      <c r="D24" s="1422" t="s">
        <v>345</v>
      </c>
      <c r="E24" s="1423"/>
      <c r="F24" s="1424"/>
      <c r="G24" s="130"/>
      <c r="H24" s="130"/>
      <c r="I24" s="139"/>
      <c r="J24" s="1425" t="s">
        <v>338</v>
      </c>
      <c r="K24" s="1426"/>
      <c r="L24" s="1426"/>
      <c r="M24" s="1427"/>
      <c r="N24" s="139"/>
      <c r="O24" s="139"/>
      <c r="P24" s="130"/>
      <c r="Q24" s="130"/>
      <c r="R24" s="130"/>
      <c r="S24" s="130"/>
      <c r="T24" s="130"/>
      <c r="U24" s="130"/>
      <c r="V24" s="130"/>
      <c r="W24" s="160"/>
    </row>
    <row r="25" spans="1:23" ht="32.25" customHeight="1" thickBot="1">
      <c r="A25" s="127"/>
      <c r="B25" s="158"/>
      <c r="C25" s="430" t="s">
        <v>346</v>
      </c>
      <c r="D25" s="411" t="s">
        <v>140</v>
      </c>
      <c r="E25" s="1416" t="s">
        <v>141</v>
      </c>
      <c r="F25" s="1417"/>
      <c r="G25" s="130"/>
      <c r="H25" s="130"/>
      <c r="I25" s="139"/>
      <c r="J25" s="1428" t="s">
        <v>140</v>
      </c>
      <c r="K25" s="1429"/>
      <c r="L25" s="1416" t="s">
        <v>141</v>
      </c>
      <c r="M25" s="1417"/>
      <c r="N25" s="139"/>
      <c r="O25" s="139"/>
      <c r="P25" s="130"/>
      <c r="Q25" s="130"/>
      <c r="R25" s="130"/>
      <c r="S25" s="130"/>
      <c r="T25" s="130"/>
      <c r="U25" s="130"/>
      <c r="V25" s="130"/>
      <c r="W25" s="160"/>
    </row>
    <row r="26" spans="1:23" ht="35.25" customHeight="1">
      <c r="A26" s="127"/>
      <c r="B26" s="158"/>
      <c r="C26" s="435" t="s">
        <v>358</v>
      </c>
      <c r="D26" s="478"/>
      <c r="E26" s="439" t="str">
        <f>IF($C$4="Entscheidermodus",'Parameter-Entscheider'!E26,'Start-Experte'!E26)</f>
        <v>Referenz</v>
      </c>
      <c r="F26" s="391" t="str">
        <f>'D-Eigenverbrauch fossil Bestand'!$D$6</f>
        <v>Eigenversorgung nach §61(3) aus ÜNB-Umlageberechnung für 2020</v>
      </c>
      <c r="G26" s="130"/>
      <c r="H26" s="108"/>
      <c r="I26" s="136" t="s">
        <v>493</v>
      </c>
      <c r="J26" s="1430"/>
      <c r="K26" s="1431"/>
      <c r="L26" s="439" t="str">
        <f>IF($C$4="Entscheidermodus",'Parameter-Entscheider'!L26,'Start-Experte'!L26)</f>
        <v>Referenz</v>
      </c>
      <c r="M26" s="432" t="str">
        <f>'D-Nettostromverbrauch'!$D$6</f>
        <v>2022-2026: ÜNB-Umlageberechnung 2021. Danach ansteigend auf 600 TWh in 2030</v>
      </c>
      <c r="N26" s="130"/>
      <c r="O26" s="108"/>
      <c r="P26" s="130"/>
      <c r="Q26" s="130"/>
      <c r="R26" s="130"/>
      <c r="S26" s="130"/>
      <c r="T26" s="130"/>
      <c r="U26" s="130"/>
      <c r="V26" s="130"/>
      <c r="W26" s="160"/>
    </row>
    <row r="27" spans="1:23" ht="30" customHeight="1">
      <c r="A27" s="127"/>
      <c r="B27" s="161"/>
      <c r="C27" s="393" t="s">
        <v>359</v>
      </c>
      <c r="D27" s="479"/>
      <c r="E27" s="131" t="str">
        <f>IF($C$4="Entscheidermodus",'Parameter-Entscheider'!E27,'Start-Experte'!E27)</f>
        <v>Referenz</v>
      </c>
      <c r="F27" s="132" t="str">
        <f>'D-Anteil Eigenverbrauch EE neu'!E12</f>
        <v>9%</v>
      </c>
      <c r="G27" s="130"/>
      <c r="H27" s="108"/>
      <c r="I27" s="393" t="s">
        <v>20</v>
      </c>
      <c r="J27" s="1432"/>
      <c r="K27" s="1433"/>
      <c r="L27" s="131" t="str">
        <f>IF($C$4="Entscheidermodus",'Parameter-Entscheider'!L27,'Start-Experte'!L27)</f>
        <v>Referenz</v>
      </c>
      <c r="M27" s="433" t="str">
        <f>'D-Spot-Skalierungsfaktor'!$D$6</f>
        <v>100%</v>
      </c>
      <c r="N27" s="130"/>
      <c r="O27" s="108"/>
      <c r="P27" s="130"/>
      <c r="Q27" s="130"/>
      <c r="R27" s="130"/>
      <c r="S27" s="130"/>
      <c r="T27" s="130"/>
      <c r="U27" s="130"/>
      <c r="V27" s="130"/>
      <c r="W27" s="160"/>
    </row>
    <row r="28" spans="1:23" ht="27.75" customHeight="1" collapsed="1" thickBot="1">
      <c r="A28" s="127"/>
      <c r="B28" s="158"/>
      <c r="C28" s="140" t="s">
        <v>360</v>
      </c>
      <c r="D28" s="480"/>
      <c r="E28" s="442" t="str">
        <f>IF($C$4="Entscheidermodus",'Parameter-Entscheider'!E28,'Start-Experte'!E28)</f>
        <v>Referenz</v>
      </c>
      <c r="F28" s="390"/>
      <c r="G28" s="130"/>
      <c r="H28" s="108"/>
      <c r="I28" s="137" t="s">
        <v>149</v>
      </c>
      <c r="J28" s="1432"/>
      <c r="K28" s="1433"/>
      <c r="L28" s="131" t="str">
        <f>IF($C$4="Entscheidermodus",'Parameter-Entscheider'!L28,'Start-Experte'!L28)</f>
        <v>Referenz</v>
      </c>
      <c r="M28" s="433" t="str">
        <f>'D-vermiedene Netzentgelte'!$D$6</f>
        <v>7.17€/MWh</v>
      </c>
      <c r="N28" s="130"/>
      <c r="O28" s="108"/>
      <c r="P28" s="130"/>
      <c r="Q28" s="130"/>
      <c r="R28" s="130"/>
      <c r="S28" s="130"/>
      <c r="T28" s="130"/>
      <c r="U28" s="130"/>
      <c r="V28" s="130"/>
      <c r="W28" s="160"/>
    </row>
    <row r="29" spans="1:23" ht="32.25" customHeight="1" thickBot="1">
      <c r="A29" s="127"/>
      <c r="B29" s="158"/>
      <c r="C29" s="438" t="s">
        <v>491</v>
      </c>
      <c r="D29" s="437"/>
      <c r="E29" s="444" t="str">
        <f>IF($C$4="Entscheidermodus",'Parameter-Entscheider'!E29,'Start-Experte'!E29)</f>
        <v>Referenz</v>
      </c>
      <c r="F29" s="431"/>
      <c r="G29" s="130"/>
      <c r="H29" s="108"/>
      <c r="I29" s="138" t="s">
        <v>69</v>
      </c>
      <c r="J29" s="1418"/>
      <c r="K29" s="1419"/>
      <c r="L29" s="442" t="str">
        <f>IF($C$4="Entscheidermodus",'Parameter-Entscheider'!L29,'Start-Experte'!L29)</f>
        <v>Referenz</v>
      </c>
      <c r="M29" s="434" t="str">
        <f>'D-Sonstige Kosten'!$D$6</f>
        <v>0,06Mrd. €</v>
      </c>
      <c r="N29" s="130"/>
      <c r="O29" s="108"/>
      <c r="P29" s="130"/>
      <c r="Q29" s="130"/>
      <c r="R29" s="130"/>
      <c r="S29" s="130"/>
      <c r="T29" s="130"/>
      <c r="U29" s="130"/>
      <c r="V29" s="130"/>
      <c r="W29" s="160"/>
    </row>
    <row r="30" spans="1:23" ht="26.25" customHeight="1" thickBot="1">
      <c r="A30" s="127"/>
      <c r="B30" s="158"/>
      <c r="C30" s="135"/>
      <c r="D30" s="135"/>
      <c r="E30" s="135"/>
      <c r="F30" s="135"/>
      <c r="G30" s="135"/>
      <c r="H30" s="130"/>
      <c r="I30" s="138" t="s">
        <v>522</v>
      </c>
      <c r="J30" s="1418"/>
      <c r="K30" s="1419"/>
      <c r="L30" s="442" t="str">
        <f>IF($C$4="Entscheidermodus",'Parameter-Entscheider'!L30,'Start-Experte'!L30)</f>
        <v>Referenz</v>
      </c>
      <c r="M30" s="434" t="str">
        <f>'D-Inflationsrate'!$D$6</f>
        <v>1,5% pro Jahr</v>
      </c>
      <c r="N30" s="130"/>
      <c r="O30" s="130"/>
      <c r="P30" s="130"/>
      <c r="Q30" s="130"/>
      <c r="R30" s="130"/>
      <c r="S30" s="130"/>
      <c r="T30" s="130"/>
      <c r="U30" s="130"/>
      <c r="V30" s="130"/>
      <c r="W30" s="160"/>
    </row>
    <row r="31" spans="1:23" ht="26.25" customHeight="1" thickBot="1">
      <c r="A31" s="127"/>
      <c r="B31" s="158"/>
      <c r="C31" s="135"/>
      <c r="D31" s="135"/>
      <c r="E31" s="135"/>
      <c r="F31" s="135"/>
      <c r="G31" s="135"/>
      <c r="H31" s="130"/>
      <c r="I31" s="135"/>
      <c r="J31" s="135"/>
      <c r="K31" s="135"/>
      <c r="L31" s="130"/>
      <c r="M31" s="135"/>
      <c r="N31" s="130"/>
      <c r="O31" s="130"/>
      <c r="P31" s="130"/>
      <c r="Q31" s="130"/>
      <c r="R31" s="130"/>
      <c r="S31" s="130"/>
      <c r="T31" s="130"/>
      <c r="U31" s="130"/>
      <c r="V31" s="130"/>
      <c r="W31" s="160"/>
    </row>
    <row r="32" spans="1:23" ht="26.25" customHeight="1" thickBot="1">
      <c r="A32" s="127"/>
      <c r="B32" s="158"/>
      <c r="C32" s="134"/>
      <c r="D32" s="134"/>
      <c r="E32" s="1422" t="s">
        <v>339</v>
      </c>
      <c r="F32" s="1424"/>
      <c r="G32" s="134"/>
      <c r="H32" s="130"/>
      <c r="I32" s="1422" t="s">
        <v>340</v>
      </c>
      <c r="J32" s="1424"/>
      <c r="K32" s="134"/>
      <c r="L32" s="1422" t="s">
        <v>341</v>
      </c>
      <c r="M32" s="1424"/>
      <c r="N32" s="130"/>
      <c r="O32" s="130"/>
      <c r="P32" s="130"/>
      <c r="Q32" s="130"/>
      <c r="R32" s="130"/>
      <c r="S32" s="130"/>
      <c r="T32" s="130"/>
      <c r="U32" s="130"/>
      <c r="V32" s="130"/>
      <c r="W32" s="160"/>
    </row>
    <row r="33" spans="1:23" ht="26.25" customHeight="1" thickBot="1">
      <c r="A33" s="127"/>
      <c r="B33" s="158"/>
      <c r="C33" s="410" t="s">
        <v>145</v>
      </c>
      <c r="D33" s="411" t="s">
        <v>140</v>
      </c>
      <c r="E33" s="1416" t="s">
        <v>141</v>
      </c>
      <c r="F33" s="1417"/>
      <c r="G33" s="130"/>
      <c r="H33" s="130"/>
      <c r="I33" s="1428" t="s">
        <v>141</v>
      </c>
      <c r="J33" s="1417"/>
      <c r="K33" s="139"/>
      <c r="L33" s="1428" t="s">
        <v>141</v>
      </c>
      <c r="M33" s="1417"/>
      <c r="N33" s="130"/>
      <c r="O33" s="130"/>
      <c r="P33" s="130"/>
      <c r="Q33" s="130"/>
      <c r="R33" s="130"/>
      <c r="S33" s="130"/>
      <c r="T33" s="130"/>
      <c r="U33" s="130"/>
      <c r="V33" s="130"/>
      <c r="W33" s="160"/>
    </row>
    <row r="34" spans="1:23" ht="26.25" customHeight="1">
      <c r="A34" s="127"/>
      <c r="B34" s="158"/>
      <c r="C34" s="413" t="s">
        <v>24</v>
      </c>
      <c r="D34" s="414"/>
      <c r="E34" s="439" t="str">
        <f>IF($C$4="Entscheidermodus",'Parameter-Entscheider'!E34,'Start-Experte'!E34)</f>
        <v>Referenz</v>
      </c>
      <c r="F34" s="432" t="str">
        <f>'D-Standardauslastung'!E10</f>
        <v>Anstieg auf 2600h in 2035</v>
      </c>
      <c r="G34" s="130"/>
      <c r="H34" s="130"/>
      <c r="I34" s="445" t="str">
        <f>IF($C$4="Entscheidermodus",'Parameter-Entscheider'!I34,'Start-Experte'!I34)</f>
        <v>Referenz</v>
      </c>
      <c r="J34" s="432" t="str">
        <f>'D-Dargebotsfaktor'!E10</f>
        <v>100%</v>
      </c>
      <c r="K34" s="139"/>
      <c r="L34" s="445" t="str">
        <f>IF($C$4="Entscheidermodus",'Parameter-Entscheider'!L34,'Start-Experte'!L34)</f>
        <v>Referenz</v>
      </c>
      <c r="M34" s="484" t="str">
        <f>'D-Profilfaktoren'!E10</f>
        <v>eigene Berechnung</v>
      </c>
      <c r="N34" s="130"/>
      <c r="O34" s="130"/>
      <c r="P34" s="130"/>
      <c r="Q34" s="130"/>
      <c r="R34" s="130"/>
      <c r="S34" s="130"/>
      <c r="T34" s="130"/>
      <c r="U34" s="130"/>
      <c r="V34" s="130"/>
      <c r="W34" s="160"/>
    </row>
    <row r="35" spans="1:23" ht="26.25" customHeight="1">
      <c r="A35" s="127"/>
      <c r="B35" s="158"/>
      <c r="C35" s="436" t="s">
        <v>26</v>
      </c>
      <c r="D35" s="412"/>
      <c r="E35" s="131" t="str">
        <f>IF($C$4="Entscheidermodus",'Parameter-Entscheider'!E35,'Start-Experte'!E35)</f>
        <v>Referenz</v>
      </c>
      <c r="F35" s="433" t="str">
        <f>'D-Standardauslastung'!E11</f>
        <v>Anstieg auf 4700 h in 2035</v>
      </c>
      <c r="G35" s="130"/>
      <c r="H35" s="130"/>
      <c r="I35" s="446" t="str">
        <f>IF($C$4="Entscheidermodus",'Parameter-Entscheider'!I35,'Start-Experte'!I35)</f>
        <v>Referenz</v>
      </c>
      <c r="J35" s="433" t="str">
        <f>'D-Dargebotsfaktor'!E11</f>
        <v>100%</v>
      </c>
      <c r="K35" s="139"/>
      <c r="L35" s="446" t="str">
        <f>IF($C$4="Entscheidermodus",'Parameter-Entscheider'!L35,'Start-Experte'!L35)</f>
        <v>Referenz</v>
      </c>
      <c r="M35" s="482" t="str">
        <f>'D-Profilfaktoren'!E11</f>
        <v>eigene Berechnung</v>
      </c>
      <c r="N35" s="358"/>
      <c r="O35" s="130"/>
      <c r="P35" s="130"/>
      <c r="Q35" s="130"/>
      <c r="R35" s="130"/>
      <c r="S35" s="130"/>
      <c r="T35" s="130"/>
      <c r="U35" s="130"/>
      <c r="V35" s="130"/>
      <c r="W35" s="160"/>
    </row>
    <row r="36" spans="1:23" ht="17.100000000000001" customHeight="1">
      <c r="A36" s="127"/>
      <c r="B36" s="158"/>
      <c r="C36" s="415" t="s">
        <v>14</v>
      </c>
      <c r="D36" s="412"/>
      <c r="E36" s="131" t="str">
        <f>IF($C$4="Entscheidermodus",'Parameter-Entscheider'!E36,'Start-Experte'!E36)</f>
        <v>Referenz</v>
      </c>
      <c r="F36" s="433" t="str">
        <f>'D-Standardauslastung'!E12</f>
        <v>Anstieg auf 950h in 2035</v>
      </c>
      <c r="G36" s="130"/>
      <c r="H36" s="130"/>
      <c r="I36" s="446" t="str">
        <f>IF($C$4="Entscheidermodus",'Parameter-Entscheider'!I36,'Start-Experte'!I36)</f>
        <v>Referenz</v>
      </c>
      <c r="J36" s="433" t="str">
        <f>'D-Dargebotsfaktor'!E12</f>
        <v>100%</v>
      </c>
      <c r="K36" s="358"/>
      <c r="L36" s="446" t="str">
        <f>IF($C$4="Entscheidermodus",'Parameter-Entscheider'!L36,'Start-Experte'!L36)</f>
        <v>Referenz</v>
      </c>
      <c r="M36" s="482" t="str">
        <f>'D-Profilfaktoren'!E12</f>
        <v>eigene Berechnung</v>
      </c>
      <c r="N36" s="358"/>
      <c r="O36" s="130"/>
      <c r="P36" s="130"/>
      <c r="Q36" s="130"/>
      <c r="R36" s="130"/>
      <c r="S36" s="130"/>
      <c r="T36" s="130"/>
      <c r="U36" s="130"/>
      <c r="V36" s="130"/>
      <c r="W36" s="160"/>
    </row>
    <row r="37" spans="1:23" ht="17.100000000000001" customHeight="1">
      <c r="A37" s="127"/>
      <c r="B37" s="158"/>
      <c r="C37" s="436" t="s">
        <v>13</v>
      </c>
      <c r="D37" s="412"/>
      <c r="E37" s="131" t="str">
        <f>IF($C$4="Entscheidermodus",'Parameter-Entscheider'!E37,'Start-Experte'!E37)</f>
        <v>Referenz</v>
      </c>
      <c r="F37" s="433" t="str">
        <f>'D-Standardauslastung'!E8</f>
        <v>MFP Trend</v>
      </c>
      <c r="G37" s="130"/>
      <c r="H37" s="130"/>
      <c r="I37" s="446" t="str">
        <f>IF($C$4="Entscheidermodus",'Parameter-Entscheider'!I37,'Start-Experte'!I37)</f>
        <v>Referenz</v>
      </c>
      <c r="J37" s="433" t="str">
        <f>'D-Dargebotsfaktor'!E8</f>
        <v>100%</v>
      </c>
      <c r="K37" s="139"/>
      <c r="L37" s="446" t="str">
        <f>IF($C$4="Entscheidermodus",'Parameter-Entscheider'!L37,'Start-Experte'!L37)</f>
        <v>Referenz</v>
      </c>
      <c r="M37" s="482" t="str">
        <f>'D-Profilfaktoren'!E8</f>
        <v>100%</v>
      </c>
      <c r="N37" s="358"/>
      <c r="O37" s="130"/>
      <c r="P37" s="130"/>
      <c r="Q37" s="130"/>
      <c r="R37" s="130"/>
      <c r="S37" s="130"/>
      <c r="T37" s="130"/>
      <c r="U37" s="130"/>
      <c r="V37" s="130"/>
      <c r="W37" s="160"/>
    </row>
    <row r="38" spans="1:23" ht="31.5" customHeight="1">
      <c r="A38" s="127"/>
      <c r="B38" s="158"/>
      <c r="C38" s="436" t="s">
        <v>12</v>
      </c>
      <c r="D38" s="412"/>
      <c r="E38" s="131" t="str">
        <f>IF($C$4="Entscheidermodus",'Parameter-Entscheider'!E38,'Start-Experte'!E38)</f>
        <v>Referenz</v>
      </c>
      <c r="F38" s="433" t="str">
        <f>'D-Standardauslastung'!E9</f>
        <v>MFP Trend</v>
      </c>
      <c r="G38" s="130"/>
      <c r="H38" s="130"/>
      <c r="I38" s="446" t="str">
        <f>IF($C$4="Entscheidermodus",'Parameter-Entscheider'!I38,'Start-Experte'!I38)</f>
        <v>Referenz</v>
      </c>
      <c r="J38" s="433" t="str">
        <f>'D-Dargebotsfaktor'!E9</f>
        <v>100%</v>
      </c>
      <c r="K38" s="139"/>
      <c r="L38" s="446" t="str">
        <f>IF($C$4="Entscheidermodus",'Parameter-Entscheider'!L38,'Start-Experte'!L38)</f>
        <v>Referenz</v>
      </c>
      <c r="M38" s="482" t="str">
        <f>'D-Profilfaktoren'!E9</f>
        <v>100%</v>
      </c>
      <c r="N38" s="358"/>
      <c r="O38" s="139"/>
      <c r="P38" s="130"/>
      <c r="Q38" s="130"/>
      <c r="R38" s="130"/>
      <c r="S38" s="130"/>
      <c r="T38" s="130"/>
      <c r="U38" s="130"/>
      <c r="V38" s="130"/>
      <c r="W38" s="160"/>
    </row>
    <row r="39" spans="1:23" ht="17.100000000000001" customHeight="1">
      <c r="A39" s="127"/>
      <c r="B39" s="158"/>
      <c r="C39" s="436" t="s">
        <v>25</v>
      </c>
      <c r="D39" s="412"/>
      <c r="E39" s="131" t="str">
        <f>IF($C$4="Entscheidermodus",'Parameter-Entscheider'!E39,'Start-Experte'!E39)</f>
        <v>Referenz</v>
      </c>
      <c r="F39" s="433" t="str">
        <f>'D-Standardauslastung'!E6</f>
        <v>MFP Trend</v>
      </c>
      <c r="G39" s="130"/>
      <c r="H39" s="130"/>
      <c r="I39" s="446" t="str">
        <f>IF($C$4="Entscheidermodus",'Parameter-Entscheider'!I39,'Start-Experte'!I39)</f>
        <v>Referenz</v>
      </c>
      <c r="J39" s="433" t="str">
        <f>'D-Dargebotsfaktor'!E6</f>
        <v>100%</v>
      </c>
      <c r="K39" s="139"/>
      <c r="L39" s="446" t="str">
        <f>IF($C$4="Entscheidermodus",'Parameter-Entscheider'!L39,'Start-Experte'!L39)</f>
        <v>Referenz</v>
      </c>
      <c r="M39" s="482" t="str">
        <f>'D-Profilfaktoren'!E6</f>
        <v>100%</v>
      </c>
      <c r="N39" s="358"/>
      <c r="O39" s="358"/>
      <c r="P39" s="130"/>
      <c r="Q39" s="130"/>
      <c r="R39" s="130"/>
      <c r="S39" s="130"/>
      <c r="T39" s="130"/>
      <c r="U39" s="130"/>
      <c r="V39" s="130"/>
      <c r="W39" s="160"/>
    </row>
    <row r="40" spans="1:23" ht="17.100000000000001" customHeight="1" thickBot="1">
      <c r="A40" s="127"/>
      <c r="B40" s="158"/>
      <c r="C40" s="418" t="s">
        <v>27</v>
      </c>
      <c r="D40" s="417"/>
      <c r="E40" s="442" t="str">
        <f>IF($C$4="Entscheidermodus",'Parameter-Entscheider'!E40,'Start-Experte'!E40)</f>
        <v>Referenz</v>
      </c>
      <c r="F40" s="434" t="str">
        <f>'D-Standardauslastung'!E7</f>
        <v>MFP Trend</v>
      </c>
      <c r="G40" s="130"/>
      <c r="H40" s="130"/>
      <c r="I40" s="447" t="str">
        <f>IF($C$4="Entscheidermodus",'Parameter-Entscheider'!I40,'Start-Experte'!I40)</f>
        <v>Referenz</v>
      </c>
      <c r="J40" s="434" t="str">
        <f>'D-Dargebotsfaktor'!E7</f>
        <v>100%</v>
      </c>
      <c r="K40" s="139"/>
      <c r="L40" s="447" t="str">
        <f>IF($C$4="Entscheidermodus",'Parameter-Entscheider'!L40,'Start-Experte'!L40)</f>
        <v>Referenz</v>
      </c>
      <c r="M40" s="481" t="str">
        <f>'D-Profilfaktoren'!E7</f>
        <v>100%</v>
      </c>
      <c r="N40" s="358"/>
      <c r="O40" s="358"/>
      <c r="P40" s="130"/>
      <c r="Q40" s="130"/>
      <c r="R40" s="130"/>
      <c r="S40" s="130"/>
      <c r="T40" s="130"/>
      <c r="U40" s="130"/>
      <c r="V40" s="130"/>
      <c r="W40" s="160"/>
    </row>
    <row r="41" spans="1:23" ht="17.100000000000001" customHeight="1">
      <c r="A41" s="127"/>
      <c r="B41" s="158"/>
      <c r="C41" s="358"/>
      <c r="D41" s="358"/>
      <c r="E41" s="130"/>
      <c r="F41" s="110"/>
      <c r="G41" s="130"/>
      <c r="H41" s="130"/>
      <c r="I41" s="130"/>
      <c r="J41" s="110"/>
      <c r="K41" s="358"/>
      <c r="L41" s="130"/>
      <c r="M41" s="110"/>
      <c r="N41" s="358"/>
      <c r="O41" s="358"/>
      <c r="P41" s="130"/>
      <c r="Q41" s="130"/>
      <c r="R41" s="130"/>
      <c r="S41" s="130"/>
      <c r="T41" s="130"/>
      <c r="U41" s="130"/>
      <c r="V41" s="130"/>
      <c r="W41" s="160"/>
    </row>
    <row r="42" spans="1:23" ht="17.100000000000001" customHeight="1" thickBot="1">
      <c r="A42" s="127"/>
      <c r="B42" s="158"/>
      <c r="C42" s="130"/>
      <c r="D42" s="130"/>
      <c r="E42" s="130"/>
      <c r="F42" s="130"/>
      <c r="G42" s="130"/>
      <c r="H42" s="130"/>
      <c r="I42" s="130"/>
      <c r="J42" s="130"/>
      <c r="K42" s="130"/>
      <c r="L42" s="130"/>
      <c r="M42" s="130"/>
      <c r="N42" s="358"/>
      <c r="O42" s="358"/>
      <c r="P42" s="130"/>
      <c r="Q42" s="130"/>
      <c r="R42" s="130"/>
      <c r="S42" s="130"/>
      <c r="T42" s="130"/>
      <c r="U42" s="130"/>
      <c r="V42" s="130"/>
      <c r="W42" s="160"/>
    </row>
    <row r="43" spans="1:23" ht="28.5" customHeight="1" thickBot="1">
      <c r="A43" s="127"/>
      <c r="B43" s="158"/>
      <c r="C43" s="134"/>
      <c r="D43" s="134"/>
      <c r="E43" s="1422" t="s">
        <v>568</v>
      </c>
      <c r="F43" s="1424"/>
      <c r="G43" s="130"/>
      <c r="H43" s="130"/>
      <c r="I43" s="1383" t="s">
        <v>867</v>
      </c>
      <c r="J43" s="1384"/>
      <c r="K43" s="130"/>
      <c r="L43" s="130"/>
      <c r="M43" s="130"/>
      <c r="N43" s="358"/>
      <c r="O43" s="358"/>
      <c r="P43" s="130"/>
      <c r="Q43" s="130"/>
      <c r="R43" s="130"/>
      <c r="S43" s="130"/>
      <c r="T43" s="130"/>
      <c r="U43" s="130"/>
      <c r="V43" s="130"/>
      <c r="W43" s="160"/>
    </row>
    <row r="44" spans="1:23" ht="17.100000000000001" customHeight="1" thickBot="1">
      <c r="A44" s="127"/>
      <c r="B44" s="158"/>
      <c r="C44" s="410" t="s">
        <v>145</v>
      </c>
      <c r="D44" s="411" t="s">
        <v>140</v>
      </c>
      <c r="E44" s="1416" t="s">
        <v>141</v>
      </c>
      <c r="F44" s="1417"/>
      <c r="G44" s="130"/>
      <c r="H44" s="130"/>
      <c r="I44" s="1225" t="s">
        <v>141</v>
      </c>
      <c r="J44" s="822"/>
      <c r="K44" s="130"/>
      <c r="L44" s="130"/>
      <c r="M44" s="130"/>
      <c r="N44" s="358"/>
      <c r="O44" s="358"/>
      <c r="P44" s="130"/>
      <c r="Q44" s="130"/>
      <c r="R44" s="130"/>
      <c r="S44" s="130"/>
      <c r="T44" s="130"/>
      <c r="U44" s="130"/>
      <c r="V44" s="130"/>
      <c r="W44" s="160"/>
    </row>
    <row r="45" spans="1:23" ht="17.100000000000001" customHeight="1" thickBot="1">
      <c r="A45" s="127"/>
      <c r="B45" s="158"/>
      <c r="C45" s="413" t="s">
        <v>24</v>
      </c>
      <c r="D45" s="414"/>
      <c r="E45" s="439" t="str">
        <f>IF($C$4="Entscheidermodus",'Parameter-Entscheider'!E45,'Start-Experte'!E45)</f>
        <v>Referenz</v>
      </c>
      <c r="F45" s="502" t="str">
        <f>'D-Dauer Goldenes Ende'!E10</f>
        <v>5 Jahre</v>
      </c>
      <c r="G45" s="358"/>
      <c r="H45" s="358"/>
      <c r="I45" s="447" t="str">
        <f>IF($C$4="Entscheidermodus",'Parameter-Entscheider'!I45,'Start-Experte'!L45)</f>
        <v>Referenz</v>
      </c>
      <c r="J45" s="502" t="str">
        <f>'D-Zuschuss'!D6</f>
        <v>Politisch zugesagte Bundeszuschüsse</v>
      </c>
      <c r="K45" s="358"/>
      <c r="L45" s="358"/>
      <c r="M45" s="358"/>
      <c r="N45" s="358"/>
      <c r="O45" s="358"/>
      <c r="P45" s="130"/>
      <c r="Q45" s="130"/>
      <c r="R45" s="130"/>
      <c r="S45" s="130"/>
      <c r="T45" s="130"/>
      <c r="U45" s="130"/>
      <c r="V45" s="130"/>
      <c r="W45" s="160"/>
    </row>
    <row r="46" spans="1:23" ht="17.100000000000001" customHeight="1" thickBot="1">
      <c r="A46" s="127"/>
      <c r="B46" s="158"/>
      <c r="C46" s="436" t="s">
        <v>26</v>
      </c>
      <c r="D46" s="412"/>
      <c r="E46" s="439" t="str">
        <f>IF($C$4="Entscheidermodus",'Parameter-Entscheider'!E46,'Start-Experte'!E46)</f>
        <v>Referenz</v>
      </c>
      <c r="F46" s="503" t="str">
        <f>'D-Dauer Goldenes Ende'!E11</f>
        <v>keine</v>
      </c>
      <c r="G46" s="358"/>
      <c r="H46" s="358"/>
      <c r="I46" s="358"/>
      <c r="J46" s="358"/>
      <c r="K46" s="358"/>
      <c r="L46" s="358"/>
      <c r="M46" s="358"/>
      <c r="N46" s="358"/>
      <c r="O46" s="358"/>
      <c r="P46" s="130"/>
      <c r="Q46" s="130"/>
      <c r="R46" s="130"/>
      <c r="S46" s="130"/>
      <c r="T46" s="130"/>
      <c r="U46" s="130"/>
      <c r="V46" s="130"/>
      <c r="W46" s="160"/>
    </row>
    <row r="47" spans="1:23" ht="17.100000000000001" customHeight="1" thickBot="1">
      <c r="A47" s="127"/>
      <c r="B47" s="158"/>
      <c r="C47" s="415" t="s">
        <v>74</v>
      </c>
      <c r="D47" s="412"/>
      <c r="E47" s="439" t="str">
        <f>IF($C$4="Entscheidermodus",'Parameter-Entscheider'!E47,'Start-Experte'!E47)</f>
        <v>Referenz</v>
      </c>
      <c r="F47" s="503" t="str">
        <f>'D-Dauer Goldenes Ende'!E12</f>
        <v>5 Jahre</v>
      </c>
      <c r="G47" s="358"/>
      <c r="H47" s="358"/>
      <c r="I47" s="358"/>
      <c r="J47" s="358"/>
      <c r="K47" s="358"/>
      <c r="L47" s="358"/>
      <c r="M47" s="358"/>
      <c r="N47" s="358"/>
      <c r="O47" s="358"/>
      <c r="P47" s="130"/>
      <c r="Q47" s="130"/>
      <c r="R47" s="130"/>
      <c r="S47" s="130"/>
      <c r="T47" s="130"/>
      <c r="U47" s="130"/>
      <c r="V47" s="130"/>
      <c r="W47" s="160"/>
    </row>
    <row r="48" spans="1:23" ht="17.100000000000001" customHeight="1" thickBot="1">
      <c r="A48" s="127"/>
      <c r="B48" s="158"/>
      <c r="C48" s="436" t="s">
        <v>13</v>
      </c>
      <c r="D48" s="412"/>
      <c r="E48" s="439" t="str">
        <f>IF($C$4="Entscheidermodus",'Parameter-Entscheider'!E48,'Start-Experte'!E48)</f>
        <v>Referenz</v>
      </c>
      <c r="F48" s="503" t="str">
        <f>'D-Dauer Goldenes Ende'!E8</f>
        <v>keine</v>
      </c>
      <c r="G48" s="358"/>
      <c r="H48" s="358"/>
      <c r="I48" s="358"/>
      <c r="J48" s="358"/>
      <c r="K48" s="358"/>
      <c r="L48" s="358"/>
      <c r="M48" s="358"/>
      <c r="N48" s="358"/>
      <c r="O48" s="358"/>
      <c r="P48" s="130"/>
      <c r="Q48" s="130"/>
      <c r="R48" s="130"/>
      <c r="S48" s="130"/>
      <c r="T48" s="130"/>
      <c r="U48" s="130"/>
      <c r="V48" s="130"/>
      <c r="W48" s="160"/>
    </row>
    <row r="49" spans="1:23" ht="17.100000000000001" customHeight="1" thickBot="1">
      <c r="A49" s="127"/>
      <c r="B49" s="158"/>
      <c r="C49" s="436" t="s">
        <v>12</v>
      </c>
      <c r="D49" s="412"/>
      <c r="E49" s="439" t="str">
        <f>IF($C$4="Entscheidermodus",'Parameter-Entscheider'!E49,'Start-Experte'!E49)</f>
        <v>Referenz</v>
      </c>
      <c r="F49" s="503" t="str">
        <f>'D-Dauer Goldenes Ende'!E9</f>
        <v>keine</v>
      </c>
      <c r="G49" s="358"/>
      <c r="H49" s="358"/>
      <c r="I49" s="358"/>
      <c r="J49" s="358"/>
      <c r="K49" s="358"/>
      <c r="L49" s="358"/>
      <c r="M49" s="358"/>
      <c r="N49" s="358"/>
      <c r="O49" s="358"/>
      <c r="P49" s="130"/>
      <c r="Q49" s="130"/>
      <c r="R49" s="130"/>
      <c r="S49" s="130"/>
      <c r="T49" s="130"/>
      <c r="U49" s="130"/>
      <c r="V49" s="130"/>
      <c r="W49" s="160"/>
    </row>
    <row r="50" spans="1:23" ht="17.100000000000001" customHeight="1" thickBot="1">
      <c r="A50" s="127"/>
      <c r="B50" s="158"/>
      <c r="C50" s="436" t="s">
        <v>25</v>
      </c>
      <c r="D50" s="412"/>
      <c r="E50" s="439" t="str">
        <f>IF($C$4="Entscheidermodus",'Parameter-Entscheider'!E50,'Start-Experte'!E50)</f>
        <v>Referenz</v>
      </c>
      <c r="F50" s="503" t="str">
        <f>'D-Dauer Goldenes Ende'!E6</f>
        <v>keine</v>
      </c>
      <c r="G50" s="358"/>
      <c r="H50" s="358"/>
      <c r="I50" s="358"/>
      <c r="J50" s="358"/>
      <c r="K50" s="358"/>
      <c r="L50" s="358"/>
      <c r="M50" s="358"/>
      <c r="N50" s="358"/>
      <c r="O50" s="358"/>
      <c r="P50" s="130"/>
      <c r="Q50" s="130"/>
      <c r="R50" s="130"/>
      <c r="S50" s="130"/>
      <c r="T50" s="130"/>
      <c r="U50" s="130"/>
      <c r="V50" s="130"/>
      <c r="W50" s="160"/>
    </row>
    <row r="51" spans="1:23" ht="17.100000000000001" customHeight="1" thickBot="1">
      <c r="A51" s="127"/>
      <c r="B51" s="158"/>
      <c r="C51" s="418" t="s">
        <v>27</v>
      </c>
      <c r="D51" s="417"/>
      <c r="E51" s="439" t="str">
        <f>IF($C$4="Entscheidermodus",'Parameter-Entscheider'!E51,'Start-Experte'!E51)</f>
        <v>Referenz</v>
      </c>
      <c r="F51" s="504" t="str">
        <f>'D-Dauer Goldenes Ende'!E7</f>
        <v>keine</v>
      </c>
      <c r="G51" s="358"/>
      <c r="H51" s="358"/>
      <c r="I51" s="358"/>
      <c r="J51" s="358"/>
      <c r="K51" s="358"/>
      <c r="L51" s="358"/>
      <c r="M51" s="358"/>
      <c r="N51" s="358"/>
      <c r="O51" s="358"/>
      <c r="P51" s="130"/>
      <c r="Q51" s="130"/>
      <c r="R51" s="130"/>
      <c r="S51" s="130"/>
      <c r="T51" s="130"/>
      <c r="U51" s="130"/>
      <c r="V51" s="130"/>
      <c r="W51" s="160"/>
    </row>
    <row r="52" spans="1:23" ht="17.100000000000001" customHeight="1">
      <c r="A52" s="127"/>
      <c r="B52" s="158"/>
      <c r="C52" s="358"/>
      <c r="D52" s="358"/>
      <c r="E52" s="358"/>
      <c r="F52" s="358"/>
      <c r="G52" s="358"/>
      <c r="H52" s="358"/>
      <c r="I52" s="358"/>
      <c r="J52" s="358"/>
      <c r="K52" s="358"/>
      <c r="L52" s="358"/>
      <c r="M52" s="358"/>
      <c r="N52" s="358"/>
      <c r="O52" s="358"/>
      <c r="P52" s="130"/>
      <c r="Q52" s="130"/>
      <c r="R52" s="130"/>
      <c r="S52" s="130"/>
      <c r="T52" s="130"/>
      <c r="U52" s="130"/>
      <c r="V52" s="130"/>
      <c r="W52" s="160"/>
    </row>
    <row r="53" spans="1:23" ht="17.100000000000001" customHeight="1">
      <c r="A53" s="127"/>
      <c r="B53" s="158"/>
      <c r="C53" s="358"/>
      <c r="D53" s="358"/>
      <c r="E53" s="358"/>
      <c r="F53" s="358"/>
      <c r="G53" s="358"/>
      <c r="H53" s="358"/>
      <c r="I53" s="358"/>
      <c r="J53" s="358"/>
      <c r="K53" s="358"/>
      <c r="L53" s="358"/>
      <c r="M53" s="358"/>
      <c r="N53" s="358"/>
      <c r="O53" s="358"/>
      <c r="P53" s="130"/>
      <c r="Q53" s="130"/>
      <c r="R53" s="130"/>
      <c r="S53" s="130"/>
      <c r="T53" s="130"/>
      <c r="U53" s="130"/>
      <c r="V53" s="130"/>
      <c r="W53" s="160"/>
    </row>
    <row r="54" spans="1:23" ht="17.100000000000001" customHeight="1">
      <c r="A54" s="127"/>
      <c r="B54" s="158"/>
      <c r="C54" s="358"/>
      <c r="D54" s="358"/>
      <c r="E54" s="358"/>
      <c r="F54" s="358"/>
      <c r="G54" s="358"/>
      <c r="H54" s="358"/>
      <c r="I54" s="358"/>
      <c r="J54" s="358"/>
      <c r="K54" s="358"/>
      <c r="L54" s="358"/>
      <c r="M54" s="358"/>
      <c r="N54" s="358"/>
      <c r="O54" s="358"/>
      <c r="P54" s="130"/>
      <c r="Q54" s="130"/>
      <c r="R54" s="130"/>
      <c r="S54" s="130"/>
      <c r="T54" s="130"/>
      <c r="U54" s="130"/>
      <c r="V54" s="130"/>
      <c r="W54" s="160"/>
    </row>
    <row r="55" spans="1:23" ht="17.100000000000001" customHeight="1">
      <c r="A55" s="127"/>
      <c r="B55" s="158"/>
      <c r="C55" s="358"/>
      <c r="D55" s="358"/>
      <c r="E55" s="358"/>
      <c r="F55" s="358"/>
      <c r="G55" s="358"/>
      <c r="H55" s="358"/>
      <c r="I55" s="358"/>
      <c r="J55" s="358"/>
      <c r="K55" s="358"/>
      <c r="L55" s="358"/>
      <c r="M55" s="358"/>
      <c r="N55" s="358"/>
      <c r="O55" s="358"/>
      <c r="P55" s="130"/>
      <c r="Q55" s="130"/>
      <c r="R55" s="130"/>
      <c r="S55" s="130"/>
      <c r="T55" s="130"/>
      <c r="U55" s="130"/>
      <c r="V55" s="130"/>
      <c r="W55" s="160"/>
    </row>
    <row r="56" spans="1:23" ht="17.100000000000001" customHeight="1">
      <c r="A56" s="127"/>
      <c r="B56" s="158"/>
      <c r="C56" s="358"/>
      <c r="D56" s="358"/>
      <c r="E56" s="358"/>
      <c r="F56" s="358"/>
      <c r="G56" s="358"/>
      <c r="H56" s="358"/>
      <c r="I56" s="358"/>
      <c r="J56" s="358"/>
      <c r="K56" s="358"/>
      <c r="L56" s="358"/>
      <c r="M56" s="358"/>
      <c r="N56" s="358"/>
      <c r="O56" s="358"/>
      <c r="P56" s="130"/>
      <c r="Q56" s="130"/>
      <c r="R56" s="130"/>
      <c r="S56" s="130"/>
      <c r="T56" s="130"/>
      <c r="U56" s="130"/>
      <c r="V56" s="130"/>
      <c r="W56" s="160"/>
    </row>
    <row r="57" spans="1:23" s="142" customFormat="1" ht="16.5" customHeight="1">
      <c r="A57" s="127"/>
      <c r="B57" s="158"/>
      <c r="C57" s="358"/>
      <c r="D57" s="358"/>
      <c r="E57" s="358"/>
      <c r="F57" s="358"/>
      <c r="G57" s="358"/>
      <c r="H57" s="358"/>
      <c r="I57" s="358"/>
      <c r="J57" s="358"/>
      <c r="K57" s="358"/>
      <c r="L57" s="358"/>
      <c r="M57" s="358"/>
      <c r="N57" s="358"/>
      <c r="O57" s="358"/>
      <c r="P57" s="130"/>
      <c r="Q57" s="130"/>
      <c r="R57" s="130"/>
      <c r="S57" s="130"/>
      <c r="T57" s="130"/>
      <c r="U57" s="130"/>
      <c r="V57" s="130"/>
      <c r="W57" s="160"/>
    </row>
    <row r="58" spans="1:23" s="142" customFormat="1" ht="16.5" customHeight="1">
      <c r="A58" s="127"/>
      <c r="B58" s="158"/>
      <c r="C58" s="358"/>
      <c r="D58" s="358"/>
      <c r="E58" s="358"/>
      <c r="F58" s="358"/>
      <c r="G58" s="358"/>
      <c r="H58" s="358"/>
      <c r="I58" s="358"/>
      <c r="J58" s="358"/>
      <c r="K58" s="358"/>
      <c r="L58" s="358"/>
      <c r="M58" s="358"/>
      <c r="N58" s="358"/>
      <c r="O58" s="358"/>
      <c r="P58" s="130"/>
      <c r="Q58" s="130"/>
      <c r="R58" s="130"/>
      <c r="S58" s="130"/>
      <c r="T58" s="130"/>
      <c r="U58" s="130"/>
      <c r="V58" s="130"/>
      <c r="W58" s="160"/>
    </row>
    <row r="59" spans="1:23" s="142" customFormat="1" ht="16.5" customHeight="1">
      <c r="A59" s="127"/>
      <c r="B59" s="158"/>
      <c r="C59" s="436" t="s">
        <v>76</v>
      </c>
      <c r="D59" s="412">
        <v>2023</v>
      </c>
      <c r="E59" s="358"/>
      <c r="F59" s="358"/>
      <c r="G59" s="358"/>
      <c r="H59" s="358"/>
      <c r="I59" s="358"/>
      <c r="J59" s="358"/>
      <c r="K59" s="358"/>
      <c r="L59" s="358"/>
      <c r="M59" s="358"/>
      <c r="N59" s="358"/>
      <c r="O59" s="358"/>
      <c r="P59" s="130"/>
      <c r="Q59" s="130"/>
      <c r="R59" s="130"/>
      <c r="S59" s="130"/>
      <c r="T59" s="130"/>
      <c r="U59" s="130"/>
      <c r="V59" s="130"/>
      <c r="W59" s="160"/>
    </row>
    <row r="60" spans="1:23" s="142" customFormat="1" ht="17.100000000000001" customHeight="1">
      <c r="A60" s="127"/>
      <c r="B60" s="158"/>
      <c r="C60" s="415" t="s">
        <v>735</v>
      </c>
      <c r="D60" s="412">
        <v>2022</v>
      </c>
      <c r="E60" s="130"/>
      <c r="F60" s="130"/>
      <c r="G60" s="130"/>
      <c r="H60" s="130"/>
      <c r="I60" s="130"/>
      <c r="J60" s="130"/>
      <c r="K60" s="130"/>
      <c r="L60" s="130"/>
      <c r="M60" s="130"/>
      <c r="N60" s="130"/>
      <c r="O60" s="130"/>
      <c r="P60" s="130"/>
      <c r="Q60" s="130"/>
      <c r="R60" s="130"/>
      <c r="S60" s="130"/>
      <c r="T60" s="130"/>
      <c r="U60" s="130"/>
      <c r="V60" s="130"/>
      <c r="W60" s="160"/>
    </row>
    <row r="61" spans="1:23" s="142" customFormat="1" ht="17.100000000000001" customHeight="1">
      <c r="A61" s="127"/>
      <c r="B61" s="158"/>
      <c r="C61" s="130"/>
      <c r="D61" s="130"/>
      <c r="E61" s="130"/>
      <c r="F61" s="130"/>
      <c r="G61" s="130"/>
      <c r="H61" s="130"/>
      <c r="I61" s="130"/>
      <c r="J61" s="130"/>
      <c r="K61" s="130"/>
      <c r="L61" s="130"/>
      <c r="M61" s="130"/>
      <c r="N61" s="130"/>
      <c r="O61" s="130"/>
      <c r="P61" s="130"/>
      <c r="Q61" s="130"/>
      <c r="R61" s="130"/>
      <c r="S61" s="130"/>
      <c r="T61" s="130"/>
      <c r="U61" s="130"/>
      <c r="V61" s="130"/>
      <c r="W61" s="160"/>
    </row>
    <row r="62" spans="1:23" ht="17.100000000000001" customHeight="1">
      <c r="A62" s="127"/>
      <c r="B62" s="158"/>
      <c r="C62" s="130"/>
      <c r="D62" s="130"/>
      <c r="E62" s="130"/>
      <c r="F62" s="130"/>
      <c r="G62" s="130"/>
      <c r="H62" s="130"/>
      <c r="I62" s="130"/>
      <c r="J62" s="130"/>
      <c r="K62" s="130"/>
      <c r="L62" s="130"/>
      <c r="M62" s="130"/>
      <c r="N62" s="130"/>
      <c r="O62" s="130"/>
      <c r="P62" s="130"/>
      <c r="Q62" s="130"/>
      <c r="R62" s="130"/>
      <c r="S62" s="130"/>
      <c r="T62" s="130"/>
      <c r="U62" s="130"/>
      <c r="V62" s="130"/>
      <c r="W62" s="160"/>
    </row>
    <row r="63" spans="1:23" ht="17.100000000000001" customHeight="1" collapsed="1">
      <c r="A63" s="127"/>
      <c r="B63" s="158"/>
      <c r="C63" s="130"/>
      <c r="D63" s="130"/>
      <c r="E63" s="130"/>
      <c r="F63" s="130"/>
      <c r="G63" s="130"/>
      <c r="H63" s="130"/>
      <c r="I63" s="130"/>
      <c r="J63" s="130"/>
      <c r="K63" s="130"/>
      <c r="L63" s="130"/>
      <c r="M63" s="130"/>
      <c r="N63" s="130"/>
      <c r="O63" s="130"/>
      <c r="P63" s="130"/>
      <c r="Q63" s="130"/>
      <c r="R63" s="130"/>
      <c r="S63" s="130"/>
      <c r="T63" s="130"/>
      <c r="U63" s="130"/>
      <c r="V63" s="130"/>
      <c r="W63" s="160"/>
    </row>
    <row r="64" spans="1:23" ht="17.100000000000001" customHeight="1">
      <c r="A64" s="127"/>
      <c r="B64" s="158"/>
      <c r="C64" s="130"/>
      <c r="D64" s="130"/>
      <c r="E64" s="130"/>
      <c r="F64" s="130"/>
      <c r="G64" s="130"/>
      <c r="H64" s="130"/>
      <c r="I64" s="130"/>
      <c r="J64" s="130"/>
      <c r="K64" s="130"/>
      <c r="L64" s="130"/>
      <c r="M64" s="130"/>
      <c r="N64" s="130"/>
      <c r="O64" s="130"/>
      <c r="P64" s="130"/>
      <c r="Q64" s="130"/>
      <c r="R64" s="130"/>
      <c r="S64" s="130"/>
      <c r="T64" s="130"/>
      <c r="U64" s="130"/>
      <c r="V64" s="130"/>
      <c r="W64" s="160"/>
    </row>
    <row r="65" spans="1:24" ht="17.100000000000001" customHeight="1">
      <c r="A65" s="127"/>
      <c r="B65" s="158"/>
      <c r="C65" s="130"/>
      <c r="D65" s="130"/>
      <c r="E65" s="130"/>
      <c r="F65" s="130"/>
      <c r="G65" s="130"/>
      <c r="H65" s="130"/>
      <c r="I65" s="130"/>
      <c r="J65" s="130"/>
      <c r="K65" s="130"/>
      <c r="L65" s="130"/>
      <c r="M65" s="130"/>
      <c r="N65" s="130"/>
      <c r="O65" s="130"/>
      <c r="P65" s="130"/>
      <c r="Q65" s="130"/>
      <c r="R65" s="130"/>
      <c r="S65" s="130"/>
      <c r="T65" s="130"/>
      <c r="U65" s="130"/>
      <c r="V65" s="130"/>
      <c r="W65" s="160"/>
    </row>
    <row r="66" spans="1:24" ht="17.100000000000001" customHeight="1">
      <c r="A66" s="127"/>
      <c r="B66" s="158"/>
      <c r="C66" s="130"/>
      <c r="D66" s="130"/>
      <c r="E66" s="130"/>
      <c r="F66" s="130"/>
      <c r="G66" s="130"/>
      <c r="H66" s="130"/>
      <c r="I66" s="130"/>
      <c r="J66" s="130"/>
      <c r="K66" s="130"/>
      <c r="L66" s="130"/>
      <c r="M66" s="130"/>
      <c r="N66" s="130"/>
      <c r="O66" s="130"/>
      <c r="P66" s="130"/>
      <c r="Q66" s="130"/>
      <c r="R66" s="130"/>
      <c r="S66" s="130"/>
      <c r="T66" s="130"/>
      <c r="U66" s="130"/>
      <c r="V66" s="130"/>
      <c r="W66" s="160"/>
    </row>
    <row r="67" spans="1:24" ht="17.100000000000001" customHeight="1">
      <c r="A67" s="127"/>
      <c r="B67" s="158"/>
      <c r="C67" s="130"/>
      <c r="D67" s="130"/>
      <c r="E67" s="130"/>
      <c r="F67" s="130"/>
      <c r="G67" s="130"/>
      <c r="H67" s="130"/>
      <c r="I67" s="130"/>
      <c r="J67" s="130"/>
      <c r="K67" s="130"/>
      <c r="L67" s="130"/>
      <c r="M67" s="130"/>
      <c r="N67" s="130"/>
      <c r="O67" s="130"/>
      <c r="P67" s="130"/>
      <c r="Q67" s="130"/>
      <c r="R67" s="130"/>
      <c r="S67" s="130"/>
      <c r="T67" s="130"/>
      <c r="U67" s="130"/>
      <c r="V67" s="130"/>
      <c r="W67" s="160"/>
    </row>
    <row r="68" spans="1:24" ht="17.100000000000001" customHeight="1">
      <c r="A68" s="127"/>
      <c r="B68" s="158"/>
      <c r="C68" s="130"/>
      <c r="D68" s="130"/>
      <c r="E68" s="130"/>
      <c r="F68" s="130"/>
      <c r="G68" s="130"/>
      <c r="H68" s="130"/>
      <c r="I68" s="130"/>
      <c r="J68" s="130"/>
      <c r="K68" s="130"/>
      <c r="L68" s="130"/>
      <c r="M68" s="130"/>
      <c r="N68" s="130"/>
      <c r="O68" s="130"/>
      <c r="P68" s="130"/>
      <c r="Q68" s="130"/>
      <c r="R68" s="130"/>
      <c r="S68" s="130"/>
      <c r="T68" s="130"/>
      <c r="U68" s="130"/>
      <c r="V68" s="130"/>
      <c r="W68" s="160"/>
    </row>
    <row r="69" spans="1:24" ht="17.100000000000001" customHeight="1">
      <c r="A69" s="127"/>
      <c r="B69" s="158"/>
      <c r="C69" s="130"/>
      <c r="D69" s="130"/>
      <c r="E69" s="130"/>
      <c r="F69" s="130"/>
      <c r="G69" s="130"/>
      <c r="H69" s="130"/>
      <c r="I69" s="130"/>
      <c r="J69" s="130"/>
      <c r="K69" s="130"/>
      <c r="L69" s="130"/>
      <c r="M69" s="130"/>
      <c r="N69" s="130"/>
      <c r="O69" s="130"/>
      <c r="P69" s="130"/>
      <c r="Q69" s="130"/>
      <c r="R69" s="130"/>
      <c r="S69" s="130"/>
      <c r="T69" s="130"/>
      <c r="U69" s="130"/>
      <c r="V69" s="130"/>
      <c r="W69" s="160"/>
    </row>
    <row r="70" spans="1:24" ht="17.100000000000001" customHeight="1">
      <c r="A70" s="127"/>
      <c r="B70" s="158"/>
      <c r="C70" s="130"/>
      <c r="D70" s="130"/>
      <c r="E70" s="130"/>
      <c r="F70" s="130"/>
      <c r="G70" s="130"/>
      <c r="H70" s="130"/>
      <c r="I70" s="130"/>
      <c r="J70" s="130"/>
      <c r="K70" s="130"/>
      <c r="L70" s="130"/>
      <c r="M70" s="130"/>
      <c r="N70" s="130"/>
      <c r="O70" s="130"/>
      <c r="P70" s="130"/>
      <c r="Q70" s="130"/>
      <c r="R70" s="130"/>
      <c r="S70" s="130"/>
      <c r="T70" s="130"/>
      <c r="U70" s="130"/>
      <c r="V70" s="130"/>
      <c r="W70" s="160"/>
    </row>
    <row r="71" spans="1:24" ht="13.5" customHeight="1">
      <c r="A71" s="127"/>
      <c r="B71" s="158"/>
      <c r="C71" s="130"/>
      <c r="D71" s="130"/>
      <c r="E71" s="130"/>
      <c r="F71" s="130"/>
      <c r="G71" s="130"/>
      <c r="H71" s="130"/>
      <c r="I71" s="130"/>
      <c r="J71" s="130"/>
      <c r="K71" s="130"/>
      <c r="L71" s="130"/>
      <c r="M71" s="130"/>
      <c r="N71" s="130"/>
      <c r="O71" s="130"/>
      <c r="P71" s="130"/>
      <c r="Q71" s="130"/>
      <c r="R71" s="130"/>
      <c r="S71" s="130"/>
      <c r="T71" s="130"/>
      <c r="U71" s="130"/>
      <c r="V71" s="130"/>
      <c r="W71" s="160"/>
    </row>
    <row r="72" spans="1:24" ht="17.100000000000001" customHeight="1">
      <c r="A72" s="127"/>
      <c r="B72" s="158"/>
      <c r="C72" s="130"/>
      <c r="D72" s="130"/>
      <c r="E72" s="130"/>
      <c r="F72" s="130"/>
      <c r="G72" s="130"/>
      <c r="H72" s="130"/>
      <c r="I72" s="130"/>
      <c r="J72" s="130"/>
      <c r="K72" s="130"/>
      <c r="L72" s="130"/>
      <c r="M72" s="130"/>
      <c r="N72" s="130"/>
      <c r="O72" s="130"/>
      <c r="P72" s="130"/>
      <c r="Q72" s="130"/>
      <c r="R72" s="130"/>
      <c r="S72" s="130"/>
      <c r="T72" s="130"/>
      <c r="U72" s="130"/>
      <c r="V72" s="130"/>
      <c r="W72" s="160"/>
    </row>
    <row r="73" spans="1:24" ht="17.100000000000001" customHeight="1">
      <c r="A73" s="127"/>
      <c r="B73" s="158"/>
      <c r="C73" s="130"/>
      <c r="D73" s="130"/>
      <c r="E73" s="130"/>
      <c r="F73" s="130"/>
      <c r="G73" s="130"/>
      <c r="H73" s="130"/>
      <c r="I73" s="130"/>
      <c r="J73" s="130"/>
      <c r="K73" s="130"/>
      <c r="L73" s="130"/>
      <c r="M73" s="130"/>
      <c r="N73" s="130"/>
      <c r="O73" s="130"/>
      <c r="P73" s="130"/>
      <c r="Q73" s="130"/>
      <c r="R73" s="130"/>
      <c r="S73" s="130"/>
      <c r="T73" s="130"/>
      <c r="U73" s="130"/>
      <c r="V73" s="130"/>
      <c r="W73" s="160"/>
    </row>
    <row r="74" spans="1:24" ht="17.100000000000001" customHeight="1">
      <c r="A74" s="127"/>
      <c r="B74" s="158"/>
      <c r="C74" s="130"/>
      <c r="D74" s="130"/>
      <c r="E74" s="130"/>
      <c r="F74" s="130"/>
      <c r="G74" s="130"/>
      <c r="H74" s="130"/>
      <c r="I74" s="130"/>
      <c r="J74" s="130"/>
      <c r="K74" s="130"/>
      <c r="L74" s="130"/>
      <c r="M74" s="130"/>
      <c r="N74" s="130"/>
      <c r="O74" s="130"/>
      <c r="P74" s="130"/>
      <c r="Q74" s="130"/>
      <c r="R74" s="130"/>
      <c r="S74" s="130"/>
      <c r="T74" s="130"/>
      <c r="U74" s="130"/>
      <c r="V74" s="130"/>
      <c r="W74" s="160"/>
    </row>
    <row r="75" spans="1:24" ht="17.100000000000001" customHeight="1">
      <c r="A75" s="127"/>
      <c r="B75" s="158"/>
      <c r="C75" s="130"/>
      <c r="D75" s="130"/>
      <c r="E75" s="130"/>
      <c r="F75" s="130"/>
      <c r="G75" s="130"/>
      <c r="H75" s="130"/>
      <c r="I75" s="130"/>
      <c r="J75" s="130"/>
      <c r="K75" s="130"/>
      <c r="L75" s="130"/>
      <c r="M75" s="130"/>
      <c r="N75" s="130"/>
      <c r="O75" s="130"/>
      <c r="P75" s="130"/>
      <c r="Q75" s="130"/>
      <c r="R75" s="130"/>
      <c r="S75" s="130"/>
      <c r="T75" s="130"/>
      <c r="U75" s="130"/>
      <c r="V75" s="130"/>
      <c r="W75" s="160"/>
    </row>
    <row r="76" spans="1:24" ht="17.100000000000001" customHeight="1">
      <c r="A76" s="127"/>
      <c r="B76" s="158"/>
      <c r="C76" s="130"/>
      <c r="D76" s="130"/>
      <c r="E76" s="130"/>
      <c r="F76" s="130"/>
      <c r="G76" s="130"/>
      <c r="H76" s="130"/>
      <c r="I76" s="130"/>
      <c r="J76" s="130"/>
      <c r="K76" s="130"/>
      <c r="L76" s="130"/>
      <c r="M76" s="130"/>
      <c r="N76" s="130"/>
      <c r="O76" s="130"/>
      <c r="P76" s="130"/>
      <c r="Q76" s="130"/>
      <c r="R76" s="130"/>
      <c r="S76" s="130"/>
      <c r="T76" s="130"/>
      <c r="U76" s="130"/>
      <c r="V76" s="130"/>
      <c r="W76" s="160"/>
    </row>
    <row r="77" spans="1:24" ht="17.100000000000001" customHeight="1">
      <c r="A77" s="127"/>
      <c r="B77" s="158"/>
      <c r="C77" s="130"/>
      <c r="D77" s="130"/>
      <c r="E77" s="130"/>
      <c r="F77" s="130"/>
      <c r="G77" s="130"/>
      <c r="H77" s="130"/>
      <c r="I77" s="130"/>
      <c r="J77" s="130"/>
      <c r="K77" s="130"/>
      <c r="L77" s="130"/>
      <c r="M77" s="130"/>
      <c r="N77" s="130"/>
      <c r="O77" s="130"/>
      <c r="P77" s="130"/>
      <c r="Q77" s="130"/>
      <c r="R77" s="130"/>
      <c r="S77" s="130"/>
      <c r="T77" s="130"/>
      <c r="U77" s="130"/>
      <c r="V77" s="130"/>
      <c r="W77" s="160"/>
    </row>
    <row r="78" spans="1:24" ht="17.100000000000001" customHeight="1">
      <c r="A78" s="127"/>
      <c r="B78" s="162"/>
      <c r="C78" s="163"/>
      <c r="D78" s="163"/>
      <c r="E78" s="163"/>
      <c r="F78" s="163"/>
      <c r="G78" s="163"/>
      <c r="H78" s="163"/>
      <c r="I78" s="163"/>
      <c r="J78" s="163"/>
      <c r="K78" s="163"/>
      <c r="L78" s="163"/>
      <c r="M78" s="163"/>
      <c r="N78" s="163"/>
      <c r="O78" s="163"/>
      <c r="P78" s="163"/>
      <c r="Q78" s="163"/>
      <c r="R78" s="163"/>
      <c r="S78" s="163"/>
      <c r="T78" s="163"/>
      <c r="U78" s="163"/>
      <c r="V78" s="163"/>
      <c r="W78" s="164"/>
    </row>
    <row r="79" spans="1:24" ht="17.100000000000001"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row>
    <row r="80" spans="1:24" ht="17.100000000000001"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row>
    <row r="81" spans="1:24" ht="17.100000000000001"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row>
    <row r="82" spans="1:24" ht="17.100000000000001" customHeight="1">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row>
    <row r="83" spans="1:24" ht="17.100000000000001"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row>
    <row r="84" spans="1:24" ht="17.100000000000001"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row>
    <row r="85" spans="1:24" ht="17.100000000000001"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row>
    <row r="86" spans="1:24" ht="17.100000000000001"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row>
    <row r="87" spans="1:24" ht="17.100000000000001"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row>
    <row r="88" spans="1:24" ht="17.100000000000001"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row>
    <row r="89" spans="1:24" ht="17.100000000000001"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row>
    <row r="90" spans="1:24" ht="17.100000000000001"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row>
    <row r="91" spans="1:24" ht="17.100000000000001"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row>
    <row r="92" spans="1:24" ht="17.100000000000001"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row>
    <row r="93" spans="1:24" ht="17.100000000000001"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row>
    <row r="94" spans="1:24" ht="17.100000000000001"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row>
    <row r="95" spans="1:24" ht="17.100000000000001"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row>
    <row r="96" spans="1:24" ht="17.100000000000001"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row>
    <row r="97" spans="1:24" ht="15"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row>
    <row r="98" spans="1:24" ht="15" customHeight="1">
      <c r="A98" s="143"/>
      <c r="B98" s="143"/>
      <c r="C98" s="143"/>
      <c r="D98" s="143"/>
      <c r="E98" s="143"/>
      <c r="S98" s="143"/>
      <c r="T98" s="143"/>
      <c r="U98" s="143"/>
      <c r="V98" s="143"/>
      <c r="W98" s="143"/>
    </row>
    <row r="99" spans="1:24" ht="15" customHeight="1">
      <c r="A99" s="143"/>
      <c r="B99" s="143"/>
      <c r="C99" s="143"/>
      <c r="D99" s="143"/>
      <c r="E99" s="143"/>
      <c r="S99" s="143"/>
      <c r="T99" s="143"/>
      <c r="U99" s="143"/>
      <c r="V99" s="143"/>
      <c r="W99" s="143"/>
    </row>
    <row r="100" spans="1:24" ht="15" customHeight="1">
      <c r="A100" s="143"/>
      <c r="B100" s="143"/>
      <c r="C100" s="143"/>
      <c r="D100" s="143"/>
      <c r="E100" s="143"/>
      <c r="S100" s="143"/>
      <c r="T100" s="143"/>
      <c r="U100" s="143"/>
      <c r="V100" s="143"/>
      <c r="W100" s="143"/>
    </row>
    <row r="101" spans="1:24" ht="15" customHeight="1">
      <c r="A101" s="143"/>
      <c r="B101" s="143"/>
      <c r="S101" s="143"/>
      <c r="T101" s="143"/>
      <c r="U101" s="143"/>
      <c r="V101" s="143"/>
      <c r="W101" s="143"/>
    </row>
  </sheetData>
  <sheetProtection algorithmName="SHA-512" hashValue="DskLqgzqsLvaA27JjkLkEZVQ6gTsUqUk+yCAdogwGsdstV/p8XrFVeS2FMMyvrI6YWJQ8wZPdHqFHj3DDI/kZQ==" saltValue="LJ/GabtRwgLAuLTfRm4lVA==" spinCount="100000" sheet="1" objects="1" scenarios="1"/>
  <mergeCells count="43">
    <mergeCell ref="I43:J43"/>
    <mergeCell ref="D17:F17"/>
    <mergeCell ref="E18:F18"/>
    <mergeCell ref="J17:M17"/>
    <mergeCell ref="J18:K18"/>
    <mergeCell ref="L18:M18"/>
    <mergeCell ref="J19:K19"/>
    <mergeCell ref="J20:K20"/>
    <mergeCell ref="J21:K21"/>
    <mergeCell ref="J22:K22"/>
    <mergeCell ref="E43:F43"/>
    <mergeCell ref="L32:M32"/>
    <mergeCell ref="E33:F33"/>
    <mergeCell ref="L33:M33"/>
    <mergeCell ref="J27:K27"/>
    <mergeCell ref="J28:K28"/>
    <mergeCell ref="J29:K29"/>
    <mergeCell ref="T2:U3"/>
    <mergeCell ref="J6:M6"/>
    <mergeCell ref="J7:K7"/>
    <mergeCell ref="L7:M7"/>
    <mergeCell ref="Q5:S5"/>
    <mergeCell ref="J9:K9"/>
    <mergeCell ref="J8:K8"/>
    <mergeCell ref="J10:K10"/>
    <mergeCell ref="J11:K11"/>
    <mergeCell ref="J12:K12"/>
    <mergeCell ref="E44:F44"/>
    <mergeCell ref="J30:K30"/>
    <mergeCell ref="C2:C3"/>
    <mergeCell ref="E7:F7"/>
    <mergeCell ref="D6:F6"/>
    <mergeCell ref="D24:F24"/>
    <mergeCell ref="J24:M24"/>
    <mergeCell ref="E25:F25"/>
    <mergeCell ref="J25:K25"/>
    <mergeCell ref="L25:M25"/>
    <mergeCell ref="J14:K14"/>
    <mergeCell ref="J26:K26"/>
    <mergeCell ref="I33:J33"/>
    <mergeCell ref="E32:F32"/>
    <mergeCell ref="I32:J32"/>
    <mergeCell ref="J13:K13"/>
  </mergeCells>
  <conditionalFormatting sqref="S60:V69 R12:U13">
    <cfRule type="cellIs" dxfId="265" priority="7" operator="lessThan">
      <formula>0</formula>
    </cfRule>
    <cfRule type="cellIs" dxfId="264" priority="8" operator="greaterThan">
      <formula>0</formula>
    </cfRule>
  </conditionalFormatting>
  <conditionalFormatting sqref="S74 V74">
    <cfRule type="cellIs" dxfId="263" priority="5" operator="lessThan">
      <formula>$S$73</formula>
    </cfRule>
    <cfRule type="cellIs" dxfId="262" priority="6" operator="greaterThan">
      <formula>$S$73</formula>
    </cfRule>
  </conditionalFormatting>
  <conditionalFormatting sqref="T74">
    <cfRule type="cellIs" dxfId="261" priority="2" operator="greaterThan">
      <formula>$T$73</formula>
    </cfRule>
    <cfRule type="cellIs" dxfId="260" priority="4" operator="lessThan">
      <formula>$T$73</formula>
    </cfRule>
  </conditionalFormatting>
  <conditionalFormatting sqref="U74">
    <cfRule type="cellIs" dxfId="259" priority="1" operator="greaterThan">
      <formula>$U$73</formula>
    </cfRule>
    <cfRule type="cellIs" dxfId="258" priority="3" operator="lessThan">
      <formula>$U$73</formula>
    </cfRule>
  </conditionalFormatting>
  <pageMargins left="0.7" right="0.7" top="0.78740157499999996" bottom="0.78740157499999996"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4">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65" t="s">
        <v>20</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15" customHeight="1" thickBot="1">
      <c r="B6" s="176" t="str">
        <f>ControlPanel!L27</f>
        <v>Referenz</v>
      </c>
      <c r="C6" s="15" t="str">
        <f>VLOOKUP($B$6,$B$7:$AE$25,2,FALSE)</f>
        <v>fh</v>
      </c>
      <c r="D6" s="15" t="str">
        <f>VLOOKUP($B$6,$B$7:$AE$25,3,FALSE)</f>
        <v>100%</v>
      </c>
      <c r="E6" s="15">
        <f>VLOOKUP($B$6,$B$7:$AE$25,4,FALSE)</f>
        <v>0</v>
      </c>
      <c r="F6" s="14">
        <f>IF(F$4&lt;ControlPanel!$D$59-1,VLOOKUP("Referenz",$B$7:$AE$25,F$4-$F$4+5,FALSE),VLOOKUP($B$6,$B$7:$AE$25,F$4-$F$4+5,FALSE))</f>
        <v>0</v>
      </c>
      <c r="G6" s="14">
        <f>IF(G$4&lt;ControlPanel!$D$59-1,VLOOKUP("Referenz",$B$7:$AE$25,G$4-$F$4+5,FALSE),VLOOKUP($B$6,$B$7:$AE$25,G$4-$F$4+5,FALSE))</f>
        <v>0</v>
      </c>
      <c r="H6" s="14">
        <f>IF(H$4&lt;ControlPanel!$D$59-1,VLOOKUP("Referenz",$B$7:$AE$25,H$4-$F$4+5,FALSE),VLOOKUP($B$6,$B$7:$AE$25,H$4-$F$4+5,FALSE))</f>
        <v>0</v>
      </c>
      <c r="I6" s="14">
        <f>IF(I$4&lt;ControlPanel!$D$59-1,VLOOKUP("Referenz",$B$7:$AE$25,I$4-$F$4+5,FALSE),VLOOKUP($B$6,$B$7:$AE$25,I$4-$F$4+5,FALSE))</f>
        <v>0.68426197458455529</v>
      </c>
      <c r="J6" s="14">
        <f>IF(J$4&lt;ControlPanel!$D$59-1,VLOOKUP("Referenz",$B$7:$AE$25,J$4-$F$4+5,FALSE),VLOOKUP($B$6,$B$7:$AE$25,J$4-$F$4+5,FALSE))</f>
        <v>0.9</v>
      </c>
      <c r="K6" s="14">
        <f>IF(K$4&lt;ControlPanel!$D$59-1,VLOOKUP("Referenz",$B$7:$AE$25,K$4-$F$4+5,FALSE),VLOOKUP($B$6,$B$7:$AE$25,K$4-$F$4+5,FALSE))</f>
        <v>0.9</v>
      </c>
      <c r="L6" s="14">
        <f>IF(L$4&lt;ControlPanel!$D$59-1,VLOOKUP("Referenz",$B$7:$AE$25,L$4-$F$4+5,FALSE),VLOOKUP($B$6,$B$7:$AE$25,L$4-$F$4+5,FALSE))</f>
        <v>0.9</v>
      </c>
      <c r="M6" s="14">
        <f>IF(M$4&lt;ControlPanel!$D$59-1,VLOOKUP("Referenz",$B$7:$AE$25,M$4-$F$4+5,FALSE),VLOOKUP($B$6,$B$7:$AE$25,M$4-$F$4+5,FALSE))</f>
        <v>0.9</v>
      </c>
      <c r="N6" s="14">
        <f>IF(N$4&lt;ControlPanel!$D$59-1,VLOOKUP("Referenz",$B$7:$AE$25,N$4-$F$4+5,FALSE),VLOOKUP($B$6,$B$7:$AE$25,N$4-$F$4+5,FALSE))</f>
        <v>0.9</v>
      </c>
      <c r="O6" s="14">
        <f>IF(O$4&lt;ControlPanel!$D$59-1,VLOOKUP("Referenz",$B$7:$AE$25,O$4-$F$4+5,FALSE),VLOOKUP($B$6,$B$7:$AE$25,O$4-$F$4+5,FALSE))</f>
        <v>0.9</v>
      </c>
      <c r="P6" s="14">
        <f>IF(P$4&lt;ControlPanel!$D$59-1,VLOOKUP("Referenz",$B$7:$AE$25,P$4-$F$4+5,FALSE),VLOOKUP($B$6,$B$7:$AE$25,P$4-$F$4+5,FALSE))</f>
        <v>0.9</v>
      </c>
      <c r="Q6" s="14">
        <f>IF(Q$4&lt;ControlPanel!$D$59-1,VLOOKUP("Referenz",$B$7:$AE$25,Q$4-$F$4+5,FALSE),VLOOKUP($B$6,$B$7:$AE$25,Q$4-$F$4+5,FALSE))</f>
        <v>1.6512027491408934</v>
      </c>
      <c r="R6" s="14">
        <f>IF(R$4&lt;ControlPanel!$D$59-1,VLOOKUP("Referenz",$B$7:$AE$25,R$4-$F$4+5,FALSE),VLOOKUP($B$6,$B$7:$AE$25,R$4-$F$4+5,FALSE))</f>
        <v>1</v>
      </c>
      <c r="S6" s="14">
        <f>IF(S$4&lt;ControlPanel!$D$59-1,VLOOKUP("Referenz",$B$7:$AE$25,S$4-$F$4+5,FALSE),VLOOKUP($B$6,$B$7:$AE$25,S$4-$F$4+5,FALSE))</f>
        <v>1</v>
      </c>
      <c r="T6" s="14">
        <f>IF(T$4&lt;ControlPanel!$D$59-1,VLOOKUP("Referenz",$B$7:$AE$25,T$4-$F$4+5,FALSE),VLOOKUP($B$6,$B$7:$AE$25,T$4-$F$4+5,FALSE))</f>
        <v>1</v>
      </c>
      <c r="U6" s="14">
        <f>IF(U$4&lt;ControlPanel!$D$59-1,VLOOKUP("Referenz",$B$7:$AE$25,U$4-$F$4+5,FALSE),VLOOKUP($B$6,$B$7:$AE$25,U$4-$F$4+5,FALSE))</f>
        <v>1</v>
      </c>
      <c r="V6" s="14">
        <f>IF(V$4&lt;ControlPanel!$D$59-1,VLOOKUP("Referenz",$B$7:$AE$25,V$4-$F$4+5,FALSE),VLOOKUP($B$6,$B$7:$AE$25,V$4-$F$4+5,FALSE))</f>
        <v>1</v>
      </c>
      <c r="W6" s="14">
        <f>IF(W$4&lt;ControlPanel!$D$59-1,VLOOKUP("Referenz",$B$7:$AE$25,W$4-$F$4+5,FALSE),VLOOKUP($B$6,$B$7:$AE$25,W$4-$F$4+5,FALSE))</f>
        <v>1</v>
      </c>
      <c r="X6" s="14">
        <f>IF(X$4&lt;ControlPanel!$D$59-1,VLOOKUP("Referenz",$B$7:$AE$25,X$4-$F$4+5,FALSE),VLOOKUP($B$6,$B$7:$AE$25,X$4-$F$4+5,FALSE))</f>
        <v>1</v>
      </c>
      <c r="Y6" s="14">
        <f>IF(Y$4&lt;ControlPanel!$D$59-1,VLOOKUP("Referenz",$B$7:$AE$25,Y$4-$F$4+5,FALSE),VLOOKUP($B$6,$B$7:$AE$25,Y$4-$F$4+5,FALSE))</f>
        <v>1</v>
      </c>
      <c r="Z6" s="14">
        <f>IF(Z$4&lt;ControlPanel!$D$59-1,VLOOKUP("Referenz",$B$7:$AE$25,Z$4-$F$4+5,FALSE),VLOOKUP($B$6,$B$7:$AE$25,Z$4-$F$4+5,FALSE))</f>
        <v>1</v>
      </c>
      <c r="AA6" s="14">
        <f>IF(AA$4&lt;ControlPanel!$D$59-1,VLOOKUP("Referenz",$B$7:$AE$25,AA$4-$F$4+5,FALSE),VLOOKUP($B$6,$B$7:$AE$25,AA$4-$F$4+5,FALSE))</f>
        <v>1</v>
      </c>
      <c r="AB6" s="14">
        <f>IF(AB$4&lt;ControlPanel!$D$59-1,VLOOKUP("Referenz",$B$7:$AE$25,AB$4-$F$4+5,FALSE),VLOOKUP($B$6,$B$7:$AE$25,AB$4-$F$4+5,FALSE))</f>
        <v>1</v>
      </c>
      <c r="AC6" s="14">
        <f>IF(AC$4&lt;ControlPanel!$D$59-1,VLOOKUP("Referenz",$B$7:$AE$25,AC$4-$F$4+5,FALSE),VLOOKUP($B$6,$B$7:$AE$25,AC$4-$F$4+5,FALSE))</f>
        <v>1</v>
      </c>
      <c r="AD6" s="14">
        <f>IF(AD$4&lt;ControlPanel!$D$59-1,VLOOKUP("Referenz",$B$7:$AE$25,AD$4-$F$4+5,FALSE),VLOOKUP($B$6,$B$7:$AE$25,AD$4-$F$4+5,FALSE))</f>
        <v>1</v>
      </c>
      <c r="AE6" s="14">
        <f>IF(AE$4&lt;ControlPanel!$D$59-1,VLOOKUP("Referenz",$B$7:$AE$25,AE$4-$F$4+5,FALSE),VLOOKUP($B$6,$B$7:$AE$25,AE$4-$F$4+5,FALSE))</f>
        <v>1</v>
      </c>
    </row>
    <row r="7" spans="1:31" ht="15" customHeight="1">
      <c r="B7" s="16" t="s">
        <v>138</v>
      </c>
      <c r="C7" s="12" t="s">
        <v>845</v>
      </c>
      <c r="D7" s="338" t="s">
        <v>288</v>
      </c>
      <c r="E7" s="550"/>
      <c r="F7" s="328"/>
      <c r="G7" s="328"/>
      <c r="H7" s="328"/>
      <c r="I7" s="328">
        <f>35/51.15</f>
        <v>0.68426197458455529</v>
      </c>
      <c r="J7" s="328">
        <v>0.9</v>
      </c>
      <c r="K7" s="328">
        <v>0.9</v>
      </c>
      <c r="L7" s="328">
        <v>0.9</v>
      </c>
      <c r="M7" s="328">
        <v>0.9</v>
      </c>
      <c r="N7" s="328">
        <v>0.9</v>
      </c>
      <c r="O7" s="328">
        <v>0.9</v>
      </c>
      <c r="P7" s="328">
        <v>0.9</v>
      </c>
      <c r="Q7" s="328">
        <f>67.27/40.74</f>
        <v>1.6512027491408934</v>
      </c>
      <c r="R7" s="328">
        <v>1</v>
      </c>
      <c r="S7" s="328">
        <v>1</v>
      </c>
      <c r="T7" s="328">
        <v>1</v>
      </c>
      <c r="U7" s="328">
        <v>1</v>
      </c>
      <c r="V7" s="328">
        <v>1</v>
      </c>
      <c r="W7" s="328">
        <v>1</v>
      </c>
      <c r="X7" s="328">
        <v>1</v>
      </c>
      <c r="Y7" s="328">
        <v>1</v>
      </c>
      <c r="Z7" s="328">
        <v>1</v>
      </c>
      <c r="AA7" s="328">
        <v>1</v>
      </c>
      <c r="AB7" s="328">
        <v>1</v>
      </c>
      <c r="AC7" s="328">
        <v>1</v>
      </c>
      <c r="AD7" s="328">
        <v>1</v>
      </c>
      <c r="AE7" s="328">
        <v>1</v>
      </c>
    </row>
    <row r="8" spans="1:31" s="470" customFormat="1" ht="15" customHeight="1">
      <c r="A8" s="9"/>
      <c r="B8" s="174"/>
      <c r="C8" s="12"/>
      <c r="D8" s="338"/>
      <c r="E8" s="550"/>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row>
    <row r="9" spans="1:31" s="470" customFormat="1" ht="15" customHeight="1">
      <c r="A9" s="9"/>
      <c r="B9" s="175" t="s">
        <v>239</v>
      </c>
      <c r="C9" s="12" t="s">
        <v>845</v>
      </c>
      <c r="D9" s="175" t="s">
        <v>239</v>
      </c>
      <c r="E9" s="551"/>
      <c r="F9" s="328"/>
      <c r="G9" s="328"/>
      <c r="H9" s="328"/>
      <c r="I9" s="328"/>
      <c r="J9" s="328"/>
      <c r="K9" s="328"/>
      <c r="L9" s="328"/>
      <c r="M9" s="328"/>
      <c r="N9" s="328"/>
      <c r="O9" s="328"/>
      <c r="P9" s="328">
        <v>1</v>
      </c>
      <c r="Q9" s="328">
        <v>1</v>
      </c>
      <c r="R9" s="328">
        <v>1</v>
      </c>
      <c r="S9" s="328">
        <v>1</v>
      </c>
      <c r="T9" s="328">
        <v>1</v>
      </c>
      <c r="U9" s="328">
        <v>1</v>
      </c>
      <c r="V9" s="328">
        <v>1</v>
      </c>
      <c r="W9" s="328">
        <v>1</v>
      </c>
      <c r="X9" s="328">
        <v>1</v>
      </c>
      <c r="Y9" s="328">
        <v>1</v>
      </c>
      <c r="Z9" s="328">
        <v>1</v>
      </c>
      <c r="AA9" s="328">
        <v>1</v>
      </c>
      <c r="AB9" s="328">
        <v>1</v>
      </c>
      <c r="AC9" s="328">
        <v>1</v>
      </c>
      <c r="AD9" s="328">
        <v>1</v>
      </c>
      <c r="AE9" s="328">
        <v>1</v>
      </c>
    </row>
    <row r="10" spans="1:31" s="470" customFormat="1" ht="15" customHeight="1">
      <c r="A10" s="9"/>
      <c r="B10" s="175" t="s">
        <v>520</v>
      </c>
      <c r="C10" s="12" t="s">
        <v>256</v>
      </c>
      <c r="D10" s="428" t="s">
        <v>520</v>
      </c>
      <c r="E10" s="551"/>
      <c r="F10" s="328"/>
      <c r="G10" s="328"/>
      <c r="H10" s="328"/>
      <c r="I10" s="328"/>
      <c r="J10" s="328"/>
      <c r="K10" s="328"/>
      <c r="L10" s="328"/>
      <c r="M10" s="328"/>
      <c r="N10" s="328"/>
      <c r="O10" s="328"/>
      <c r="P10" s="328">
        <v>0.8</v>
      </c>
      <c r="Q10" s="328">
        <v>0.8</v>
      </c>
      <c r="R10" s="328">
        <v>0.8</v>
      </c>
      <c r="S10" s="328">
        <v>0.8</v>
      </c>
      <c r="T10" s="328">
        <v>0.8</v>
      </c>
      <c r="U10" s="328">
        <v>0.8</v>
      </c>
      <c r="V10" s="328">
        <v>0.8</v>
      </c>
      <c r="W10" s="328">
        <v>0.8</v>
      </c>
      <c r="X10" s="328">
        <v>0.8</v>
      </c>
      <c r="Y10" s="328">
        <v>0.8</v>
      </c>
      <c r="Z10" s="328">
        <v>0.8</v>
      </c>
      <c r="AA10" s="328">
        <v>0.8</v>
      </c>
      <c r="AB10" s="328">
        <v>0.8</v>
      </c>
      <c r="AC10" s="328">
        <v>0.8</v>
      </c>
      <c r="AD10" s="328">
        <v>0.8</v>
      </c>
      <c r="AE10" s="328">
        <v>0.8</v>
      </c>
    </row>
    <row r="11" spans="1:31" s="470" customFormat="1" ht="15" customHeight="1">
      <c r="A11" s="9"/>
      <c r="B11" s="175" t="s">
        <v>521</v>
      </c>
      <c r="C11" s="329" t="s">
        <v>256</v>
      </c>
      <c r="D11" s="428" t="s">
        <v>521</v>
      </c>
      <c r="E11" s="1205"/>
      <c r="F11" s="328"/>
      <c r="G11" s="328"/>
      <c r="H11" s="328"/>
      <c r="I11" s="328"/>
      <c r="J11" s="328"/>
      <c r="K11" s="328"/>
      <c r="L11" s="328"/>
      <c r="M11" s="328"/>
      <c r="N11" s="328"/>
      <c r="O11" s="328"/>
      <c r="P11" s="328">
        <v>0.7</v>
      </c>
      <c r="Q11" s="328">
        <v>0.7</v>
      </c>
      <c r="R11" s="328">
        <v>0.7</v>
      </c>
      <c r="S11" s="328">
        <v>0.7</v>
      </c>
      <c r="T11" s="328">
        <v>0.7</v>
      </c>
      <c r="U11" s="328">
        <v>0.7</v>
      </c>
      <c r="V11" s="328">
        <v>0.7</v>
      </c>
      <c r="W11" s="328">
        <v>0.7</v>
      </c>
      <c r="X11" s="328">
        <v>0.7</v>
      </c>
      <c r="Y11" s="328">
        <v>0.7</v>
      </c>
      <c r="Z11" s="328">
        <v>0.7</v>
      </c>
      <c r="AA11" s="328">
        <v>0.7</v>
      </c>
      <c r="AB11" s="328">
        <v>0.7</v>
      </c>
      <c r="AC11" s="328">
        <v>0.7</v>
      </c>
      <c r="AD11" s="328">
        <v>0.7</v>
      </c>
      <c r="AE11" s="328">
        <v>0.7</v>
      </c>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eSnhjv4abni6spiH1nSaDoj899WTuoeR0YZhgFXm2ZcwT7zHbCD5DMuu0p5f8pLdvD/g2cGJc72aOJl/wvzI6A==" saltValue="G2kd25Nb/8fvDes0Yzs0fw==" spinCount="100000" sheet="1" objects="1" scenarios="1"/>
  <hyperlinks>
    <hyperlink ref="A1" location="'Start-Experte'!A1" display="zurück" xr:uid="{00000000-0004-0000-12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DCC25830-A4B7-41B4-962B-9579398368BA}">
            <xm:f>ControlPanel!$D$59-1</xm:f>
            <x14:dxf>
              <font>
                <color rgb="FF9C6500"/>
              </font>
              <fill>
                <patternFill>
                  <fgColor indexed="64"/>
                  <bgColor rgb="FFFFEB9C"/>
                </patternFill>
              </fill>
            </x14:dxf>
          </x14:cfRule>
          <x14:cfRule type="cellIs" priority="2" operator="lessThan" id="{26491A28-F29E-45B7-A83A-3AE7490BD661}">
            <xm:f>ControlPanel!$D$59</xm:f>
            <x14:dxf>
              <font>
                <color rgb="FF006100"/>
              </font>
              <fill>
                <patternFill>
                  <fgColor indexed="64"/>
                  <bgColor rgb="FFC6EFCE"/>
                </patternFill>
              </fill>
            </x14:dxf>
          </x14:cfRule>
          <x14:cfRule type="cellIs" priority="3" operator="lessThan" id="{0DAA315A-78AE-4369-A1A0-F55315670411}">
            <xm:f>ControlPanel!$D$59+1</xm:f>
            <x14:dxf>
              <font>
                <color rgb="FF006100"/>
              </font>
              <fill>
                <patternFill>
                  <fgColor indexed="64"/>
                  <bgColor rgb="FFC6EFCE"/>
                </patternFill>
              </fill>
            </x14:dxf>
          </x14:cfRule>
          <xm:sqref>F4:AE4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0">
    <tabColor theme="9" tint="0.39997558519241921"/>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12.28515625" style="301" customWidth="1"/>
    <col min="4" max="4" width="7.42578125" style="10" customWidth="1" outlineLevel="2"/>
    <col min="5" max="5" width="28.42578125" style="10" customWidth="1"/>
    <col min="6" max="6" width="67" style="10" bestFit="1" customWidth="1"/>
    <col min="7" max="14" width="8.7109375" style="9" customWidth="1"/>
    <col min="15" max="18" width="8.7109375" style="9" customWidth="1" outlineLevel="1"/>
    <col min="19" max="19" width="9.28515625" style="9" bestFit="1" customWidth="1" outlineLevel="1"/>
    <col min="20" max="32" width="8.7109375" style="9" customWidth="1" outlineLevel="1"/>
    <col min="33" max="16384" width="11.5703125" style="9"/>
  </cols>
  <sheetData>
    <row r="1" spans="1:32">
      <c r="A1" s="41" t="s">
        <v>183</v>
      </c>
      <c r="B1" s="20" t="s">
        <v>536</v>
      </c>
      <c r="C1" s="20"/>
      <c r="D1" s="19"/>
      <c r="E1" s="19"/>
      <c r="F1" s="19"/>
    </row>
    <row r="2" spans="1:32">
      <c r="B2" s="37"/>
    </row>
    <row r="3" spans="1:32" ht="15" customHeight="1">
      <c r="B3" s="63"/>
      <c r="C3" s="321"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13"/>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13"/>
      <c r="E5" s="16"/>
      <c r="G5" s="330" t="s">
        <v>15</v>
      </c>
      <c r="H5" s="330" t="s">
        <v>15</v>
      </c>
      <c r="I5" s="330" t="s">
        <v>15</v>
      </c>
      <c r="J5" s="330" t="s">
        <v>15</v>
      </c>
      <c r="K5" s="330" t="s">
        <v>15</v>
      </c>
      <c r="L5" s="330" t="s">
        <v>15</v>
      </c>
      <c r="M5" s="330" t="s">
        <v>15</v>
      </c>
      <c r="N5" s="330" t="s">
        <v>15</v>
      </c>
      <c r="O5" s="330" t="s">
        <v>15</v>
      </c>
      <c r="P5" s="330" t="s">
        <v>15</v>
      </c>
      <c r="Q5" s="330" t="s">
        <v>15</v>
      </c>
      <c r="R5" s="330" t="s">
        <v>15</v>
      </c>
      <c r="S5" s="330" t="s">
        <v>15</v>
      </c>
      <c r="T5" s="330" t="s">
        <v>15</v>
      </c>
      <c r="U5" s="330" t="s">
        <v>15</v>
      </c>
      <c r="V5" s="330" t="s">
        <v>15</v>
      </c>
      <c r="W5" s="330" t="s">
        <v>15</v>
      </c>
      <c r="X5" s="330" t="s">
        <v>15</v>
      </c>
      <c r="Y5" s="330" t="s">
        <v>15</v>
      </c>
      <c r="Z5" s="330" t="s">
        <v>15</v>
      </c>
      <c r="AA5" s="330" t="s">
        <v>15</v>
      </c>
      <c r="AB5" s="330" t="s">
        <v>15</v>
      </c>
      <c r="AC5" s="330" t="s">
        <v>15</v>
      </c>
      <c r="AD5" s="330" t="s">
        <v>15</v>
      </c>
      <c r="AE5" s="330" t="s">
        <v>15</v>
      </c>
      <c r="AF5" s="330" t="s">
        <v>15</v>
      </c>
    </row>
    <row r="6" spans="1:32" ht="15" customHeight="1" thickBot="1">
      <c r="B6" s="172" t="s">
        <v>25</v>
      </c>
      <c r="C6" s="181" t="str">
        <f>ControlPanel!L39</f>
        <v>Referenz</v>
      </c>
      <c r="D6" s="15" t="str">
        <f>VLOOKUP($C$6,$C$13:$AF$37,2,FALSE)</f>
        <v>fh</v>
      </c>
      <c r="E6" s="15" t="str">
        <f>VLOOKUP($C$6,$C$13:$AF$37,3,FALSE)</f>
        <v>100%</v>
      </c>
      <c r="F6" s="15" t="str">
        <f>VLOOKUP($C$6,$C$13:$AF$37,4,FALSE)</f>
        <v>Werte bis 2026: MFP Referenzszenario, danach konstant 100%</v>
      </c>
      <c r="G6" s="251">
        <f>IF(G$4&lt;ControlPanel!$D$59,VLOOKUP("Referenz",$C$13:$AF$37,G$4-$G$4+5,FALSE),VLOOKUP($C$6,$C$13:$AF$37,G$4-$G$4+5,FALSE))</f>
        <v>1</v>
      </c>
      <c r="H6" s="251">
        <f>IF(H$4&lt;ControlPanel!$D$59,VLOOKUP("Referenz",$C$13:$AF$37,H$4-$G$4+5,FALSE),VLOOKUP($C$6,$C$13:$AF$37,H$4-$G$4+5,FALSE))</f>
        <v>1</v>
      </c>
      <c r="I6" s="251">
        <f>IF(I$4&lt;ControlPanel!$D$59,VLOOKUP("Referenz",$C$13:$AF$37,I$4-$G$4+5,FALSE),VLOOKUP($C$6,$C$13:$AF$37,I$4-$G$4+5,FALSE))</f>
        <v>1</v>
      </c>
      <c r="J6" s="251">
        <f>IF(J$4&lt;ControlPanel!$D$59,VLOOKUP("Referenz",$C$13:$AF$37,J$4-$G$4+5,FALSE),VLOOKUP($C$6,$C$13:$AF$37,J$4-$G$4+5,FALSE))</f>
        <v>1</v>
      </c>
      <c r="K6" s="251">
        <f>IF(K$4&lt;ControlPanel!$D$59,VLOOKUP("Referenz",$C$13:$AF$37,K$4-$G$4+5,FALSE),VLOOKUP($C$6,$C$13:$AF$37,K$4-$G$4+5,FALSE))</f>
        <v>1</v>
      </c>
      <c r="L6" s="251">
        <f>IF(L$4&lt;ControlPanel!$D$59,VLOOKUP("Referenz",$C$13:$AF$37,L$4-$G$4+5,FALSE),VLOOKUP($C$6,$C$13:$AF$37,L$4-$G$4+5,FALSE))</f>
        <v>1</v>
      </c>
      <c r="M6" s="251">
        <f>IF(M$4&lt;ControlPanel!$D$59,VLOOKUP("Referenz",$C$13:$AF$37,M$4-$G$4+5,FALSE),VLOOKUP($C$6,$C$13:$AF$37,M$4-$G$4+5,FALSE))</f>
        <v>1</v>
      </c>
      <c r="N6" s="251">
        <f>IF(N$4&lt;ControlPanel!$D$59,VLOOKUP("Referenz",$C$13:$AF$37,N$4-$G$4+5,FALSE),VLOOKUP($C$6,$C$13:$AF$37,N$4-$G$4+5,FALSE))</f>
        <v>1</v>
      </c>
      <c r="O6" s="42">
        <f>IF(O$4&lt;ControlPanel!$D$59,VLOOKUP("Referenz",$C$13:$AF$37,O$4-$G$4+5,FALSE),VLOOKUP($C$6,$C$13:$AF$37,O$4-$G$4+5,FALSE))</f>
        <v>1</v>
      </c>
      <c r="P6" s="42">
        <f>IF(P$4&lt;ControlPanel!$D$59,VLOOKUP("Referenz",$C$13:$AF$37,P$4-$G$4+5,FALSE),VLOOKUP($C$6,$C$13:$AF$37,P$4-$G$4+5,FALSE))</f>
        <v>1</v>
      </c>
      <c r="Q6" s="42">
        <f>IF(Q$4&lt;ControlPanel!$D$59,VLOOKUP("Referenz",$C$13:$AF$37,Q$4-$G$4+5,FALSE),VLOOKUP($C$6,$C$13:$AF$37,Q$4-$G$4+5,FALSE))</f>
        <v>1</v>
      </c>
      <c r="R6" s="42">
        <f>IF(R$4&lt;ControlPanel!$D$59,VLOOKUP("Referenz",$C$13:$AF$37,R$4-$G$4+5,FALSE),VLOOKUP($C$6,$C$13:$AF$37,R$4-$G$4+5,FALSE))</f>
        <v>1</v>
      </c>
      <c r="S6" s="42">
        <f>IF(S$4&lt;ControlPanel!$D$59,VLOOKUP("Referenz",$C$13:$AF$37,S$4-$G$4+5,FALSE),VLOOKUP($C$6,$C$13:$AF$37,S$4-$G$4+5,FALSE))</f>
        <v>1</v>
      </c>
      <c r="T6" s="42">
        <f>IF(T$4&lt;ControlPanel!$D$59,VLOOKUP("Referenz",$C$13:$AF$37,T$4-$G$4+5,FALSE),VLOOKUP($C$6,$C$13:$AF$37,T$4-$G$4+5,FALSE))</f>
        <v>1</v>
      </c>
      <c r="U6" s="42">
        <f>IF(U$4&lt;ControlPanel!$D$59,VLOOKUP("Referenz",$C$13:$AF$37,U$4-$G$4+5,FALSE),VLOOKUP($C$6,$C$13:$AF$37,U$4-$G$4+5,FALSE))</f>
        <v>1</v>
      </c>
      <c r="V6" s="42">
        <f>IF(V$4&lt;ControlPanel!$D$59,VLOOKUP("Referenz",$C$13:$AF$37,V$4-$G$4+5,FALSE),VLOOKUP($C$6,$C$13:$AF$37,V$4-$G$4+5,FALSE))</f>
        <v>1</v>
      </c>
      <c r="W6" s="42">
        <f>IF(W$4&lt;ControlPanel!$D$59,VLOOKUP("Referenz",$C$13:$AF$37,W$4-$G$4+5,FALSE),VLOOKUP($C$6,$C$13:$AF$37,W$4-$G$4+5,FALSE))</f>
        <v>1</v>
      </c>
      <c r="X6" s="42">
        <f>IF(X$4&lt;ControlPanel!$D$59,VLOOKUP("Referenz",$C$13:$AF$37,X$4-$G$4+5,FALSE),VLOOKUP($C$6,$C$13:$AF$37,X$4-$G$4+5,FALSE))</f>
        <v>1</v>
      </c>
      <c r="Y6" s="42">
        <f>IF(Y$4&lt;ControlPanel!$D$59,VLOOKUP("Referenz",$C$13:$AF$37,Y$4-$G$4+5,FALSE),VLOOKUP($C$6,$C$13:$AF$37,Y$4-$G$4+5,FALSE))</f>
        <v>1</v>
      </c>
      <c r="Z6" s="42">
        <f>IF(Z$4&lt;ControlPanel!$D$59,VLOOKUP("Referenz",$C$13:$AF$37,Z$4-$G$4+5,FALSE),VLOOKUP($C$6,$C$13:$AF$37,Z$4-$G$4+5,FALSE))</f>
        <v>1</v>
      </c>
      <c r="AA6" s="42">
        <f>IF(AA$4&lt;ControlPanel!$D$59,VLOOKUP("Referenz",$C$13:$AF$37,AA$4-$G$4+5,FALSE),VLOOKUP($C$6,$C$13:$AF$37,AA$4-$G$4+5,FALSE))</f>
        <v>1</v>
      </c>
      <c r="AB6" s="42">
        <f>IF(AB$4&lt;ControlPanel!$D$59,VLOOKUP("Referenz",$C$13:$AF$37,AB$4-$G$4+5,FALSE),VLOOKUP($C$6,$C$13:$AF$37,AB$4-$G$4+5,FALSE))</f>
        <v>1</v>
      </c>
      <c r="AC6" s="42">
        <f>IF(AC$4&lt;ControlPanel!$D$59,VLOOKUP("Referenz",$C$13:$AF$37,AC$4-$G$4+5,FALSE),VLOOKUP($C$6,$C$13:$AF$37,AC$4-$G$4+5,FALSE))</f>
        <v>1</v>
      </c>
      <c r="AD6" s="42">
        <f>IF(AD$4&lt;ControlPanel!$D$59,VLOOKUP("Referenz",$C$13:$AF$37,AD$4-$G$4+5,FALSE),VLOOKUP($C$6,$C$13:$AF$37,AD$4-$G$4+5,FALSE))</f>
        <v>1</v>
      </c>
      <c r="AE6" s="42">
        <f>IF(AE$4&lt;ControlPanel!$D$59,VLOOKUP("Referenz",$C$13:$AF$37,AE$4-$G$4+5,FALSE),VLOOKUP($C$6,$C$13:$AF$37,AE$4-$G$4+5,FALSE))</f>
        <v>1</v>
      </c>
      <c r="AF6" s="42">
        <f>IF(AF$4&lt;ControlPanel!$D$59,VLOOKUP("Referenz",$C$13:$AF$37,AF$4-$G$4+5,FALSE),VLOOKUP($C$6,$C$13:$AF$37,AF$4-$G$4+5,FALSE))</f>
        <v>1</v>
      </c>
    </row>
    <row r="7" spans="1:32" ht="15" customHeight="1" thickBot="1">
      <c r="B7" s="171" t="s">
        <v>27</v>
      </c>
      <c r="C7" s="181" t="str">
        <f>ControlPanel!L40</f>
        <v>Referenz</v>
      </c>
      <c r="D7" s="15" t="str">
        <f>VLOOKUP($C$7,$C$39:$AF$63,2,FALSE)</f>
        <v>fh</v>
      </c>
      <c r="E7" s="15" t="str">
        <f>VLOOKUP($C$7,$C$39:$AF$63,3,FALSE)</f>
        <v>100%</v>
      </c>
      <c r="F7" s="15" t="str">
        <f>VLOOKUP($C$7,$C$39:$AF$63,4,FALSE)</f>
        <v>Werte bis 2026: MFP Referenzszenario, danach konstant 100%</v>
      </c>
      <c r="G7" s="251">
        <f>IF(G$4&lt;ControlPanel!$D$59,VLOOKUP("Referenz",$C$39:$AF$63,G$4-$G$4+5,FALSE),VLOOKUP($C$7,$C$39:$AF$63,G$4-$G$4+5,FALSE))</f>
        <v>1</v>
      </c>
      <c r="H7" s="251">
        <f>IF(H$4&lt;ControlPanel!$D$59,VLOOKUP("Referenz",$C$39:$AF$63,H$4-$G$4+5,FALSE),VLOOKUP($C$7,$C$39:$AF$63,H$4-$G$4+5,FALSE))</f>
        <v>1</v>
      </c>
      <c r="I7" s="251">
        <f>IF(I$4&lt;ControlPanel!$D$59,VLOOKUP("Referenz",$C$39:$AF$63,I$4-$G$4+5,FALSE),VLOOKUP($C$7,$C$39:$AF$63,I$4-$G$4+5,FALSE))</f>
        <v>1</v>
      </c>
      <c r="J7" s="251">
        <f>IF(J$4&lt;ControlPanel!$D$59,VLOOKUP("Referenz",$C$39:$AF$63,J$4-$G$4+5,FALSE),VLOOKUP($C$7,$C$39:$AF$63,J$4-$G$4+5,FALSE))</f>
        <v>1</v>
      </c>
      <c r="K7" s="251">
        <f>IF(K$4&lt;ControlPanel!$D$59,VLOOKUP("Referenz",$C$39:$AF$63,K$4-$G$4+5,FALSE),VLOOKUP($C$7,$C$39:$AF$63,K$4-$G$4+5,FALSE))</f>
        <v>1</v>
      </c>
      <c r="L7" s="251">
        <f>IF(L$4&lt;ControlPanel!$D$59,VLOOKUP("Referenz",$C$39:$AF$63,L$4-$G$4+5,FALSE),VLOOKUP($C$7,$C$39:$AF$63,L$4-$G$4+5,FALSE))</f>
        <v>1</v>
      </c>
      <c r="M7" s="251">
        <f>IF(M$4&lt;ControlPanel!$D$59,VLOOKUP("Referenz",$C$39:$AF$63,M$4-$G$4+5,FALSE),VLOOKUP($C$7,$C$39:$AF$63,M$4-$G$4+5,FALSE))</f>
        <v>1</v>
      </c>
      <c r="N7" s="251">
        <f>IF(N$4&lt;ControlPanel!$D$59,VLOOKUP("Referenz",$C$39:$AF$63,N$4-$G$4+5,FALSE),VLOOKUP($C$7,$C$39:$AF$63,N$4-$G$4+5,FALSE))</f>
        <v>1</v>
      </c>
      <c r="O7" s="42">
        <f>IF(O$4&lt;ControlPanel!$D$59,VLOOKUP("Referenz",$C$39:$AF$63,O$4-$G$4+5,FALSE),VLOOKUP($C$7,$C$39:$AF$63,O$4-$G$4+5,FALSE))</f>
        <v>1</v>
      </c>
      <c r="P7" s="42">
        <f>IF(P$4&lt;ControlPanel!$D$59,VLOOKUP("Referenz",$C$39:$AF$63,P$4-$G$4+5,FALSE),VLOOKUP($C$7,$C$39:$AF$63,P$4-$G$4+5,FALSE))</f>
        <v>1</v>
      </c>
      <c r="Q7" s="42">
        <f>IF(Q$4&lt;ControlPanel!$D$59,VLOOKUP("Referenz",$C$39:$AF$63,Q$4-$G$4+5,FALSE),VLOOKUP($C$7,$C$39:$AF$63,Q$4-$G$4+5,FALSE))</f>
        <v>1</v>
      </c>
      <c r="R7" s="42">
        <f>IF(R$4&lt;ControlPanel!$D$59,VLOOKUP("Referenz",$C$39:$AF$63,R$4-$G$4+5,FALSE),VLOOKUP($C$7,$C$39:$AF$63,R$4-$G$4+5,FALSE))</f>
        <v>1</v>
      </c>
      <c r="S7" s="42">
        <f>IF(S$4&lt;ControlPanel!$D$59,VLOOKUP("Referenz",$C$39:$AF$63,S$4-$G$4+5,FALSE),VLOOKUP($C$7,$C$39:$AF$63,S$4-$G$4+5,FALSE))</f>
        <v>1</v>
      </c>
      <c r="T7" s="42">
        <f>IF(T$4&lt;ControlPanel!$D$59,VLOOKUP("Referenz",$C$39:$AF$63,T$4-$G$4+5,FALSE),VLOOKUP($C$7,$C$39:$AF$63,T$4-$G$4+5,FALSE))</f>
        <v>1</v>
      </c>
      <c r="U7" s="42">
        <f>IF(U$4&lt;ControlPanel!$D$59,VLOOKUP("Referenz",$C$39:$AF$63,U$4-$G$4+5,FALSE),VLOOKUP($C$7,$C$39:$AF$63,U$4-$G$4+5,FALSE))</f>
        <v>1</v>
      </c>
      <c r="V7" s="42">
        <f>IF(V$4&lt;ControlPanel!$D$59,VLOOKUP("Referenz",$C$39:$AF$63,V$4-$G$4+5,FALSE),VLOOKUP($C$7,$C$39:$AF$63,V$4-$G$4+5,FALSE))</f>
        <v>1</v>
      </c>
      <c r="W7" s="42">
        <f>IF(W$4&lt;ControlPanel!$D$59,VLOOKUP("Referenz",$C$39:$AF$63,W$4-$G$4+5,FALSE),VLOOKUP($C$7,$C$39:$AF$63,W$4-$G$4+5,FALSE))</f>
        <v>1</v>
      </c>
      <c r="X7" s="42">
        <f>IF(X$4&lt;ControlPanel!$D$59,VLOOKUP("Referenz",$C$39:$AF$63,X$4-$G$4+5,FALSE),VLOOKUP($C$7,$C$39:$AF$63,X$4-$G$4+5,FALSE))</f>
        <v>1</v>
      </c>
      <c r="Y7" s="42">
        <f>IF(Y$4&lt;ControlPanel!$D$59,VLOOKUP("Referenz",$C$39:$AF$63,Y$4-$G$4+5,FALSE),VLOOKUP($C$7,$C$39:$AF$63,Y$4-$G$4+5,FALSE))</f>
        <v>1</v>
      </c>
      <c r="Z7" s="42">
        <f>IF(Z$4&lt;ControlPanel!$D$59,VLOOKUP("Referenz",$C$39:$AF$63,Z$4-$G$4+5,FALSE),VLOOKUP($C$7,$C$39:$AF$63,Z$4-$G$4+5,FALSE))</f>
        <v>1</v>
      </c>
      <c r="AA7" s="42">
        <f>IF(AA$4&lt;ControlPanel!$D$59,VLOOKUP("Referenz",$C$39:$AF$63,AA$4-$G$4+5,FALSE),VLOOKUP($C$7,$C$39:$AF$63,AA$4-$G$4+5,FALSE))</f>
        <v>1</v>
      </c>
      <c r="AB7" s="42">
        <f>IF(AB$4&lt;ControlPanel!$D$59,VLOOKUP("Referenz",$C$39:$AF$63,AB$4-$G$4+5,FALSE),VLOOKUP($C$7,$C$39:$AF$63,AB$4-$G$4+5,FALSE))</f>
        <v>1</v>
      </c>
      <c r="AC7" s="42">
        <f>IF(AC$4&lt;ControlPanel!$D$59,VLOOKUP("Referenz",$C$39:$AF$63,AC$4-$G$4+5,FALSE),VLOOKUP($C$7,$C$39:$AF$63,AC$4-$G$4+5,FALSE))</f>
        <v>1</v>
      </c>
      <c r="AD7" s="42">
        <f>IF(AD$4&lt;ControlPanel!$D$59,VLOOKUP("Referenz",$C$39:$AF$63,AD$4-$G$4+5,FALSE),VLOOKUP($C$7,$C$39:$AF$63,AD$4-$G$4+5,FALSE))</f>
        <v>1</v>
      </c>
      <c r="AE7" s="42">
        <f>IF(AE$4&lt;ControlPanel!$D$59,VLOOKUP("Referenz",$C$39:$AF$63,AE$4-$G$4+5,FALSE),VLOOKUP($C$7,$C$39:$AF$63,AE$4-$G$4+5,FALSE))</f>
        <v>1</v>
      </c>
      <c r="AF7" s="42">
        <f>IF(AF$4&lt;ControlPanel!$D$59,VLOOKUP("Referenz",$C$39:$AF$63,AF$4-$G$4+5,FALSE),VLOOKUP($C$7,$C$39:$AF$63,AF$4-$G$4+5,FALSE))</f>
        <v>1</v>
      </c>
    </row>
    <row r="8" spans="1:32" ht="15" customHeight="1" thickBot="1">
      <c r="B8" s="171" t="s">
        <v>13</v>
      </c>
      <c r="C8" s="181" t="str">
        <f>ControlPanel!L37</f>
        <v>Referenz</v>
      </c>
      <c r="D8" s="15" t="str">
        <f>VLOOKUP($C$8,$C$65:$AF$89,2,FALSE)</f>
        <v>fh</v>
      </c>
      <c r="E8" s="15" t="str">
        <f>VLOOKUP($C$8,$C$65:$AF$89,3,FALSE)</f>
        <v>100%</v>
      </c>
      <c r="F8" s="15" t="str">
        <f>VLOOKUP($C$8,$C$65:$AF$89,4,FALSE)</f>
        <v>Werte bis 2026: MFP Referenzszenario, danach konstant 100%</v>
      </c>
      <c r="G8" s="251">
        <f>IF(G$4&lt;ControlPanel!$D$59,VLOOKUP("Referenz",$C$65:$AF$89,G$4-$G$4+5,FALSE),VLOOKUP($C$8,$C$65:$AF$89,G$4-$G$4+5,FALSE))</f>
        <v>1</v>
      </c>
      <c r="H8" s="251">
        <f>IF(H$4&lt;ControlPanel!$D$59,VLOOKUP("Referenz",$C$65:$AF$89,H$4-$G$4+5,FALSE),VLOOKUP($C$8,$C$65:$AF$89,H$4-$G$4+5,FALSE))</f>
        <v>1</v>
      </c>
      <c r="I8" s="251">
        <f>IF(I$4&lt;ControlPanel!$D$59,VLOOKUP("Referenz",$C$65:$AF$89,I$4-$G$4+5,FALSE),VLOOKUP($C$8,$C$65:$AF$89,I$4-$G$4+5,FALSE))</f>
        <v>1</v>
      </c>
      <c r="J8" s="251">
        <f>IF(J$4&lt;ControlPanel!$D$59,VLOOKUP("Referenz",$C$65:$AF$89,J$4-$G$4+5,FALSE),VLOOKUP($C$8,$C$65:$AF$89,J$4-$G$4+5,FALSE))</f>
        <v>1</v>
      </c>
      <c r="K8" s="251">
        <f>IF(K$4&lt;ControlPanel!$D$59,VLOOKUP("Referenz",$C$65:$AF$89,K$4-$G$4+5,FALSE),VLOOKUP($C$8,$C$65:$AF$89,K$4-$G$4+5,FALSE))</f>
        <v>1</v>
      </c>
      <c r="L8" s="251">
        <f>IF(L$4&lt;ControlPanel!$D$59,VLOOKUP("Referenz",$C$65:$AF$89,L$4-$G$4+5,FALSE),VLOOKUP($C$8,$C$65:$AF$89,L$4-$G$4+5,FALSE))</f>
        <v>1</v>
      </c>
      <c r="M8" s="251">
        <f>IF(M$4&lt;ControlPanel!$D$59,VLOOKUP("Referenz",$C$65:$AF$89,M$4-$G$4+5,FALSE),VLOOKUP($C$8,$C$65:$AF$89,M$4-$G$4+5,FALSE))</f>
        <v>1</v>
      </c>
      <c r="N8" s="251">
        <f>IF(N$4&lt;ControlPanel!$D$59,VLOOKUP("Referenz",$C$65:$AF$89,N$4-$G$4+5,FALSE),VLOOKUP($C$8,$C$65:$AF$89,N$4-$G$4+5,FALSE))</f>
        <v>1</v>
      </c>
      <c r="O8" s="42">
        <f>IF(O$4&lt;ControlPanel!$D$59,VLOOKUP("Referenz",$C$65:$AF$89,O$4-$G$4+5,FALSE),VLOOKUP($C$8,$C$65:$AF$89,O$4-$G$4+5,FALSE))</f>
        <v>1</v>
      </c>
      <c r="P8" s="42">
        <f>IF(P$4&lt;ControlPanel!$D$59,VLOOKUP("Referenz",$C$65:$AF$89,P$4-$G$4+5,FALSE),VLOOKUP($C$8,$C$65:$AF$89,P$4-$G$4+5,FALSE))</f>
        <v>1</v>
      </c>
      <c r="Q8" s="42">
        <f>IF(Q$4&lt;ControlPanel!$D$59,VLOOKUP("Referenz",$C$65:$AF$89,Q$4-$G$4+5,FALSE),VLOOKUP($C$8,$C$65:$AF$89,Q$4-$G$4+5,FALSE))</f>
        <v>1</v>
      </c>
      <c r="R8" s="42">
        <f>IF(R$4&lt;ControlPanel!$D$59,VLOOKUP("Referenz",$C$65:$AF$89,R$4-$G$4+5,FALSE),VLOOKUP($C$8,$C$65:$AF$89,R$4-$G$4+5,FALSE))</f>
        <v>1</v>
      </c>
      <c r="S8" s="42">
        <f>IF(S$4&lt;ControlPanel!$D$59,VLOOKUP("Referenz",$C$65:$AF$89,S$4-$G$4+5,FALSE),VLOOKUP($C$8,$C$65:$AF$89,S$4-$G$4+5,FALSE))</f>
        <v>1</v>
      </c>
      <c r="T8" s="42">
        <f>IF(T$4&lt;ControlPanel!$D$59,VLOOKUP("Referenz",$C$65:$AF$89,T$4-$G$4+5,FALSE),VLOOKUP($C$8,$C$65:$AF$89,T$4-$G$4+5,FALSE))</f>
        <v>1</v>
      </c>
      <c r="U8" s="42">
        <f>IF(U$4&lt;ControlPanel!$D$59,VLOOKUP("Referenz",$C$65:$AF$89,U$4-$G$4+5,FALSE),VLOOKUP($C$8,$C$65:$AF$89,U$4-$G$4+5,FALSE))</f>
        <v>1</v>
      </c>
      <c r="V8" s="42">
        <f>IF(V$4&lt;ControlPanel!$D$59,VLOOKUP("Referenz",$C$65:$AF$89,V$4-$G$4+5,FALSE),VLOOKUP($C$8,$C$65:$AF$89,V$4-$G$4+5,FALSE))</f>
        <v>1</v>
      </c>
      <c r="W8" s="42">
        <f>IF(W$4&lt;ControlPanel!$D$59,VLOOKUP("Referenz",$C$65:$AF$89,W$4-$G$4+5,FALSE),VLOOKUP($C$8,$C$65:$AF$89,W$4-$G$4+5,FALSE))</f>
        <v>1</v>
      </c>
      <c r="X8" s="42">
        <f>IF(X$4&lt;ControlPanel!$D$59,VLOOKUP("Referenz",$C$65:$AF$89,X$4-$G$4+5,FALSE),VLOOKUP($C$8,$C$65:$AF$89,X$4-$G$4+5,FALSE))</f>
        <v>1</v>
      </c>
      <c r="Y8" s="42">
        <f>IF(Y$4&lt;ControlPanel!$D$59,VLOOKUP("Referenz",$C$65:$AF$89,Y$4-$G$4+5,FALSE),VLOOKUP($C$8,$C$65:$AF$89,Y$4-$G$4+5,FALSE))</f>
        <v>1</v>
      </c>
      <c r="Z8" s="42">
        <f>IF(Z$4&lt;ControlPanel!$D$59,VLOOKUP("Referenz",$C$65:$AF$89,Z$4-$G$4+5,FALSE),VLOOKUP($C$8,$C$65:$AF$89,Z$4-$G$4+5,FALSE))</f>
        <v>1</v>
      </c>
      <c r="AA8" s="42">
        <f>IF(AA$4&lt;ControlPanel!$D$59,VLOOKUP("Referenz",$C$65:$AF$89,AA$4-$G$4+5,FALSE),VLOOKUP($C$8,$C$65:$AF$89,AA$4-$G$4+5,FALSE))</f>
        <v>1</v>
      </c>
      <c r="AB8" s="42">
        <f>IF(AB$4&lt;ControlPanel!$D$59,VLOOKUP("Referenz",$C$65:$AF$89,AB$4-$G$4+5,FALSE),VLOOKUP($C$8,$C$65:$AF$89,AB$4-$G$4+5,FALSE))</f>
        <v>1</v>
      </c>
      <c r="AC8" s="42">
        <f>IF(AC$4&lt;ControlPanel!$D$59,VLOOKUP("Referenz",$C$65:$AF$89,AC$4-$G$4+5,FALSE),VLOOKUP($C$8,$C$65:$AF$89,AC$4-$G$4+5,FALSE))</f>
        <v>1</v>
      </c>
      <c r="AD8" s="42">
        <f>IF(AD$4&lt;ControlPanel!$D$59,VLOOKUP("Referenz",$C$65:$AF$89,AD$4-$G$4+5,FALSE),VLOOKUP($C$8,$C$65:$AF$89,AD$4-$G$4+5,FALSE))</f>
        <v>1</v>
      </c>
      <c r="AE8" s="42">
        <f>IF(AE$4&lt;ControlPanel!$D$59,VLOOKUP("Referenz",$C$65:$AF$89,AE$4-$G$4+5,FALSE),VLOOKUP($C$8,$C$65:$AF$89,AE$4-$G$4+5,FALSE))</f>
        <v>1</v>
      </c>
      <c r="AF8" s="42">
        <f>IF(AF$4&lt;ControlPanel!$D$59,VLOOKUP("Referenz",$C$65:$AF$89,AF$4-$G$4+5,FALSE),VLOOKUP($C$8,$C$65:$AF$89,AF$4-$G$4+5,FALSE))</f>
        <v>1</v>
      </c>
    </row>
    <row r="9" spans="1:32" ht="15" customHeight="1" thickBot="1">
      <c r="B9" s="171" t="s">
        <v>12</v>
      </c>
      <c r="C9" s="181" t="str">
        <f>ControlPanel!L38</f>
        <v>Referenz</v>
      </c>
      <c r="D9" s="15" t="str">
        <f>VLOOKUP($C$9,$C$91:$AF$115,2,FALSE)</f>
        <v>fh</v>
      </c>
      <c r="E9" s="15" t="str">
        <f>VLOOKUP($C$9,$C$91:$AF$115,3,FALSE)</f>
        <v>100%</v>
      </c>
      <c r="F9" s="15" t="str">
        <f>VLOOKUP($C$9,$C$91:$AF$115,4,FALSE)</f>
        <v>Werte bis 2026: MFP Referenzszenario, danach konstant 100%</v>
      </c>
      <c r="G9" s="251">
        <f>IF(G$4&lt;ControlPanel!$D$59,VLOOKUP("Referenz",$C$91:$AF$115,G$4-$G$4+5,FALSE),VLOOKUP($C$9,$C$91:$AF$115,G$4-$G$4+5,FALSE))</f>
        <v>1</v>
      </c>
      <c r="H9" s="251">
        <f>IF(H$4&lt;ControlPanel!$D$59,VLOOKUP("Referenz",$C$91:$AF$115,H$4-$G$4+5,FALSE),VLOOKUP($C$9,$C$91:$AF$115,H$4-$G$4+5,FALSE))</f>
        <v>1</v>
      </c>
      <c r="I9" s="251">
        <f>IF(I$4&lt;ControlPanel!$D$59,VLOOKUP("Referenz",$C$91:$AF$115,I$4-$G$4+5,FALSE),VLOOKUP($C$9,$C$91:$AF$115,I$4-$G$4+5,FALSE))</f>
        <v>1</v>
      </c>
      <c r="J9" s="251">
        <f>IF(J$4&lt;ControlPanel!$D$59,VLOOKUP("Referenz",$C$91:$AF$115,J$4-$G$4+5,FALSE),VLOOKUP($C$9,$C$91:$AF$115,J$4-$G$4+5,FALSE))</f>
        <v>1</v>
      </c>
      <c r="K9" s="251">
        <f>IF(K$4&lt;ControlPanel!$D$59,VLOOKUP("Referenz",$C$91:$AF$115,K$4-$G$4+5,FALSE),VLOOKUP($C$9,$C$91:$AF$115,K$4-$G$4+5,FALSE))</f>
        <v>1</v>
      </c>
      <c r="L9" s="251">
        <f>IF(L$4&lt;ControlPanel!$D$59,VLOOKUP("Referenz",$C$91:$AF$115,L$4-$G$4+5,FALSE),VLOOKUP($C$9,$C$91:$AF$115,L$4-$G$4+5,FALSE))</f>
        <v>1</v>
      </c>
      <c r="M9" s="251">
        <f>IF(M$4&lt;ControlPanel!$D$59,VLOOKUP("Referenz",$C$91:$AF$115,M$4-$G$4+5,FALSE),VLOOKUP($C$9,$C$91:$AF$115,M$4-$G$4+5,FALSE))</f>
        <v>1</v>
      </c>
      <c r="N9" s="251">
        <f>IF(N$4&lt;ControlPanel!$D$59,VLOOKUP("Referenz",$C$91:$AF$115,N$4-$G$4+5,FALSE),VLOOKUP($C$9,$C$91:$AF$115,N$4-$G$4+5,FALSE))</f>
        <v>1</v>
      </c>
      <c r="O9" s="42">
        <f>IF(O$4&lt;ControlPanel!$D$59,VLOOKUP("Referenz",$C$91:$AF$115,O$4-$G$4+5,FALSE),VLOOKUP($C$9,$C$91:$AF$115,O$4-$G$4+5,FALSE))</f>
        <v>1</v>
      </c>
      <c r="P9" s="42">
        <f>IF(P$4&lt;ControlPanel!$D$59,VLOOKUP("Referenz",$C$91:$AF$115,P$4-$G$4+5,FALSE),VLOOKUP($C$9,$C$91:$AF$115,P$4-$G$4+5,FALSE))</f>
        <v>1</v>
      </c>
      <c r="Q9" s="42">
        <f>IF(Q$4&lt;ControlPanel!$D$59,VLOOKUP("Referenz",$C$91:$AF$115,Q$4-$G$4+5,FALSE),VLOOKUP($C$9,$C$91:$AF$115,Q$4-$G$4+5,FALSE))</f>
        <v>1</v>
      </c>
      <c r="R9" s="42">
        <f>IF(R$4&lt;ControlPanel!$D$59,VLOOKUP("Referenz",$C$91:$AF$115,R$4-$G$4+5,FALSE),VLOOKUP($C$9,$C$91:$AF$115,R$4-$G$4+5,FALSE))</f>
        <v>1</v>
      </c>
      <c r="S9" s="42">
        <f>IF(S$4&lt;ControlPanel!$D$59,VLOOKUP("Referenz",$C$91:$AF$115,S$4-$G$4+5,FALSE),VLOOKUP($C$9,$C$91:$AF$115,S$4-$G$4+5,FALSE))</f>
        <v>1</v>
      </c>
      <c r="T9" s="42">
        <f>IF(T$4&lt;ControlPanel!$D$59,VLOOKUP("Referenz",$C$91:$AF$115,T$4-$G$4+5,FALSE),VLOOKUP($C$9,$C$91:$AF$115,T$4-$G$4+5,FALSE))</f>
        <v>1</v>
      </c>
      <c r="U9" s="42">
        <f>IF(U$4&lt;ControlPanel!$D$59,VLOOKUP("Referenz",$C$91:$AF$115,U$4-$G$4+5,FALSE),VLOOKUP($C$9,$C$91:$AF$115,U$4-$G$4+5,FALSE))</f>
        <v>1</v>
      </c>
      <c r="V9" s="42">
        <f>IF(V$4&lt;ControlPanel!$D$59,VLOOKUP("Referenz",$C$91:$AF$115,V$4-$G$4+5,FALSE),VLOOKUP($C$9,$C$91:$AF$115,V$4-$G$4+5,FALSE))</f>
        <v>1</v>
      </c>
      <c r="W9" s="42">
        <f>IF(W$4&lt;ControlPanel!$D$59,VLOOKUP("Referenz",$C$91:$AF$115,W$4-$G$4+5,FALSE),VLOOKUP($C$9,$C$91:$AF$115,W$4-$G$4+5,FALSE))</f>
        <v>1</v>
      </c>
      <c r="X9" s="42">
        <f>IF(X$4&lt;ControlPanel!$D$59,VLOOKUP("Referenz",$C$91:$AF$115,X$4-$G$4+5,FALSE),VLOOKUP($C$9,$C$91:$AF$115,X$4-$G$4+5,FALSE))</f>
        <v>1</v>
      </c>
      <c r="Y9" s="42">
        <f>IF(Y$4&lt;ControlPanel!$D$59,VLOOKUP("Referenz",$C$91:$AF$115,Y$4-$G$4+5,FALSE),VLOOKUP($C$9,$C$91:$AF$115,Y$4-$G$4+5,FALSE))</f>
        <v>1</v>
      </c>
      <c r="Z9" s="42">
        <f>IF(Z$4&lt;ControlPanel!$D$59,VLOOKUP("Referenz",$C$91:$AF$115,Z$4-$G$4+5,FALSE),VLOOKUP($C$9,$C$91:$AF$115,Z$4-$G$4+5,FALSE))</f>
        <v>1</v>
      </c>
      <c r="AA9" s="42">
        <f>IF(AA$4&lt;ControlPanel!$D$59,VLOOKUP("Referenz",$C$91:$AF$115,AA$4-$G$4+5,FALSE),VLOOKUP($C$9,$C$91:$AF$115,AA$4-$G$4+5,FALSE))</f>
        <v>1</v>
      </c>
      <c r="AB9" s="42">
        <f>IF(AB$4&lt;ControlPanel!$D$59,VLOOKUP("Referenz",$C$91:$AF$115,AB$4-$G$4+5,FALSE),VLOOKUP($C$9,$C$91:$AF$115,AB$4-$G$4+5,FALSE))</f>
        <v>1</v>
      </c>
      <c r="AC9" s="42">
        <f>IF(AC$4&lt;ControlPanel!$D$59,VLOOKUP("Referenz",$C$91:$AF$115,AC$4-$G$4+5,FALSE),VLOOKUP($C$9,$C$91:$AF$115,AC$4-$G$4+5,FALSE))</f>
        <v>1</v>
      </c>
      <c r="AD9" s="42">
        <f>IF(AD$4&lt;ControlPanel!$D$59,VLOOKUP("Referenz",$C$91:$AF$115,AD$4-$G$4+5,FALSE),VLOOKUP($C$9,$C$91:$AF$115,AD$4-$G$4+5,FALSE))</f>
        <v>1</v>
      </c>
      <c r="AE9" s="42">
        <f>IF(AE$4&lt;ControlPanel!$D$59,VLOOKUP("Referenz",$C$91:$AF$115,AE$4-$G$4+5,FALSE),VLOOKUP($C$9,$C$91:$AF$115,AE$4-$G$4+5,FALSE))</f>
        <v>1</v>
      </c>
      <c r="AF9" s="42">
        <f>IF(AF$4&lt;ControlPanel!$D$59,VLOOKUP("Referenz",$C$91:$AF$115,AF$4-$G$4+5,FALSE),VLOOKUP($C$9,$C$91:$AF$115,AF$4-$G$4+5,FALSE))</f>
        <v>1</v>
      </c>
    </row>
    <row r="10" spans="1:32" ht="15" customHeight="1" thickBot="1">
      <c r="B10" s="171" t="s">
        <v>24</v>
      </c>
      <c r="C10" s="181" t="str">
        <f>ControlPanel!L34</f>
        <v>Referenz</v>
      </c>
      <c r="D10" s="15" t="str">
        <f>VLOOKUP($C$10,$C$117:$AF$141,2,FALSE)</f>
        <v>fh</v>
      </c>
      <c r="E10" s="15" t="str">
        <f>VLOOKUP($C$10,$C$117:$AF$141,3,FALSE)</f>
        <v>eigene Berechnung</v>
      </c>
      <c r="F10" s="15" t="str">
        <f>VLOOKUP($C$10,$C$117:$AF$141,4,FALSE)</f>
        <v>Werte bis 2026: MFP Referenzszenario, danach lineare Absenkung auf 60%</v>
      </c>
      <c r="G10" s="251">
        <f>IF(G$4&lt;ControlPanel!$D$59,VLOOKUP("Referenz",$C$117:$AF$141,G$4-$G$4+5,FALSE),VLOOKUP($C$10,$C$117:$AF$141,G$4-$G$4+5,FALSE))</f>
        <v>0.82750000000000001</v>
      </c>
      <c r="H10" s="251">
        <f>IF(H$4&lt;ControlPanel!$D$59,VLOOKUP("Referenz",$C$117:$AF$141,H$4-$G$4+5,FALSE),VLOOKUP($C$10,$C$117:$AF$141,H$4-$G$4+5,FALSE))</f>
        <v>0.82</v>
      </c>
      <c r="I10" s="251">
        <f>IF(I$4&lt;ControlPanel!$D$59,VLOOKUP("Referenz",$C$117:$AF$141,I$4-$G$4+5,FALSE),VLOOKUP($C$10,$C$117:$AF$141,I$4-$G$4+5,FALSE))</f>
        <v>0.90500000000000003</v>
      </c>
      <c r="J10" s="251">
        <f>IF(J$4&lt;ControlPanel!$D$59,VLOOKUP("Referenz",$C$117:$AF$141,J$4-$G$4+5,FALSE),VLOOKUP($C$10,$C$117:$AF$141,J$4-$G$4+5,FALSE))</f>
        <v>0.88900000000000001</v>
      </c>
      <c r="K10" s="251">
        <f>IF(K$4&lt;ControlPanel!$D$59,VLOOKUP("Referenz",$C$117:$AF$141,K$4-$G$4+5,FALSE),VLOOKUP($C$10,$C$117:$AF$141,K$4-$G$4+5,FALSE))</f>
        <v>0.85099999999999998</v>
      </c>
      <c r="L10" s="251">
        <f>IF(L$4&lt;ControlPanel!$D$59,VLOOKUP("Referenz",$C$117:$AF$141,L$4-$G$4+5,FALSE),VLOOKUP($C$10,$C$117:$AF$141,L$4-$G$4+5,FALSE))</f>
        <v>0.84899999999999998</v>
      </c>
      <c r="M10" s="251">
        <f>IF(M$4&lt;ControlPanel!$D$59,VLOOKUP("Referenz",$C$117:$AF$141,M$4-$G$4+5,FALSE),VLOOKUP($C$10,$C$117:$AF$141,M$4-$G$4+5,FALSE))</f>
        <v>0.88</v>
      </c>
      <c r="N10" s="251">
        <f>IF(N$4&lt;ControlPanel!$D$59,VLOOKUP("Referenz",$C$117:$AF$141,N$4-$G$4+5,FALSE),VLOOKUP($C$10,$C$117:$AF$141,N$4-$G$4+5,FALSE))</f>
        <v>0.873</v>
      </c>
      <c r="O10" s="42">
        <f>IF(O$4&lt;ControlPanel!$D$59,VLOOKUP("Referenz",$C$117:$AF$141,O$4-$G$4+5,FALSE),VLOOKUP($C$10,$C$117:$AF$141,O$4-$G$4+5,FALSE))</f>
        <v>0.82699999999999996</v>
      </c>
      <c r="P10" s="42">
        <f>IF(P$4&lt;ControlPanel!$D$59,VLOOKUP("Referenz",$C$117:$AF$141,P$4-$G$4+5,FALSE),VLOOKUP($C$10,$C$117:$AF$141,P$4-$G$4+5,FALSE))</f>
        <v>0.78400000000000003</v>
      </c>
      <c r="Q10" s="42">
        <f>IF(Q$4&lt;ControlPanel!$D$59,VLOOKUP("Referenz",$C$117:$AF$141,Q$4-$G$4+5,FALSE),VLOOKUP($C$10,$C$117:$AF$141,Q$4-$G$4+5,FALSE))</f>
        <v>0.89200000000000002</v>
      </c>
      <c r="R10" s="42">
        <f>IF(R$4&lt;ControlPanel!$D$59,VLOOKUP("Referenz",$C$117:$AF$141,R$4-$G$4+5,FALSE),VLOOKUP($C$10,$C$117:$AF$141,R$4-$G$4+5,FALSE))</f>
        <v>0.86899999999999999</v>
      </c>
      <c r="S10" s="42">
        <f>IF(S$4&lt;ControlPanel!$D$59,VLOOKUP("Referenz",$C$117:$AF$141,S$4-$G$4+5,FALSE),VLOOKUP($C$10,$C$117:$AF$141,S$4-$G$4+5,FALSE))</f>
        <v>0.904522613065326</v>
      </c>
      <c r="T10" s="42">
        <f>IF(T$4&lt;ControlPanel!$D$59,VLOOKUP("Referenz",$C$117:$AF$141,T$4-$G$4+5,FALSE),VLOOKUP($C$10,$C$117:$AF$141,T$4-$G$4+5,FALSE))</f>
        <v>0.88693467336683396</v>
      </c>
      <c r="U10" s="42">
        <f>IF(U$4&lt;ControlPanel!$D$59,VLOOKUP("Referenz",$C$117:$AF$141,U$4-$G$4+5,FALSE),VLOOKUP($C$10,$C$117:$AF$141,U$4-$G$4+5,FALSE))</f>
        <v>0.88567839195979903</v>
      </c>
      <c r="V10" s="42">
        <f>IF(V$4&lt;ControlPanel!$D$59,VLOOKUP("Referenz",$C$117:$AF$141,V$4-$G$4+5,FALSE),VLOOKUP($C$10,$C$117:$AF$141,V$4-$G$4+5,FALSE))</f>
        <v>0.83040201005025105</v>
      </c>
      <c r="W10" s="42">
        <f>IF(W$4&lt;ControlPanel!$D$59,VLOOKUP("Referenz",$C$117:$AF$141,W$4-$G$4+5,FALSE),VLOOKUP($C$10,$C$117:$AF$141,W$4-$G$4+5,FALSE))</f>
        <v>0.845477386934673</v>
      </c>
      <c r="X10" s="42">
        <f>IF(X$4&lt;ControlPanel!$D$59,VLOOKUP("Referenz",$C$117:$AF$141,X$4-$G$4+5,FALSE),VLOOKUP($C$10,$C$117:$AF$141,X$4-$G$4+5,FALSE))</f>
        <v>0.82205257054503256</v>
      </c>
      <c r="Y10" s="42">
        <f>IF(Y$4&lt;ControlPanel!$D$59,VLOOKUP("Referenz",$C$117:$AF$141,Y$4-$G$4+5,FALSE),VLOOKUP($C$10,$C$117:$AF$141,Y$4-$G$4+5,FALSE))</f>
        <v>0.79862775415539211</v>
      </c>
      <c r="Z10" s="42">
        <f>IF(Z$4&lt;ControlPanel!$D$59,VLOOKUP("Referenz",$C$117:$AF$141,Z$4-$G$4+5,FALSE),VLOOKUP($C$10,$C$117:$AF$141,Z$4-$G$4+5,FALSE))</f>
        <v>0.77520293776575167</v>
      </c>
      <c r="AA10" s="42">
        <f>IF(AA$4&lt;ControlPanel!$D$59,VLOOKUP("Referenz",$C$117:$AF$141,AA$4-$G$4+5,FALSE),VLOOKUP($C$10,$C$117:$AF$141,AA$4-$G$4+5,FALSE))</f>
        <v>0.75177812137611122</v>
      </c>
      <c r="AB10" s="42">
        <f>IF(AB$4&lt;ControlPanel!$D$59,VLOOKUP("Referenz",$C$117:$AF$141,AB$4-$G$4+5,FALSE),VLOOKUP($C$10,$C$117:$AF$141,AB$4-$G$4+5,FALSE))</f>
        <v>0.72835330498647077</v>
      </c>
      <c r="AC10" s="42">
        <f>IF(AC$4&lt;ControlPanel!$D$59,VLOOKUP("Referenz",$C$117:$AF$141,AC$4-$G$4+5,FALSE),VLOOKUP($C$10,$C$117:$AF$141,AC$4-$G$4+5,FALSE))</f>
        <v>0.70492848859683033</v>
      </c>
      <c r="AD10" s="42">
        <f>IF(AD$4&lt;ControlPanel!$D$59,VLOOKUP("Referenz",$C$117:$AF$141,AD$4-$G$4+5,FALSE),VLOOKUP($C$10,$C$117:$AF$141,AD$4-$G$4+5,FALSE))</f>
        <v>0.68150367220718988</v>
      </c>
      <c r="AE10" s="42">
        <f>IF(AE$4&lt;ControlPanel!$D$59,VLOOKUP("Referenz",$C$117:$AF$141,AE$4-$G$4+5,FALSE),VLOOKUP($C$10,$C$117:$AF$141,AE$4-$G$4+5,FALSE))</f>
        <v>0.65807885581754944</v>
      </c>
      <c r="AF10" s="42">
        <f>IF(AF$4&lt;ControlPanel!$D$59,VLOOKUP("Referenz",$C$117:$AF$141,AF$4-$G$4+5,FALSE),VLOOKUP($C$10,$C$117:$AF$141,AF$4-$G$4+5,FALSE))</f>
        <v>0.6</v>
      </c>
    </row>
    <row r="11" spans="1:32" ht="15" customHeight="1" thickBot="1">
      <c r="B11" s="171" t="s">
        <v>26</v>
      </c>
      <c r="C11" s="181" t="str">
        <f>ControlPanel!L35</f>
        <v>Referenz</v>
      </c>
      <c r="D11" s="15" t="str">
        <f>VLOOKUP($C$11,$C$143:$AF$167,2,FALSE)</f>
        <v>fh</v>
      </c>
      <c r="E11" s="15" t="str">
        <f>VLOOKUP($C$11,$C$143:$AF$167,3,FALSE)</f>
        <v>eigene Berechnung</v>
      </c>
      <c r="F11" s="15" t="str">
        <f>VLOOKUP($C$11,$C$143:$AF$167,4,FALSE)</f>
        <v>Werte bis 2026: MFP Referenzszenario, danach lineare Absenkung auf 70%</v>
      </c>
      <c r="G11" s="251">
        <f>IF(G$4&lt;ControlPanel!$D$59,VLOOKUP("Referenz",$C$143:$AF$167,G$4-$G$4+5,FALSE),VLOOKUP($C$11,$C$143:$AF$167,G$4-$G$4+5,FALSE))</f>
        <v>0.82750000000000001</v>
      </c>
      <c r="H11" s="251">
        <f>IF(H$4&lt;ControlPanel!$D$59,VLOOKUP("Referenz",$C$143:$AF$167,H$4-$G$4+5,FALSE),VLOOKUP($C$11,$C$143:$AF$167,H$4-$G$4+5,FALSE))</f>
        <v>0.82</v>
      </c>
      <c r="I11" s="251">
        <f>IF(I$4&lt;ControlPanel!$D$59,VLOOKUP("Referenz",$C$143:$AF$167,I$4-$G$4+5,FALSE),VLOOKUP($C$11,$C$143:$AF$167,I$4-$G$4+5,FALSE))</f>
        <v>1.02</v>
      </c>
      <c r="J11" s="251">
        <f>IF(J$4&lt;ControlPanel!$D$59,VLOOKUP("Referenz",$C$143:$AF$167,J$4-$G$4+5,FALSE),VLOOKUP($C$11,$C$143:$AF$167,J$4-$G$4+5,FALSE))</f>
        <v>0.997</v>
      </c>
      <c r="K11" s="251">
        <f>IF(K$4&lt;ControlPanel!$D$59,VLOOKUP("Referenz",$C$143:$AF$167,K$4-$G$4+5,FALSE),VLOOKUP($C$11,$C$143:$AF$167,K$4-$G$4+5,FALSE))</f>
        <v>0.91800000000000004</v>
      </c>
      <c r="L11" s="251">
        <f>IF(L$4&lt;ControlPanel!$D$59,VLOOKUP("Referenz",$C$143:$AF$167,L$4-$G$4+5,FALSE),VLOOKUP($C$11,$C$143:$AF$167,L$4-$G$4+5,FALSE))</f>
        <v>0.94099999999999995</v>
      </c>
      <c r="M11" s="251">
        <f>IF(M$4&lt;ControlPanel!$D$59,VLOOKUP("Referenz",$C$143:$AF$167,M$4-$G$4+5,FALSE),VLOOKUP($C$11,$C$143:$AF$167,M$4-$G$4+5,FALSE))</f>
        <v>0.98</v>
      </c>
      <c r="N11" s="251">
        <f>IF(N$4&lt;ControlPanel!$D$59,VLOOKUP("Referenz",$C$143:$AF$167,N$4-$G$4+5,FALSE),VLOOKUP($C$11,$C$143:$AF$167,N$4-$G$4+5,FALSE))</f>
        <v>0.92100000000000004</v>
      </c>
      <c r="O11" s="42">
        <f>IF(O$4&lt;ControlPanel!$D$59,VLOOKUP("Referenz",$C$143:$AF$167,O$4-$G$4+5,FALSE),VLOOKUP($C$11,$C$143:$AF$167,O$4-$G$4+5,FALSE))</f>
        <v>0.90600000000000003</v>
      </c>
      <c r="P11" s="42">
        <f>IF(P$4&lt;ControlPanel!$D$59,VLOOKUP("Referenz",$C$143:$AF$167,P$4-$G$4+5,FALSE),VLOOKUP($C$11,$C$143:$AF$167,P$4-$G$4+5,FALSE))</f>
        <v>0.91300000000000003</v>
      </c>
      <c r="Q11" s="42">
        <f>IF(Q$4&lt;ControlPanel!$D$59,VLOOKUP("Referenz",$C$143:$AF$167,Q$4-$G$4+5,FALSE),VLOOKUP($C$11,$C$143:$AF$167,Q$4-$G$4+5,FALSE))</f>
        <v>0.92200000000000004</v>
      </c>
      <c r="R11" s="42">
        <f>IF(R$4&lt;ControlPanel!$D$59,VLOOKUP("Referenz",$C$143:$AF$167,R$4-$G$4+5,FALSE),VLOOKUP($C$11,$C$143:$AF$167,R$4-$G$4+5,FALSE))</f>
        <v>0.88800000000000001</v>
      </c>
      <c r="S11" s="42">
        <f>IF(S$4&lt;ControlPanel!$D$59,VLOOKUP("Referenz",$C$143:$AF$167,S$4-$G$4+5,FALSE),VLOOKUP($C$11,$C$143:$AF$167,S$4-$G$4+5,FALSE))</f>
        <v>0.94269005847953202</v>
      </c>
      <c r="T11" s="42">
        <f>IF(T$4&lt;ControlPanel!$D$59,VLOOKUP("Referenz",$C$143:$AF$167,T$4-$G$4+5,FALSE),VLOOKUP($C$11,$C$143:$AF$167,T$4-$G$4+5,FALSE))</f>
        <v>0.92514619883040905</v>
      </c>
      <c r="U11" s="42">
        <f>IF(U$4&lt;ControlPanel!$D$59,VLOOKUP("Referenz",$C$143:$AF$167,U$4-$G$4+5,FALSE),VLOOKUP($C$11,$C$143:$AF$167,U$4-$G$4+5,FALSE))</f>
        <v>0.92280701754385897</v>
      </c>
      <c r="V11" s="42">
        <f>IF(V$4&lt;ControlPanel!$D$59,VLOOKUP("Referenz",$C$143:$AF$167,V$4-$G$4+5,FALSE),VLOOKUP($C$11,$C$143:$AF$167,V$4-$G$4+5,FALSE))</f>
        <v>0.88304093567251396</v>
      </c>
      <c r="W11" s="42">
        <f>IF(W$4&lt;ControlPanel!$D$59,VLOOKUP("Referenz",$C$143:$AF$167,W$4-$G$4+5,FALSE),VLOOKUP($C$11,$C$143:$AF$167,W$4-$G$4+5,FALSE))</f>
        <v>0.88888888888888795</v>
      </c>
      <c r="X11" s="42">
        <f>IF(X$4&lt;ControlPanel!$D$59,VLOOKUP("Referenz",$C$143:$AF$167,X$4-$G$4+5,FALSE),VLOOKUP($C$11,$C$143:$AF$167,X$4-$G$4+5,FALSE))</f>
        <v>0.87022042285200085</v>
      </c>
      <c r="Y11" s="42">
        <f>IF(Y$4&lt;ControlPanel!$D$59,VLOOKUP("Referenz",$C$143:$AF$167,Y$4-$G$4+5,FALSE),VLOOKUP($C$11,$C$143:$AF$167,Y$4-$G$4+5,FALSE))</f>
        <v>0.85155195681511375</v>
      </c>
      <c r="Z11" s="42">
        <f>IF(Z$4&lt;ControlPanel!$D$59,VLOOKUP("Referenz",$C$143:$AF$167,Z$4-$G$4+5,FALSE),VLOOKUP($C$11,$C$143:$AF$167,Z$4-$G$4+5,FALSE))</f>
        <v>0.83288349077822665</v>
      </c>
      <c r="AA11" s="42">
        <f>IF(AA$4&lt;ControlPanel!$D$59,VLOOKUP("Referenz",$C$143:$AF$167,AA$4-$G$4+5,FALSE),VLOOKUP($C$11,$C$143:$AF$167,AA$4-$G$4+5,FALSE))</f>
        <v>0.81421502474133955</v>
      </c>
      <c r="AB11" s="42">
        <f>IF(AB$4&lt;ControlPanel!$D$59,VLOOKUP("Referenz",$C$143:$AF$167,AB$4-$G$4+5,FALSE),VLOOKUP($C$11,$C$143:$AF$167,AB$4-$G$4+5,FALSE))</f>
        <v>0.79554655870445246</v>
      </c>
      <c r="AC11" s="42">
        <f>IF(AC$4&lt;ControlPanel!$D$59,VLOOKUP("Referenz",$C$143:$AF$167,AC$4-$G$4+5,FALSE),VLOOKUP($C$11,$C$143:$AF$167,AC$4-$G$4+5,FALSE))</f>
        <v>0.77687809266756536</v>
      </c>
      <c r="AD11" s="42">
        <f>IF(AD$4&lt;ControlPanel!$D$59,VLOOKUP("Referenz",$C$143:$AF$167,AD$4-$G$4+5,FALSE),VLOOKUP($C$11,$C$143:$AF$167,AD$4-$G$4+5,FALSE))</f>
        <v>0.75820962663067826</v>
      </c>
      <c r="AE11" s="42">
        <f>IF(AE$4&lt;ControlPanel!$D$59,VLOOKUP("Referenz",$C$143:$AF$167,AE$4-$G$4+5,FALSE),VLOOKUP($C$11,$C$143:$AF$167,AE$4-$G$4+5,FALSE))</f>
        <v>0.73954116059379116</v>
      </c>
      <c r="AF11" s="42">
        <f>IF(AF$4&lt;ControlPanel!$D$59,VLOOKUP("Referenz",$C$143:$AF$167,AF$4-$G$4+5,FALSE),VLOOKUP($C$11,$C$143:$AF$167,AF$4-$G$4+5,FALSE))</f>
        <v>0.7</v>
      </c>
    </row>
    <row r="12" spans="1:32" ht="15" customHeight="1" thickBot="1">
      <c r="B12" s="173" t="s">
        <v>14</v>
      </c>
      <c r="C12" s="184" t="str">
        <f>ControlPanel!L36</f>
        <v>Referenz</v>
      </c>
      <c r="D12" s="40" t="str">
        <f>VLOOKUP($C$12,$C$169:$AF$193,2,FALSE)</f>
        <v>fh</v>
      </c>
      <c r="E12" s="40" t="str">
        <f>VLOOKUP($C$12,$C$169:$AF$193,3,FALSE)</f>
        <v>eigene Berechnung</v>
      </c>
      <c r="F12" s="15" t="str">
        <f>VLOOKUP($C$12,$C$169:$AF$193,4,FALSE)</f>
        <v>Werte bis 2026: MFP Referenzszenario, danach lineare Absenkung auf 60%</v>
      </c>
      <c r="G12" s="251">
        <f>IF(G$4&lt;ControlPanel!$D$59,VLOOKUP("Referenz",$C$169:$AF$193,G$4-$G$4+5,FALSE),VLOOKUP($C$12,$C$169:$AF$193,G$4-$G$4+5,FALSE))</f>
        <v>1.2</v>
      </c>
      <c r="H12" s="251">
        <f>IF(H$4&lt;ControlPanel!$D$59,VLOOKUP("Referenz",$C$169:$AF$193,H$4-$G$4+5,FALSE),VLOOKUP($C$12,$C$169:$AF$193,H$4-$G$4+5,FALSE))</f>
        <v>1.2</v>
      </c>
      <c r="I12" s="251">
        <f>IF(I$4&lt;ControlPanel!$D$59,VLOOKUP("Referenz",$C$169:$AF$193,I$4-$G$4+5,FALSE),VLOOKUP($C$12,$C$169:$AF$193,I$4-$G$4+5,FALSE))</f>
        <v>1.046</v>
      </c>
      <c r="J12" s="251">
        <f>IF(J$4&lt;ControlPanel!$D$59,VLOOKUP("Referenz",$C$169:$AF$193,J$4-$G$4+5,FALSE),VLOOKUP($C$12,$C$169:$AF$193,J$4-$G$4+5,FALSE))</f>
        <v>0.98099999999999998</v>
      </c>
      <c r="K12" s="251">
        <f>IF(K$4&lt;ControlPanel!$D$59,VLOOKUP("Referenz",$C$169:$AF$193,K$4-$G$4+5,FALSE),VLOOKUP($C$12,$C$169:$AF$193,K$4-$G$4+5,FALSE))</f>
        <v>1.0109999999999999</v>
      </c>
      <c r="L12" s="251">
        <f>IF(L$4&lt;ControlPanel!$D$59,VLOOKUP("Referenz",$C$169:$AF$193,L$4-$G$4+5,FALSE),VLOOKUP($C$12,$C$169:$AF$193,L$4-$G$4+5,FALSE))</f>
        <v>0.84899999999999998</v>
      </c>
      <c r="M12" s="1103">
        <f>IF(M$4&lt;ControlPanel!$D$59,VLOOKUP("Referenz",$C$169:$AF$193,M$4-$G$4+5,FALSE),VLOOKUP($C$12,$C$169:$AF$193,M$4-$G$4+5,FALSE))</f>
        <v>0.98</v>
      </c>
      <c r="N12" s="251">
        <f>IF(N$4&lt;ControlPanel!$D$59,VLOOKUP("Referenz",$C$169:$AF$193,N$4-$G$4+5,FALSE),VLOOKUP($C$12,$C$169:$AF$193,N$4-$G$4+5,FALSE))</f>
        <v>0.997</v>
      </c>
      <c r="O12" s="42">
        <f>IF(O$4&lt;ControlPanel!$D$59,VLOOKUP("Referenz",$C$169:$AF$193,O$4-$G$4+5,FALSE),VLOOKUP($C$12,$C$169:$AF$193,O$4-$G$4+5,FALSE))</f>
        <v>0.95</v>
      </c>
      <c r="P12" s="42">
        <f>IF(P$4&lt;ControlPanel!$D$59,VLOOKUP("Referenz",$C$169:$AF$193,P$4-$G$4+5,FALSE),VLOOKUP($C$12,$C$169:$AF$193,P$4-$G$4+5,FALSE))</f>
        <v>0.98899999999999999</v>
      </c>
      <c r="Q12" s="42">
        <f>IF(Q$4&lt;ControlPanel!$D$59,VLOOKUP("Referenz",$C$169:$AF$193,Q$4-$G$4+5,FALSE),VLOOKUP($C$12,$C$169:$AF$193,Q$4-$G$4+5,FALSE))</f>
        <v>0.95299999999999996</v>
      </c>
      <c r="R12" s="42">
        <f>IF(R$4&lt;ControlPanel!$D$59,VLOOKUP("Referenz",$C$169:$AF$193,R$4-$G$4+5,FALSE),VLOOKUP($C$12,$C$169:$AF$193,R$4-$G$4+5,FALSE))</f>
        <v>0.91500000000000004</v>
      </c>
      <c r="S12" s="42">
        <f>IF(S$4&lt;ControlPanel!$D$59,VLOOKUP("Referenz",$C$169:$AF$193,S$4-$G$4+5,FALSE),VLOOKUP($C$12,$C$169:$AF$193,S$4-$G$4+5,FALSE))</f>
        <v>0.91239048811013801</v>
      </c>
      <c r="T12" s="42">
        <f>IF(T$4&lt;ControlPanel!$D$59,VLOOKUP("Referenz",$C$169:$AF$193,T$4-$G$4+5,FALSE),VLOOKUP($C$12,$C$169:$AF$193,T$4-$G$4+5,FALSE))</f>
        <v>0.88760951188986204</v>
      </c>
      <c r="U12" s="42">
        <f>IF(U$4&lt;ControlPanel!$D$59,VLOOKUP("Referenz",$C$169:$AF$193,U$4-$G$4+5,FALSE),VLOOKUP($C$12,$C$169:$AF$193,U$4-$G$4+5,FALSE))</f>
        <v>0.858322903629537</v>
      </c>
      <c r="V12" s="42">
        <f>IF(V$4&lt;ControlPanel!$D$59,VLOOKUP("Referenz",$C$169:$AF$193,V$4-$G$4+5,FALSE),VLOOKUP($C$12,$C$169:$AF$193,V$4-$G$4+5,FALSE))</f>
        <v>0.81551939924906103</v>
      </c>
      <c r="W12" s="42">
        <f>IF(W$4&lt;ControlPanel!$D$59,VLOOKUP("Referenz",$C$169:$AF$193,W$4-$G$4+5,FALSE),VLOOKUP($C$12,$C$169:$AF$193,W$4-$G$4+5,FALSE))</f>
        <v>0.78172715894868505</v>
      </c>
      <c r="X12" s="42">
        <f>IF(X$4&lt;ControlPanel!$D$59,VLOOKUP("Referenz",$C$169:$AF$193,X$4-$G$4+5,FALSE),VLOOKUP($C$12,$C$169:$AF$193,X$4-$G$4+5,FALSE))</f>
        <v>0.75769712140175138</v>
      </c>
      <c r="Y12" s="42">
        <f>IF(Y$4&lt;ControlPanel!$D$59,VLOOKUP("Referenz",$C$169:$AF$193,Y$4-$G$4+5,FALSE),VLOOKUP($C$12,$C$169:$AF$193,Y$4-$G$4+5,FALSE))</f>
        <v>0.73366708385481771</v>
      </c>
      <c r="Z12" s="42">
        <f>IF(Z$4&lt;ControlPanel!$D$59,VLOOKUP("Referenz",$C$169:$AF$193,Z$4-$G$4+5,FALSE),VLOOKUP($C$12,$C$169:$AF$193,Z$4-$G$4+5,FALSE))</f>
        <v>0.70963704630788405</v>
      </c>
      <c r="AA12" s="42">
        <f>IF(AA$4&lt;ControlPanel!$D$59,VLOOKUP("Referenz",$C$169:$AF$193,AA$4-$G$4+5,FALSE),VLOOKUP($C$12,$C$169:$AF$193,AA$4-$G$4+5,FALSE))</f>
        <v>0.68560700876095038</v>
      </c>
      <c r="AB12" s="42">
        <f>IF(AB$4&lt;ControlPanel!$D$59,VLOOKUP("Referenz",$C$169:$AF$193,AB$4-$G$4+5,FALSE),VLOOKUP($C$12,$C$169:$AF$193,AB$4-$G$4+5,FALSE))</f>
        <v>0.66157697121401671</v>
      </c>
      <c r="AC12" s="42">
        <f>IF(AC$4&lt;ControlPanel!$D$59,VLOOKUP("Referenz",$C$169:$AF$193,AC$4-$G$4+5,FALSE),VLOOKUP($C$12,$C$169:$AF$193,AC$4-$G$4+5,FALSE))</f>
        <v>0.63754693366708304</v>
      </c>
      <c r="AD12" s="42">
        <f>IF(AD$4&lt;ControlPanel!$D$59,VLOOKUP("Referenz",$C$169:$AF$193,AD$4-$G$4+5,FALSE),VLOOKUP($C$12,$C$169:$AF$193,AD$4-$G$4+5,FALSE))</f>
        <v>0.61351689612014937</v>
      </c>
      <c r="AE12" s="42">
        <f>IF(AE$4&lt;ControlPanel!$D$59,VLOOKUP("Referenz",$C$169:$AF$193,AE$4-$G$4+5,FALSE),VLOOKUP($C$12,$C$169:$AF$193,AE$4-$G$4+5,FALSE))</f>
        <v>0.5894868585732157</v>
      </c>
      <c r="AF12" s="42">
        <f>IF(AF$4&lt;ControlPanel!$D$59,VLOOKUP("Referenz",$C$169:$AF$193,AF$4-$G$4+5,FALSE),VLOOKUP($C$12,$C$169:$AF$193,AF$4-$G$4+5,FALSE))</f>
        <v>0.6</v>
      </c>
    </row>
    <row r="13" spans="1:32" ht="15" customHeight="1">
      <c r="B13" s="172" t="s">
        <v>25</v>
      </c>
      <c r="C13" s="321" t="s">
        <v>138</v>
      </c>
      <c r="D13" s="22" t="s">
        <v>845</v>
      </c>
      <c r="E13" s="657" t="s">
        <v>288</v>
      </c>
      <c r="F13" s="548" t="s">
        <v>1030</v>
      </c>
      <c r="G13" s="23">
        <v>1</v>
      </c>
      <c r="H13" s="23">
        <v>1</v>
      </c>
      <c r="I13" s="23">
        <v>1</v>
      </c>
      <c r="J13" s="23">
        <v>1</v>
      </c>
      <c r="K13" s="23">
        <v>1</v>
      </c>
      <c r="L13" s="23">
        <v>1</v>
      </c>
      <c r="M13" s="23">
        <v>1</v>
      </c>
      <c r="N13" s="23">
        <v>1</v>
      </c>
      <c r="O13" s="23">
        <v>1</v>
      </c>
      <c r="P13" s="23">
        <v>1</v>
      </c>
      <c r="Q13" s="23">
        <v>1</v>
      </c>
      <c r="R13" s="23">
        <v>1</v>
      </c>
      <c r="S13" s="23">
        <v>1</v>
      </c>
      <c r="T13" s="23">
        <v>1</v>
      </c>
      <c r="U13" s="23">
        <v>1</v>
      </c>
      <c r="V13" s="23">
        <v>1</v>
      </c>
      <c r="W13" s="23">
        <v>1</v>
      </c>
      <c r="X13" s="23">
        <v>1</v>
      </c>
      <c r="Y13" s="23">
        <v>1</v>
      </c>
      <c r="Z13" s="23">
        <v>1</v>
      </c>
      <c r="AA13" s="23">
        <v>1</v>
      </c>
      <c r="AB13" s="23">
        <v>1</v>
      </c>
      <c r="AC13" s="23">
        <v>1</v>
      </c>
      <c r="AD13" s="23">
        <v>1</v>
      </c>
      <c r="AE13" s="23">
        <v>1</v>
      </c>
      <c r="AF13" s="23">
        <v>1</v>
      </c>
    </row>
    <row r="14" spans="1:32" s="470" customFormat="1" ht="15" customHeight="1">
      <c r="B14" s="471"/>
      <c r="C14" s="191"/>
      <c r="D14" s="186"/>
      <c r="E14" s="169"/>
      <c r="F14" s="540"/>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row>
    <row r="15" spans="1:32" s="470" customFormat="1" ht="15" customHeight="1">
      <c r="B15" s="471"/>
      <c r="C15" s="192"/>
      <c r="D15" s="186"/>
      <c r="E15" s="169"/>
      <c r="F15" s="540"/>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row>
    <row r="16" spans="1:32" s="470" customFormat="1" ht="15" customHeight="1">
      <c r="B16" s="471"/>
      <c r="C16" s="183"/>
      <c r="D16" s="168"/>
      <c r="E16" s="169"/>
      <c r="F16" s="540"/>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row>
    <row r="17" spans="2:32" s="470" customFormat="1" ht="15" customHeight="1">
      <c r="B17" s="471"/>
      <c r="C17" s="183"/>
      <c r="D17" s="168"/>
      <c r="E17" s="169"/>
      <c r="F17" s="540"/>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row>
    <row r="18" spans="2:32" s="470" customFormat="1" ht="15" customHeight="1">
      <c r="B18" s="471"/>
      <c r="C18" s="183"/>
      <c r="D18" s="168"/>
      <c r="E18" s="169"/>
      <c r="F18" s="540"/>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row>
    <row r="19" spans="2:32" s="470" customFormat="1" ht="15" customHeight="1">
      <c r="B19" s="471"/>
      <c r="C19" s="183"/>
      <c r="D19" s="168"/>
      <c r="E19" s="169"/>
      <c r="F19" s="540"/>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2:32" s="470" customFormat="1" ht="15" customHeight="1">
      <c r="B20" s="471"/>
      <c r="C20" s="183"/>
      <c r="D20" s="168"/>
      <c r="E20" s="169"/>
      <c r="F20" s="540"/>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2:32" s="470" customFormat="1" ht="15" customHeight="1">
      <c r="B21" s="471"/>
      <c r="C21" s="183"/>
      <c r="D21" s="186"/>
      <c r="E21" s="169"/>
      <c r="F21" s="540"/>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2:32" s="470" customFormat="1" ht="15" customHeight="1">
      <c r="B22" s="471"/>
      <c r="C22" s="183"/>
      <c r="D22" s="186"/>
      <c r="E22" s="169"/>
      <c r="F22" s="540"/>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87"/>
    </row>
    <row r="23" spans="2:32" s="470" customFormat="1" ht="15" customHeight="1">
      <c r="B23" s="471"/>
      <c r="C23" s="183"/>
      <c r="D23" s="186"/>
      <c r="E23" s="169"/>
      <c r="F23" s="540"/>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2:32" s="470" customFormat="1" ht="15" customHeight="1">
      <c r="B24" s="471"/>
      <c r="C24" s="183"/>
      <c r="D24" s="186"/>
      <c r="E24" s="169"/>
      <c r="F24" s="540"/>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2:32" s="470" customFormat="1" ht="15" customHeight="1">
      <c r="B25" s="471"/>
      <c r="C25" s="183"/>
      <c r="D25" s="186"/>
      <c r="E25" s="169"/>
      <c r="F25" s="54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2:32" s="470" customFormat="1" ht="15" customHeight="1">
      <c r="B26" s="471"/>
      <c r="C26" s="183"/>
      <c r="D26" s="186"/>
      <c r="E26" s="169"/>
      <c r="F26" s="54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2:32" s="470" customFormat="1" ht="15" customHeight="1">
      <c r="B27" s="471"/>
      <c r="C27" s="183"/>
      <c r="D27" s="186"/>
      <c r="E27" s="169"/>
      <c r="F27" s="54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2:32" s="470" customFormat="1" ht="15" customHeight="1">
      <c r="B28" s="471"/>
      <c r="C28" s="183"/>
      <c r="D28" s="186"/>
      <c r="E28" s="169"/>
      <c r="F28" s="54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2:32" s="470" customFormat="1" ht="15" customHeight="1">
      <c r="B29" s="471"/>
      <c r="C29" s="183"/>
      <c r="D29" s="186"/>
      <c r="E29" s="169"/>
      <c r="F29" s="54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2:32" s="470" customFormat="1" ht="15" customHeight="1">
      <c r="B30" s="471"/>
      <c r="C30" s="183"/>
      <c r="D30" s="186"/>
      <c r="E30" s="169"/>
      <c r="F30" s="54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2:32" s="470" customFormat="1" ht="15" customHeight="1">
      <c r="B31" s="471"/>
      <c r="C31" s="183"/>
      <c r="D31" s="186"/>
      <c r="E31" s="169"/>
      <c r="F31" s="54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2:32" s="470" customFormat="1" ht="15" customHeight="1">
      <c r="B32" s="471"/>
      <c r="C32" s="183"/>
      <c r="D32" s="186"/>
      <c r="E32" s="169"/>
      <c r="F32" s="54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54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54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54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54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5"/>
      <c r="D37" s="188"/>
      <c r="E37" s="189"/>
      <c r="F37" s="541"/>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2: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2:32" ht="15" customHeight="1">
      <c r="B39" s="172" t="s">
        <v>27</v>
      </c>
      <c r="C39" s="321" t="s">
        <v>138</v>
      </c>
      <c r="D39" s="22" t="s">
        <v>845</v>
      </c>
      <c r="E39" s="657" t="s">
        <v>288</v>
      </c>
      <c r="F39" s="548" t="s">
        <v>1030</v>
      </c>
      <c r="G39" s="23">
        <v>1</v>
      </c>
      <c r="H39" s="23">
        <v>1</v>
      </c>
      <c r="I39" s="23">
        <v>1</v>
      </c>
      <c r="J39" s="23">
        <v>1</v>
      </c>
      <c r="K39" s="23">
        <v>1</v>
      </c>
      <c r="L39" s="23">
        <v>1</v>
      </c>
      <c r="M39" s="23">
        <v>1</v>
      </c>
      <c r="N39" s="23">
        <v>1</v>
      </c>
      <c r="O39" s="23">
        <v>1</v>
      </c>
      <c r="P39" s="23">
        <v>1</v>
      </c>
      <c r="Q39" s="23">
        <v>1</v>
      </c>
      <c r="R39" s="23">
        <v>1</v>
      </c>
      <c r="S39" s="23">
        <v>1</v>
      </c>
      <c r="T39" s="23">
        <v>1</v>
      </c>
      <c r="U39" s="23">
        <v>1</v>
      </c>
      <c r="V39" s="23">
        <v>1</v>
      </c>
      <c r="W39" s="23">
        <v>1</v>
      </c>
      <c r="X39" s="23">
        <v>1</v>
      </c>
      <c r="Y39" s="23">
        <v>1</v>
      </c>
      <c r="Z39" s="23">
        <v>1</v>
      </c>
      <c r="AA39" s="23">
        <v>1</v>
      </c>
      <c r="AB39" s="23">
        <v>1</v>
      </c>
      <c r="AC39" s="23">
        <v>1</v>
      </c>
      <c r="AD39" s="23">
        <v>1</v>
      </c>
      <c r="AE39" s="23">
        <v>1</v>
      </c>
      <c r="AF39" s="23">
        <v>1</v>
      </c>
    </row>
    <row r="40" spans="2:32" s="470" customFormat="1" ht="15" customHeight="1">
      <c r="B40" s="471"/>
      <c r="C40" s="191"/>
      <c r="D40" s="186"/>
      <c r="E40" s="169"/>
      <c r="F40" s="540"/>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row>
    <row r="41" spans="2:32" s="470" customFormat="1" ht="15" customHeight="1">
      <c r="B41" s="471"/>
      <c r="C41" s="192"/>
      <c r="D41" s="186"/>
      <c r="E41" s="169"/>
      <c r="F41" s="540"/>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row>
    <row r="42" spans="2:32" s="470" customFormat="1" ht="15" customHeight="1">
      <c r="B42" s="471"/>
      <c r="C42" s="192"/>
      <c r="D42" s="186"/>
      <c r="E42" s="169"/>
      <c r="F42" s="540"/>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row>
    <row r="43" spans="2:32" s="470" customFormat="1" ht="15" customHeight="1">
      <c r="B43" s="471"/>
      <c r="C43" s="183"/>
      <c r="D43" s="168"/>
      <c r="E43" s="169"/>
      <c r="F43" s="540"/>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row>
    <row r="44" spans="2:32" s="470" customFormat="1" ht="15" customHeight="1">
      <c r="B44" s="471"/>
      <c r="C44" s="183"/>
      <c r="D44" s="168"/>
      <c r="E44" s="169"/>
      <c r="F44" s="540"/>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row>
    <row r="45" spans="2:32" s="470" customFormat="1" ht="15" customHeight="1">
      <c r="B45" s="471"/>
      <c r="C45" s="183"/>
      <c r="D45" s="168"/>
      <c r="E45" s="169"/>
      <c r="F45" s="540"/>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row>
    <row r="46" spans="2:32" s="470" customFormat="1" ht="15" customHeight="1">
      <c r="B46" s="471"/>
      <c r="C46" s="183"/>
      <c r="D46" s="168"/>
      <c r="E46" s="169"/>
      <c r="F46" s="540"/>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row>
    <row r="47" spans="2:32" s="470" customFormat="1" ht="15" customHeight="1">
      <c r="B47" s="471"/>
      <c r="C47" s="183"/>
      <c r="D47" s="186"/>
      <c r="E47" s="169"/>
      <c r="F47" s="540"/>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row>
    <row r="48" spans="2:32" s="470" customFormat="1" ht="15" customHeight="1">
      <c r="B48" s="471"/>
      <c r="C48" s="183"/>
      <c r="D48" s="186"/>
      <c r="E48" s="169"/>
      <c r="F48" s="540"/>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row>
    <row r="49" spans="2:32" s="470" customFormat="1" ht="15" customHeight="1">
      <c r="B49" s="471"/>
      <c r="C49" s="183"/>
      <c r="D49" s="186"/>
      <c r="E49" s="169"/>
      <c r="F49" s="540"/>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row>
    <row r="50" spans="2:32" s="470" customFormat="1" ht="15" customHeight="1">
      <c r="B50" s="471"/>
      <c r="C50" s="183"/>
      <c r="D50" s="186"/>
      <c r="E50" s="169"/>
      <c r="F50" s="540"/>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row>
    <row r="51" spans="2:32" s="470" customFormat="1" ht="15" customHeight="1">
      <c r="B51" s="471"/>
      <c r="C51" s="183"/>
      <c r="D51" s="186"/>
      <c r="E51" s="169"/>
      <c r="F51" s="54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2:32" s="470" customFormat="1" ht="15" customHeight="1">
      <c r="B52" s="471"/>
      <c r="C52" s="183"/>
      <c r="D52" s="186"/>
      <c r="E52" s="169"/>
      <c r="F52" s="54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2:32" s="470" customFormat="1" ht="15" customHeight="1">
      <c r="B53" s="471"/>
      <c r="C53" s="183"/>
      <c r="D53" s="186"/>
      <c r="E53" s="169"/>
      <c r="F53" s="54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2:32" s="470" customFormat="1" ht="15" customHeight="1">
      <c r="B54" s="471"/>
      <c r="C54" s="183"/>
      <c r="D54" s="186"/>
      <c r="E54" s="169"/>
      <c r="F54" s="54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2:32" s="470" customFormat="1" ht="15" customHeight="1">
      <c r="B55" s="471"/>
      <c r="C55" s="183"/>
      <c r="D55" s="186"/>
      <c r="E55" s="169"/>
      <c r="F55" s="54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2:32" s="470" customFormat="1" ht="15" customHeight="1">
      <c r="B56" s="471"/>
      <c r="C56" s="183"/>
      <c r="D56" s="186"/>
      <c r="E56" s="169"/>
      <c r="F56" s="54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2:32" s="470" customFormat="1" ht="15" customHeight="1">
      <c r="B57" s="471"/>
      <c r="C57" s="183"/>
      <c r="D57" s="186"/>
      <c r="E57" s="169"/>
      <c r="F57" s="54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2:32" s="470" customFormat="1" ht="15" customHeight="1">
      <c r="B58" s="471"/>
      <c r="C58" s="183"/>
      <c r="D58" s="186"/>
      <c r="E58" s="169"/>
      <c r="F58" s="54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2:32" s="470" customFormat="1" ht="15" customHeight="1">
      <c r="B59" s="471"/>
      <c r="C59" s="183"/>
      <c r="D59" s="186"/>
      <c r="E59" s="169"/>
      <c r="F59" s="54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2:32" s="470" customFormat="1" ht="15" customHeight="1">
      <c r="B60" s="471"/>
      <c r="C60" s="183"/>
      <c r="D60" s="186"/>
      <c r="E60" s="169"/>
      <c r="F60" s="54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2:32" s="470" customFormat="1" ht="15" customHeight="1">
      <c r="B61" s="471"/>
      <c r="C61" s="183"/>
      <c r="D61" s="186"/>
      <c r="E61" s="169"/>
      <c r="F61" s="54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2:32" s="470" customFormat="1" ht="15" customHeight="1">
      <c r="B62" s="471"/>
      <c r="C62" s="183"/>
      <c r="D62" s="186"/>
      <c r="E62" s="169"/>
      <c r="F62" s="54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2:32" s="470" customFormat="1" ht="15" customHeight="1">
      <c r="B63" s="472"/>
      <c r="C63" s="183"/>
      <c r="D63" s="186"/>
      <c r="E63" s="169"/>
      <c r="F63" s="54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2: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2:32" ht="15" customHeight="1">
      <c r="B65" s="172" t="s">
        <v>13</v>
      </c>
      <c r="C65" s="321" t="s">
        <v>138</v>
      </c>
      <c r="D65" s="22" t="s">
        <v>845</v>
      </c>
      <c r="E65" s="657" t="s">
        <v>288</v>
      </c>
      <c r="F65" s="548" t="s">
        <v>1030</v>
      </c>
      <c r="G65" s="23">
        <v>1</v>
      </c>
      <c r="H65" s="23">
        <v>1</v>
      </c>
      <c r="I65" s="23">
        <v>1</v>
      </c>
      <c r="J65" s="23">
        <v>1</v>
      </c>
      <c r="K65" s="23">
        <v>1</v>
      </c>
      <c r="L65" s="23">
        <v>1</v>
      </c>
      <c r="M65" s="23">
        <v>1</v>
      </c>
      <c r="N65" s="23">
        <v>1</v>
      </c>
      <c r="O65" s="23">
        <v>1</v>
      </c>
      <c r="P65" s="23">
        <v>1</v>
      </c>
      <c r="Q65" s="23">
        <v>1</v>
      </c>
      <c r="R65" s="23">
        <v>1</v>
      </c>
      <c r="S65" s="23">
        <v>1</v>
      </c>
      <c r="T65" s="23">
        <v>1</v>
      </c>
      <c r="U65" s="23">
        <v>1</v>
      </c>
      <c r="V65" s="23">
        <v>1</v>
      </c>
      <c r="W65" s="23">
        <v>1</v>
      </c>
      <c r="X65" s="23">
        <v>1</v>
      </c>
      <c r="Y65" s="23">
        <v>1</v>
      </c>
      <c r="Z65" s="23">
        <v>1</v>
      </c>
      <c r="AA65" s="23">
        <v>1</v>
      </c>
      <c r="AB65" s="23">
        <v>1</v>
      </c>
      <c r="AC65" s="23">
        <v>1</v>
      </c>
      <c r="AD65" s="23">
        <v>1</v>
      </c>
      <c r="AE65" s="23">
        <v>1</v>
      </c>
      <c r="AF65" s="23">
        <v>1</v>
      </c>
    </row>
    <row r="66" spans="2:32" s="470" customFormat="1" ht="15" customHeight="1">
      <c r="B66" s="471"/>
      <c r="C66" s="191"/>
      <c r="D66" s="186"/>
      <c r="E66" s="169"/>
      <c r="F66" s="540"/>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row>
    <row r="67" spans="2:32" s="470" customFormat="1" ht="15" customHeight="1">
      <c r="B67" s="471"/>
      <c r="C67" s="192"/>
      <c r="D67" s="186"/>
      <c r="E67" s="169"/>
      <c r="F67" s="540"/>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row>
    <row r="68" spans="2:32" s="470" customFormat="1" ht="15" customHeight="1">
      <c r="B68" s="471"/>
      <c r="C68" s="192"/>
      <c r="D68" s="186"/>
      <c r="E68" s="169"/>
      <c r="F68" s="540"/>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row>
    <row r="69" spans="2:32" s="470" customFormat="1" ht="15" customHeight="1">
      <c r="B69" s="471"/>
      <c r="C69" s="183"/>
      <c r="D69" s="168"/>
      <c r="E69" s="169"/>
      <c r="F69" s="540"/>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row>
    <row r="70" spans="2:32" s="470" customFormat="1" ht="15" customHeight="1">
      <c r="B70" s="471"/>
      <c r="C70" s="183"/>
      <c r="D70" s="168"/>
      <c r="E70" s="169"/>
      <c r="F70" s="540"/>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row>
    <row r="71" spans="2:32" s="470" customFormat="1" ht="15" customHeight="1">
      <c r="B71" s="471"/>
      <c r="C71" s="183"/>
      <c r="D71" s="168"/>
      <c r="E71" s="169"/>
      <c r="F71" s="540"/>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row>
    <row r="72" spans="2:32" s="470" customFormat="1" ht="15" customHeight="1">
      <c r="B72" s="471"/>
      <c r="C72" s="183"/>
      <c r="D72" s="168"/>
      <c r="E72" s="169"/>
      <c r="F72" s="540"/>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row>
    <row r="73" spans="2:32" s="470" customFormat="1" ht="15" customHeight="1">
      <c r="B73" s="471"/>
      <c r="C73" s="183"/>
      <c r="D73" s="186"/>
      <c r="E73" s="169"/>
      <c r="F73" s="540"/>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row>
    <row r="74" spans="2:32" s="470" customFormat="1" ht="15" customHeight="1">
      <c r="B74" s="471"/>
      <c r="C74" s="183"/>
      <c r="D74" s="186"/>
      <c r="E74" s="169"/>
      <c r="F74" s="540"/>
      <c r="G74" s="187"/>
      <c r="H74" s="187"/>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row>
    <row r="75" spans="2:32" s="470" customFormat="1" ht="15" customHeight="1">
      <c r="B75" s="471"/>
      <c r="C75" s="183"/>
      <c r="D75" s="186"/>
      <c r="E75" s="169"/>
      <c r="F75" s="540"/>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row>
    <row r="76" spans="2:32" s="470" customFormat="1" ht="15" customHeight="1">
      <c r="B76" s="471"/>
      <c r="C76" s="183"/>
      <c r="D76" s="186"/>
      <c r="E76" s="169"/>
      <c r="F76" s="540"/>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row>
    <row r="77" spans="2:32" s="470" customFormat="1" ht="15" customHeight="1">
      <c r="B77" s="471"/>
      <c r="C77" s="183"/>
      <c r="D77" s="186"/>
      <c r="E77" s="169"/>
      <c r="F77" s="54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2:32" s="470" customFormat="1" ht="15" customHeight="1">
      <c r="B78" s="471"/>
      <c r="C78" s="183"/>
      <c r="D78" s="186"/>
      <c r="E78" s="169"/>
      <c r="F78" s="54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2:32" s="470" customFormat="1" ht="15" customHeight="1">
      <c r="B79" s="471"/>
      <c r="C79" s="183"/>
      <c r="D79" s="186"/>
      <c r="E79" s="169"/>
      <c r="F79" s="54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2:32" s="470" customFormat="1" ht="15" customHeight="1">
      <c r="B80" s="471"/>
      <c r="C80" s="183"/>
      <c r="D80" s="186"/>
      <c r="E80" s="169"/>
      <c r="F80" s="54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2:32" s="470" customFormat="1" ht="15" customHeight="1">
      <c r="B81" s="471"/>
      <c r="C81" s="183"/>
      <c r="D81" s="186"/>
      <c r="E81" s="169"/>
      <c r="F81" s="54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2:32" s="470" customFormat="1" ht="15" customHeight="1">
      <c r="B82" s="471"/>
      <c r="C82" s="183"/>
      <c r="D82" s="186"/>
      <c r="E82" s="169"/>
      <c r="F82" s="54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2:32" s="470" customFormat="1" ht="15" customHeight="1">
      <c r="B83" s="471"/>
      <c r="C83" s="183"/>
      <c r="D83" s="186"/>
      <c r="E83" s="169"/>
      <c r="F83" s="54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2:32" s="470" customFormat="1" ht="15" customHeight="1">
      <c r="B84" s="471"/>
      <c r="C84" s="183"/>
      <c r="D84" s="186"/>
      <c r="E84" s="169"/>
      <c r="F84" s="54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2:32" s="470" customFormat="1" ht="15" customHeight="1">
      <c r="B85" s="471"/>
      <c r="C85" s="183"/>
      <c r="D85" s="186"/>
      <c r="E85" s="169"/>
      <c r="F85" s="54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2:32" s="470" customFormat="1" ht="15" customHeight="1">
      <c r="B86" s="471"/>
      <c r="C86" s="183"/>
      <c r="D86" s="186"/>
      <c r="E86" s="169"/>
      <c r="F86" s="54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2:32" s="470" customFormat="1" ht="15" customHeight="1">
      <c r="B87" s="471"/>
      <c r="C87" s="183"/>
      <c r="D87" s="186"/>
      <c r="E87" s="169"/>
      <c r="F87" s="54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2:32" s="470" customFormat="1" ht="15" customHeight="1">
      <c r="B88" s="471"/>
      <c r="C88" s="183"/>
      <c r="D88" s="186"/>
      <c r="E88" s="169"/>
      <c r="F88" s="54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2:32" s="470" customFormat="1" ht="15" customHeight="1">
      <c r="B89" s="472"/>
      <c r="C89" s="183"/>
      <c r="D89" s="186"/>
      <c r="E89" s="169"/>
      <c r="F89" s="54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2:32"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2:32" ht="15" customHeight="1">
      <c r="B91" s="172" t="s">
        <v>12</v>
      </c>
      <c r="C91" s="321" t="s">
        <v>138</v>
      </c>
      <c r="D91" s="22" t="s">
        <v>845</v>
      </c>
      <c r="E91" s="657" t="s">
        <v>288</v>
      </c>
      <c r="F91" s="548" t="s">
        <v>1030</v>
      </c>
      <c r="G91" s="23">
        <v>1</v>
      </c>
      <c r="H91" s="23">
        <v>1</v>
      </c>
      <c r="I91" s="23">
        <v>1</v>
      </c>
      <c r="J91" s="23">
        <v>1</v>
      </c>
      <c r="K91" s="23">
        <v>1</v>
      </c>
      <c r="L91" s="23">
        <v>1</v>
      </c>
      <c r="M91" s="23">
        <v>1</v>
      </c>
      <c r="N91" s="23">
        <v>1</v>
      </c>
      <c r="O91" s="23">
        <v>1</v>
      </c>
      <c r="P91" s="23">
        <v>1</v>
      </c>
      <c r="Q91" s="23">
        <v>1</v>
      </c>
      <c r="R91" s="23">
        <v>1</v>
      </c>
      <c r="S91" s="23">
        <v>1</v>
      </c>
      <c r="T91" s="23">
        <v>1</v>
      </c>
      <c r="U91" s="23">
        <v>1</v>
      </c>
      <c r="V91" s="23">
        <v>1</v>
      </c>
      <c r="W91" s="23">
        <v>1</v>
      </c>
      <c r="X91" s="23">
        <v>1</v>
      </c>
      <c r="Y91" s="23">
        <v>1</v>
      </c>
      <c r="Z91" s="23">
        <v>1</v>
      </c>
      <c r="AA91" s="23">
        <v>1</v>
      </c>
      <c r="AB91" s="23">
        <v>1</v>
      </c>
      <c r="AC91" s="23">
        <v>1</v>
      </c>
      <c r="AD91" s="23">
        <v>1</v>
      </c>
      <c r="AE91" s="23">
        <v>1</v>
      </c>
      <c r="AF91" s="23">
        <v>1</v>
      </c>
    </row>
    <row r="92" spans="2:32" s="470" customFormat="1" ht="15" customHeight="1">
      <c r="B92" s="471"/>
      <c r="C92" s="191"/>
      <c r="D92" s="186"/>
      <c r="E92" s="169"/>
      <c r="F92" s="540"/>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row>
    <row r="93" spans="2:32" s="470" customFormat="1" ht="15" customHeight="1">
      <c r="B93" s="471"/>
      <c r="C93" s="192"/>
      <c r="D93" s="186"/>
      <c r="E93" s="169"/>
      <c r="F93" s="540"/>
      <c r="G93" s="187"/>
      <c r="H93" s="187"/>
      <c r="I93" s="187"/>
      <c r="J93" s="187"/>
      <c r="K93" s="187"/>
      <c r="L93" s="187"/>
      <c r="M93" s="187"/>
      <c r="N93" s="187"/>
      <c r="O93" s="187"/>
      <c r="P93" s="187"/>
      <c r="Q93" s="187"/>
      <c r="R93" s="187"/>
      <c r="S93" s="187"/>
      <c r="T93" s="187"/>
      <c r="U93" s="187"/>
      <c r="V93" s="187"/>
      <c r="W93" s="187"/>
      <c r="X93" s="187"/>
      <c r="Y93" s="187"/>
      <c r="Z93" s="187"/>
      <c r="AA93" s="187"/>
      <c r="AB93" s="187"/>
      <c r="AC93" s="187"/>
      <c r="AD93" s="187"/>
      <c r="AE93" s="187"/>
      <c r="AF93" s="187"/>
    </row>
    <row r="94" spans="2:32" s="470" customFormat="1" ht="15" customHeight="1">
      <c r="B94" s="471"/>
      <c r="C94" s="183"/>
      <c r="D94" s="168"/>
      <c r="E94" s="169"/>
      <c r="F94" s="540"/>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row>
    <row r="95" spans="2:32" s="470" customFormat="1" ht="15" customHeight="1">
      <c r="B95" s="471"/>
      <c r="C95" s="183"/>
      <c r="D95" s="168"/>
      <c r="E95" s="169"/>
      <c r="F95" s="540"/>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row>
    <row r="96" spans="2:32" s="470" customFormat="1" ht="15" customHeight="1">
      <c r="B96" s="471"/>
      <c r="C96" s="183"/>
      <c r="D96" s="168"/>
      <c r="E96" s="169"/>
      <c r="F96" s="540"/>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row>
    <row r="97" spans="2:32" s="470" customFormat="1" ht="15" customHeight="1">
      <c r="B97" s="471"/>
      <c r="C97" s="183"/>
      <c r="D97" s="168"/>
      <c r="E97" s="169"/>
      <c r="F97" s="540"/>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row>
    <row r="98" spans="2:32" s="470" customFormat="1" ht="15" customHeight="1">
      <c r="B98" s="471"/>
      <c r="C98" s="183"/>
      <c r="D98" s="168"/>
      <c r="E98" s="169"/>
      <c r="F98" s="540"/>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row>
    <row r="99" spans="2:32" s="470" customFormat="1" ht="15" customHeight="1">
      <c r="B99" s="471"/>
      <c r="C99" s="183"/>
      <c r="D99" s="186"/>
      <c r="E99" s="169"/>
      <c r="F99" s="540"/>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row>
    <row r="100" spans="2:32" s="470" customFormat="1" ht="15" customHeight="1">
      <c r="B100" s="471"/>
      <c r="C100" s="183"/>
      <c r="D100" s="186"/>
      <c r="E100" s="169"/>
      <c r="F100" s="540"/>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row>
    <row r="101" spans="2:32" s="470" customFormat="1" ht="15" customHeight="1">
      <c r="B101" s="471"/>
      <c r="C101" s="183"/>
      <c r="D101" s="186"/>
      <c r="E101" s="169"/>
      <c r="F101" s="540"/>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row>
    <row r="102" spans="2:32" s="470" customFormat="1" ht="15" customHeight="1">
      <c r="B102" s="471"/>
      <c r="C102" s="183"/>
      <c r="D102" s="186"/>
      <c r="E102" s="169"/>
      <c r="F102" s="540"/>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row>
    <row r="103" spans="2:32" s="470" customFormat="1" ht="15" customHeight="1">
      <c r="B103" s="471"/>
      <c r="C103" s="183"/>
      <c r="D103" s="186"/>
      <c r="E103" s="169"/>
      <c r="F103" s="54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2:32" s="470" customFormat="1" ht="15" customHeight="1">
      <c r="B104" s="471"/>
      <c r="C104" s="183"/>
      <c r="D104" s="186"/>
      <c r="E104" s="169"/>
      <c r="F104" s="54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2:32" s="470" customFormat="1" ht="15" customHeight="1">
      <c r="B105" s="471"/>
      <c r="C105" s="183"/>
      <c r="D105" s="186"/>
      <c r="E105" s="169"/>
      <c r="F105" s="54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2:32" s="470" customFormat="1" ht="15" customHeight="1">
      <c r="B106" s="471"/>
      <c r="C106" s="183"/>
      <c r="D106" s="186"/>
      <c r="E106" s="169"/>
      <c r="F106" s="540"/>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2:32" s="470" customFormat="1" ht="15" customHeight="1">
      <c r="B107" s="471"/>
      <c r="C107" s="183"/>
      <c r="D107" s="186"/>
      <c r="E107" s="169"/>
      <c r="F107" s="54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2:32" s="470" customFormat="1" ht="15" customHeight="1">
      <c r="B108" s="471"/>
      <c r="C108" s="183"/>
      <c r="D108" s="186"/>
      <c r="E108" s="169"/>
      <c r="F108" s="54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2:32" s="470" customFormat="1" ht="15" customHeight="1">
      <c r="B109" s="471"/>
      <c r="C109" s="183"/>
      <c r="D109" s="186"/>
      <c r="E109" s="169"/>
      <c r="F109" s="54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2:32" s="470" customFormat="1" ht="15" customHeight="1">
      <c r="B110" s="471"/>
      <c r="C110" s="183"/>
      <c r="D110" s="186"/>
      <c r="E110" s="169"/>
      <c r="F110" s="54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2:32" s="470" customFormat="1" ht="15" customHeight="1">
      <c r="B111" s="471"/>
      <c r="C111" s="183"/>
      <c r="D111" s="186"/>
      <c r="E111" s="169"/>
      <c r="F111" s="54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2:32" s="470" customFormat="1" ht="15" customHeight="1">
      <c r="B112" s="471"/>
      <c r="C112" s="183"/>
      <c r="D112" s="186"/>
      <c r="E112" s="169"/>
      <c r="F112" s="54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2" s="470" customFormat="1" ht="15" customHeight="1">
      <c r="B113" s="471"/>
      <c r="C113" s="183"/>
      <c r="D113" s="186"/>
      <c r="E113" s="169"/>
      <c r="F113" s="54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2" s="470" customFormat="1" ht="15" customHeight="1">
      <c r="B114" s="471"/>
      <c r="C114" s="183"/>
      <c r="D114" s="186"/>
      <c r="E114" s="169"/>
      <c r="F114" s="54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2" s="470" customFormat="1" ht="15" customHeight="1">
      <c r="B115" s="472"/>
      <c r="C115" s="183"/>
      <c r="D115" s="186"/>
      <c r="E115" s="169"/>
      <c r="F115" s="54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2" ht="15" customHeight="1">
      <c r="C116" s="18"/>
      <c r="D116" s="18"/>
      <c r="E116" s="18"/>
      <c r="F116" s="18"/>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row>
    <row r="117" spans="1:32" ht="15" customHeight="1">
      <c r="B117" s="172" t="s">
        <v>24</v>
      </c>
      <c r="C117" s="321" t="s">
        <v>138</v>
      </c>
      <c r="D117" s="22" t="s">
        <v>845</v>
      </c>
      <c r="E117" s="35" t="s">
        <v>584</v>
      </c>
      <c r="F117" s="548" t="s">
        <v>1031</v>
      </c>
      <c r="G117" s="23">
        <v>0.82750000000000001</v>
      </c>
      <c r="H117" s="23">
        <v>0.82</v>
      </c>
      <c r="I117" s="505">
        <v>0.90500000000000003</v>
      </c>
      <c r="J117" s="505">
        <v>0.88900000000000001</v>
      </c>
      <c r="K117" s="505">
        <v>0.85099999999999998</v>
      </c>
      <c r="L117" s="505">
        <v>0.84899999999999998</v>
      </c>
      <c r="M117" s="505">
        <v>0.88</v>
      </c>
      <c r="N117" s="23">
        <v>0.873</v>
      </c>
      <c r="O117" s="23">
        <v>0.82699999999999996</v>
      </c>
      <c r="P117" s="505">
        <v>0.78400000000000003</v>
      </c>
      <c r="Q117" s="505">
        <v>0.89200000000000002</v>
      </c>
      <c r="R117" s="505">
        <v>0.86899999999999999</v>
      </c>
      <c r="S117" s="505">
        <v>0.904522613065326</v>
      </c>
      <c r="T117" s="505">
        <v>0.88693467336683396</v>
      </c>
      <c r="U117" s="505">
        <v>0.88567839195979903</v>
      </c>
      <c r="V117" s="505">
        <v>0.83040201005025105</v>
      </c>
      <c r="W117" s="505">
        <v>0.845477386934673</v>
      </c>
      <c r="X117" s="505">
        <f t="shared" ref="X117:AE117" si="0">W117-($S117-$AF117)/($AF$4-$S$4)</f>
        <v>0.82205257054503256</v>
      </c>
      <c r="Y117" s="505">
        <f t="shared" si="0"/>
        <v>0.79862775415539211</v>
      </c>
      <c r="Z117" s="505">
        <f t="shared" si="0"/>
        <v>0.77520293776575167</v>
      </c>
      <c r="AA117" s="505">
        <f t="shared" si="0"/>
        <v>0.75177812137611122</v>
      </c>
      <c r="AB117" s="505">
        <f t="shared" si="0"/>
        <v>0.72835330498647077</v>
      </c>
      <c r="AC117" s="505">
        <f t="shared" si="0"/>
        <v>0.70492848859683033</v>
      </c>
      <c r="AD117" s="505">
        <f t="shared" si="0"/>
        <v>0.68150367220718988</v>
      </c>
      <c r="AE117" s="505">
        <f t="shared" si="0"/>
        <v>0.65807885581754944</v>
      </c>
      <c r="AF117" s="505">
        <v>0.6</v>
      </c>
    </row>
    <row r="118" spans="1:32" s="470" customFormat="1" ht="15" customHeight="1">
      <c r="A118" s="9"/>
      <c r="B118" s="64"/>
      <c r="C118" s="16"/>
      <c r="D118" s="12"/>
      <c r="E118" s="11"/>
      <c r="F118" s="222"/>
      <c r="G118" s="328"/>
      <c r="H118" s="328"/>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row>
    <row r="119" spans="1:32" s="470" customFormat="1" ht="15" customHeight="1">
      <c r="A119" s="9"/>
      <c r="B119" s="64"/>
      <c r="C119" s="16" t="s">
        <v>700</v>
      </c>
      <c r="D119" s="329" t="s">
        <v>845</v>
      </c>
      <c r="E119" s="16" t="s">
        <v>700</v>
      </c>
      <c r="F119" s="542" t="s">
        <v>1032</v>
      </c>
      <c r="G119" s="328"/>
      <c r="H119" s="328"/>
      <c r="I119" s="328"/>
      <c r="J119" s="328"/>
      <c r="K119" s="328"/>
      <c r="L119" s="328"/>
      <c r="M119" s="328"/>
      <c r="N119" s="328"/>
      <c r="O119" s="328"/>
      <c r="P119" s="328"/>
      <c r="Q119" s="328"/>
      <c r="R119" s="328"/>
      <c r="S119" s="328">
        <v>0.87562814070351702</v>
      </c>
      <c r="T119" s="328">
        <v>0.85678391959799005</v>
      </c>
      <c r="U119" s="328">
        <v>0.86432160804020097</v>
      </c>
      <c r="V119" s="328">
        <v>0.81155778894472297</v>
      </c>
      <c r="W119" s="328">
        <v>0.83919597989949701</v>
      </c>
      <c r="X119" s="328">
        <f t="shared" ref="X119:AE119" si="1">W119-($S119-$AF119)/($AF$4-$S$4)</f>
        <v>0.8179938152299957</v>
      </c>
      <c r="Y119" s="328">
        <f t="shared" si="1"/>
        <v>0.79679165056049439</v>
      </c>
      <c r="Z119" s="328">
        <f t="shared" si="1"/>
        <v>0.77558948589099308</v>
      </c>
      <c r="AA119" s="328">
        <f t="shared" si="1"/>
        <v>0.75438732122149177</v>
      </c>
      <c r="AB119" s="328">
        <f t="shared" si="1"/>
        <v>0.73318515655199046</v>
      </c>
      <c r="AC119" s="328">
        <f t="shared" si="1"/>
        <v>0.71198299188248915</v>
      </c>
      <c r="AD119" s="328">
        <f t="shared" si="1"/>
        <v>0.69078082721298784</v>
      </c>
      <c r="AE119" s="328">
        <f t="shared" si="1"/>
        <v>0.66957866254348652</v>
      </c>
      <c r="AF119" s="328">
        <f t="shared" ref="AF119" si="2">AF117</f>
        <v>0.6</v>
      </c>
    </row>
    <row r="120" spans="1:32" s="470" customFormat="1" ht="15" customHeight="1">
      <c r="A120" s="9"/>
      <c r="B120" s="64"/>
      <c r="C120" s="16" t="s">
        <v>701</v>
      </c>
      <c r="D120" s="329" t="s">
        <v>845</v>
      </c>
      <c r="E120" s="16" t="s">
        <v>701</v>
      </c>
      <c r="F120" s="542" t="s">
        <v>1033</v>
      </c>
      <c r="G120" s="328"/>
      <c r="H120" s="328"/>
      <c r="I120" s="328"/>
      <c r="J120" s="328"/>
      <c r="K120" s="328"/>
      <c r="L120" s="328"/>
      <c r="M120" s="328"/>
      <c r="N120" s="328"/>
      <c r="O120" s="328"/>
      <c r="P120" s="328"/>
      <c r="Q120" s="328"/>
      <c r="R120" s="328"/>
      <c r="S120" s="328">
        <v>0.95477386934673303</v>
      </c>
      <c r="T120" s="328">
        <v>0.94221105527638105</v>
      </c>
      <c r="U120" s="328">
        <v>0.94597989949748695</v>
      </c>
      <c r="V120" s="328">
        <v>0.91582914572864305</v>
      </c>
      <c r="W120" s="328">
        <v>0.90954773869346695</v>
      </c>
      <c r="X120" s="328">
        <f t="shared" ref="X120:AE120" si="3">W120-($S120-$AF120)/($AF$4-$S$4)</f>
        <v>0.88225744105141057</v>
      </c>
      <c r="Y120" s="328">
        <f t="shared" si="3"/>
        <v>0.8549671434093542</v>
      </c>
      <c r="Z120" s="328">
        <f t="shared" si="3"/>
        <v>0.82767684576729783</v>
      </c>
      <c r="AA120" s="328">
        <f t="shared" si="3"/>
        <v>0.80038654812524146</v>
      </c>
      <c r="AB120" s="328">
        <f t="shared" si="3"/>
        <v>0.77309625048318509</v>
      </c>
      <c r="AC120" s="328">
        <f t="shared" si="3"/>
        <v>0.74580595284112872</v>
      </c>
      <c r="AD120" s="328">
        <f t="shared" si="3"/>
        <v>0.71851565519907235</v>
      </c>
      <c r="AE120" s="328">
        <f t="shared" si="3"/>
        <v>0.69122535755701597</v>
      </c>
      <c r="AF120" s="328">
        <f t="shared" ref="AF120" si="4">AF117</f>
        <v>0.6</v>
      </c>
    </row>
    <row r="121" spans="1:32" s="470" customFormat="1" ht="15" customHeight="1">
      <c r="B121" s="471"/>
      <c r="C121" s="183" t="s">
        <v>959</v>
      </c>
      <c r="D121" s="168" t="s">
        <v>257</v>
      </c>
      <c r="E121" s="169" t="s">
        <v>962</v>
      </c>
      <c r="F121" s="540"/>
      <c r="G121" s="187"/>
      <c r="H121" s="187"/>
      <c r="I121" s="187"/>
      <c r="J121" s="187"/>
      <c r="K121" s="187"/>
      <c r="L121" s="187"/>
      <c r="M121" s="187"/>
      <c r="N121" s="187"/>
      <c r="O121" s="187"/>
      <c r="P121" s="187"/>
      <c r="Q121" s="187"/>
      <c r="R121" s="187"/>
      <c r="S121" s="187">
        <v>0.92732507047286994</v>
      </c>
      <c r="T121" s="187">
        <v>0.92612210590721766</v>
      </c>
      <c r="U121" s="187">
        <v>0.91913720380071784</v>
      </c>
      <c r="V121" s="187">
        <v>0.91462537833980806</v>
      </c>
      <c r="W121" s="187">
        <v>0.88790896517525519</v>
      </c>
      <c r="X121" s="187">
        <v>0.89255482304109834</v>
      </c>
      <c r="Y121" s="187">
        <v>0.87994123726052553</v>
      </c>
      <c r="Z121" s="187">
        <v>0.86251283088860997</v>
      </c>
      <c r="AA121" s="187">
        <v>0.87023256845170549</v>
      </c>
      <c r="AB121" s="187">
        <v>0.86348245652020994</v>
      </c>
      <c r="AC121" s="187">
        <v>0.85724397302492561</v>
      </c>
      <c r="AD121" s="187">
        <v>0.85504982512959427</v>
      </c>
      <c r="AE121" s="187">
        <v>0.8456298898613045</v>
      </c>
      <c r="AF121" s="187">
        <v>0.85253131911032998</v>
      </c>
    </row>
    <row r="122" spans="1:32" s="470" customFormat="1" ht="15" customHeight="1">
      <c r="B122" s="471"/>
      <c r="C122" s="183"/>
      <c r="D122" s="168"/>
      <c r="E122" s="169"/>
      <c r="F122" s="540"/>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row>
    <row r="123" spans="1:32" s="470" customFormat="1" ht="15" customHeight="1">
      <c r="B123" s="471"/>
      <c r="C123" s="183"/>
      <c r="D123" s="168"/>
      <c r="E123" s="169"/>
      <c r="F123" s="540"/>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row>
    <row r="124" spans="1:32" s="470" customFormat="1" ht="15" customHeight="1">
      <c r="B124" s="471"/>
      <c r="C124" s="183"/>
      <c r="D124" s="168"/>
      <c r="E124" s="169"/>
      <c r="F124" s="540"/>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row>
    <row r="125" spans="1:32" s="470" customFormat="1" ht="15" customHeight="1">
      <c r="B125" s="471"/>
      <c r="C125" s="183"/>
      <c r="D125" s="186"/>
      <c r="E125" s="169"/>
      <c r="F125" s="540"/>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row>
    <row r="126" spans="1:32" s="470" customFormat="1" ht="15" customHeight="1">
      <c r="B126" s="471"/>
      <c r="C126" s="183"/>
      <c r="D126" s="186"/>
      <c r="E126" s="169"/>
      <c r="F126" s="540"/>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row>
    <row r="127" spans="1:32" s="470" customFormat="1" ht="15" customHeight="1">
      <c r="B127" s="471"/>
      <c r="C127" s="183"/>
      <c r="D127" s="186"/>
      <c r="E127" s="169"/>
      <c r="F127" s="540"/>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row>
    <row r="128" spans="1:32" s="470" customFormat="1" ht="15" customHeight="1">
      <c r="B128" s="471"/>
      <c r="C128" s="183"/>
      <c r="D128" s="186"/>
      <c r="E128" s="169"/>
      <c r="F128" s="540"/>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row>
    <row r="129" spans="1:32" s="470" customFormat="1" ht="15" customHeight="1">
      <c r="B129" s="471"/>
      <c r="C129" s="183"/>
      <c r="D129" s="186"/>
      <c r="E129" s="169"/>
      <c r="F129" s="540"/>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row>
    <row r="130" spans="1:32" s="470" customFormat="1" ht="15" customHeight="1">
      <c r="B130" s="471"/>
      <c r="C130" s="183"/>
      <c r="D130" s="186"/>
      <c r="E130" s="169"/>
      <c r="F130" s="540"/>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row>
    <row r="131" spans="1:32" s="470" customFormat="1" ht="15" customHeight="1">
      <c r="B131" s="471"/>
      <c r="C131" s="183"/>
      <c r="D131" s="186"/>
      <c r="E131" s="169"/>
      <c r="F131" s="540"/>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row>
    <row r="132" spans="1:32" s="470" customFormat="1" ht="15" customHeight="1">
      <c r="B132" s="471"/>
      <c r="C132" s="183"/>
      <c r="D132" s="186"/>
      <c r="E132" s="169"/>
      <c r="F132" s="540"/>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row>
    <row r="133" spans="1:32" s="470" customFormat="1" ht="15" customHeight="1">
      <c r="B133" s="471"/>
      <c r="C133" s="183"/>
      <c r="D133" s="186"/>
      <c r="E133" s="169"/>
      <c r="F133" s="54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1:32" s="470" customFormat="1" ht="15" customHeight="1">
      <c r="B134" s="471"/>
      <c r="C134" s="183"/>
      <c r="D134" s="186"/>
      <c r="E134" s="169"/>
      <c r="F134" s="54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1:32" s="470" customFormat="1" ht="15" customHeight="1">
      <c r="B135" s="471"/>
      <c r="C135" s="183"/>
      <c r="D135" s="186"/>
      <c r="E135" s="169"/>
      <c r="F135" s="54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1:32" s="470" customFormat="1" ht="15" customHeight="1">
      <c r="B136" s="471"/>
      <c r="C136" s="183"/>
      <c r="D136" s="186"/>
      <c r="E136" s="169"/>
      <c r="F136" s="54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1:32" s="470" customFormat="1" ht="15" customHeight="1">
      <c r="B137" s="471"/>
      <c r="C137" s="183"/>
      <c r="D137" s="186"/>
      <c r="E137" s="169"/>
      <c r="F137" s="54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1:32" s="470" customFormat="1" ht="15" customHeight="1">
      <c r="B138" s="471"/>
      <c r="C138" s="183"/>
      <c r="D138" s="186"/>
      <c r="E138" s="169"/>
      <c r="F138" s="54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1:32" s="470" customFormat="1" ht="15" customHeight="1">
      <c r="B139" s="471"/>
      <c r="C139" s="183"/>
      <c r="D139" s="186"/>
      <c r="E139" s="169"/>
      <c r="F139" s="54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1:32" s="470" customFormat="1" ht="15" customHeight="1">
      <c r="B140" s="471"/>
      <c r="C140" s="183"/>
      <c r="D140" s="186"/>
      <c r="E140" s="169"/>
      <c r="F140" s="54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1:32" s="470" customFormat="1" ht="15" customHeight="1">
      <c r="B141" s="472"/>
      <c r="C141" s="183"/>
      <c r="D141" s="186"/>
      <c r="E141" s="169"/>
      <c r="F141" s="54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1: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1:32" ht="15" customHeight="1">
      <c r="B143" s="172" t="s">
        <v>26</v>
      </c>
      <c r="C143" s="321" t="s">
        <v>138</v>
      </c>
      <c r="D143" s="22" t="s">
        <v>845</v>
      </c>
      <c r="E143" s="35" t="s">
        <v>584</v>
      </c>
      <c r="F143" s="548" t="s">
        <v>1034</v>
      </c>
      <c r="G143" s="23">
        <v>0.82750000000000001</v>
      </c>
      <c r="H143" s="23">
        <v>0.82</v>
      </c>
      <c r="I143" s="505">
        <v>1.02</v>
      </c>
      <c r="J143" s="505">
        <v>0.997</v>
      </c>
      <c r="K143" s="505">
        <v>0.91800000000000004</v>
      </c>
      <c r="L143" s="505">
        <v>0.94099999999999995</v>
      </c>
      <c r="M143" s="505">
        <v>0.98</v>
      </c>
      <c r="N143" s="23">
        <v>0.92100000000000004</v>
      </c>
      <c r="O143" s="23">
        <v>0.90600000000000003</v>
      </c>
      <c r="P143" s="505">
        <v>0.91300000000000003</v>
      </c>
      <c r="Q143" s="505">
        <v>0.92200000000000004</v>
      </c>
      <c r="R143" s="505">
        <v>0.88800000000000001</v>
      </c>
      <c r="S143" s="505">
        <v>0.94269005847953202</v>
      </c>
      <c r="T143" s="505">
        <v>0.92514619883040905</v>
      </c>
      <c r="U143" s="505">
        <v>0.92280701754385897</v>
      </c>
      <c r="V143" s="505">
        <v>0.88304093567251396</v>
      </c>
      <c r="W143" s="505">
        <v>0.88888888888888795</v>
      </c>
      <c r="X143" s="505">
        <f t="shared" ref="X143:AE143" si="5">W143-($S143-$AF143)/($AF$4-$S$4)</f>
        <v>0.87022042285200085</v>
      </c>
      <c r="Y143" s="505">
        <f t="shared" si="5"/>
        <v>0.85155195681511375</v>
      </c>
      <c r="Z143" s="505">
        <f t="shared" si="5"/>
        <v>0.83288349077822665</v>
      </c>
      <c r="AA143" s="505">
        <f t="shared" si="5"/>
        <v>0.81421502474133955</v>
      </c>
      <c r="AB143" s="505">
        <f t="shared" si="5"/>
        <v>0.79554655870445246</v>
      </c>
      <c r="AC143" s="505">
        <f t="shared" si="5"/>
        <v>0.77687809266756536</v>
      </c>
      <c r="AD143" s="505">
        <f t="shared" si="5"/>
        <v>0.75820962663067826</v>
      </c>
      <c r="AE143" s="505">
        <f t="shared" si="5"/>
        <v>0.73954116059379116</v>
      </c>
      <c r="AF143" s="505">
        <v>0.7</v>
      </c>
    </row>
    <row r="144" spans="1:32" s="470" customFormat="1" ht="15" customHeight="1">
      <c r="A144" s="9"/>
      <c r="B144" s="64"/>
      <c r="C144" s="16"/>
      <c r="D144" s="12"/>
      <c r="E144" s="11"/>
      <c r="F144" s="222"/>
      <c r="G144" s="328"/>
      <c r="H144" s="328"/>
      <c r="I144" s="232"/>
      <c r="J144" s="232"/>
      <c r="K144" s="232"/>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row>
    <row r="145" spans="1:32" s="470" customFormat="1" ht="15" customHeight="1">
      <c r="A145" s="9"/>
      <c r="B145" s="64"/>
      <c r="C145" s="16" t="s">
        <v>700</v>
      </c>
      <c r="D145" s="329" t="s">
        <v>845</v>
      </c>
      <c r="E145" s="16" t="s">
        <v>700</v>
      </c>
      <c r="F145" s="542" t="s">
        <v>1035</v>
      </c>
      <c r="G145" s="328"/>
      <c r="H145" s="328"/>
      <c r="I145" s="328"/>
      <c r="J145" s="328"/>
      <c r="K145" s="328"/>
      <c r="L145" s="328"/>
      <c r="M145" s="328"/>
      <c r="N145" s="328"/>
      <c r="O145" s="328"/>
      <c r="P145" s="328"/>
      <c r="Q145" s="328"/>
      <c r="R145" s="328"/>
      <c r="S145" s="328">
        <v>0.90760233918128597</v>
      </c>
      <c r="T145" s="328">
        <v>0.89356725146198801</v>
      </c>
      <c r="U145" s="328">
        <v>0.89239766081871297</v>
      </c>
      <c r="V145" s="328">
        <v>0.85263157894736796</v>
      </c>
      <c r="W145" s="328">
        <v>0.869005847953216</v>
      </c>
      <c r="X145" s="328">
        <f t="shared" ref="X145:AE145" si="6">W145-($S145-$AF145)/($AF$4-$S$4)</f>
        <v>0.85303643724696321</v>
      </c>
      <c r="Y145" s="328">
        <f t="shared" si="6"/>
        <v>0.83706702654071041</v>
      </c>
      <c r="Z145" s="328">
        <f t="shared" si="6"/>
        <v>0.82109761583445762</v>
      </c>
      <c r="AA145" s="328">
        <f t="shared" si="6"/>
        <v>0.80512820512820482</v>
      </c>
      <c r="AB145" s="328">
        <f t="shared" si="6"/>
        <v>0.78915879442195203</v>
      </c>
      <c r="AC145" s="328">
        <f t="shared" si="6"/>
        <v>0.77318938371569923</v>
      </c>
      <c r="AD145" s="328">
        <f t="shared" si="6"/>
        <v>0.75721997300944643</v>
      </c>
      <c r="AE145" s="328">
        <f t="shared" si="6"/>
        <v>0.74125056230319364</v>
      </c>
      <c r="AF145" s="328">
        <f t="shared" ref="AF145" si="7">AF143</f>
        <v>0.7</v>
      </c>
    </row>
    <row r="146" spans="1:32" s="470" customFormat="1" ht="15" customHeight="1">
      <c r="A146" s="9"/>
      <c r="B146" s="64"/>
      <c r="C146" s="16" t="s">
        <v>701</v>
      </c>
      <c r="D146" s="329" t="s">
        <v>845</v>
      </c>
      <c r="E146" s="16" t="s">
        <v>701</v>
      </c>
      <c r="F146" s="542" t="s">
        <v>1036</v>
      </c>
      <c r="G146" s="328"/>
      <c r="H146" s="328"/>
      <c r="I146" s="328"/>
      <c r="J146" s="328"/>
      <c r="K146" s="328"/>
      <c r="L146" s="328"/>
      <c r="M146" s="328"/>
      <c r="N146" s="328"/>
      <c r="O146" s="328"/>
      <c r="P146" s="328"/>
      <c r="Q146" s="328"/>
      <c r="R146" s="328"/>
      <c r="S146" s="328">
        <v>0.97309941520467802</v>
      </c>
      <c r="T146" s="328">
        <v>0.96491228070175405</v>
      </c>
      <c r="U146" s="328">
        <v>0.96374269005847901</v>
      </c>
      <c r="V146" s="328">
        <v>0.94853801169590601</v>
      </c>
      <c r="W146" s="328">
        <v>0.94619883040935604</v>
      </c>
      <c r="X146" s="328">
        <f t="shared" ref="X146:AE146" si="8">W146-($S146-$AF146)/($AF$4-$S$4)</f>
        <v>0.9251911830859193</v>
      </c>
      <c r="Y146" s="328">
        <f t="shared" si="8"/>
        <v>0.90418353576248256</v>
      </c>
      <c r="Z146" s="328">
        <f t="shared" si="8"/>
        <v>0.88317588843904582</v>
      </c>
      <c r="AA146" s="328">
        <f t="shared" si="8"/>
        <v>0.86216824111560908</v>
      </c>
      <c r="AB146" s="328">
        <f t="shared" si="8"/>
        <v>0.84116059379217234</v>
      </c>
      <c r="AC146" s="328">
        <f t="shared" si="8"/>
        <v>0.8201529464687356</v>
      </c>
      <c r="AD146" s="328">
        <f t="shared" si="8"/>
        <v>0.79914529914529886</v>
      </c>
      <c r="AE146" s="328">
        <f t="shared" si="8"/>
        <v>0.77813765182186212</v>
      </c>
      <c r="AF146" s="328">
        <f t="shared" ref="AF146" si="9">AF143</f>
        <v>0.7</v>
      </c>
    </row>
    <row r="147" spans="1:32" s="470" customFormat="1" ht="15" customHeight="1">
      <c r="B147" s="471"/>
      <c r="C147" s="183" t="s">
        <v>959</v>
      </c>
      <c r="D147" s="168" t="s">
        <v>257</v>
      </c>
      <c r="E147" s="169" t="s">
        <v>962</v>
      </c>
      <c r="F147" s="540"/>
      <c r="G147" s="187"/>
      <c r="H147" s="187"/>
      <c r="I147" s="187"/>
      <c r="J147" s="187"/>
      <c r="K147" s="187"/>
      <c r="L147" s="187"/>
      <c r="M147" s="187"/>
      <c r="N147" s="187"/>
      <c r="O147" s="187"/>
      <c r="P147" s="187"/>
      <c r="Q147" s="187"/>
      <c r="R147" s="187"/>
      <c r="S147" s="187">
        <v>0.95208129119236395</v>
      </c>
      <c r="T147" s="187">
        <v>0.95139136511065636</v>
      </c>
      <c r="U147" s="187">
        <v>0.94558261332358073</v>
      </c>
      <c r="V147" s="187">
        <v>0.944266989827375</v>
      </c>
      <c r="W147" s="187">
        <v>0.92717126109571668</v>
      </c>
      <c r="X147" s="187">
        <v>0.92954388951205247</v>
      </c>
      <c r="Y147" s="187">
        <v>0.92064640956398947</v>
      </c>
      <c r="Z147" s="187">
        <v>0.90500466050575312</v>
      </c>
      <c r="AA147" s="187">
        <v>0.90550470528533877</v>
      </c>
      <c r="AB147" s="187">
        <v>0.89812512109978382</v>
      </c>
      <c r="AC147" s="187">
        <v>0.89141339687671772</v>
      </c>
      <c r="AD147" s="187">
        <v>0.88756757133978514</v>
      </c>
      <c r="AE147" s="187">
        <v>0.87639827932080994</v>
      </c>
      <c r="AF147" s="187">
        <v>0.8797541958834677</v>
      </c>
    </row>
    <row r="148" spans="1:32" s="470" customFormat="1" ht="15" customHeight="1">
      <c r="B148" s="471"/>
      <c r="C148" s="183"/>
      <c r="D148" s="168"/>
      <c r="E148" s="169"/>
      <c r="F148" s="540"/>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row>
    <row r="149" spans="1:32" s="470" customFormat="1" ht="15" customHeight="1">
      <c r="B149" s="471"/>
      <c r="C149" s="183"/>
      <c r="D149" s="168"/>
      <c r="E149" s="169"/>
      <c r="F149" s="540"/>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row>
    <row r="150" spans="1:32" s="470" customFormat="1" ht="15" customHeight="1">
      <c r="B150" s="471"/>
      <c r="C150" s="183"/>
      <c r="D150" s="168"/>
      <c r="E150" s="169"/>
      <c r="F150" s="540"/>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row>
    <row r="151" spans="1:32" s="470" customFormat="1" ht="15" customHeight="1">
      <c r="B151" s="471"/>
      <c r="C151" s="183"/>
      <c r="D151" s="186"/>
      <c r="E151" s="169"/>
      <c r="F151" s="540"/>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row>
    <row r="152" spans="1:32" s="470" customFormat="1" ht="15" customHeight="1">
      <c r="B152" s="471"/>
      <c r="C152" s="183"/>
      <c r="D152" s="186"/>
      <c r="E152" s="169"/>
      <c r="F152" s="540"/>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row>
    <row r="153" spans="1:32" s="470" customFormat="1" ht="15" customHeight="1">
      <c r="B153" s="471"/>
      <c r="C153" s="183"/>
      <c r="D153" s="186"/>
      <c r="E153" s="169"/>
      <c r="F153" s="540"/>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row>
    <row r="154" spans="1:32" s="470" customFormat="1" ht="15" customHeight="1">
      <c r="B154" s="471"/>
      <c r="C154" s="183"/>
      <c r="D154" s="186"/>
      <c r="E154" s="169"/>
      <c r="F154" s="540"/>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row>
    <row r="155" spans="1:32" s="470" customFormat="1" ht="15" customHeight="1">
      <c r="B155" s="471"/>
      <c r="C155" s="183"/>
      <c r="D155" s="186"/>
      <c r="E155" s="169"/>
      <c r="F155" s="54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2" s="470" customFormat="1" ht="15" customHeight="1">
      <c r="B156" s="471"/>
      <c r="C156" s="183"/>
      <c r="D156" s="186"/>
      <c r="E156" s="169"/>
      <c r="F156" s="54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2" s="470" customFormat="1" ht="15" customHeight="1">
      <c r="B157" s="471"/>
      <c r="C157" s="183"/>
      <c r="D157" s="186"/>
      <c r="E157" s="169"/>
      <c r="F157" s="54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2" s="470" customFormat="1" ht="15" customHeight="1">
      <c r="B158" s="471"/>
      <c r="C158" s="183"/>
      <c r="D158" s="186"/>
      <c r="E158" s="169"/>
      <c r="F158" s="54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2" s="470" customFormat="1" ht="15" customHeight="1">
      <c r="B159" s="471"/>
      <c r="C159" s="183"/>
      <c r="D159" s="186"/>
      <c r="E159" s="169"/>
      <c r="F159" s="54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2" s="470" customFormat="1" ht="15" customHeight="1">
      <c r="B160" s="471"/>
      <c r="C160" s="183"/>
      <c r="D160" s="186"/>
      <c r="E160" s="169"/>
      <c r="F160" s="54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1:32" s="470" customFormat="1" ht="15" customHeight="1">
      <c r="B161" s="471"/>
      <c r="C161" s="183"/>
      <c r="D161" s="186"/>
      <c r="E161" s="169"/>
      <c r="F161" s="54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1:32" s="470" customFormat="1" ht="15" customHeight="1">
      <c r="B162" s="471"/>
      <c r="C162" s="183"/>
      <c r="D162" s="186"/>
      <c r="E162" s="169"/>
      <c r="F162" s="54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1:32" s="470" customFormat="1" ht="15" customHeight="1">
      <c r="B163" s="471"/>
      <c r="C163" s="183"/>
      <c r="D163" s="186"/>
      <c r="E163" s="169"/>
      <c r="F163" s="54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1:32" s="470" customFormat="1" ht="15" customHeight="1">
      <c r="B164" s="471"/>
      <c r="C164" s="183"/>
      <c r="D164" s="186"/>
      <c r="E164" s="169"/>
      <c r="F164" s="54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1:32" s="470" customFormat="1" ht="15" customHeight="1">
      <c r="B165" s="471"/>
      <c r="C165" s="183"/>
      <c r="D165" s="186"/>
      <c r="E165" s="169"/>
      <c r="F165" s="54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1:32" s="470" customFormat="1" ht="15" customHeight="1">
      <c r="B166" s="471"/>
      <c r="C166" s="183"/>
      <c r="D166" s="186"/>
      <c r="E166" s="169"/>
      <c r="F166" s="54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1:32" s="470" customFormat="1" ht="15" customHeight="1">
      <c r="B167" s="472"/>
      <c r="C167" s="183"/>
      <c r="D167" s="186"/>
      <c r="E167" s="169"/>
      <c r="F167" s="54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1:32" ht="15" customHeight="1">
      <c r="C168" s="18"/>
      <c r="D168" s="18"/>
      <c r="E168" s="18"/>
      <c r="F168" s="18"/>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row>
    <row r="169" spans="1:32" ht="15" customHeight="1">
      <c r="B169" s="172" t="s">
        <v>14</v>
      </c>
      <c r="C169" s="321" t="s">
        <v>138</v>
      </c>
      <c r="D169" s="22" t="s">
        <v>845</v>
      </c>
      <c r="E169" s="35" t="s">
        <v>584</v>
      </c>
      <c r="F169" s="548" t="s">
        <v>1031</v>
      </c>
      <c r="G169" s="23">
        <v>1.2</v>
      </c>
      <c r="H169" s="23">
        <v>1.2</v>
      </c>
      <c r="I169" s="505">
        <v>1.046</v>
      </c>
      <c r="J169" s="505">
        <v>0.98099999999999998</v>
      </c>
      <c r="K169" s="505">
        <v>1.0109999999999999</v>
      </c>
      <c r="L169" s="505">
        <v>0.84899999999999998</v>
      </c>
      <c r="M169" s="505">
        <v>0.98</v>
      </c>
      <c r="N169" s="505">
        <v>0.997</v>
      </c>
      <c r="O169" s="505">
        <v>0.95</v>
      </c>
      <c r="P169" s="505">
        <v>0.98899999999999999</v>
      </c>
      <c r="Q169" s="505">
        <v>0.95299999999999996</v>
      </c>
      <c r="R169" s="505">
        <v>0.91500000000000004</v>
      </c>
      <c r="S169" s="505">
        <v>0.91239048811013801</v>
      </c>
      <c r="T169" s="505">
        <v>0.88760951188986204</v>
      </c>
      <c r="U169" s="505">
        <v>0.858322903629537</v>
      </c>
      <c r="V169" s="505">
        <v>0.81551939924906103</v>
      </c>
      <c r="W169" s="505">
        <v>0.78172715894868505</v>
      </c>
      <c r="X169" s="505">
        <f t="shared" ref="X169:AE169" si="10">W169-($S169-$AF169)/($AF$4-$S$4)</f>
        <v>0.75769712140175138</v>
      </c>
      <c r="Y169" s="505">
        <f t="shared" si="10"/>
        <v>0.73366708385481771</v>
      </c>
      <c r="Z169" s="505">
        <f t="shared" si="10"/>
        <v>0.70963704630788405</v>
      </c>
      <c r="AA169" s="505">
        <f t="shared" si="10"/>
        <v>0.68560700876095038</v>
      </c>
      <c r="AB169" s="505">
        <f t="shared" si="10"/>
        <v>0.66157697121401671</v>
      </c>
      <c r="AC169" s="505">
        <f t="shared" si="10"/>
        <v>0.63754693366708304</v>
      </c>
      <c r="AD169" s="505">
        <f t="shared" si="10"/>
        <v>0.61351689612014937</v>
      </c>
      <c r="AE169" s="505">
        <f t="shared" si="10"/>
        <v>0.5894868585732157</v>
      </c>
      <c r="AF169" s="505">
        <v>0.6</v>
      </c>
    </row>
    <row r="170" spans="1:32" s="470" customFormat="1" ht="15" customHeight="1">
      <c r="A170" s="9"/>
      <c r="B170" s="64"/>
      <c r="C170" s="16"/>
      <c r="D170" s="12"/>
      <c r="E170" s="11"/>
      <c r="F170" s="222"/>
      <c r="G170" s="328"/>
      <c r="H170" s="328"/>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row>
    <row r="171" spans="1:32" s="470" customFormat="1" ht="15" customHeight="1">
      <c r="A171" s="9"/>
      <c r="B171" s="64"/>
      <c r="C171" s="16" t="s">
        <v>700</v>
      </c>
      <c r="D171" s="329" t="s">
        <v>845</v>
      </c>
      <c r="E171" s="16" t="s">
        <v>700</v>
      </c>
      <c r="F171" s="542" t="s">
        <v>1032</v>
      </c>
      <c r="G171" s="328"/>
      <c r="H171" s="328"/>
      <c r="I171" s="328"/>
      <c r="J171" s="328"/>
      <c r="K171" s="328"/>
      <c r="L171" s="328"/>
      <c r="M171" s="328"/>
      <c r="N171" s="328"/>
      <c r="O171" s="328"/>
      <c r="P171" s="328"/>
      <c r="Q171" s="328"/>
      <c r="R171" s="328"/>
      <c r="S171" s="328">
        <v>0.87409261576971198</v>
      </c>
      <c r="T171" s="328">
        <v>0.85043804755944896</v>
      </c>
      <c r="U171" s="328">
        <v>0.822277847309136</v>
      </c>
      <c r="V171" s="328">
        <v>0.795244055068836</v>
      </c>
      <c r="W171" s="328">
        <v>0.77496871088861097</v>
      </c>
      <c r="X171" s="328">
        <f t="shared" ref="X171:AE171" si="11">W171-($S171-$AF171)/($AF$4-$S$4)</f>
        <v>0.75388466352171002</v>
      </c>
      <c r="Y171" s="328">
        <f t="shared" si="11"/>
        <v>0.73280061615480907</v>
      </c>
      <c r="Z171" s="328">
        <f t="shared" si="11"/>
        <v>0.71171656878790812</v>
      </c>
      <c r="AA171" s="328">
        <f t="shared" si="11"/>
        <v>0.69063252142100717</v>
      </c>
      <c r="AB171" s="328">
        <f t="shared" si="11"/>
        <v>0.66954847405410622</v>
      </c>
      <c r="AC171" s="328">
        <f t="shared" si="11"/>
        <v>0.64846442668720528</v>
      </c>
      <c r="AD171" s="328">
        <f t="shared" si="11"/>
        <v>0.62738037932030433</v>
      </c>
      <c r="AE171" s="328">
        <f t="shared" si="11"/>
        <v>0.60629633195340338</v>
      </c>
      <c r="AF171" s="328">
        <f t="shared" ref="AF171" si="12">AF169</f>
        <v>0.6</v>
      </c>
    </row>
    <row r="172" spans="1:32" s="470" customFormat="1" ht="15" customHeight="1">
      <c r="A172" s="9"/>
      <c r="B172" s="64"/>
      <c r="C172" s="16" t="s">
        <v>701</v>
      </c>
      <c r="D172" s="329" t="s">
        <v>845</v>
      </c>
      <c r="E172" s="16" t="s">
        <v>701</v>
      </c>
      <c r="F172" s="542" t="s">
        <v>1033</v>
      </c>
      <c r="G172" s="328"/>
      <c r="H172" s="328"/>
      <c r="I172" s="328"/>
      <c r="J172" s="328"/>
      <c r="K172" s="328"/>
      <c r="L172" s="328"/>
      <c r="M172" s="328"/>
      <c r="N172" s="328"/>
      <c r="O172" s="328"/>
      <c r="P172" s="328"/>
      <c r="Q172" s="328"/>
      <c r="R172" s="328"/>
      <c r="S172" s="328">
        <v>0.96533166458072595</v>
      </c>
      <c r="T172" s="328">
        <v>0.951814768460575</v>
      </c>
      <c r="U172" s="328">
        <v>0.924780976220275</v>
      </c>
      <c r="V172" s="328">
        <v>0.90788485607008695</v>
      </c>
      <c r="W172" s="328">
        <v>0.89211514392991198</v>
      </c>
      <c r="X172" s="328">
        <f t="shared" ref="X172:AE172" si="13">W172-($S172-$AF172)/($AF$4-$S$4)</f>
        <v>0.86401270819293308</v>
      </c>
      <c r="Y172" s="328">
        <f t="shared" si="13"/>
        <v>0.83591027245595417</v>
      </c>
      <c r="Z172" s="328">
        <f t="shared" si="13"/>
        <v>0.80780783671897527</v>
      </c>
      <c r="AA172" s="328">
        <f t="shared" si="13"/>
        <v>0.77970540098199637</v>
      </c>
      <c r="AB172" s="328">
        <f t="shared" si="13"/>
        <v>0.75160296524501746</v>
      </c>
      <c r="AC172" s="328">
        <f t="shared" si="13"/>
        <v>0.72350052950803856</v>
      </c>
      <c r="AD172" s="328">
        <f t="shared" si="13"/>
        <v>0.69539809377105966</v>
      </c>
      <c r="AE172" s="328">
        <f t="shared" si="13"/>
        <v>0.66729565803408075</v>
      </c>
      <c r="AF172" s="328">
        <f t="shared" ref="AF172" si="14">AF169</f>
        <v>0.6</v>
      </c>
    </row>
    <row r="173" spans="1:32" s="470" customFormat="1" ht="15" customHeight="1">
      <c r="B173" s="471"/>
      <c r="C173" s="183" t="s">
        <v>959</v>
      </c>
      <c r="D173" s="168" t="s">
        <v>257</v>
      </c>
      <c r="E173" s="169" t="s">
        <v>962</v>
      </c>
      <c r="F173" s="540"/>
      <c r="G173" s="187"/>
      <c r="H173" s="187"/>
      <c r="I173" s="187"/>
      <c r="J173" s="187"/>
      <c r="K173" s="187"/>
      <c r="L173" s="187"/>
      <c r="M173" s="187"/>
      <c r="N173" s="187"/>
      <c r="O173" s="187"/>
      <c r="P173" s="187"/>
      <c r="Q173" s="187"/>
      <c r="R173" s="187"/>
      <c r="S173" s="187">
        <v>0.90825917732216377</v>
      </c>
      <c r="T173" s="187">
        <v>0.89715387266137248</v>
      </c>
      <c r="U173" s="187">
        <v>0.87284883103460598</v>
      </c>
      <c r="V173" s="187">
        <v>0.85359900359051843</v>
      </c>
      <c r="W173" s="187">
        <v>0.78652033503542507</v>
      </c>
      <c r="X173" s="187">
        <v>0.77016213825362556</v>
      </c>
      <c r="Y173" s="187">
        <v>0.72753247076882588</v>
      </c>
      <c r="Z173" s="187">
        <v>0.70335006208482842</v>
      </c>
      <c r="AA173" s="187">
        <v>0.68215317027059663</v>
      </c>
      <c r="AB173" s="187">
        <v>0.64767188929302533</v>
      </c>
      <c r="AC173" s="187">
        <v>0.62461657012356264</v>
      </c>
      <c r="AD173" s="187">
        <v>0.59414140754784517</v>
      </c>
      <c r="AE173" s="187">
        <v>0.56528076607483702</v>
      </c>
      <c r="AF173" s="187">
        <v>0.58317022662459583</v>
      </c>
    </row>
    <row r="174" spans="1:32" s="470" customFormat="1" ht="15" customHeight="1">
      <c r="B174" s="471"/>
      <c r="C174" s="183"/>
      <c r="D174" s="168"/>
      <c r="E174" s="169"/>
      <c r="F174" s="540"/>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row>
    <row r="175" spans="1:32" s="470" customFormat="1" ht="15" customHeight="1">
      <c r="B175" s="471"/>
      <c r="C175" s="183"/>
      <c r="D175" s="168"/>
      <c r="E175" s="169"/>
      <c r="F175" s="540"/>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row>
    <row r="176" spans="1:32" s="470" customFormat="1" ht="15" customHeight="1">
      <c r="B176" s="471"/>
      <c r="C176" s="183"/>
      <c r="D176" s="168"/>
      <c r="E176" s="169"/>
      <c r="F176" s="540"/>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row>
    <row r="177" spans="2:32" s="470" customFormat="1" ht="15" customHeight="1">
      <c r="B177" s="471"/>
      <c r="C177" s="183"/>
      <c r="D177" s="186"/>
      <c r="E177" s="169"/>
      <c r="F177" s="540"/>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row>
    <row r="178" spans="2:32" s="470" customFormat="1" ht="15" customHeight="1">
      <c r="B178" s="471"/>
      <c r="C178" s="183"/>
      <c r="D178" s="186"/>
      <c r="E178" s="169"/>
      <c r="F178" s="540"/>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row>
    <row r="179" spans="2:32" s="470" customFormat="1" ht="15" customHeight="1">
      <c r="B179" s="471"/>
      <c r="C179" s="183"/>
      <c r="D179" s="186"/>
      <c r="E179" s="169"/>
      <c r="F179" s="540"/>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row>
    <row r="180" spans="2:32" s="470" customFormat="1" ht="15" customHeight="1">
      <c r="B180" s="471"/>
      <c r="C180" s="183"/>
      <c r="D180" s="186"/>
      <c r="E180" s="169"/>
      <c r="F180" s="540"/>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row>
    <row r="181" spans="2:32" s="470" customFormat="1" ht="15" customHeight="1">
      <c r="B181" s="471"/>
      <c r="C181" s="183"/>
      <c r="D181" s="186"/>
      <c r="E181" s="169"/>
      <c r="F181" s="54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2:32" s="470" customFormat="1" ht="15" customHeight="1">
      <c r="B182" s="471"/>
      <c r="C182" s="183"/>
      <c r="D182" s="186"/>
      <c r="E182" s="169"/>
      <c r="F182" s="540"/>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row>
    <row r="183" spans="2:32" s="470" customFormat="1" ht="15" customHeight="1">
      <c r="B183" s="471"/>
      <c r="C183" s="183"/>
      <c r="D183" s="186"/>
      <c r="E183" s="169"/>
      <c r="F183" s="54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2:32" s="470" customFormat="1" ht="15" customHeight="1">
      <c r="B184" s="471"/>
      <c r="C184" s="183"/>
      <c r="D184" s="186"/>
      <c r="E184" s="169"/>
      <c r="F184" s="54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2:32" s="470" customFormat="1" ht="15" customHeight="1">
      <c r="B185" s="471"/>
      <c r="C185" s="183"/>
      <c r="D185" s="186"/>
      <c r="E185" s="169"/>
      <c r="F185" s="54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2:32" s="470" customFormat="1" ht="15" customHeight="1">
      <c r="B186" s="471"/>
      <c r="C186" s="183"/>
      <c r="D186" s="186"/>
      <c r="E186" s="169"/>
      <c r="F186" s="54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2:32" s="470" customFormat="1" ht="15" customHeight="1">
      <c r="B187" s="471"/>
      <c r="C187" s="183"/>
      <c r="D187" s="186"/>
      <c r="E187" s="169"/>
      <c r="F187" s="54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2:32" s="470" customFormat="1" ht="15" customHeight="1">
      <c r="B188" s="471"/>
      <c r="C188" s="183"/>
      <c r="D188" s="186"/>
      <c r="E188" s="169"/>
      <c r="F188" s="54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2:32" s="470" customFormat="1" ht="15" customHeight="1">
      <c r="B189" s="471"/>
      <c r="C189" s="183"/>
      <c r="D189" s="186"/>
      <c r="E189" s="169"/>
      <c r="F189" s="54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2:32" s="470" customFormat="1" ht="15" customHeight="1">
      <c r="B190" s="471"/>
      <c r="C190" s="183"/>
      <c r="D190" s="186"/>
      <c r="E190" s="169"/>
      <c r="F190" s="54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2:32" s="470" customFormat="1" ht="15" customHeight="1">
      <c r="B191" s="471"/>
      <c r="C191" s="183"/>
      <c r="D191" s="186"/>
      <c r="E191" s="169"/>
      <c r="F191" s="54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2:32" s="470" customFormat="1" ht="15" customHeight="1">
      <c r="B192" s="471"/>
      <c r="C192" s="183"/>
      <c r="D192" s="186"/>
      <c r="E192" s="169"/>
      <c r="F192" s="54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2:32" s="470" customFormat="1" ht="15" customHeight="1">
      <c r="B193" s="472"/>
      <c r="C193" s="185"/>
      <c r="D193" s="188"/>
      <c r="E193" s="189"/>
      <c r="F193" s="54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2:32" ht="15" customHeight="1">
      <c r="C194" s="21"/>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2:32" ht="15" customHeight="1"/>
    <row r="196" spans="2:32" ht="15" customHeight="1"/>
    <row r="197" spans="2:32" ht="15" customHeight="1"/>
    <row r="198" spans="2:32" ht="15" customHeight="1"/>
    <row r="199" spans="2:32" ht="15" customHeight="1"/>
    <row r="200" spans="2:32" ht="15" customHeight="1"/>
    <row r="201" spans="2:32" ht="15" customHeight="1"/>
    <row r="202" spans="2:32" ht="15" customHeight="1"/>
    <row r="203" spans="2:32" ht="15" customHeight="1"/>
    <row r="204" spans="2:32" ht="15" customHeight="1"/>
    <row r="205" spans="2:32" ht="15" customHeight="1"/>
    <row r="206" spans="2:32" ht="15" customHeight="1"/>
    <row r="207" spans="2:32" ht="15" customHeight="1"/>
    <row r="208" spans="2: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nl7gTRVoKj/mkC5ra+ly5QS43X33mbJlcfOfYU77X7gqufcHIKb9fG87TTJ+X1dNdzyoiJLqrXW5MMnB7R7DmA==" saltValue="dFm0KzASQHVckNTe+/9plg==" spinCount="100000" sheet="1" objects="1" scenarios="1"/>
  <hyperlinks>
    <hyperlink ref="A1" location="'Start-Experte'!A1" display="zurück" xr:uid="{00000000-0004-0000-13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944499F1-C60B-4E7F-993B-0F5FEA965EED}">
            <xm:f>ControlPanel!$D$59-1</xm:f>
            <x14:dxf>
              <font>
                <color rgb="FF9C6500"/>
              </font>
              <fill>
                <patternFill>
                  <fgColor indexed="64"/>
                  <bgColor rgb="FFFFEB9C"/>
                </patternFill>
              </fill>
            </x14:dxf>
          </x14:cfRule>
          <x14:cfRule type="cellIs" priority="2" operator="lessThan" id="{CA2FCE85-A0E0-4119-91A5-83489063AA02}">
            <xm:f>ControlPanel!$D$59</xm:f>
            <x14:dxf>
              <font>
                <color rgb="FF006100"/>
              </font>
              <fill>
                <patternFill>
                  <fgColor indexed="64"/>
                  <bgColor rgb="FFC6EFCE"/>
                </patternFill>
              </fill>
            </x14:dxf>
          </x14:cfRule>
          <x14:cfRule type="cellIs" priority="3" operator="lessThan" id="{F1C8F57F-C088-4187-A25B-FE5C91C2AF64}">
            <xm:f>ControlPanel!$D$59+1</xm:f>
            <x14:dxf>
              <font>
                <color rgb="FF006100"/>
              </font>
              <fill>
                <patternFill>
                  <fgColor indexed="64"/>
                  <bgColor rgb="FFC6EFCE"/>
                </patternFill>
              </fill>
            </x14:dxf>
          </x14:cfRule>
          <xm:sqref>G4:AF4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42">
    <tabColor theme="9" tint="0.39997558519241921"/>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12.28515625" style="301" customWidth="1"/>
    <col min="4" max="4" width="7.42578125" style="10" customWidth="1" outlineLevel="2"/>
    <col min="5" max="5" width="28.42578125" style="10" customWidth="1"/>
    <col min="6" max="6" width="13.7109375" style="10" customWidth="1"/>
    <col min="7" max="14" width="8.7109375" style="9" customWidth="1"/>
    <col min="15" max="32" width="8.7109375" style="9" customWidth="1" outlineLevel="1"/>
    <col min="33" max="16384" width="11.5703125" style="9"/>
  </cols>
  <sheetData>
    <row r="1" spans="1:32">
      <c r="A1" s="41" t="s">
        <v>183</v>
      </c>
      <c r="B1" s="20" t="s">
        <v>667</v>
      </c>
      <c r="C1" s="20"/>
      <c r="D1" s="19"/>
      <c r="E1" s="19"/>
      <c r="F1" s="19"/>
    </row>
    <row r="2" spans="1:32">
      <c r="B2" s="37"/>
    </row>
    <row r="3" spans="1:32" ht="15" customHeight="1">
      <c r="B3" s="63"/>
      <c r="C3" s="321"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13"/>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13"/>
      <c r="E5" s="16"/>
      <c r="G5" s="330" t="s">
        <v>668</v>
      </c>
      <c r="H5" s="330" t="s">
        <v>668</v>
      </c>
      <c r="I5" s="330" t="s">
        <v>668</v>
      </c>
      <c r="J5" s="330" t="s">
        <v>668</v>
      </c>
      <c r="K5" s="330" t="s">
        <v>668</v>
      </c>
      <c r="L5" s="330" t="s">
        <v>668</v>
      </c>
      <c r="M5" s="330" t="s">
        <v>668</v>
      </c>
      <c r="N5" s="330" t="s">
        <v>668</v>
      </c>
      <c r="O5" s="330" t="s">
        <v>668</v>
      </c>
      <c r="P5" s="330" t="s">
        <v>668</v>
      </c>
      <c r="Q5" s="330" t="s">
        <v>668</v>
      </c>
      <c r="R5" s="330" t="s">
        <v>668</v>
      </c>
      <c r="S5" s="330" t="s">
        <v>668</v>
      </c>
      <c r="T5" s="330" t="s">
        <v>668</v>
      </c>
      <c r="U5" s="330" t="s">
        <v>668</v>
      </c>
      <c r="V5" s="330" t="s">
        <v>668</v>
      </c>
      <c r="W5" s="330" t="s">
        <v>668</v>
      </c>
      <c r="X5" s="330" t="s">
        <v>668</v>
      </c>
      <c r="Y5" s="330" t="s">
        <v>668</v>
      </c>
      <c r="Z5" s="330" t="s">
        <v>668</v>
      </c>
      <c r="AA5" s="330" t="s">
        <v>668</v>
      </c>
      <c r="AB5" s="330" t="s">
        <v>668</v>
      </c>
      <c r="AC5" s="330" t="s">
        <v>668</v>
      </c>
      <c r="AD5" s="330" t="s">
        <v>668</v>
      </c>
      <c r="AE5" s="330" t="s">
        <v>668</v>
      </c>
      <c r="AF5" s="330" t="s">
        <v>668</v>
      </c>
    </row>
    <row r="6" spans="1:32" ht="15" customHeight="1" thickBot="1">
      <c r="B6" s="172" t="s">
        <v>25</v>
      </c>
      <c r="C6" s="181" t="str">
        <f>ControlPanel!E50</f>
        <v>Referenz</v>
      </c>
      <c r="D6" s="15" t="str">
        <f>VLOOKUP($C$6,$C$13:$AF$37,2,FALSE)</f>
        <v>mh</v>
      </c>
      <c r="E6" s="15" t="str">
        <f>VLOOKUP($C$6,$C$13:$AF$37,3,FALSE)</f>
        <v>keine</v>
      </c>
      <c r="F6" s="15">
        <f>VLOOKUP($C$6,$C$13:$AF$37,4,FALSE)</f>
        <v>0</v>
      </c>
      <c r="G6" s="251">
        <f>IF(G$4&lt;ControlPanel!$D$59,VLOOKUP("Referenz",$C$13:$AF$37,G$4-$G$4+5,FALSE),VLOOKUP($C$6,$C$13:$AF$37,G$4-$G$4+5,FALSE))</f>
        <v>0</v>
      </c>
      <c r="H6" s="251">
        <f>IF(H$4&lt;ControlPanel!$D$59,VLOOKUP("Referenz",$C$13:$AF$37,H$4-$G$4+5,FALSE),VLOOKUP($C$6,$C$13:$AF$37,H$4-$G$4+5,FALSE))</f>
        <v>0</v>
      </c>
      <c r="I6" s="251">
        <f>IF(I$4&lt;ControlPanel!$D$59,VLOOKUP("Referenz",$C$13:$AF$37,I$4-$G$4+5,FALSE),VLOOKUP($C$6,$C$13:$AF$37,I$4-$G$4+5,FALSE))</f>
        <v>0</v>
      </c>
      <c r="J6" s="251">
        <f>IF(J$4&lt;ControlPanel!$D$59,VLOOKUP("Referenz",$C$13:$AF$37,J$4-$G$4+5,FALSE),VLOOKUP($C$6,$C$13:$AF$37,J$4-$G$4+5,FALSE))</f>
        <v>0</v>
      </c>
      <c r="K6" s="251">
        <f>IF(K$4&lt;ControlPanel!$D$59,VLOOKUP("Referenz",$C$13:$AF$37,K$4-$G$4+5,FALSE),VLOOKUP($C$6,$C$13:$AF$37,K$4-$G$4+5,FALSE))</f>
        <v>0</v>
      </c>
      <c r="L6" s="251">
        <f>IF(L$4&lt;ControlPanel!$D$59,VLOOKUP("Referenz",$C$13:$AF$37,L$4-$G$4+5,FALSE),VLOOKUP($C$6,$C$13:$AF$37,L$4-$G$4+5,FALSE))</f>
        <v>0</v>
      </c>
      <c r="M6" s="251">
        <f>IF(M$4&lt;ControlPanel!$D$59,VLOOKUP("Referenz",$C$13:$AF$37,M$4-$G$4+5,FALSE),VLOOKUP($C$6,$C$13:$AF$37,M$4-$G$4+5,FALSE))</f>
        <v>0</v>
      </c>
      <c r="N6" s="251">
        <f>IF(N$4&lt;ControlPanel!$D$59,VLOOKUP("Referenz",$C$13:$AF$37,N$4-$G$4+5,FALSE),VLOOKUP($C$6,$C$13:$AF$37,N$4-$G$4+5,FALSE))</f>
        <v>0</v>
      </c>
      <c r="O6" s="42">
        <f>IF(O$4&lt;ControlPanel!$D$59,VLOOKUP("Referenz",$C$13:$AF$37,O$4-$G$4+5,FALSE),VLOOKUP($C$6,$C$13:$AF$37,O$4-$G$4+5,FALSE))</f>
        <v>0</v>
      </c>
      <c r="P6" s="42">
        <f>IF(P$4&lt;ControlPanel!$D$59,VLOOKUP("Referenz",$C$13:$AF$37,P$4-$G$4+5,FALSE),VLOOKUP($C$6,$C$13:$AF$37,P$4-$G$4+5,FALSE))</f>
        <v>0</v>
      </c>
      <c r="Q6" s="42">
        <f>IF(Q$4&lt;ControlPanel!$D$59,VLOOKUP("Referenz",$C$13:$AF$37,Q$4-$G$4+5,FALSE),VLOOKUP($C$6,$C$13:$AF$37,Q$4-$G$4+5,FALSE))</f>
        <v>0</v>
      </c>
      <c r="R6" s="42">
        <f>IF(R$4&lt;ControlPanel!$D$59,VLOOKUP("Referenz",$C$13:$AF$37,R$4-$G$4+5,FALSE),VLOOKUP($C$6,$C$13:$AF$37,R$4-$G$4+5,FALSE))</f>
        <v>0</v>
      </c>
      <c r="S6" s="42">
        <f>IF(S$4&lt;ControlPanel!$D$59,VLOOKUP("Referenz",$C$13:$AF$37,S$4-$G$4+5,FALSE),VLOOKUP($C$6,$C$13:$AF$37,S$4-$G$4+5,FALSE))</f>
        <v>0</v>
      </c>
      <c r="T6" s="42">
        <f>IF(T$4&lt;ControlPanel!$D$59,VLOOKUP("Referenz",$C$13:$AF$37,T$4-$G$4+5,FALSE),VLOOKUP($C$6,$C$13:$AF$37,T$4-$G$4+5,FALSE))</f>
        <v>0</v>
      </c>
      <c r="U6" s="42">
        <f>IF(U$4&lt;ControlPanel!$D$59,VLOOKUP("Referenz",$C$13:$AF$37,U$4-$G$4+5,FALSE),VLOOKUP($C$6,$C$13:$AF$37,U$4-$G$4+5,FALSE))</f>
        <v>0</v>
      </c>
      <c r="V6" s="42">
        <f>IF(V$4&lt;ControlPanel!$D$59,VLOOKUP("Referenz",$C$13:$AF$37,V$4-$G$4+5,FALSE),VLOOKUP($C$6,$C$13:$AF$37,V$4-$G$4+5,FALSE))</f>
        <v>0</v>
      </c>
      <c r="W6" s="42">
        <f>IF(W$4&lt;ControlPanel!$D$59,VLOOKUP("Referenz",$C$13:$AF$37,W$4-$G$4+5,FALSE),VLOOKUP($C$6,$C$13:$AF$37,W$4-$G$4+5,FALSE))</f>
        <v>0</v>
      </c>
      <c r="X6" s="42">
        <f>IF(X$4&lt;ControlPanel!$D$59,VLOOKUP("Referenz",$C$13:$AF$37,X$4-$G$4+5,FALSE),VLOOKUP($C$6,$C$13:$AF$37,X$4-$G$4+5,FALSE))</f>
        <v>0</v>
      </c>
      <c r="Y6" s="42">
        <f>IF(Y$4&lt;ControlPanel!$D$59,VLOOKUP("Referenz",$C$13:$AF$37,Y$4-$G$4+5,FALSE),VLOOKUP($C$6,$C$13:$AF$37,Y$4-$G$4+5,FALSE))</f>
        <v>0</v>
      </c>
      <c r="Z6" s="42">
        <f>IF(Z$4&lt;ControlPanel!$D$59,VLOOKUP("Referenz",$C$13:$AF$37,Z$4-$G$4+5,FALSE),VLOOKUP($C$6,$C$13:$AF$37,Z$4-$G$4+5,FALSE))</f>
        <v>0</v>
      </c>
      <c r="AA6" s="42">
        <f>IF(AA$4&lt;ControlPanel!$D$59,VLOOKUP("Referenz",$C$13:$AF$37,AA$4-$G$4+5,FALSE),VLOOKUP($C$6,$C$13:$AF$37,AA$4-$G$4+5,FALSE))</f>
        <v>0</v>
      </c>
      <c r="AB6" s="42">
        <f>IF(AB$4&lt;ControlPanel!$D$59,VLOOKUP("Referenz",$C$13:$AF$37,AB$4-$G$4+5,FALSE),VLOOKUP($C$6,$C$13:$AF$37,AB$4-$G$4+5,FALSE))</f>
        <v>0</v>
      </c>
      <c r="AC6" s="42">
        <f>IF(AC$4&lt;ControlPanel!$D$59,VLOOKUP("Referenz",$C$13:$AF$37,AC$4-$G$4+5,FALSE),VLOOKUP($C$6,$C$13:$AF$37,AC$4-$G$4+5,FALSE))</f>
        <v>0</v>
      </c>
      <c r="AD6" s="42">
        <f>IF(AD$4&lt;ControlPanel!$D$59,VLOOKUP("Referenz",$C$13:$AF$37,AD$4-$G$4+5,FALSE),VLOOKUP($C$6,$C$13:$AF$37,AD$4-$G$4+5,FALSE))</f>
        <v>0</v>
      </c>
      <c r="AE6" s="42">
        <f>IF(AE$4&lt;ControlPanel!$D$59,VLOOKUP("Referenz",$C$13:$AF$37,AE$4-$G$4+5,FALSE),VLOOKUP($C$6,$C$13:$AF$37,AE$4-$G$4+5,FALSE))</f>
        <v>0</v>
      </c>
      <c r="AF6" s="42">
        <f>IF(AF$4&lt;ControlPanel!$D$59,VLOOKUP("Referenz",$C$13:$AF$37,AF$4-$G$4+5,FALSE),VLOOKUP($C$6,$C$13:$AF$37,AF$4-$G$4+5,FALSE))</f>
        <v>0</v>
      </c>
    </row>
    <row r="7" spans="1:32" ht="15" customHeight="1" thickBot="1">
      <c r="B7" s="171" t="s">
        <v>27</v>
      </c>
      <c r="C7" s="181" t="str">
        <f>ControlPanel!E51</f>
        <v>Referenz</v>
      </c>
      <c r="D7" s="15" t="str">
        <f>VLOOKUP($C$7,$C$39:$AF$63,2,FALSE)</f>
        <v>mh</v>
      </c>
      <c r="E7" s="15" t="str">
        <f>VLOOKUP($C$7,$C$39:$AF$63,3,FALSE)</f>
        <v>keine</v>
      </c>
      <c r="F7" s="15">
        <f>VLOOKUP($C$7,$C$39:$AF$63,4,FALSE)</f>
        <v>0</v>
      </c>
      <c r="G7" s="251">
        <f>IF(G$4&lt;ControlPanel!$D$59,VLOOKUP("Referenz",$C$39:$AF$63,G$4-$G$4+5,FALSE),VLOOKUP($C$7,$C$39:$AF$63,G$4-$G$4+5,FALSE))</f>
        <v>0</v>
      </c>
      <c r="H7" s="251">
        <f>IF(H$4&lt;ControlPanel!$D$59,VLOOKUP("Referenz",$C$39:$AF$63,H$4-$G$4+5,FALSE),VLOOKUP($C$7,$C$39:$AF$63,H$4-$G$4+5,FALSE))</f>
        <v>0</v>
      </c>
      <c r="I7" s="251">
        <f>IF(I$4&lt;ControlPanel!$D$59,VLOOKUP("Referenz",$C$39:$AF$63,I$4-$G$4+5,FALSE),VLOOKUP($C$7,$C$39:$AF$63,I$4-$G$4+5,FALSE))</f>
        <v>0</v>
      </c>
      <c r="J7" s="251">
        <f>IF(J$4&lt;ControlPanel!$D$59,VLOOKUP("Referenz",$C$39:$AF$63,J$4-$G$4+5,FALSE),VLOOKUP($C$7,$C$39:$AF$63,J$4-$G$4+5,FALSE))</f>
        <v>0</v>
      </c>
      <c r="K7" s="251">
        <f>IF(K$4&lt;ControlPanel!$D$59,VLOOKUP("Referenz",$C$39:$AF$63,K$4-$G$4+5,FALSE),VLOOKUP($C$7,$C$39:$AF$63,K$4-$G$4+5,FALSE))</f>
        <v>0</v>
      </c>
      <c r="L7" s="251">
        <f>IF(L$4&lt;ControlPanel!$D$59,VLOOKUP("Referenz",$C$39:$AF$63,L$4-$G$4+5,FALSE),VLOOKUP($C$7,$C$39:$AF$63,L$4-$G$4+5,FALSE))</f>
        <v>0</v>
      </c>
      <c r="M7" s="251">
        <f>IF(M$4&lt;ControlPanel!$D$59,VLOOKUP("Referenz",$C$39:$AF$63,M$4-$G$4+5,FALSE),VLOOKUP($C$7,$C$39:$AF$63,M$4-$G$4+5,FALSE))</f>
        <v>0</v>
      </c>
      <c r="N7" s="251">
        <f>IF(N$4&lt;ControlPanel!$D$59,VLOOKUP("Referenz",$C$39:$AF$63,N$4-$G$4+5,FALSE),VLOOKUP($C$7,$C$39:$AF$63,N$4-$G$4+5,FALSE))</f>
        <v>0</v>
      </c>
      <c r="O7" s="42">
        <f>IF(O$4&lt;ControlPanel!$D$59,VLOOKUP("Referenz",$C$39:$AF$63,O$4-$G$4+5,FALSE),VLOOKUP($C$7,$C$39:$AF$63,O$4-$G$4+5,FALSE))</f>
        <v>0</v>
      </c>
      <c r="P7" s="42">
        <f>IF(P$4&lt;ControlPanel!$D$59,VLOOKUP("Referenz",$C$39:$AF$63,P$4-$G$4+5,FALSE),VLOOKUP($C$7,$C$39:$AF$63,P$4-$G$4+5,FALSE))</f>
        <v>0</v>
      </c>
      <c r="Q7" s="42">
        <f>IF(Q$4&lt;ControlPanel!$D$59,VLOOKUP("Referenz",$C$39:$AF$63,Q$4-$G$4+5,FALSE),VLOOKUP($C$7,$C$39:$AF$63,Q$4-$G$4+5,FALSE))</f>
        <v>0</v>
      </c>
      <c r="R7" s="42">
        <f>IF(R$4&lt;ControlPanel!$D$59,VLOOKUP("Referenz",$C$39:$AF$63,R$4-$G$4+5,FALSE),VLOOKUP($C$7,$C$39:$AF$63,R$4-$G$4+5,FALSE))</f>
        <v>0</v>
      </c>
      <c r="S7" s="42">
        <f>IF(S$4&lt;ControlPanel!$D$59,VLOOKUP("Referenz",$C$39:$AF$63,S$4-$G$4+5,FALSE),VLOOKUP($C$7,$C$39:$AF$63,S$4-$G$4+5,FALSE))</f>
        <v>0</v>
      </c>
      <c r="T7" s="42">
        <f>IF(T$4&lt;ControlPanel!$D$59,VLOOKUP("Referenz",$C$39:$AF$63,T$4-$G$4+5,FALSE),VLOOKUP($C$7,$C$39:$AF$63,T$4-$G$4+5,FALSE))</f>
        <v>0</v>
      </c>
      <c r="U7" s="42">
        <f>IF(U$4&lt;ControlPanel!$D$59,VLOOKUP("Referenz",$C$39:$AF$63,U$4-$G$4+5,FALSE),VLOOKUP($C$7,$C$39:$AF$63,U$4-$G$4+5,FALSE))</f>
        <v>0</v>
      </c>
      <c r="V7" s="42">
        <f>IF(V$4&lt;ControlPanel!$D$59,VLOOKUP("Referenz",$C$39:$AF$63,V$4-$G$4+5,FALSE),VLOOKUP($C$7,$C$39:$AF$63,V$4-$G$4+5,FALSE))</f>
        <v>0</v>
      </c>
      <c r="W7" s="42">
        <f>IF(W$4&lt;ControlPanel!$D$59,VLOOKUP("Referenz",$C$39:$AF$63,W$4-$G$4+5,FALSE),VLOOKUP($C$7,$C$39:$AF$63,W$4-$G$4+5,FALSE))</f>
        <v>0</v>
      </c>
      <c r="X7" s="42">
        <f>IF(X$4&lt;ControlPanel!$D$59,VLOOKUP("Referenz",$C$39:$AF$63,X$4-$G$4+5,FALSE),VLOOKUP($C$7,$C$39:$AF$63,X$4-$G$4+5,FALSE))</f>
        <v>0</v>
      </c>
      <c r="Y7" s="42">
        <f>IF(Y$4&lt;ControlPanel!$D$59,VLOOKUP("Referenz",$C$39:$AF$63,Y$4-$G$4+5,FALSE),VLOOKUP($C$7,$C$39:$AF$63,Y$4-$G$4+5,FALSE))</f>
        <v>0</v>
      </c>
      <c r="Z7" s="42">
        <f>IF(Z$4&lt;ControlPanel!$D$59,VLOOKUP("Referenz",$C$39:$AF$63,Z$4-$G$4+5,FALSE),VLOOKUP($C$7,$C$39:$AF$63,Z$4-$G$4+5,FALSE))</f>
        <v>0</v>
      </c>
      <c r="AA7" s="42">
        <f>IF(AA$4&lt;ControlPanel!$D$59,VLOOKUP("Referenz",$C$39:$AF$63,AA$4-$G$4+5,FALSE),VLOOKUP($C$7,$C$39:$AF$63,AA$4-$G$4+5,FALSE))</f>
        <v>0</v>
      </c>
      <c r="AB7" s="42">
        <f>IF(AB$4&lt;ControlPanel!$D$59,VLOOKUP("Referenz",$C$39:$AF$63,AB$4-$G$4+5,FALSE),VLOOKUP($C$7,$C$39:$AF$63,AB$4-$G$4+5,FALSE))</f>
        <v>0</v>
      </c>
      <c r="AC7" s="42">
        <f>IF(AC$4&lt;ControlPanel!$D$59,VLOOKUP("Referenz",$C$39:$AF$63,AC$4-$G$4+5,FALSE),VLOOKUP($C$7,$C$39:$AF$63,AC$4-$G$4+5,FALSE))</f>
        <v>0</v>
      </c>
      <c r="AD7" s="42">
        <f>IF(AD$4&lt;ControlPanel!$D$59,VLOOKUP("Referenz",$C$39:$AF$63,AD$4-$G$4+5,FALSE),VLOOKUP($C$7,$C$39:$AF$63,AD$4-$G$4+5,FALSE))</f>
        <v>0</v>
      </c>
      <c r="AE7" s="42">
        <f>IF(AE$4&lt;ControlPanel!$D$59,VLOOKUP("Referenz",$C$39:$AF$63,AE$4-$G$4+5,FALSE),VLOOKUP($C$7,$C$39:$AF$63,AE$4-$G$4+5,FALSE))</f>
        <v>0</v>
      </c>
      <c r="AF7" s="42">
        <f>IF(AF$4&lt;ControlPanel!$D$59,VLOOKUP("Referenz",$C$39:$AF$63,AF$4-$G$4+5,FALSE),VLOOKUP($C$7,$C$39:$AF$63,AF$4-$G$4+5,FALSE))</f>
        <v>0</v>
      </c>
    </row>
    <row r="8" spans="1:32" ht="15" customHeight="1" thickBot="1">
      <c r="B8" s="171" t="s">
        <v>13</v>
      </c>
      <c r="C8" s="181" t="str">
        <f>ControlPanel!E48</f>
        <v>Referenz</v>
      </c>
      <c r="D8" s="15" t="str">
        <f>VLOOKUP($C$8,$C$65:$AF$89,2,FALSE)</f>
        <v>mh</v>
      </c>
      <c r="E8" s="15" t="str">
        <f>VLOOKUP($C$8,$C$65:$AF$89,3,FALSE)</f>
        <v>keine</v>
      </c>
      <c r="F8" s="15">
        <f>VLOOKUP($C$8,$C$65:$AF$89,4,FALSE)</f>
        <v>0</v>
      </c>
      <c r="G8" s="251">
        <f>IF(G$4&lt;ControlPanel!$D$59,VLOOKUP("Referenz",$C$65:$AF$89,G$4-$G$4+5,FALSE),VLOOKUP($C$8,$C$65:$AF$89,G$4-$G$4+5,FALSE))</f>
        <v>0</v>
      </c>
      <c r="H8" s="251">
        <f>IF(H$4&lt;ControlPanel!$D$59,VLOOKUP("Referenz",$C$65:$AF$89,H$4-$G$4+5,FALSE),VLOOKUP($C$8,$C$65:$AF$89,H$4-$G$4+5,FALSE))</f>
        <v>0</v>
      </c>
      <c r="I8" s="251">
        <f>IF(I$4&lt;ControlPanel!$D$59,VLOOKUP("Referenz",$C$65:$AF$89,I$4-$G$4+5,FALSE),VLOOKUP($C$8,$C$65:$AF$89,I$4-$G$4+5,FALSE))</f>
        <v>0</v>
      </c>
      <c r="J8" s="251">
        <f>IF(J$4&lt;ControlPanel!$D$59,VLOOKUP("Referenz",$C$65:$AF$89,J$4-$G$4+5,FALSE),VLOOKUP($C$8,$C$65:$AF$89,J$4-$G$4+5,FALSE))</f>
        <v>0</v>
      </c>
      <c r="K8" s="251">
        <f>IF(K$4&lt;ControlPanel!$D$59,VLOOKUP("Referenz",$C$65:$AF$89,K$4-$G$4+5,FALSE),VLOOKUP($C$8,$C$65:$AF$89,K$4-$G$4+5,FALSE))</f>
        <v>0</v>
      </c>
      <c r="L8" s="251">
        <f>IF(L$4&lt;ControlPanel!$D$59,VLOOKUP("Referenz",$C$65:$AF$89,L$4-$G$4+5,FALSE),VLOOKUP($C$8,$C$65:$AF$89,L$4-$G$4+5,FALSE))</f>
        <v>0</v>
      </c>
      <c r="M8" s="251">
        <f>IF(M$4&lt;ControlPanel!$D$59,VLOOKUP("Referenz",$C$65:$AF$89,M$4-$G$4+5,FALSE),VLOOKUP($C$8,$C$65:$AF$89,M$4-$G$4+5,FALSE))</f>
        <v>0</v>
      </c>
      <c r="N8" s="251">
        <f>IF(N$4&lt;ControlPanel!$D$59,VLOOKUP("Referenz",$C$65:$AF$89,N$4-$G$4+5,FALSE),VLOOKUP($C$8,$C$65:$AF$89,N$4-$G$4+5,FALSE))</f>
        <v>0</v>
      </c>
      <c r="O8" s="42">
        <f>IF(O$4&lt;ControlPanel!$D$59,VLOOKUP("Referenz",$C$65:$AF$89,O$4-$G$4+5,FALSE),VLOOKUP($C$8,$C$65:$AF$89,O$4-$G$4+5,FALSE))</f>
        <v>0</v>
      </c>
      <c r="P8" s="42">
        <f>IF(P$4&lt;ControlPanel!$D$59,VLOOKUP("Referenz",$C$65:$AF$89,P$4-$G$4+5,FALSE),VLOOKUP($C$8,$C$65:$AF$89,P$4-$G$4+5,FALSE))</f>
        <v>0</v>
      </c>
      <c r="Q8" s="42">
        <f>IF(Q$4&lt;ControlPanel!$D$59,VLOOKUP("Referenz",$C$65:$AF$89,Q$4-$G$4+5,FALSE),VLOOKUP($C$8,$C$65:$AF$89,Q$4-$G$4+5,FALSE))</f>
        <v>0</v>
      </c>
      <c r="R8" s="42">
        <f>IF(R$4&lt;ControlPanel!$D$59,VLOOKUP("Referenz",$C$65:$AF$89,R$4-$G$4+5,FALSE),VLOOKUP($C$8,$C$65:$AF$89,R$4-$G$4+5,FALSE))</f>
        <v>0</v>
      </c>
      <c r="S8" s="42">
        <f>IF(S$4&lt;ControlPanel!$D$59,VLOOKUP("Referenz",$C$65:$AF$89,S$4-$G$4+5,FALSE),VLOOKUP($C$8,$C$65:$AF$89,S$4-$G$4+5,FALSE))</f>
        <v>0</v>
      </c>
      <c r="T8" s="42">
        <f>IF(T$4&lt;ControlPanel!$D$59,VLOOKUP("Referenz",$C$65:$AF$89,T$4-$G$4+5,FALSE),VLOOKUP($C$8,$C$65:$AF$89,T$4-$G$4+5,FALSE))</f>
        <v>0</v>
      </c>
      <c r="U8" s="42">
        <f>IF(U$4&lt;ControlPanel!$D$59,VLOOKUP("Referenz",$C$65:$AF$89,U$4-$G$4+5,FALSE),VLOOKUP($C$8,$C$65:$AF$89,U$4-$G$4+5,FALSE))</f>
        <v>0</v>
      </c>
      <c r="V8" s="42">
        <f>IF(V$4&lt;ControlPanel!$D$59,VLOOKUP("Referenz",$C$65:$AF$89,V$4-$G$4+5,FALSE),VLOOKUP($C$8,$C$65:$AF$89,V$4-$G$4+5,FALSE))</f>
        <v>0</v>
      </c>
      <c r="W8" s="42">
        <f>IF(W$4&lt;ControlPanel!$D$59,VLOOKUP("Referenz",$C$65:$AF$89,W$4-$G$4+5,FALSE),VLOOKUP($C$8,$C$65:$AF$89,W$4-$G$4+5,FALSE))</f>
        <v>0</v>
      </c>
      <c r="X8" s="42">
        <f>IF(X$4&lt;ControlPanel!$D$59,VLOOKUP("Referenz",$C$65:$AF$89,X$4-$G$4+5,FALSE),VLOOKUP($C$8,$C$65:$AF$89,X$4-$G$4+5,FALSE))</f>
        <v>0</v>
      </c>
      <c r="Y8" s="42">
        <f>IF(Y$4&lt;ControlPanel!$D$59,VLOOKUP("Referenz",$C$65:$AF$89,Y$4-$G$4+5,FALSE),VLOOKUP($C$8,$C$65:$AF$89,Y$4-$G$4+5,FALSE))</f>
        <v>0</v>
      </c>
      <c r="Z8" s="42">
        <f>IF(Z$4&lt;ControlPanel!$D$59,VLOOKUP("Referenz",$C$65:$AF$89,Z$4-$G$4+5,FALSE),VLOOKUP($C$8,$C$65:$AF$89,Z$4-$G$4+5,FALSE))</f>
        <v>0</v>
      </c>
      <c r="AA8" s="42">
        <f>IF(AA$4&lt;ControlPanel!$D$59,VLOOKUP("Referenz",$C$65:$AF$89,AA$4-$G$4+5,FALSE),VLOOKUP($C$8,$C$65:$AF$89,AA$4-$G$4+5,FALSE))</f>
        <v>0</v>
      </c>
      <c r="AB8" s="42">
        <f>IF(AB$4&lt;ControlPanel!$D$59,VLOOKUP("Referenz",$C$65:$AF$89,AB$4-$G$4+5,FALSE),VLOOKUP($C$8,$C$65:$AF$89,AB$4-$G$4+5,FALSE))</f>
        <v>0</v>
      </c>
      <c r="AC8" s="42">
        <f>IF(AC$4&lt;ControlPanel!$D$59,VLOOKUP("Referenz",$C$65:$AF$89,AC$4-$G$4+5,FALSE),VLOOKUP($C$8,$C$65:$AF$89,AC$4-$G$4+5,FALSE))</f>
        <v>0</v>
      </c>
      <c r="AD8" s="42">
        <f>IF(AD$4&lt;ControlPanel!$D$59,VLOOKUP("Referenz",$C$65:$AF$89,AD$4-$G$4+5,FALSE),VLOOKUP($C$8,$C$65:$AF$89,AD$4-$G$4+5,FALSE))</f>
        <v>0</v>
      </c>
      <c r="AE8" s="42">
        <f>IF(AE$4&lt;ControlPanel!$D$59,VLOOKUP("Referenz",$C$65:$AF$89,AE$4-$G$4+5,FALSE),VLOOKUP($C$8,$C$65:$AF$89,AE$4-$G$4+5,FALSE))</f>
        <v>0</v>
      </c>
      <c r="AF8" s="42">
        <f>IF(AF$4&lt;ControlPanel!$D$59,VLOOKUP("Referenz",$C$65:$AF$89,AF$4-$G$4+5,FALSE),VLOOKUP($C$8,$C$65:$AF$89,AF$4-$G$4+5,FALSE))</f>
        <v>0</v>
      </c>
    </row>
    <row r="9" spans="1:32" ht="15" customHeight="1" thickBot="1">
      <c r="B9" s="171" t="s">
        <v>12</v>
      </c>
      <c r="C9" s="181" t="str">
        <f>ControlPanel!E49</f>
        <v>Referenz</v>
      </c>
      <c r="D9" s="15" t="str">
        <f>VLOOKUP($C$9,$C$91:$AF$115,2,FALSE)</f>
        <v>mh</v>
      </c>
      <c r="E9" s="15" t="str">
        <f>VLOOKUP($C$9,$C$91:$AF$115,3,FALSE)</f>
        <v>keine</v>
      </c>
      <c r="F9" s="15">
        <f>VLOOKUP($C$9,$C$91:$AF$115,4,FALSE)</f>
        <v>0</v>
      </c>
      <c r="G9" s="251">
        <f>IF(G$4&lt;ControlPanel!$D$59,VLOOKUP("Referenz",$C$91:$AF$115,G$4-$G$4+5,FALSE),VLOOKUP($C$9,$C$91:$AF$115,G$4-$G$4+5,FALSE))</f>
        <v>0</v>
      </c>
      <c r="H9" s="251">
        <f>IF(H$4&lt;ControlPanel!$D$59,VLOOKUP("Referenz",$C$91:$AF$115,H$4-$G$4+5,FALSE),VLOOKUP($C$9,$C$91:$AF$115,H$4-$G$4+5,FALSE))</f>
        <v>0</v>
      </c>
      <c r="I9" s="251">
        <f>IF(I$4&lt;ControlPanel!$D$59,VLOOKUP("Referenz",$C$91:$AF$115,I$4-$G$4+5,FALSE),VLOOKUP($C$9,$C$91:$AF$115,I$4-$G$4+5,FALSE))</f>
        <v>0</v>
      </c>
      <c r="J9" s="251">
        <f>IF(J$4&lt;ControlPanel!$D$59,VLOOKUP("Referenz",$C$91:$AF$115,J$4-$G$4+5,FALSE),VLOOKUP($C$9,$C$91:$AF$115,J$4-$G$4+5,FALSE))</f>
        <v>0</v>
      </c>
      <c r="K9" s="251">
        <f>IF(K$4&lt;ControlPanel!$D$59,VLOOKUP("Referenz",$C$91:$AF$115,K$4-$G$4+5,FALSE),VLOOKUP($C$9,$C$91:$AF$115,K$4-$G$4+5,FALSE))</f>
        <v>0</v>
      </c>
      <c r="L9" s="251">
        <f>IF(L$4&lt;ControlPanel!$D$59,VLOOKUP("Referenz",$C$91:$AF$115,L$4-$G$4+5,FALSE),VLOOKUP($C$9,$C$91:$AF$115,L$4-$G$4+5,FALSE))</f>
        <v>0</v>
      </c>
      <c r="M9" s="251">
        <f>IF(M$4&lt;ControlPanel!$D$59,VLOOKUP("Referenz",$C$91:$AF$115,M$4-$G$4+5,FALSE),VLOOKUP($C$9,$C$91:$AF$115,M$4-$G$4+5,FALSE))</f>
        <v>0</v>
      </c>
      <c r="N9" s="251">
        <f>IF(N$4&lt;ControlPanel!$D$59,VLOOKUP("Referenz",$C$91:$AF$115,N$4-$G$4+5,FALSE),VLOOKUP($C$9,$C$91:$AF$115,N$4-$G$4+5,FALSE))</f>
        <v>0</v>
      </c>
      <c r="O9" s="42">
        <f>IF(O$4&lt;ControlPanel!$D$59,VLOOKUP("Referenz",$C$91:$AF$115,O$4-$G$4+5,FALSE),VLOOKUP($C$9,$C$91:$AF$115,O$4-$G$4+5,FALSE))</f>
        <v>0</v>
      </c>
      <c r="P9" s="42">
        <f>IF(P$4&lt;ControlPanel!$D$59,VLOOKUP("Referenz",$C$91:$AF$115,P$4-$G$4+5,FALSE),VLOOKUP($C$9,$C$91:$AF$115,P$4-$G$4+5,FALSE))</f>
        <v>0</v>
      </c>
      <c r="Q9" s="42">
        <f>IF(Q$4&lt;ControlPanel!$D$59,VLOOKUP("Referenz",$C$91:$AF$115,Q$4-$G$4+5,FALSE),VLOOKUP($C$9,$C$91:$AF$115,Q$4-$G$4+5,FALSE))</f>
        <v>0</v>
      </c>
      <c r="R9" s="42">
        <f>IF(R$4&lt;ControlPanel!$D$59,VLOOKUP("Referenz",$C$91:$AF$115,R$4-$G$4+5,FALSE),VLOOKUP($C$9,$C$91:$AF$115,R$4-$G$4+5,FALSE))</f>
        <v>0</v>
      </c>
      <c r="S9" s="42">
        <f>IF(S$4&lt;ControlPanel!$D$59,VLOOKUP("Referenz",$C$91:$AF$115,S$4-$G$4+5,FALSE),VLOOKUP($C$9,$C$91:$AF$115,S$4-$G$4+5,FALSE))</f>
        <v>0</v>
      </c>
      <c r="T9" s="42">
        <f>IF(T$4&lt;ControlPanel!$D$59,VLOOKUP("Referenz",$C$91:$AF$115,T$4-$G$4+5,FALSE),VLOOKUP($C$9,$C$91:$AF$115,T$4-$G$4+5,FALSE))</f>
        <v>0</v>
      </c>
      <c r="U9" s="42">
        <f>IF(U$4&lt;ControlPanel!$D$59,VLOOKUP("Referenz",$C$91:$AF$115,U$4-$G$4+5,FALSE),VLOOKUP($C$9,$C$91:$AF$115,U$4-$G$4+5,FALSE))</f>
        <v>0</v>
      </c>
      <c r="V9" s="42">
        <f>IF(V$4&lt;ControlPanel!$D$59,VLOOKUP("Referenz",$C$91:$AF$115,V$4-$G$4+5,FALSE),VLOOKUP($C$9,$C$91:$AF$115,V$4-$G$4+5,FALSE))</f>
        <v>0</v>
      </c>
      <c r="W9" s="42">
        <f>IF(W$4&lt;ControlPanel!$D$59,VLOOKUP("Referenz",$C$91:$AF$115,W$4-$G$4+5,FALSE),VLOOKUP($C$9,$C$91:$AF$115,W$4-$G$4+5,FALSE))</f>
        <v>0</v>
      </c>
      <c r="X9" s="42">
        <f>IF(X$4&lt;ControlPanel!$D$59,VLOOKUP("Referenz",$C$91:$AF$115,X$4-$G$4+5,FALSE),VLOOKUP($C$9,$C$91:$AF$115,X$4-$G$4+5,FALSE))</f>
        <v>0</v>
      </c>
      <c r="Y9" s="42">
        <f>IF(Y$4&lt;ControlPanel!$D$59,VLOOKUP("Referenz",$C$91:$AF$115,Y$4-$G$4+5,FALSE),VLOOKUP($C$9,$C$91:$AF$115,Y$4-$G$4+5,FALSE))</f>
        <v>0</v>
      </c>
      <c r="Z9" s="42">
        <f>IF(Z$4&lt;ControlPanel!$D$59,VLOOKUP("Referenz",$C$91:$AF$115,Z$4-$G$4+5,FALSE),VLOOKUP($C$9,$C$91:$AF$115,Z$4-$G$4+5,FALSE))</f>
        <v>0</v>
      </c>
      <c r="AA9" s="42">
        <f>IF(AA$4&lt;ControlPanel!$D$59,VLOOKUP("Referenz",$C$91:$AF$115,AA$4-$G$4+5,FALSE),VLOOKUP($C$9,$C$91:$AF$115,AA$4-$G$4+5,FALSE))</f>
        <v>0</v>
      </c>
      <c r="AB9" s="42">
        <f>IF(AB$4&lt;ControlPanel!$D$59,VLOOKUP("Referenz",$C$91:$AF$115,AB$4-$G$4+5,FALSE),VLOOKUP($C$9,$C$91:$AF$115,AB$4-$G$4+5,FALSE))</f>
        <v>0</v>
      </c>
      <c r="AC9" s="42">
        <f>IF(AC$4&lt;ControlPanel!$D$59,VLOOKUP("Referenz",$C$91:$AF$115,AC$4-$G$4+5,FALSE),VLOOKUP($C$9,$C$91:$AF$115,AC$4-$G$4+5,FALSE))</f>
        <v>0</v>
      </c>
      <c r="AD9" s="42">
        <f>IF(AD$4&lt;ControlPanel!$D$59,VLOOKUP("Referenz",$C$91:$AF$115,AD$4-$G$4+5,FALSE),VLOOKUP($C$9,$C$91:$AF$115,AD$4-$G$4+5,FALSE))</f>
        <v>0</v>
      </c>
      <c r="AE9" s="42">
        <f>IF(AE$4&lt;ControlPanel!$D$59,VLOOKUP("Referenz",$C$91:$AF$115,AE$4-$G$4+5,FALSE),VLOOKUP($C$9,$C$91:$AF$115,AE$4-$G$4+5,FALSE))</f>
        <v>0</v>
      </c>
      <c r="AF9" s="42">
        <f>IF(AF$4&lt;ControlPanel!$D$59,VLOOKUP("Referenz",$C$91:$AF$115,AF$4-$G$4+5,FALSE),VLOOKUP($C$9,$C$91:$AF$115,AF$4-$G$4+5,FALSE))</f>
        <v>0</v>
      </c>
    </row>
    <row r="10" spans="1:32" ht="15" customHeight="1" thickBot="1">
      <c r="B10" s="171" t="s">
        <v>24</v>
      </c>
      <c r="C10" s="181" t="str">
        <f>ControlPanel!E45</f>
        <v>Referenz</v>
      </c>
      <c r="D10" s="15" t="str">
        <f>VLOOKUP($C$10,$C$117:$AF$141,2,FALSE)</f>
        <v>mh</v>
      </c>
      <c r="E10" s="15" t="str">
        <f>VLOOKUP($C$10,$C$117:$AF$141,3,FALSE)</f>
        <v>5 Jahre</v>
      </c>
      <c r="F10" s="15">
        <f>VLOOKUP($C$10,$C$117:$AF$141,4,FALSE)</f>
        <v>0</v>
      </c>
      <c r="G10" s="251">
        <f>IF(G$4&lt;ControlPanel!$D$59,VLOOKUP("Referenz",$C$117:$AF$141,G$4-$G$4+5,FALSE),VLOOKUP($C$10,$C$117:$AF$141,G$4-$G$4+5,FALSE))</f>
        <v>0</v>
      </c>
      <c r="H10" s="251">
        <f>IF(H$4&lt;ControlPanel!$D$59,VLOOKUP("Referenz",$C$117:$AF$141,H$4-$G$4+5,FALSE),VLOOKUP($C$10,$C$117:$AF$141,H$4-$G$4+5,FALSE))</f>
        <v>0</v>
      </c>
      <c r="I10" s="251">
        <f>IF(I$4&lt;ControlPanel!$D$59,VLOOKUP("Referenz",$C$117:$AF$141,I$4-$G$4+5,FALSE),VLOOKUP($C$10,$C$117:$AF$141,I$4-$G$4+5,FALSE))</f>
        <v>0</v>
      </c>
      <c r="J10" s="251">
        <f>IF(J$4&lt;ControlPanel!$D$59,VLOOKUP("Referenz",$C$117:$AF$141,J$4-$G$4+5,FALSE),VLOOKUP($C$10,$C$117:$AF$141,J$4-$G$4+5,FALSE))</f>
        <v>0</v>
      </c>
      <c r="K10" s="251">
        <f>IF(K$4&lt;ControlPanel!$D$59,VLOOKUP("Referenz",$C$117:$AF$141,K$4-$G$4+5,FALSE),VLOOKUP($C$10,$C$117:$AF$141,K$4-$G$4+5,FALSE))</f>
        <v>0</v>
      </c>
      <c r="L10" s="251">
        <f>IF(L$4&lt;ControlPanel!$D$59,VLOOKUP("Referenz",$C$117:$AF$141,L$4-$G$4+5,FALSE),VLOOKUP($C$10,$C$117:$AF$141,L$4-$G$4+5,FALSE))</f>
        <v>0</v>
      </c>
      <c r="M10" s="251">
        <f>IF(M$4&lt;ControlPanel!$D$59,VLOOKUP("Referenz",$C$117:$AF$141,M$4-$G$4+5,FALSE),VLOOKUP($C$10,$C$117:$AF$141,M$4-$G$4+5,FALSE))</f>
        <v>0</v>
      </c>
      <c r="N10" s="251">
        <f>IF(N$4&lt;ControlPanel!$D$59,VLOOKUP("Referenz",$C$117:$AF$141,N$4-$G$4+5,FALSE),VLOOKUP($C$10,$C$117:$AF$141,N$4-$G$4+5,FALSE))</f>
        <v>0</v>
      </c>
      <c r="O10" s="42">
        <f>IF(O$4&lt;ControlPanel!$D$59,VLOOKUP("Referenz",$C$117:$AF$141,O$4-$G$4+5,FALSE),VLOOKUP($C$10,$C$117:$AF$141,O$4-$G$4+5,FALSE))</f>
        <v>0</v>
      </c>
      <c r="P10" s="42">
        <f>IF(P$4&lt;ControlPanel!$D$59,VLOOKUP("Referenz",$C$117:$AF$141,P$4-$G$4+5,FALSE),VLOOKUP($C$10,$C$117:$AF$141,P$4-$G$4+5,FALSE))</f>
        <v>0</v>
      </c>
      <c r="Q10" s="42">
        <f>IF(Q$4&lt;ControlPanel!$D$59,VLOOKUP("Referenz",$C$117:$AF$141,Q$4-$G$4+5,FALSE),VLOOKUP($C$10,$C$117:$AF$141,Q$4-$G$4+5,FALSE))</f>
        <v>1</v>
      </c>
      <c r="R10" s="42">
        <f>IF(R$4&lt;ControlPanel!$D$59,VLOOKUP("Referenz",$C$117:$AF$141,R$4-$G$4+5,FALSE),VLOOKUP($C$10,$C$117:$AF$141,R$4-$G$4+5,FALSE))</f>
        <v>1</v>
      </c>
      <c r="S10" s="42">
        <f>IF(S$4&lt;ControlPanel!$D$59,VLOOKUP("Referenz",$C$117:$AF$141,S$4-$G$4+5,FALSE),VLOOKUP($C$10,$C$117:$AF$141,S$4-$G$4+5,FALSE))</f>
        <v>5</v>
      </c>
      <c r="T10" s="42">
        <f>IF(T$4&lt;ControlPanel!$D$59,VLOOKUP("Referenz",$C$117:$AF$141,T$4-$G$4+5,FALSE),VLOOKUP($C$10,$C$117:$AF$141,T$4-$G$4+5,FALSE))</f>
        <v>5</v>
      </c>
      <c r="U10" s="42">
        <f>IF(U$4&lt;ControlPanel!$D$59,VLOOKUP("Referenz",$C$117:$AF$141,U$4-$G$4+5,FALSE),VLOOKUP($C$10,$C$117:$AF$141,U$4-$G$4+5,FALSE))</f>
        <v>5</v>
      </c>
      <c r="V10" s="42">
        <f>IF(V$4&lt;ControlPanel!$D$59,VLOOKUP("Referenz",$C$117:$AF$141,V$4-$G$4+5,FALSE),VLOOKUP($C$10,$C$117:$AF$141,V$4-$G$4+5,FALSE))</f>
        <v>5</v>
      </c>
      <c r="W10" s="42">
        <f>IF(W$4&lt;ControlPanel!$D$59,VLOOKUP("Referenz",$C$117:$AF$141,W$4-$G$4+5,FALSE),VLOOKUP($C$10,$C$117:$AF$141,W$4-$G$4+5,FALSE))</f>
        <v>5</v>
      </c>
      <c r="X10" s="42">
        <f>IF(X$4&lt;ControlPanel!$D$59,VLOOKUP("Referenz",$C$117:$AF$141,X$4-$G$4+5,FALSE),VLOOKUP($C$10,$C$117:$AF$141,X$4-$G$4+5,FALSE))</f>
        <v>5</v>
      </c>
      <c r="Y10" s="42">
        <f>IF(Y$4&lt;ControlPanel!$D$59,VLOOKUP("Referenz",$C$117:$AF$141,Y$4-$G$4+5,FALSE),VLOOKUP($C$10,$C$117:$AF$141,Y$4-$G$4+5,FALSE))</f>
        <v>5</v>
      </c>
      <c r="Z10" s="42">
        <f>IF(Z$4&lt;ControlPanel!$D$59,VLOOKUP("Referenz",$C$117:$AF$141,Z$4-$G$4+5,FALSE),VLOOKUP($C$10,$C$117:$AF$141,Z$4-$G$4+5,FALSE))</f>
        <v>5</v>
      </c>
      <c r="AA10" s="42">
        <f>IF(AA$4&lt;ControlPanel!$D$59,VLOOKUP("Referenz",$C$117:$AF$141,AA$4-$G$4+5,FALSE),VLOOKUP($C$10,$C$117:$AF$141,AA$4-$G$4+5,FALSE))</f>
        <v>5</v>
      </c>
      <c r="AB10" s="42">
        <f>IF(AB$4&lt;ControlPanel!$D$59,VLOOKUP("Referenz",$C$117:$AF$141,AB$4-$G$4+5,FALSE),VLOOKUP($C$10,$C$117:$AF$141,AB$4-$G$4+5,FALSE))</f>
        <v>5</v>
      </c>
      <c r="AC10" s="42">
        <f>IF(AC$4&lt;ControlPanel!$D$59,VLOOKUP("Referenz",$C$117:$AF$141,AC$4-$G$4+5,FALSE),VLOOKUP($C$10,$C$117:$AF$141,AC$4-$G$4+5,FALSE))</f>
        <v>5</v>
      </c>
      <c r="AD10" s="42">
        <f>IF(AD$4&lt;ControlPanel!$D$59,VLOOKUP("Referenz",$C$117:$AF$141,AD$4-$G$4+5,FALSE),VLOOKUP($C$10,$C$117:$AF$141,AD$4-$G$4+5,FALSE))</f>
        <v>5</v>
      </c>
      <c r="AE10" s="42">
        <f>IF(AE$4&lt;ControlPanel!$D$59,VLOOKUP("Referenz",$C$117:$AF$141,AE$4-$G$4+5,FALSE),VLOOKUP($C$10,$C$117:$AF$141,AE$4-$G$4+5,FALSE))</f>
        <v>5</v>
      </c>
      <c r="AF10" s="42">
        <f>IF(AF$4&lt;ControlPanel!$D$59,VLOOKUP("Referenz",$C$117:$AF$141,AF$4-$G$4+5,FALSE),VLOOKUP($C$10,$C$117:$AF$141,AF$4-$G$4+5,FALSE))</f>
        <v>5</v>
      </c>
    </row>
    <row r="11" spans="1:32" ht="15" customHeight="1" thickBot="1">
      <c r="B11" s="171" t="s">
        <v>26</v>
      </c>
      <c r="C11" s="181" t="str">
        <f>ControlPanel!E46</f>
        <v>Referenz</v>
      </c>
      <c r="D11" s="15" t="str">
        <f>VLOOKUP($C$11,$C$143:$AF$167,2,FALSE)</f>
        <v>mh</v>
      </c>
      <c r="E11" s="15" t="str">
        <f>VLOOKUP($C$11,$C$143:$AF$167,3,FALSE)</f>
        <v>keine</v>
      </c>
      <c r="F11" s="15">
        <f>VLOOKUP($C$11,$C$143:$AF$167,4,FALSE)</f>
        <v>0</v>
      </c>
      <c r="G11" s="251">
        <f>IF(G$4&lt;ControlPanel!$D$59,VLOOKUP("Referenz",$C$143:$AF$167,G$4-$G$4+5,FALSE),VLOOKUP($C$11,$C$143:$AF$167,G$4-$G$4+5,FALSE))</f>
        <v>0</v>
      </c>
      <c r="H11" s="251">
        <f>IF(H$4&lt;ControlPanel!$D$59,VLOOKUP("Referenz",$C$143:$AF$167,H$4-$G$4+5,FALSE),VLOOKUP($C$11,$C$143:$AF$167,H$4-$G$4+5,FALSE))</f>
        <v>0</v>
      </c>
      <c r="I11" s="251">
        <f>IF(I$4&lt;ControlPanel!$D$59,VLOOKUP("Referenz",$C$143:$AF$167,I$4-$G$4+5,FALSE),VLOOKUP($C$11,$C$143:$AF$167,I$4-$G$4+5,FALSE))</f>
        <v>0</v>
      </c>
      <c r="J11" s="251">
        <f>IF(J$4&lt;ControlPanel!$D$59,VLOOKUP("Referenz",$C$143:$AF$167,J$4-$G$4+5,FALSE),VLOOKUP($C$11,$C$143:$AF$167,J$4-$G$4+5,FALSE))</f>
        <v>0</v>
      </c>
      <c r="K11" s="251">
        <f>IF(K$4&lt;ControlPanel!$D$59,VLOOKUP("Referenz",$C$143:$AF$167,K$4-$G$4+5,FALSE),VLOOKUP($C$11,$C$143:$AF$167,K$4-$G$4+5,FALSE))</f>
        <v>0</v>
      </c>
      <c r="L11" s="251">
        <f>IF(L$4&lt;ControlPanel!$D$59,VLOOKUP("Referenz",$C$143:$AF$167,L$4-$G$4+5,FALSE),VLOOKUP($C$11,$C$143:$AF$167,L$4-$G$4+5,FALSE))</f>
        <v>0</v>
      </c>
      <c r="M11" s="251">
        <f>IF(M$4&lt;ControlPanel!$D$59,VLOOKUP("Referenz",$C$143:$AF$167,M$4-$G$4+5,FALSE),VLOOKUP($C$11,$C$143:$AF$167,M$4-$G$4+5,FALSE))</f>
        <v>0</v>
      </c>
      <c r="N11" s="251">
        <f>IF(N$4&lt;ControlPanel!$D$59,VLOOKUP("Referenz",$C$143:$AF$167,N$4-$G$4+5,FALSE),VLOOKUP($C$11,$C$143:$AF$167,N$4-$G$4+5,FALSE))</f>
        <v>0</v>
      </c>
      <c r="O11" s="42">
        <f>IF(O$4&lt;ControlPanel!$D$59,VLOOKUP("Referenz",$C$143:$AF$167,O$4-$G$4+5,FALSE),VLOOKUP($C$11,$C$143:$AF$167,O$4-$G$4+5,FALSE))</f>
        <v>0</v>
      </c>
      <c r="P11" s="42">
        <f>IF(P$4&lt;ControlPanel!$D$59,VLOOKUP("Referenz",$C$143:$AF$167,P$4-$G$4+5,FALSE),VLOOKUP($C$11,$C$143:$AF$167,P$4-$G$4+5,FALSE))</f>
        <v>0</v>
      </c>
      <c r="Q11" s="42">
        <f>IF(Q$4&lt;ControlPanel!$D$59,VLOOKUP("Referenz",$C$143:$AF$167,Q$4-$G$4+5,FALSE),VLOOKUP($C$11,$C$143:$AF$167,Q$4-$G$4+5,FALSE))</f>
        <v>0</v>
      </c>
      <c r="R11" s="42">
        <f>IF(R$4&lt;ControlPanel!$D$59,VLOOKUP("Referenz",$C$143:$AF$167,R$4-$G$4+5,FALSE),VLOOKUP($C$11,$C$143:$AF$167,R$4-$G$4+5,FALSE))</f>
        <v>0</v>
      </c>
      <c r="S11" s="42">
        <f>IF(S$4&lt;ControlPanel!$D$59,VLOOKUP("Referenz",$C$143:$AF$167,S$4-$G$4+5,FALSE),VLOOKUP($C$11,$C$143:$AF$167,S$4-$G$4+5,FALSE))</f>
        <v>0</v>
      </c>
      <c r="T11" s="42">
        <f>IF(T$4&lt;ControlPanel!$D$59,VLOOKUP("Referenz",$C$143:$AF$167,T$4-$G$4+5,FALSE),VLOOKUP($C$11,$C$143:$AF$167,T$4-$G$4+5,FALSE))</f>
        <v>0</v>
      </c>
      <c r="U11" s="42">
        <f>IF(U$4&lt;ControlPanel!$D$59,VLOOKUP("Referenz",$C$143:$AF$167,U$4-$G$4+5,FALSE),VLOOKUP($C$11,$C$143:$AF$167,U$4-$G$4+5,FALSE))</f>
        <v>0</v>
      </c>
      <c r="V11" s="42">
        <f>IF(V$4&lt;ControlPanel!$D$59,VLOOKUP("Referenz",$C$143:$AF$167,V$4-$G$4+5,FALSE),VLOOKUP($C$11,$C$143:$AF$167,V$4-$G$4+5,FALSE))</f>
        <v>0</v>
      </c>
      <c r="W11" s="42">
        <f>IF(W$4&lt;ControlPanel!$D$59,VLOOKUP("Referenz",$C$143:$AF$167,W$4-$G$4+5,FALSE),VLOOKUP($C$11,$C$143:$AF$167,W$4-$G$4+5,FALSE))</f>
        <v>0</v>
      </c>
      <c r="X11" s="42">
        <f>IF(X$4&lt;ControlPanel!$D$59,VLOOKUP("Referenz",$C$143:$AF$167,X$4-$G$4+5,FALSE),VLOOKUP($C$11,$C$143:$AF$167,X$4-$G$4+5,FALSE))</f>
        <v>0</v>
      </c>
      <c r="Y11" s="42">
        <f>IF(Y$4&lt;ControlPanel!$D$59,VLOOKUP("Referenz",$C$143:$AF$167,Y$4-$G$4+5,FALSE),VLOOKUP($C$11,$C$143:$AF$167,Y$4-$G$4+5,FALSE))</f>
        <v>0</v>
      </c>
      <c r="Z11" s="42">
        <f>IF(Z$4&lt;ControlPanel!$D$59,VLOOKUP("Referenz",$C$143:$AF$167,Z$4-$G$4+5,FALSE),VLOOKUP($C$11,$C$143:$AF$167,Z$4-$G$4+5,FALSE))</f>
        <v>0</v>
      </c>
      <c r="AA11" s="42">
        <f>IF(AA$4&lt;ControlPanel!$D$59,VLOOKUP("Referenz",$C$143:$AF$167,AA$4-$G$4+5,FALSE),VLOOKUP($C$11,$C$143:$AF$167,AA$4-$G$4+5,FALSE))</f>
        <v>0</v>
      </c>
      <c r="AB11" s="42">
        <f>IF(AB$4&lt;ControlPanel!$D$59,VLOOKUP("Referenz",$C$143:$AF$167,AB$4-$G$4+5,FALSE),VLOOKUP($C$11,$C$143:$AF$167,AB$4-$G$4+5,FALSE))</f>
        <v>0</v>
      </c>
      <c r="AC11" s="42">
        <f>IF(AC$4&lt;ControlPanel!$D$59,VLOOKUP("Referenz",$C$143:$AF$167,AC$4-$G$4+5,FALSE),VLOOKUP($C$11,$C$143:$AF$167,AC$4-$G$4+5,FALSE))</f>
        <v>0</v>
      </c>
      <c r="AD11" s="42">
        <f>IF(AD$4&lt;ControlPanel!$D$59,VLOOKUP("Referenz",$C$143:$AF$167,AD$4-$G$4+5,FALSE),VLOOKUP($C$11,$C$143:$AF$167,AD$4-$G$4+5,FALSE))</f>
        <v>0</v>
      </c>
      <c r="AE11" s="42">
        <f>IF(AE$4&lt;ControlPanel!$D$59,VLOOKUP("Referenz",$C$143:$AF$167,AE$4-$G$4+5,FALSE),VLOOKUP($C$11,$C$143:$AF$167,AE$4-$G$4+5,FALSE))</f>
        <v>0</v>
      </c>
      <c r="AF11" s="42">
        <f>IF(AF$4&lt;ControlPanel!$D$59,VLOOKUP("Referenz",$C$143:$AF$167,AF$4-$G$4+5,FALSE),VLOOKUP($C$11,$C$143:$AF$167,AF$4-$G$4+5,FALSE))</f>
        <v>0</v>
      </c>
    </row>
    <row r="12" spans="1:32" ht="15" customHeight="1" thickBot="1">
      <c r="B12" s="173" t="s">
        <v>14</v>
      </c>
      <c r="C12" s="184" t="str">
        <f>ControlPanel!E47</f>
        <v>Referenz</v>
      </c>
      <c r="D12" s="40" t="str">
        <f>VLOOKUP($C$12,$C$169:$AF$193,2,FALSE)</f>
        <v>mh</v>
      </c>
      <c r="E12" s="40" t="str">
        <f>VLOOKUP($C$12,$C$169:$AF$193,3,FALSE)</f>
        <v>5 Jahre</v>
      </c>
      <c r="F12" s="15">
        <f>VLOOKUP($C$12,$C$169:$AF$193,4,FALSE)</f>
        <v>0</v>
      </c>
      <c r="G12" s="251">
        <f>IF(G$4&lt;ControlPanel!$D$59,VLOOKUP("Referenz",$C$169:$AF$193,G$4-$G$4+5,FALSE),VLOOKUP($C$12,$C$169:$AF$193,G$4-$G$4+5,FALSE))</f>
        <v>0</v>
      </c>
      <c r="H12" s="251">
        <f>IF(H$4&lt;ControlPanel!$D$59,VLOOKUP("Referenz",$C$169:$AF$193,H$4-$G$4+5,FALSE),VLOOKUP($C$12,$C$169:$AF$193,H$4-$G$4+5,FALSE))</f>
        <v>0</v>
      </c>
      <c r="I12" s="251">
        <f>IF(I$4&lt;ControlPanel!$D$59,VLOOKUP("Referenz",$C$169:$AF$193,I$4-$G$4+5,FALSE),VLOOKUP($C$12,$C$169:$AF$193,I$4-$G$4+5,FALSE))</f>
        <v>0</v>
      </c>
      <c r="J12" s="251">
        <f>IF(J$4&lt;ControlPanel!$D$59,VLOOKUP("Referenz",$C$169:$AF$193,J$4-$G$4+5,FALSE),VLOOKUP($C$12,$C$169:$AF$193,J$4-$G$4+5,FALSE))</f>
        <v>0</v>
      </c>
      <c r="K12" s="251">
        <f>IF(K$4&lt;ControlPanel!$D$59,VLOOKUP("Referenz",$C$169:$AF$193,K$4-$G$4+5,FALSE),VLOOKUP($C$12,$C$169:$AF$193,K$4-$G$4+5,FALSE))</f>
        <v>0</v>
      </c>
      <c r="L12" s="251">
        <f>IF(L$4&lt;ControlPanel!$D$59,VLOOKUP("Referenz",$C$169:$AF$193,L$4-$G$4+5,FALSE),VLOOKUP($C$12,$C$169:$AF$193,L$4-$G$4+5,FALSE))</f>
        <v>5</v>
      </c>
      <c r="M12" s="251">
        <f>IF(M$4&lt;ControlPanel!$D$59,VLOOKUP("Referenz",$C$169:$AF$193,M$4-$G$4+5,FALSE),VLOOKUP($C$12,$C$169:$AF$193,M$4-$G$4+5,FALSE))</f>
        <v>5</v>
      </c>
      <c r="N12" s="251">
        <f>IF(N$4&lt;ControlPanel!$D$59,VLOOKUP("Referenz",$C$169:$AF$193,N$4-$G$4+5,FALSE),VLOOKUP($C$12,$C$169:$AF$193,N$4-$G$4+5,FALSE))</f>
        <v>5</v>
      </c>
      <c r="O12" s="42">
        <f>IF(O$4&lt;ControlPanel!$D$59,VLOOKUP("Referenz",$C$169:$AF$193,O$4-$G$4+5,FALSE),VLOOKUP($C$12,$C$169:$AF$193,O$4-$G$4+5,FALSE))</f>
        <v>5</v>
      </c>
      <c r="P12" s="42">
        <f>IF(P$4&lt;ControlPanel!$D$59,VLOOKUP("Referenz",$C$169:$AF$193,P$4-$G$4+5,FALSE),VLOOKUP($C$12,$C$169:$AF$193,P$4-$G$4+5,FALSE))</f>
        <v>5</v>
      </c>
      <c r="Q12" s="42">
        <f>IF(Q$4&lt;ControlPanel!$D$59,VLOOKUP("Referenz",$C$169:$AF$193,Q$4-$G$4+5,FALSE),VLOOKUP($C$12,$C$169:$AF$193,Q$4-$G$4+5,FALSE))</f>
        <v>5</v>
      </c>
      <c r="R12" s="42">
        <f>IF(R$4&lt;ControlPanel!$D$59,VLOOKUP("Referenz",$C$169:$AF$193,R$4-$G$4+5,FALSE),VLOOKUP($C$12,$C$169:$AF$193,R$4-$G$4+5,FALSE))</f>
        <v>5</v>
      </c>
      <c r="S12" s="42">
        <f>IF(S$4&lt;ControlPanel!$D$59,VLOOKUP("Referenz",$C$169:$AF$193,S$4-$G$4+5,FALSE),VLOOKUP($C$12,$C$169:$AF$193,S$4-$G$4+5,FALSE))</f>
        <v>5</v>
      </c>
      <c r="T12" s="42">
        <f>IF(T$4&lt;ControlPanel!$D$59,VLOOKUP("Referenz",$C$169:$AF$193,T$4-$G$4+5,FALSE),VLOOKUP($C$12,$C$169:$AF$193,T$4-$G$4+5,FALSE))</f>
        <v>5</v>
      </c>
      <c r="U12" s="42">
        <f>IF(U$4&lt;ControlPanel!$D$59,VLOOKUP("Referenz",$C$169:$AF$193,U$4-$G$4+5,FALSE),VLOOKUP($C$12,$C$169:$AF$193,U$4-$G$4+5,FALSE))</f>
        <v>5</v>
      </c>
      <c r="V12" s="42">
        <f>IF(V$4&lt;ControlPanel!$D$59,VLOOKUP("Referenz",$C$169:$AF$193,V$4-$G$4+5,FALSE),VLOOKUP($C$12,$C$169:$AF$193,V$4-$G$4+5,FALSE))</f>
        <v>5</v>
      </c>
      <c r="W12" s="42">
        <f>IF(W$4&lt;ControlPanel!$D$59,VLOOKUP("Referenz",$C$169:$AF$193,W$4-$G$4+5,FALSE),VLOOKUP($C$12,$C$169:$AF$193,W$4-$G$4+5,FALSE))</f>
        <v>5</v>
      </c>
      <c r="X12" s="42">
        <f>IF(X$4&lt;ControlPanel!$D$59,VLOOKUP("Referenz",$C$169:$AF$193,X$4-$G$4+5,FALSE),VLOOKUP($C$12,$C$169:$AF$193,X$4-$G$4+5,FALSE))</f>
        <v>5</v>
      </c>
      <c r="Y12" s="42">
        <f>IF(Y$4&lt;ControlPanel!$D$59,VLOOKUP("Referenz",$C$169:$AF$193,Y$4-$G$4+5,FALSE),VLOOKUP($C$12,$C$169:$AF$193,Y$4-$G$4+5,FALSE))</f>
        <v>5</v>
      </c>
      <c r="Z12" s="42">
        <f>IF(Z$4&lt;ControlPanel!$D$59,VLOOKUP("Referenz",$C$169:$AF$193,Z$4-$G$4+5,FALSE),VLOOKUP($C$12,$C$169:$AF$193,Z$4-$G$4+5,FALSE))</f>
        <v>5</v>
      </c>
      <c r="AA12" s="42">
        <f>IF(AA$4&lt;ControlPanel!$D$59,VLOOKUP("Referenz",$C$169:$AF$193,AA$4-$G$4+5,FALSE),VLOOKUP($C$12,$C$169:$AF$193,AA$4-$G$4+5,FALSE))</f>
        <v>5</v>
      </c>
      <c r="AB12" s="42">
        <f>IF(AB$4&lt;ControlPanel!$D$59,VLOOKUP("Referenz",$C$169:$AF$193,AB$4-$G$4+5,FALSE),VLOOKUP($C$12,$C$169:$AF$193,AB$4-$G$4+5,FALSE))</f>
        <v>5</v>
      </c>
      <c r="AC12" s="42">
        <f>IF(AC$4&lt;ControlPanel!$D$59,VLOOKUP("Referenz",$C$169:$AF$193,AC$4-$G$4+5,FALSE),VLOOKUP($C$12,$C$169:$AF$193,AC$4-$G$4+5,FALSE))</f>
        <v>5</v>
      </c>
      <c r="AD12" s="42">
        <f>IF(AD$4&lt;ControlPanel!$D$59,VLOOKUP("Referenz",$C$169:$AF$193,AD$4-$G$4+5,FALSE),VLOOKUP($C$12,$C$169:$AF$193,AD$4-$G$4+5,FALSE))</f>
        <v>5</v>
      </c>
      <c r="AE12" s="42">
        <f>IF(AE$4&lt;ControlPanel!$D$59,VLOOKUP("Referenz",$C$169:$AF$193,AE$4-$G$4+5,FALSE),VLOOKUP($C$12,$C$169:$AF$193,AE$4-$G$4+5,FALSE))</f>
        <v>5</v>
      </c>
      <c r="AF12" s="42">
        <f>IF(AF$4&lt;ControlPanel!$D$59,VLOOKUP("Referenz",$C$169:$AF$193,AF$4-$G$4+5,FALSE),VLOOKUP($C$12,$C$169:$AF$193,AF$4-$G$4+5,FALSE))</f>
        <v>5</v>
      </c>
    </row>
    <row r="13" spans="1:32" ht="15" customHeight="1">
      <c r="B13" s="172" t="s">
        <v>25</v>
      </c>
      <c r="C13" s="321" t="s">
        <v>138</v>
      </c>
      <c r="D13" s="22" t="s">
        <v>65</v>
      </c>
      <c r="E13" s="35" t="s">
        <v>558</v>
      </c>
      <c r="F13" s="548"/>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row>
    <row r="14" spans="1:32" s="470" customFormat="1" ht="15" customHeight="1">
      <c r="A14" s="9"/>
      <c r="B14" s="64"/>
      <c r="C14" s="174" t="s">
        <v>558</v>
      </c>
      <c r="D14" s="12" t="s">
        <v>65</v>
      </c>
      <c r="E14" s="11" t="s">
        <v>558</v>
      </c>
      <c r="F14" s="222"/>
      <c r="G14" s="328"/>
      <c r="H14" s="328"/>
      <c r="I14" s="328"/>
      <c r="J14" s="328"/>
      <c r="K14" s="328"/>
      <c r="L14" s="328">
        <v>0</v>
      </c>
      <c r="M14" s="328">
        <v>0</v>
      </c>
      <c r="N14" s="328">
        <v>0</v>
      </c>
      <c r="O14" s="328">
        <v>0</v>
      </c>
      <c r="P14" s="328">
        <v>0</v>
      </c>
      <c r="Q14" s="328">
        <v>0</v>
      </c>
      <c r="R14" s="328">
        <v>0</v>
      </c>
      <c r="S14" s="328">
        <v>0</v>
      </c>
      <c r="T14" s="328">
        <v>0</v>
      </c>
      <c r="U14" s="328">
        <v>0</v>
      </c>
      <c r="V14" s="328">
        <v>0</v>
      </c>
      <c r="W14" s="328">
        <v>0</v>
      </c>
      <c r="X14" s="328">
        <v>0</v>
      </c>
      <c r="Y14" s="328">
        <v>0</v>
      </c>
      <c r="Z14" s="328">
        <v>0</v>
      </c>
      <c r="AA14" s="328">
        <v>0</v>
      </c>
      <c r="AB14" s="328">
        <v>0</v>
      </c>
      <c r="AC14" s="328">
        <v>0</v>
      </c>
      <c r="AD14" s="328">
        <v>0</v>
      </c>
      <c r="AE14" s="328">
        <v>0</v>
      </c>
      <c r="AF14" s="328">
        <v>0</v>
      </c>
    </row>
    <row r="15" spans="1:32" s="470" customFormat="1" ht="15" customHeight="1">
      <c r="A15" s="9"/>
      <c r="B15" s="64"/>
      <c r="C15" s="1179" t="s">
        <v>559</v>
      </c>
      <c r="D15" s="12" t="s">
        <v>65</v>
      </c>
      <c r="E15" s="1179" t="s">
        <v>559</v>
      </c>
      <c r="F15" s="222"/>
      <c r="G15" s="328"/>
      <c r="H15" s="328"/>
      <c r="I15" s="328"/>
      <c r="J15" s="328"/>
      <c r="K15" s="328"/>
      <c r="L15" s="328">
        <v>1</v>
      </c>
      <c r="M15" s="328">
        <v>1</v>
      </c>
      <c r="N15" s="328">
        <v>1</v>
      </c>
      <c r="O15" s="328">
        <v>1</v>
      </c>
      <c r="P15" s="328">
        <v>1</v>
      </c>
      <c r="Q15" s="328">
        <v>1</v>
      </c>
      <c r="R15" s="328">
        <v>1</v>
      </c>
      <c r="S15" s="328">
        <v>1</v>
      </c>
      <c r="T15" s="328">
        <v>1</v>
      </c>
      <c r="U15" s="328">
        <v>1</v>
      </c>
      <c r="V15" s="328">
        <v>1</v>
      </c>
      <c r="W15" s="328">
        <v>1</v>
      </c>
      <c r="X15" s="328">
        <v>1</v>
      </c>
      <c r="Y15" s="328">
        <v>1</v>
      </c>
      <c r="Z15" s="328">
        <v>1</v>
      </c>
      <c r="AA15" s="328">
        <v>1</v>
      </c>
      <c r="AB15" s="328">
        <v>1</v>
      </c>
      <c r="AC15" s="328">
        <v>1</v>
      </c>
      <c r="AD15" s="328">
        <v>1</v>
      </c>
      <c r="AE15" s="328">
        <v>1</v>
      </c>
      <c r="AF15" s="328">
        <v>1</v>
      </c>
    </row>
    <row r="16" spans="1:32" s="470" customFormat="1" ht="15" customHeight="1">
      <c r="A16" s="9"/>
      <c r="B16" s="64"/>
      <c r="C16" s="16" t="s">
        <v>560</v>
      </c>
      <c r="D16" s="12" t="s">
        <v>65</v>
      </c>
      <c r="E16" s="16" t="s">
        <v>560</v>
      </c>
      <c r="F16" s="222"/>
      <c r="G16" s="328"/>
      <c r="H16" s="328"/>
      <c r="I16" s="328"/>
      <c r="J16" s="328"/>
      <c r="K16" s="328"/>
      <c r="L16" s="328"/>
      <c r="M16" s="328"/>
      <c r="N16" s="328"/>
      <c r="O16" s="328"/>
      <c r="P16" s="328"/>
      <c r="Q16" s="328">
        <v>2</v>
      </c>
      <c r="R16" s="328">
        <v>2</v>
      </c>
      <c r="S16" s="328">
        <v>2</v>
      </c>
      <c r="T16" s="328">
        <v>2</v>
      </c>
      <c r="U16" s="328">
        <v>2</v>
      </c>
      <c r="V16" s="328">
        <v>2</v>
      </c>
      <c r="W16" s="328">
        <v>2</v>
      </c>
      <c r="X16" s="328">
        <v>2</v>
      </c>
      <c r="Y16" s="328">
        <v>2</v>
      </c>
      <c r="Z16" s="328">
        <v>2</v>
      </c>
      <c r="AA16" s="328">
        <v>2</v>
      </c>
      <c r="AB16" s="328">
        <v>2</v>
      </c>
      <c r="AC16" s="328">
        <v>2</v>
      </c>
      <c r="AD16" s="328">
        <v>2</v>
      </c>
      <c r="AE16" s="328">
        <v>2</v>
      </c>
      <c r="AF16" s="328">
        <v>2</v>
      </c>
    </row>
    <row r="17" spans="1:32" s="470" customFormat="1" ht="15" customHeight="1">
      <c r="A17" s="9"/>
      <c r="B17" s="64"/>
      <c r="C17" s="16" t="s">
        <v>561</v>
      </c>
      <c r="D17" s="12" t="s">
        <v>65</v>
      </c>
      <c r="E17" s="16" t="s">
        <v>561</v>
      </c>
      <c r="F17" s="222"/>
      <c r="G17" s="328"/>
      <c r="H17" s="328"/>
      <c r="I17" s="328"/>
      <c r="J17" s="328"/>
      <c r="K17" s="328"/>
      <c r="L17" s="328"/>
      <c r="M17" s="328"/>
      <c r="N17" s="328"/>
      <c r="O17" s="328"/>
      <c r="P17" s="328"/>
      <c r="Q17" s="328">
        <v>3</v>
      </c>
      <c r="R17" s="328">
        <v>3</v>
      </c>
      <c r="S17" s="328">
        <v>3</v>
      </c>
      <c r="T17" s="328">
        <v>3</v>
      </c>
      <c r="U17" s="328">
        <v>3</v>
      </c>
      <c r="V17" s="328">
        <v>3</v>
      </c>
      <c r="W17" s="328">
        <v>3</v>
      </c>
      <c r="X17" s="328">
        <v>3</v>
      </c>
      <c r="Y17" s="328">
        <v>3</v>
      </c>
      <c r="Z17" s="328">
        <v>3</v>
      </c>
      <c r="AA17" s="328">
        <v>3</v>
      </c>
      <c r="AB17" s="328">
        <v>3</v>
      </c>
      <c r="AC17" s="328">
        <v>3</v>
      </c>
      <c r="AD17" s="328">
        <v>3</v>
      </c>
      <c r="AE17" s="328">
        <v>3</v>
      </c>
      <c r="AF17" s="328">
        <v>3</v>
      </c>
    </row>
    <row r="18" spans="1:32" s="470" customFormat="1" ht="15" customHeight="1">
      <c r="A18" s="9"/>
      <c r="B18" s="64"/>
      <c r="C18" s="16" t="s">
        <v>562</v>
      </c>
      <c r="D18" s="12" t="s">
        <v>65</v>
      </c>
      <c r="E18" s="16" t="s">
        <v>562</v>
      </c>
      <c r="F18" s="222"/>
      <c r="G18" s="328"/>
      <c r="H18" s="328"/>
      <c r="I18" s="328"/>
      <c r="J18" s="328"/>
      <c r="K18" s="328"/>
      <c r="L18" s="328"/>
      <c r="M18" s="328"/>
      <c r="N18" s="328"/>
      <c r="O18" s="328"/>
      <c r="P18" s="328"/>
      <c r="Q18" s="328">
        <v>4</v>
      </c>
      <c r="R18" s="328">
        <v>4</v>
      </c>
      <c r="S18" s="328">
        <v>4</v>
      </c>
      <c r="T18" s="328">
        <v>4</v>
      </c>
      <c r="U18" s="328">
        <v>4</v>
      </c>
      <c r="V18" s="328">
        <v>4</v>
      </c>
      <c r="W18" s="328">
        <v>4</v>
      </c>
      <c r="X18" s="328">
        <v>4</v>
      </c>
      <c r="Y18" s="328">
        <v>4</v>
      </c>
      <c r="Z18" s="328">
        <v>4</v>
      </c>
      <c r="AA18" s="328">
        <v>4</v>
      </c>
      <c r="AB18" s="328">
        <v>4</v>
      </c>
      <c r="AC18" s="328">
        <v>4</v>
      </c>
      <c r="AD18" s="328">
        <v>4</v>
      </c>
      <c r="AE18" s="328">
        <v>4</v>
      </c>
      <c r="AF18" s="328">
        <v>4</v>
      </c>
    </row>
    <row r="19" spans="1:32" s="470" customFormat="1" ht="15" customHeight="1">
      <c r="A19" s="9"/>
      <c r="B19" s="64"/>
      <c r="C19" s="16" t="s">
        <v>557</v>
      </c>
      <c r="D19" s="12" t="s">
        <v>65</v>
      </c>
      <c r="E19" s="16" t="s">
        <v>557</v>
      </c>
      <c r="F19" s="222"/>
      <c r="G19" s="328"/>
      <c r="H19" s="328"/>
      <c r="I19" s="328"/>
      <c r="J19" s="328"/>
      <c r="K19" s="328"/>
      <c r="L19" s="328"/>
      <c r="M19" s="328"/>
      <c r="N19" s="328"/>
      <c r="O19" s="328"/>
      <c r="P19" s="328"/>
      <c r="Q19" s="328">
        <v>5</v>
      </c>
      <c r="R19" s="328">
        <v>5</v>
      </c>
      <c r="S19" s="328">
        <v>5</v>
      </c>
      <c r="T19" s="328">
        <v>5</v>
      </c>
      <c r="U19" s="328">
        <v>5</v>
      </c>
      <c r="V19" s="328">
        <v>5</v>
      </c>
      <c r="W19" s="328">
        <v>5</v>
      </c>
      <c r="X19" s="328">
        <v>5</v>
      </c>
      <c r="Y19" s="328">
        <v>5</v>
      </c>
      <c r="Z19" s="328">
        <v>5</v>
      </c>
      <c r="AA19" s="328">
        <v>5</v>
      </c>
      <c r="AB19" s="328">
        <v>5</v>
      </c>
      <c r="AC19" s="328">
        <v>5</v>
      </c>
      <c r="AD19" s="328">
        <v>5</v>
      </c>
      <c r="AE19" s="328">
        <v>5</v>
      </c>
      <c r="AF19" s="328">
        <v>5</v>
      </c>
    </row>
    <row r="20" spans="1:32" s="470" customFormat="1" ht="15" customHeight="1">
      <c r="A20" s="9"/>
      <c r="B20" s="64"/>
      <c r="C20" s="16" t="s">
        <v>563</v>
      </c>
      <c r="D20" s="12" t="s">
        <v>65</v>
      </c>
      <c r="E20" s="16" t="s">
        <v>563</v>
      </c>
      <c r="F20" s="222"/>
      <c r="G20" s="328"/>
      <c r="H20" s="328"/>
      <c r="I20" s="328"/>
      <c r="J20" s="328"/>
      <c r="K20" s="328"/>
      <c r="L20" s="328"/>
      <c r="M20" s="328"/>
      <c r="N20" s="328"/>
      <c r="O20" s="328"/>
      <c r="P20" s="328"/>
      <c r="Q20" s="328">
        <v>6</v>
      </c>
      <c r="R20" s="328">
        <v>6</v>
      </c>
      <c r="S20" s="328">
        <v>6</v>
      </c>
      <c r="T20" s="328">
        <v>6</v>
      </c>
      <c r="U20" s="328">
        <v>6</v>
      </c>
      <c r="V20" s="328">
        <v>6</v>
      </c>
      <c r="W20" s="328">
        <v>6</v>
      </c>
      <c r="X20" s="328">
        <v>6</v>
      </c>
      <c r="Y20" s="328">
        <v>6</v>
      </c>
      <c r="Z20" s="328">
        <v>6</v>
      </c>
      <c r="AA20" s="328">
        <v>6</v>
      </c>
      <c r="AB20" s="328">
        <v>6</v>
      </c>
      <c r="AC20" s="328">
        <v>6</v>
      </c>
      <c r="AD20" s="328">
        <v>6</v>
      </c>
      <c r="AE20" s="328">
        <v>6</v>
      </c>
      <c r="AF20" s="328">
        <v>6</v>
      </c>
    </row>
    <row r="21" spans="1:32" s="470" customFormat="1" ht="15" customHeight="1">
      <c r="A21" s="9"/>
      <c r="B21" s="64"/>
      <c r="C21" s="16" t="s">
        <v>564</v>
      </c>
      <c r="D21" s="12" t="s">
        <v>65</v>
      </c>
      <c r="E21" s="16" t="s">
        <v>564</v>
      </c>
      <c r="F21" s="222"/>
      <c r="G21" s="328"/>
      <c r="H21" s="328"/>
      <c r="I21" s="328"/>
      <c r="J21" s="328"/>
      <c r="K21" s="328"/>
      <c r="L21" s="328"/>
      <c r="M21" s="328"/>
      <c r="N21" s="328"/>
      <c r="O21" s="328"/>
      <c r="P21" s="328"/>
      <c r="Q21" s="328">
        <v>7</v>
      </c>
      <c r="R21" s="328">
        <v>7</v>
      </c>
      <c r="S21" s="328">
        <v>7</v>
      </c>
      <c r="T21" s="328">
        <v>7</v>
      </c>
      <c r="U21" s="328">
        <v>7</v>
      </c>
      <c r="V21" s="328">
        <v>7</v>
      </c>
      <c r="W21" s="328">
        <v>7</v>
      </c>
      <c r="X21" s="328">
        <v>7</v>
      </c>
      <c r="Y21" s="328">
        <v>7</v>
      </c>
      <c r="Z21" s="328">
        <v>7</v>
      </c>
      <c r="AA21" s="328">
        <v>7</v>
      </c>
      <c r="AB21" s="328">
        <v>7</v>
      </c>
      <c r="AC21" s="328">
        <v>7</v>
      </c>
      <c r="AD21" s="328">
        <v>7</v>
      </c>
      <c r="AE21" s="328">
        <v>7</v>
      </c>
      <c r="AF21" s="328">
        <v>7</v>
      </c>
    </row>
    <row r="22" spans="1:32" s="470" customFormat="1" ht="15" customHeight="1">
      <c r="A22" s="9"/>
      <c r="B22" s="64"/>
      <c r="C22" s="16" t="s">
        <v>565</v>
      </c>
      <c r="D22" s="12" t="s">
        <v>65</v>
      </c>
      <c r="E22" s="16" t="s">
        <v>565</v>
      </c>
      <c r="F22" s="222"/>
      <c r="G22" s="328"/>
      <c r="H22" s="328"/>
      <c r="I22" s="328"/>
      <c r="J22" s="328"/>
      <c r="K22" s="328"/>
      <c r="L22" s="328"/>
      <c r="M22" s="328"/>
      <c r="N22" s="328"/>
      <c r="O22" s="328"/>
      <c r="P22" s="328"/>
      <c r="Q22" s="328">
        <v>8</v>
      </c>
      <c r="R22" s="328">
        <v>8</v>
      </c>
      <c r="S22" s="328">
        <v>8</v>
      </c>
      <c r="T22" s="328">
        <v>8</v>
      </c>
      <c r="U22" s="328">
        <v>8</v>
      </c>
      <c r="V22" s="328">
        <v>8</v>
      </c>
      <c r="W22" s="328">
        <v>8</v>
      </c>
      <c r="X22" s="328">
        <v>8</v>
      </c>
      <c r="Y22" s="328">
        <v>8</v>
      </c>
      <c r="Z22" s="328">
        <v>8</v>
      </c>
      <c r="AA22" s="328">
        <v>8</v>
      </c>
      <c r="AB22" s="328">
        <v>8</v>
      </c>
      <c r="AC22" s="328">
        <v>8</v>
      </c>
      <c r="AD22" s="328">
        <v>8</v>
      </c>
      <c r="AE22" s="328">
        <v>8</v>
      </c>
      <c r="AF22" s="328">
        <v>8</v>
      </c>
    </row>
    <row r="23" spans="1:32" s="470" customFormat="1" ht="15" customHeight="1">
      <c r="A23" s="9"/>
      <c r="B23" s="64"/>
      <c r="C23" s="16" t="s">
        <v>566</v>
      </c>
      <c r="D23" s="12" t="s">
        <v>65</v>
      </c>
      <c r="E23" s="16" t="s">
        <v>566</v>
      </c>
      <c r="F23" s="222"/>
      <c r="G23" s="328"/>
      <c r="H23" s="328"/>
      <c r="I23" s="328"/>
      <c r="J23" s="328"/>
      <c r="K23" s="328"/>
      <c r="L23" s="328"/>
      <c r="M23" s="328"/>
      <c r="N23" s="328"/>
      <c r="O23" s="328"/>
      <c r="P23" s="328"/>
      <c r="Q23" s="328">
        <v>9</v>
      </c>
      <c r="R23" s="328">
        <v>9</v>
      </c>
      <c r="S23" s="328">
        <v>9</v>
      </c>
      <c r="T23" s="328">
        <v>9</v>
      </c>
      <c r="U23" s="328">
        <v>9</v>
      </c>
      <c r="V23" s="328">
        <v>9</v>
      </c>
      <c r="W23" s="328">
        <v>9</v>
      </c>
      <c r="X23" s="328">
        <v>9</v>
      </c>
      <c r="Y23" s="328">
        <v>9</v>
      </c>
      <c r="Z23" s="328">
        <v>9</v>
      </c>
      <c r="AA23" s="328">
        <v>9</v>
      </c>
      <c r="AB23" s="328">
        <v>9</v>
      </c>
      <c r="AC23" s="328">
        <v>9</v>
      </c>
      <c r="AD23" s="328">
        <v>9</v>
      </c>
      <c r="AE23" s="328">
        <v>9</v>
      </c>
      <c r="AF23" s="328">
        <v>9</v>
      </c>
    </row>
    <row r="24" spans="1:32" s="470" customFormat="1" ht="15" customHeight="1">
      <c r="A24" s="9"/>
      <c r="B24" s="64"/>
      <c r="C24" s="16" t="s">
        <v>567</v>
      </c>
      <c r="D24" s="12" t="s">
        <v>65</v>
      </c>
      <c r="E24" s="16" t="s">
        <v>567</v>
      </c>
      <c r="F24" s="222"/>
      <c r="G24" s="328"/>
      <c r="H24" s="328"/>
      <c r="I24" s="328"/>
      <c r="J24" s="328"/>
      <c r="K24" s="328"/>
      <c r="L24" s="328"/>
      <c r="M24" s="328"/>
      <c r="N24" s="328"/>
      <c r="O24" s="328"/>
      <c r="P24" s="328"/>
      <c r="Q24" s="328">
        <v>10</v>
      </c>
      <c r="R24" s="328">
        <v>10</v>
      </c>
      <c r="S24" s="328">
        <v>10</v>
      </c>
      <c r="T24" s="328">
        <v>10</v>
      </c>
      <c r="U24" s="328">
        <v>10</v>
      </c>
      <c r="V24" s="328">
        <v>10</v>
      </c>
      <c r="W24" s="328">
        <v>10</v>
      </c>
      <c r="X24" s="328">
        <v>10</v>
      </c>
      <c r="Y24" s="328">
        <v>10</v>
      </c>
      <c r="Z24" s="328">
        <v>10</v>
      </c>
      <c r="AA24" s="328">
        <v>10</v>
      </c>
      <c r="AB24" s="328">
        <v>10</v>
      </c>
      <c r="AC24" s="328">
        <v>10</v>
      </c>
      <c r="AD24" s="328">
        <v>10</v>
      </c>
      <c r="AE24" s="328">
        <v>10</v>
      </c>
      <c r="AF24" s="328">
        <v>10</v>
      </c>
    </row>
    <row r="25" spans="1:32" s="470" customFormat="1" ht="15" customHeight="1">
      <c r="B25" s="471"/>
      <c r="C25" s="183"/>
      <c r="D25" s="186"/>
      <c r="E25" s="169"/>
      <c r="F25" s="540"/>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1:32" s="470" customFormat="1" ht="15" customHeight="1">
      <c r="B26" s="471"/>
      <c r="C26" s="183"/>
      <c r="D26" s="186"/>
      <c r="E26" s="169"/>
      <c r="F26" s="540"/>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1:32" s="470" customFormat="1" ht="15" customHeight="1">
      <c r="B27" s="471"/>
      <c r="C27" s="183"/>
      <c r="D27" s="186"/>
      <c r="E27" s="169"/>
      <c r="F27" s="540"/>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1:32" s="470" customFormat="1" ht="15" customHeight="1">
      <c r="B28" s="471"/>
      <c r="C28" s="183"/>
      <c r="D28" s="186"/>
      <c r="E28" s="169"/>
      <c r="F28" s="540"/>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1:32" s="470" customFormat="1" ht="15" customHeight="1">
      <c r="B29" s="471"/>
      <c r="C29" s="183"/>
      <c r="D29" s="186"/>
      <c r="E29" s="169"/>
      <c r="F29" s="540"/>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1:32" s="470" customFormat="1" ht="15" customHeight="1">
      <c r="B30" s="471"/>
      <c r="C30" s="183"/>
      <c r="D30" s="186"/>
      <c r="E30" s="169"/>
      <c r="F30" s="540"/>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1:32" s="470" customFormat="1" ht="15" customHeight="1">
      <c r="B31" s="471"/>
      <c r="C31" s="183"/>
      <c r="D31" s="186"/>
      <c r="E31" s="169"/>
      <c r="F31" s="540"/>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1:32" s="470" customFormat="1" ht="15" customHeight="1">
      <c r="B32" s="471"/>
      <c r="C32" s="183"/>
      <c r="D32" s="186"/>
      <c r="E32" s="169"/>
      <c r="F32" s="540"/>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1:32" s="470" customFormat="1" ht="15" customHeight="1">
      <c r="B33" s="471"/>
      <c r="C33" s="183"/>
      <c r="D33" s="186"/>
      <c r="E33" s="169"/>
      <c r="F33" s="540"/>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1:32" s="470" customFormat="1" ht="15" customHeight="1">
      <c r="B34" s="471"/>
      <c r="C34" s="183"/>
      <c r="D34" s="186"/>
      <c r="E34" s="169"/>
      <c r="F34" s="540"/>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1:32" s="470" customFormat="1" ht="15" customHeight="1">
      <c r="B35" s="471"/>
      <c r="C35" s="183"/>
      <c r="D35" s="186"/>
      <c r="E35" s="169"/>
      <c r="F35" s="540"/>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1:32" s="470" customFormat="1" ht="15" customHeight="1">
      <c r="B36" s="471"/>
      <c r="C36" s="183"/>
      <c r="D36" s="186"/>
      <c r="E36" s="169"/>
      <c r="F36" s="540"/>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1:32" s="470" customFormat="1" ht="15" customHeight="1">
      <c r="B37" s="472"/>
      <c r="C37" s="185"/>
      <c r="D37" s="188"/>
      <c r="E37" s="189"/>
      <c r="F37" s="541"/>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1:32" ht="15" customHeight="1">
      <c r="C38" s="18"/>
      <c r="D38" s="18"/>
      <c r="E38" s="18"/>
      <c r="F38" s="1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row>
    <row r="39" spans="1:32" ht="15" customHeight="1">
      <c r="B39" s="172" t="s">
        <v>27</v>
      </c>
      <c r="C39" s="321" t="s">
        <v>138</v>
      </c>
      <c r="D39" s="22" t="s">
        <v>65</v>
      </c>
      <c r="E39" s="35" t="s">
        <v>558</v>
      </c>
      <c r="F39" s="548"/>
      <c r="G39" s="23">
        <v>0</v>
      </c>
      <c r="H39" s="23">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row>
    <row r="40" spans="1:32" s="470" customFormat="1" ht="15" customHeight="1">
      <c r="A40" s="9"/>
      <c r="B40" s="64"/>
      <c r="C40" s="174" t="s">
        <v>558</v>
      </c>
      <c r="D40" s="12" t="s">
        <v>65</v>
      </c>
      <c r="E40" s="11" t="s">
        <v>558</v>
      </c>
      <c r="F40" s="222"/>
      <c r="G40" s="328"/>
      <c r="H40" s="328"/>
      <c r="I40" s="328"/>
      <c r="J40" s="328"/>
      <c r="K40" s="328"/>
      <c r="L40" s="328">
        <v>0</v>
      </c>
      <c r="M40" s="328">
        <v>0</v>
      </c>
      <c r="N40" s="328">
        <v>0</v>
      </c>
      <c r="O40" s="328">
        <v>0</v>
      </c>
      <c r="P40" s="328">
        <v>0</v>
      </c>
      <c r="Q40" s="328">
        <v>0</v>
      </c>
      <c r="R40" s="328">
        <v>0</v>
      </c>
      <c r="S40" s="328">
        <v>0</v>
      </c>
      <c r="T40" s="328">
        <v>0</v>
      </c>
      <c r="U40" s="328">
        <v>0</v>
      </c>
      <c r="V40" s="328">
        <v>0</v>
      </c>
      <c r="W40" s="328">
        <v>0</v>
      </c>
      <c r="X40" s="328">
        <v>0</v>
      </c>
      <c r="Y40" s="328">
        <v>0</v>
      </c>
      <c r="Z40" s="328">
        <v>0</v>
      </c>
      <c r="AA40" s="328">
        <v>0</v>
      </c>
      <c r="AB40" s="328">
        <v>0</v>
      </c>
      <c r="AC40" s="328">
        <v>0</v>
      </c>
      <c r="AD40" s="328">
        <v>0</v>
      </c>
      <c r="AE40" s="328">
        <v>0</v>
      </c>
      <c r="AF40" s="328">
        <v>0</v>
      </c>
    </row>
    <row r="41" spans="1:32" s="470" customFormat="1" ht="15" customHeight="1">
      <c r="A41" s="9"/>
      <c r="B41" s="64"/>
      <c r="C41" s="1179" t="s">
        <v>559</v>
      </c>
      <c r="D41" s="12" t="s">
        <v>65</v>
      </c>
      <c r="E41" s="1179" t="s">
        <v>559</v>
      </c>
      <c r="F41" s="222"/>
      <c r="G41" s="328"/>
      <c r="H41" s="328"/>
      <c r="I41" s="328"/>
      <c r="J41" s="328"/>
      <c r="K41" s="328"/>
      <c r="L41" s="328">
        <v>1</v>
      </c>
      <c r="M41" s="328">
        <v>1</v>
      </c>
      <c r="N41" s="328">
        <v>1</v>
      </c>
      <c r="O41" s="328">
        <v>1</v>
      </c>
      <c r="P41" s="328">
        <v>1</v>
      </c>
      <c r="Q41" s="328">
        <v>1</v>
      </c>
      <c r="R41" s="328">
        <v>1</v>
      </c>
      <c r="S41" s="328">
        <v>1</v>
      </c>
      <c r="T41" s="328">
        <v>1</v>
      </c>
      <c r="U41" s="328">
        <v>1</v>
      </c>
      <c r="V41" s="328">
        <v>1</v>
      </c>
      <c r="W41" s="328">
        <v>1</v>
      </c>
      <c r="X41" s="328">
        <v>1</v>
      </c>
      <c r="Y41" s="328">
        <v>1</v>
      </c>
      <c r="Z41" s="328">
        <v>1</v>
      </c>
      <c r="AA41" s="328">
        <v>1</v>
      </c>
      <c r="AB41" s="328">
        <v>1</v>
      </c>
      <c r="AC41" s="328">
        <v>1</v>
      </c>
      <c r="AD41" s="328">
        <v>1</v>
      </c>
      <c r="AE41" s="328">
        <v>1</v>
      </c>
      <c r="AF41" s="328">
        <v>1</v>
      </c>
    </row>
    <row r="42" spans="1:32" s="470" customFormat="1" ht="15" customHeight="1">
      <c r="A42" s="9"/>
      <c r="B42" s="64"/>
      <c r="C42" s="16" t="s">
        <v>560</v>
      </c>
      <c r="D42" s="12" t="s">
        <v>65</v>
      </c>
      <c r="E42" s="16" t="s">
        <v>560</v>
      </c>
      <c r="F42" s="222"/>
      <c r="G42" s="328"/>
      <c r="H42" s="328"/>
      <c r="I42" s="328"/>
      <c r="J42" s="328"/>
      <c r="K42" s="328"/>
      <c r="L42" s="328"/>
      <c r="M42" s="328"/>
      <c r="N42" s="328"/>
      <c r="O42" s="328"/>
      <c r="P42" s="328"/>
      <c r="Q42" s="328">
        <v>2</v>
      </c>
      <c r="R42" s="328">
        <v>2</v>
      </c>
      <c r="S42" s="328">
        <v>2</v>
      </c>
      <c r="T42" s="328">
        <v>2</v>
      </c>
      <c r="U42" s="328">
        <v>2</v>
      </c>
      <c r="V42" s="328">
        <v>2</v>
      </c>
      <c r="W42" s="328">
        <v>2</v>
      </c>
      <c r="X42" s="328">
        <v>2</v>
      </c>
      <c r="Y42" s="328">
        <v>2</v>
      </c>
      <c r="Z42" s="328">
        <v>2</v>
      </c>
      <c r="AA42" s="328">
        <v>2</v>
      </c>
      <c r="AB42" s="328">
        <v>2</v>
      </c>
      <c r="AC42" s="328">
        <v>2</v>
      </c>
      <c r="AD42" s="328">
        <v>2</v>
      </c>
      <c r="AE42" s="328">
        <v>2</v>
      </c>
      <c r="AF42" s="328">
        <v>2</v>
      </c>
    </row>
    <row r="43" spans="1:32" s="470" customFormat="1" ht="15" customHeight="1">
      <c r="A43" s="9"/>
      <c r="B43" s="64"/>
      <c r="C43" s="16" t="s">
        <v>561</v>
      </c>
      <c r="D43" s="12" t="s">
        <v>65</v>
      </c>
      <c r="E43" s="16" t="s">
        <v>561</v>
      </c>
      <c r="F43" s="222"/>
      <c r="G43" s="328"/>
      <c r="H43" s="328"/>
      <c r="I43" s="328"/>
      <c r="J43" s="328"/>
      <c r="K43" s="328"/>
      <c r="L43" s="328"/>
      <c r="M43" s="328"/>
      <c r="N43" s="328"/>
      <c r="O43" s="328"/>
      <c r="P43" s="328"/>
      <c r="Q43" s="328">
        <v>3</v>
      </c>
      <c r="R43" s="328">
        <v>3</v>
      </c>
      <c r="S43" s="328">
        <v>3</v>
      </c>
      <c r="T43" s="328">
        <v>3</v>
      </c>
      <c r="U43" s="328">
        <v>3</v>
      </c>
      <c r="V43" s="328">
        <v>3</v>
      </c>
      <c r="W43" s="328">
        <v>3</v>
      </c>
      <c r="X43" s="328">
        <v>3</v>
      </c>
      <c r="Y43" s="328">
        <v>3</v>
      </c>
      <c r="Z43" s="328">
        <v>3</v>
      </c>
      <c r="AA43" s="328">
        <v>3</v>
      </c>
      <c r="AB43" s="328">
        <v>3</v>
      </c>
      <c r="AC43" s="328">
        <v>3</v>
      </c>
      <c r="AD43" s="328">
        <v>3</v>
      </c>
      <c r="AE43" s="328">
        <v>3</v>
      </c>
      <c r="AF43" s="328">
        <v>3</v>
      </c>
    </row>
    <row r="44" spans="1:32" s="470" customFormat="1" ht="15" customHeight="1">
      <c r="A44" s="9"/>
      <c r="B44" s="64"/>
      <c r="C44" s="16" t="s">
        <v>562</v>
      </c>
      <c r="D44" s="12" t="s">
        <v>65</v>
      </c>
      <c r="E44" s="16" t="s">
        <v>562</v>
      </c>
      <c r="F44" s="222"/>
      <c r="G44" s="328"/>
      <c r="H44" s="328"/>
      <c r="I44" s="328"/>
      <c r="J44" s="328"/>
      <c r="K44" s="328"/>
      <c r="L44" s="328"/>
      <c r="M44" s="328"/>
      <c r="N44" s="328"/>
      <c r="O44" s="328"/>
      <c r="P44" s="328"/>
      <c r="Q44" s="328">
        <v>4</v>
      </c>
      <c r="R44" s="328">
        <v>4</v>
      </c>
      <c r="S44" s="328">
        <v>4</v>
      </c>
      <c r="T44" s="328">
        <v>4</v>
      </c>
      <c r="U44" s="328">
        <v>4</v>
      </c>
      <c r="V44" s="328">
        <v>4</v>
      </c>
      <c r="W44" s="328">
        <v>4</v>
      </c>
      <c r="X44" s="328">
        <v>4</v>
      </c>
      <c r="Y44" s="328">
        <v>4</v>
      </c>
      <c r="Z44" s="328">
        <v>4</v>
      </c>
      <c r="AA44" s="328">
        <v>4</v>
      </c>
      <c r="AB44" s="328">
        <v>4</v>
      </c>
      <c r="AC44" s="328">
        <v>4</v>
      </c>
      <c r="AD44" s="328">
        <v>4</v>
      </c>
      <c r="AE44" s="328">
        <v>4</v>
      </c>
      <c r="AF44" s="328">
        <v>4</v>
      </c>
    </row>
    <row r="45" spans="1:32" s="470" customFormat="1" ht="15" customHeight="1">
      <c r="A45" s="9"/>
      <c r="B45" s="64"/>
      <c r="C45" s="16" t="s">
        <v>557</v>
      </c>
      <c r="D45" s="12" t="s">
        <v>65</v>
      </c>
      <c r="E45" s="16" t="s">
        <v>557</v>
      </c>
      <c r="F45" s="222"/>
      <c r="G45" s="328"/>
      <c r="H45" s="328"/>
      <c r="I45" s="328"/>
      <c r="J45" s="328"/>
      <c r="K45" s="328"/>
      <c r="L45" s="328"/>
      <c r="M45" s="328"/>
      <c r="N45" s="328"/>
      <c r="O45" s="328"/>
      <c r="P45" s="328"/>
      <c r="Q45" s="328">
        <v>5</v>
      </c>
      <c r="R45" s="328">
        <v>5</v>
      </c>
      <c r="S45" s="328">
        <v>5</v>
      </c>
      <c r="T45" s="328">
        <v>5</v>
      </c>
      <c r="U45" s="328">
        <v>5</v>
      </c>
      <c r="V45" s="328">
        <v>5</v>
      </c>
      <c r="W45" s="328">
        <v>5</v>
      </c>
      <c r="X45" s="328">
        <v>5</v>
      </c>
      <c r="Y45" s="328">
        <v>5</v>
      </c>
      <c r="Z45" s="328">
        <v>5</v>
      </c>
      <c r="AA45" s="328">
        <v>5</v>
      </c>
      <c r="AB45" s="328">
        <v>5</v>
      </c>
      <c r="AC45" s="328">
        <v>5</v>
      </c>
      <c r="AD45" s="328">
        <v>5</v>
      </c>
      <c r="AE45" s="328">
        <v>5</v>
      </c>
      <c r="AF45" s="328">
        <v>5</v>
      </c>
    </row>
    <row r="46" spans="1:32" s="470" customFormat="1" ht="15" customHeight="1">
      <c r="A46" s="9"/>
      <c r="B46" s="64"/>
      <c r="C46" s="16" t="s">
        <v>563</v>
      </c>
      <c r="D46" s="12" t="s">
        <v>65</v>
      </c>
      <c r="E46" s="16" t="s">
        <v>563</v>
      </c>
      <c r="F46" s="222"/>
      <c r="G46" s="328"/>
      <c r="H46" s="328"/>
      <c r="I46" s="328"/>
      <c r="J46" s="328"/>
      <c r="K46" s="328"/>
      <c r="L46" s="328"/>
      <c r="M46" s="328"/>
      <c r="N46" s="328"/>
      <c r="O46" s="328"/>
      <c r="P46" s="328"/>
      <c r="Q46" s="328">
        <v>6</v>
      </c>
      <c r="R46" s="328">
        <v>6</v>
      </c>
      <c r="S46" s="328">
        <v>6</v>
      </c>
      <c r="T46" s="328">
        <v>6</v>
      </c>
      <c r="U46" s="328">
        <v>6</v>
      </c>
      <c r="V46" s="328">
        <v>6</v>
      </c>
      <c r="W46" s="328">
        <v>6</v>
      </c>
      <c r="X46" s="328">
        <v>6</v>
      </c>
      <c r="Y46" s="328">
        <v>6</v>
      </c>
      <c r="Z46" s="328">
        <v>6</v>
      </c>
      <c r="AA46" s="328">
        <v>6</v>
      </c>
      <c r="AB46" s="328">
        <v>6</v>
      </c>
      <c r="AC46" s="328">
        <v>6</v>
      </c>
      <c r="AD46" s="328">
        <v>6</v>
      </c>
      <c r="AE46" s="328">
        <v>6</v>
      </c>
      <c r="AF46" s="328">
        <v>6</v>
      </c>
    </row>
    <row r="47" spans="1:32" s="470" customFormat="1" ht="15" customHeight="1">
      <c r="A47" s="9"/>
      <c r="B47" s="64"/>
      <c r="C47" s="16" t="s">
        <v>564</v>
      </c>
      <c r="D47" s="12" t="s">
        <v>65</v>
      </c>
      <c r="E47" s="16" t="s">
        <v>564</v>
      </c>
      <c r="F47" s="222"/>
      <c r="G47" s="328"/>
      <c r="H47" s="328"/>
      <c r="I47" s="328"/>
      <c r="J47" s="328"/>
      <c r="K47" s="328"/>
      <c r="L47" s="328"/>
      <c r="M47" s="328"/>
      <c r="N47" s="328"/>
      <c r="O47" s="328"/>
      <c r="P47" s="328"/>
      <c r="Q47" s="328">
        <v>7</v>
      </c>
      <c r="R47" s="328">
        <v>7</v>
      </c>
      <c r="S47" s="328">
        <v>7</v>
      </c>
      <c r="T47" s="328">
        <v>7</v>
      </c>
      <c r="U47" s="328">
        <v>7</v>
      </c>
      <c r="V47" s="328">
        <v>7</v>
      </c>
      <c r="W47" s="328">
        <v>7</v>
      </c>
      <c r="X47" s="328">
        <v>7</v>
      </c>
      <c r="Y47" s="328">
        <v>7</v>
      </c>
      <c r="Z47" s="328">
        <v>7</v>
      </c>
      <c r="AA47" s="328">
        <v>7</v>
      </c>
      <c r="AB47" s="328">
        <v>7</v>
      </c>
      <c r="AC47" s="328">
        <v>7</v>
      </c>
      <c r="AD47" s="328">
        <v>7</v>
      </c>
      <c r="AE47" s="328">
        <v>7</v>
      </c>
      <c r="AF47" s="328">
        <v>7</v>
      </c>
    </row>
    <row r="48" spans="1:32" s="470" customFormat="1" ht="15" customHeight="1">
      <c r="A48" s="9"/>
      <c r="B48" s="64"/>
      <c r="C48" s="16" t="s">
        <v>565</v>
      </c>
      <c r="D48" s="12" t="s">
        <v>65</v>
      </c>
      <c r="E48" s="16" t="s">
        <v>565</v>
      </c>
      <c r="F48" s="222"/>
      <c r="G48" s="328"/>
      <c r="H48" s="328"/>
      <c r="I48" s="328"/>
      <c r="J48" s="328"/>
      <c r="K48" s="328"/>
      <c r="L48" s="328"/>
      <c r="M48" s="328"/>
      <c r="N48" s="328"/>
      <c r="O48" s="328"/>
      <c r="P48" s="328"/>
      <c r="Q48" s="328">
        <v>8</v>
      </c>
      <c r="R48" s="328">
        <v>8</v>
      </c>
      <c r="S48" s="328">
        <v>8</v>
      </c>
      <c r="T48" s="328">
        <v>8</v>
      </c>
      <c r="U48" s="328">
        <v>8</v>
      </c>
      <c r="V48" s="328">
        <v>8</v>
      </c>
      <c r="W48" s="328">
        <v>8</v>
      </c>
      <c r="X48" s="328">
        <v>8</v>
      </c>
      <c r="Y48" s="328">
        <v>8</v>
      </c>
      <c r="Z48" s="328">
        <v>8</v>
      </c>
      <c r="AA48" s="328">
        <v>8</v>
      </c>
      <c r="AB48" s="328">
        <v>8</v>
      </c>
      <c r="AC48" s="328">
        <v>8</v>
      </c>
      <c r="AD48" s="328">
        <v>8</v>
      </c>
      <c r="AE48" s="328">
        <v>8</v>
      </c>
      <c r="AF48" s="328">
        <v>8</v>
      </c>
    </row>
    <row r="49" spans="1:32" s="470" customFormat="1" ht="15" customHeight="1">
      <c r="A49" s="9"/>
      <c r="B49" s="64"/>
      <c r="C49" s="16" t="s">
        <v>566</v>
      </c>
      <c r="D49" s="12" t="s">
        <v>65</v>
      </c>
      <c r="E49" s="16" t="s">
        <v>566</v>
      </c>
      <c r="F49" s="222"/>
      <c r="G49" s="328"/>
      <c r="H49" s="328"/>
      <c r="I49" s="328"/>
      <c r="J49" s="328"/>
      <c r="K49" s="328"/>
      <c r="L49" s="328"/>
      <c r="M49" s="328"/>
      <c r="N49" s="328"/>
      <c r="O49" s="328"/>
      <c r="P49" s="328"/>
      <c r="Q49" s="328">
        <v>9</v>
      </c>
      <c r="R49" s="328">
        <v>9</v>
      </c>
      <c r="S49" s="328">
        <v>9</v>
      </c>
      <c r="T49" s="328">
        <v>9</v>
      </c>
      <c r="U49" s="328">
        <v>9</v>
      </c>
      <c r="V49" s="328">
        <v>9</v>
      </c>
      <c r="W49" s="328">
        <v>9</v>
      </c>
      <c r="X49" s="328">
        <v>9</v>
      </c>
      <c r="Y49" s="328">
        <v>9</v>
      </c>
      <c r="Z49" s="328">
        <v>9</v>
      </c>
      <c r="AA49" s="328">
        <v>9</v>
      </c>
      <c r="AB49" s="328">
        <v>9</v>
      </c>
      <c r="AC49" s="328">
        <v>9</v>
      </c>
      <c r="AD49" s="328">
        <v>9</v>
      </c>
      <c r="AE49" s="328">
        <v>9</v>
      </c>
      <c r="AF49" s="328">
        <v>9</v>
      </c>
    </row>
    <row r="50" spans="1:32" s="470" customFormat="1" ht="15" customHeight="1">
      <c r="A50" s="9"/>
      <c r="B50" s="64"/>
      <c r="C50" s="16" t="s">
        <v>567</v>
      </c>
      <c r="D50" s="12" t="s">
        <v>65</v>
      </c>
      <c r="E50" s="16" t="s">
        <v>567</v>
      </c>
      <c r="F50" s="222"/>
      <c r="G50" s="328"/>
      <c r="H50" s="328"/>
      <c r="I50" s="328"/>
      <c r="J50" s="328"/>
      <c r="K50" s="328"/>
      <c r="L50" s="328"/>
      <c r="M50" s="328"/>
      <c r="N50" s="328"/>
      <c r="O50" s="328"/>
      <c r="P50" s="328"/>
      <c r="Q50" s="328">
        <v>10</v>
      </c>
      <c r="R50" s="328">
        <v>10</v>
      </c>
      <c r="S50" s="328">
        <v>10</v>
      </c>
      <c r="T50" s="328">
        <v>10</v>
      </c>
      <c r="U50" s="328">
        <v>10</v>
      </c>
      <c r="V50" s="328">
        <v>10</v>
      </c>
      <c r="W50" s="328">
        <v>10</v>
      </c>
      <c r="X50" s="328">
        <v>10</v>
      </c>
      <c r="Y50" s="328">
        <v>10</v>
      </c>
      <c r="Z50" s="328">
        <v>10</v>
      </c>
      <c r="AA50" s="328">
        <v>10</v>
      </c>
      <c r="AB50" s="328">
        <v>10</v>
      </c>
      <c r="AC50" s="328">
        <v>10</v>
      </c>
      <c r="AD50" s="328">
        <v>10</v>
      </c>
      <c r="AE50" s="328">
        <v>10</v>
      </c>
      <c r="AF50" s="328">
        <v>10</v>
      </c>
    </row>
    <row r="51" spans="1:32" s="470" customFormat="1" ht="15" customHeight="1">
      <c r="B51" s="471"/>
      <c r="C51" s="183"/>
      <c r="D51" s="186"/>
      <c r="E51" s="169"/>
      <c r="F51" s="540"/>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row>
    <row r="52" spans="1:32" s="470" customFormat="1" ht="15" customHeight="1">
      <c r="B52" s="471"/>
      <c r="C52" s="183"/>
      <c r="D52" s="186"/>
      <c r="E52" s="169"/>
      <c r="F52" s="540"/>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row>
    <row r="53" spans="1:32" s="470" customFormat="1" ht="15" customHeight="1">
      <c r="B53" s="471"/>
      <c r="C53" s="183"/>
      <c r="D53" s="186"/>
      <c r="E53" s="169"/>
      <c r="F53" s="540"/>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row>
    <row r="54" spans="1:32" s="470" customFormat="1" ht="15" customHeight="1">
      <c r="B54" s="471"/>
      <c r="C54" s="183"/>
      <c r="D54" s="186"/>
      <c r="E54" s="169"/>
      <c r="F54" s="540"/>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row>
    <row r="55" spans="1:32" s="470" customFormat="1" ht="15" customHeight="1">
      <c r="B55" s="471"/>
      <c r="C55" s="183"/>
      <c r="D55" s="186"/>
      <c r="E55" s="169"/>
      <c r="F55" s="540"/>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row>
    <row r="56" spans="1:32" s="470" customFormat="1" ht="15" customHeight="1">
      <c r="B56" s="471"/>
      <c r="C56" s="183"/>
      <c r="D56" s="186"/>
      <c r="E56" s="169"/>
      <c r="F56" s="540"/>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row>
    <row r="57" spans="1:32" s="470" customFormat="1" ht="15" customHeight="1">
      <c r="B57" s="471"/>
      <c r="C57" s="183"/>
      <c r="D57" s="186"/>
      <c r="E57" s="169"/>
      <c r="F57" s="540"/>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row>
    <row r="58" spans="1:32" s="470" customFormat="1" ht="15" customHeight="1">
      <c r="B58" s="471"/>
      <c r="C58" s="183"/>
      <c r="D58" s="186"/>
      <c r="E58" s="169"/>
      <c r="F58" s="540"/>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row>
    <row r="59" spans="1:32" s="470" customFormat="1" ht="15" customHeight="1">
      <c r="B59" s="471"/>
      <c r="C59" s="183"/>
      <c r="D59" s="186"/>
      <c r="E59" s="169"/>
      <c r="F59" s="540"/>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row>
    <row r="60" spans="1:32" s="470" customFormat="1" ht="15" customHeight="1">
      <c r="B60" s="471"/>
      <c r="C60" s="183"/>
      <c r="D60" s="186"/>
      <c r="E60" s="169"/>
      <c r="F60" s="540"/>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row>
    <row r="61" spans="1:32" s="470" customFormat="1" ht="15" customHeight="1">
      <c r="B61" s="471"/>
      <c r="C61" s="183"/>
      <c r="D61" s="186"/>
      <c r="E61" s="169"/>
      <c r="F61" s="540"/>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row>
    <row r="62" spans="1:32" s="470" customFormat="1" ht="15" customHeight="1">
      <c r="B62" s="471"/>
      <c r="C62" s="183"/>
      <c r="D62" s="186"/>
      <c r="E62" s="169"/>
      <c r="F62" s="540"/>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row>
    <row r="63" spans="1:32" s="470" customFormat="1" ht="15" customHeight="1">
      <c r="B63" s="472"/>
      <c r="C63" s="183"/>
      <c r="D63" s="186"/>
      <c r="E63" s="169"/>
      <c r="F63" s="540"/>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row>
    <row r="64" spans="1:32" ht="15" customHeight="1">
      <c r="C64" s="18"/>
      <c r="D64" s="18"/>
      <c r="E64" s="18"/>
      <c r="F64" s="18"/>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row>
    <row r="65" spans="1:32" ht="15" customHeight="1">
      <c r="B65" s="172" t="s">
        <v>13</v>
      </c>
      <c r="C65" s="321" t="s">
        <v>138</v>
      </c>
      <c r="D65" s="22" t="s">
        <v>65</v>
      </c>
      <c r="E65" s="35" t="s">
        <v>558</v>
      </c>
      <c r="F65" s="548"/>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row>
    <row r="66" spans="1:32" s="470" customFormat="1" ht="15" customHeight="1">
      <c r="A66" s="9"/>
      <c r="B66" s="64"/>
      <c r="C66" s="174" t="s">
        <v>558</v>
      </c>
      <c r="D66" s="12" t="s">
        <v>65</v>
      </c>
      <c r="E66" s="11" t="s">
        <v>558</v>
      </c>
      <c r="F66" s="222"/>
      <c r="G66" s="328"/>
      <c r="H66" s="328"/>
      <c r="I66" s="328"/>
      <c r="J66" s="328"/>
      <c r="K66" s="328"/>
      <c r="L66" s="328">
        <v>0</v>
      </c>
      <c r="M66" s="328">
        <v>0</v>
      </c>
      <c r="N66" s="328">
        <v>0</v>
      </c>
      <c r="O66" s="328">
        <v>0</v>
      </c>
      <c r="P66" s="328">
        <v>0</v>
      </c>
      <c r="Q66" s="328">
        <v>0</v>
      </c>
      <c r="R66" s="328">
        <v>0</v>
      </c>
      <c r="S66" s="328">
        <v>0</v>
      </c>
      <c r="T66" s="328">
        <v>0</v>
      </c>
      <c r="U66" s="328">
        <v>0</v>
      </c>
      <c r="V66" s="328">
        <v>0</v>
      </c>
      <c r="W66" s="328">
        <v>0</v>
      </c>
      <c r="X66" s="328">
        <v>0</v>
      </c>
      <c r="Y66" s="328">
        <v>0</v>
      </c>
      <c r="Z66" s="328">
        <v>0</v>
      </c>
      <c r="AA66" s="328">
        <v>0</v>
      </c>
      <c r="AB66" s="328">
        <v>0</v>
      </c>
      <c r="AC66" s="328">
        <v>0</v>
      </c>
      <c r="AD66" s="328">
        <v>0</v>
      </c>
      <c r="AE66" s="328">
        <v>0</v>
      </c>
      <c r="AF66" s="328">
        <v>0</v>
      </c>
    </row>
    <row r="67" spans="1:32" s="470" customFormat="1" ht="15" customHeight="1">
      <c r="A67" s="9"/>
      <c r="B67" s="64"/>
      <c r="C67" s="1179" t="s">
        <v>559</v>
      </c>
      <c r="D67" s="12" t="s">
        <v>65</v>
      </c>
      <c r="E67" s="1179" t="s">
        <v>559</v>
      </c>
      <c r="F67" s="222"/>
      <c r="G67" s="328"/>
      <c r="H67" s="328"/>
      <c r="I67" s="328"/>
      <c r="J67" s="328"/>
      <c r="K67" s="328"/>
      <c r="L67" s="328">
        <v>1</v>
      </c>
      <c r="M67" s="328">
        <v>1</v>
      </c>
      <c r="N67" s="328">
        <v>1</v>
      </c>
      <c r="O67" s="328">
        <v>1</v>
      </c>
      <c r="P67" s="328">
        <v>1</v>
      </c>
      <c r="Q67" s="328">
        <v>1</v>
      </c>
      <c r="R67" s="328">
        <v>1</v>
      </c>
      <c r="S67" s="328">
        <v>1</v>
      </c>
      <c r="T67" s="328">
        <v>1</v>
      </c>
      <c r="U67" s="328">
        <v>1</v>
      </c>
      <c r="V67" s="328">
        <v>1</v>
      </c>
      <c r="W67" s="328">
        <v>1</v>
      </c>
      <c r="X67" s="328">
        <v>1</v>
      </c>
      <c r="Y67" s="328">
        <v>1</v>
      </c>
      <c r="Z67" s="328">
        <v>1</v>
      </c>
      <c r="AA67" s="328">
        <v>1</v>
      </c>
      <c r="AB67" s="328">
        <v>1</v>
      </c>
      <c r="AC67" s="328">
        <v>1</v>
      </c>
      <c r="AD67" s="328">
        <v>1</v>
      </c>
      <c r="AE67" s="328">
        <v>1</v>
      </c>
      <c r="AF67" s="328">
        <v>1</v>
      </c>
    </row>
    <row r="68" spans="1:32" s="470" customFormat="1" ht="15" customHeight="1">
      <c r="A68" s="9"/>
      <c r="B68" s="64"/>
      <c r="C68" s="16" t="s">
        <v>560</v>
      </c>
      <c r="D68" s="12" t="s">
        <v>65</v>
      </c>
      <c r="E68" s="16" t="s">
        <v>560</v>
      </c>
      <c r="F68" s="222"/>
      <c r="G68" s="328"/>
      <c r="H68" s="328"/>
      <c r="I68" s="328"/>
      <c r="J68" s="328"/>
      <c r="K68" s="328"/>
      <c r="L68" s="328"/>
      <c r="M68" s="328"/>
      <c r="N68" s="328"/>
      <c r="O68" s="328"/>
      <c r="P68" s="328"/>
      <c r="Q68" s="328">
        <v>2</v>
      </c>
      <c r="R68" s="328">
        <v>2</v>
      </c>
      <c r="S68" s="328">
        <v>2</v>
      </c>
      <c r="T68" s="328">
        <v>2</v>
      </c>
      <c r="U68" s="328">
        <v>2</v>
      </c>
      <c r="V68" s="328">
        <v>2</v>
      </c>
      <c r="W68" s="328">
        <v>2</v>
      </c>
      <c r="X68" s="328">
        <v>2</v>
      </c>
      <c r="Y68" s="328">
        <v>2</v>
      </c>
      <c r="Z68" s="328">
        <v>2</v>
      </c>
      <c r="AA68" s="328">
        <v>2</v>
      </c>
      <c r="AB68" s="328">
        <v>2</v>
      </c>
      <c r="AC68" s="328">
        <v>2</v>
      </c>
      <c r="AD68" s="328">
        <v>2</v>
      </c>
      <c r="AE68" s="328">
        <v>2</v>
      </c>
      <c r="AF68" s="328">
        <v>2</v>
      </c>
    </row>
    <row r="69" spans="1:32" s="470" customFormat="1" ht="15" customHeight="1">
      <c r="A69" s="9"/>
      <c r="B69" s="64"/>
      <c r="C69" s="16" t="s">
        <v>561</v>
      </c>
      <c r="D69" s="12" t="s">
        <v>65</v>
      </c>
      <c r="E69" s="16" t="s">
        <v>561</v>
      </c>
      <c r="F69" s="222"/>
      <c r="G69" s="328"/>
      <c r="H69" s="328"/>
      <c r="I69" s="328"/>
      <c r="J69" s="328"/>
      <c r="K69" s="328"/>
      <c r="L69" s="328"/>
      <c r="M69" s="328"/>
      <c r="N69" s="328"/>
      <c r="O69" s="328"/>
      <c r="P69" s="328"/>
      <c r="Q69" s="328">
        <v>3</v>
      </c>
      <c r="R69" s="328">
        <v>3</v>
      </c>
      <c r="S69" s="328">
        <v>3</v>
      </c>
      <c r="T69" s="328">
        <v>3</v>
      </c>
      <c r="U69" s="328">
        <v>3</v>
      </c>
      <c r="V69" s="328">
        <v>3</v>
      </c>
      <c r="W69" s="328">
        <v>3</v>
      </c>
      <c r="X69" s="328">
        <v>3</v>
      </c>
      <c r="Y69" s="328">
        <v>3</v>
      </c>
      <c r="Z69" s="328">
        <v>3</v>
      </c>
      <c r="AA69" s="328">
        <v>3</v>
      </c>
      <c r="AB69" s="328">
        <v>3</v>
      </c>
      <c r="AC69" s="328">
        <v>3</v>
      </c>
      <c r="AD69" s="328">
        <v>3</v>
      </c>
      <c r="AE69" s="328">
        <v>3</v>
      </c>
      <c r="AF69" s="328">
        <v>3</v>
      </c>
    </row>
    <row r="70" spans="1:32" s="470" customFormat="1" ht="15" customHeight="1">
      <c r="A70" s="9"/>
      <c r="B70" s="64"/>
      <c r="C70" s="16" t="s">
        <v>562</v>
      </c>
      <c r="D70" s="12" t="s">
        <v>65</v>
      </c>
      <c r="E70" s="16" t="s">
        <v>562</v>
      </c>
      <c r="F70" s="222"/>
      <c r="G70" s="328"/>
      <c r="H70" s="328"/>
      <c r="I70" s="328"/>
      <c r="J70" s="328"/>
      <c r="K70" s="328"/>
      <c r="L70" s="328"/>
      <c r="M70" s="328"/>
      <c r="N70" s="328"/>
      <c r="O70" s="328"/>
      <c r="P70" s="328"/>
      <c r="Q70" s="328">
        <v>4</v>
      </c>
      <c r="R70" s="328">
        <v>4</v>
      </c>
      <c r="S70" s="328">
        <v>4</v>
      </c>
      <c r="T70" s="328">
        <v>4</v>
      </c>
      <c r="U70" s="328">
        <v>4</v>
      </c>
      <c r="V70" s="328">
        <v>4</v>
      </c>
      <c r="W70" s="328">
        <v>4</v>
      </c>
      <c r="X70" s="328">
        <v>4</v>
      </c>
      <c r="Y70" s="328">
        <v>4</v>
      </c>
      <c r="Z70" s="328">
        <v>4</v>
      </c>
      <c r="AA70" s="328">
        <v>4</v>
      </c>
      <c r="AB70" s="328">
        <v>4</v>
      </c>
      <c r="AC70" s="328">
        <v>4</v>
      </c>
      <c r="AD70" s="328">
        <v>4</v>
      </c>
      <c r="AE70" s="328">
        <v>4</v>
      </c>
      <c r="AF70" s="328">
        <v>4</v>
      </c>
    </row>
    <row r="71" spans="1:32" s="470" customFormat="1" ht="15" customHeight="1">
      <c r="A71" s="9"/>
      <c r="B71" s="64"/>
      <c r="C71" s="16" t="s">
        <v>557</v>
      </c>
      <c r="D71" s="12" t="s">
        <v>65</v>
      </c>
      <c r="E71" s="16" t="s">
        <v>557</v>
      </c>
      <c r="F71" s="222"/>
      <c r="G71" s="328"/>
      <c r="H71" s="328"/>
      <c r="I71" s="328"/>
      <c r="J71" s="328"/>
      <c r="K71" s="328"/>
      <c r="L71" s="328"/>
      <c r="M71" s="328"/>
      <c r="N71" s="328"/>
      <c r="O71" s="328"/>
      <c r="P71" s="328"/>
      <c r="Q71" s="328">
        <v>5</v>
      </c>
      <c r="R71" s="328">
        <v>5</v>
      </c>
      <c r="S71" s="328">
        <v>5</v>
      </c>
      <c r="T71" s="328">
        <v>5</v>
      </c>
      <c r="U71" s="328">
        <v>5</v>
      </c>
      <c r="V71" s="328">
        <v>5</v>
      </c>
      <c r="W71" s="328">
        <v>5</v>
      </c>
      <c r="X71" s="328">
        <v>5</v>
      </c>
      <c r="Y71" s="328">
        <v>5</v>
      </c>
      <c r="Z71" s="328">
        <v>5</v>
      </c>
      <c r="AA71" s="328">
        <v>5</v>
      </c>
      <c r="AB71" s="328">
        <v>5</v>
      </c>
      <c r="AC71" s="328">
        <v>5</v>
      </c>
      <c r="AD71" s="328">
        <v>5</v>
      </c>
      <c r="AE71" s="328">
        <v>5</v>
      </c>
      <c r="AF71" s="328">
        <v>5</v>
      </c>
    </row>
    <row r="72" spans="1:32" s="470" customFormat="1" ht="15" customHeight="1">
      <c r="A72" s="9"/>
      <c r="B72" s="64"/>
      <c r="C72" s="16" t="s">
        <v>563</v>
      </c>
      <c r="D72" s="12" t="s">
        <v>65</v>
      </c>
      <c r="E72" s="16" t="s">
        <v>563</v>
      </c>
      <c r="F72" s="222"/>
      <c r="G72" s="328"/>
      <c r="H72" s="328"/>
      <c r="I72" s="328"/>
      <c r="J72" s="328"/>
      <c r="K72" s="328"/>
      <c r="L72" s="328"/>
      <c r="M72" s="328"/>
      <c r="N72" s="328"/>
      <c r="O72" s="328"/>
      <c r="P72" s="328"/>
      <c r="Q72" s="328">
        <v>6</v>
      </c>
      <c r="R72" s="328">
        <v>6</v>
      </c>
      <c r="S72" s="328">
        <v>6</v>
      </c>
      <c r="T72" s="328">
        <v>6</v>
      </c>
      <c r="U72" s="328">
        <v>6</v>
      </c>
      <c r="V72" s="328">
        <v>6</v>
      </c>
      <c r="W72" s="328">
        <v>6</v>
      </c>
      <c r="X72" s="328">
        <v>6</v>
      </c>
      <c r="Y72" s="328">
        <v>6</v>
      </c>
      <c r="Z72" s="328">
        <v>6</v>
      </c>
      <c r="AA72" s="328">
        <v>6</v>
      </c>
      <c r="AB72" s="328">
        <v>6</v>
      </c>
      <c r="AC72" s="328">
        <v>6</v>
      </c>
      <c r="AD72" s="328">
        <v>6</v>
      </c>
      <c r="AE72" s="328">
        <v>6</v>
      </c>
      <c r="AF72" s="328">
        <v>6</v>
      </c>
    </row>
    <row r="73" spans="1:32" s="470" customFormat="1" ht="15" customHeight="1">
      <c r="A73" s="9"/>
      <c r="B73" s="64"/>
      <c r="C73" s="16" t="s">
        <v>564</v>
      </c>
      <c r="D73" s="12" t="s">
        <v>65</v>
      </c>
      <c r="E73" s="16" t="s">
        <v>564</v>
      </c>
      <c r="F73" s="222"/>
      <c r="G73" s="328"/>
      <c r="H73" s="328"/>
      <c r="I73" s="328"/>
      <c r="J73" s="328"/>
      <c r="K73" s="328"/>
      <c r="L73" s="328"/>
      <c r="M73" s="328"/>
      <c r="N73" s="328"/>
      <c r="O73" s="328"/>
      <c r="P73" s="328"/>
      <c r="Q73" s="328">
        <v>7</v>
      </c>
      <c r="R73" s="328">
        <v>7</v>
      </c>
      <c r="S73" s="328">
        <v>7</v>
      </c>
      <c r="T73" s="328">
        <v>7</v>
      </c>
      <c r="U73" s="328">
        <v>7</v>
      </c>
      <c r="V73" s="328">
        <v>7</v>
      </c>
      <c r="W73" s="328">
        <v>7</v>
      </c>
      <c r="X73" s="328">
        <v>7</v>
      </c>
      <c r="Y73" s="328">
        <v>7</v>
      </c>
      <c r="Z73" s="328">
        <v>7</v>
      </c>
      <c r="AA73" s="328">
        <v>7</v>
      </c>
      <c r="AB73" s="328">
        <v>7</v>
      </c>
      <c r="AC73" s="328">
        <v>7</v>
      </c>
      <c r="AD73" s="328">
        <v>7</v>
      </c>
      <c r="AE73" s="328">
        <v>7</v>
      </c>
      <c r="AF73" s="328">
        <v>7</v>
      </c>
    </row>
    <row r="74" spans="1:32" s="470" customFormat="1" ht="15" customHeight="1">
      <c r="A74" s="9"/>
      <c r="B74" s="64"/>
      <c r="C74" s="16" t="s">
        <v>565</v>
      </c>
      <c r="D74" s="12" t="s">
        <v>65</v>
      </c>
      <c r="E74" s="16" t="s">
        <v>565</v>
      </c>
      <c r="F74" s="222"/>
      <c r="G74" s="328"/>
      <c r="H74" s="328"/>
      <c r="I74" s="328"/>
      <c r="J74" s="328"/>
      <c r="K74" s="328"/>
      <c r="L74" s="328"/>
      <c r="M74" s="328"/>
      <c r="N74" s="328"/>
      <c r="O74" s="328"/>
      <c r="P74" s="328"/>
      <c r="Q74" s="328">
        <v>8</v>
      </c>
      <c r="R74" s="328">
        <v>8</v>
      </c>
      <c r="S74" s="328">
        <v>8</v>
      </c>
      <c r="T74" s="328">
        <v>8</v>
      </c>
      <c r="U74" s="328">
        <v>8</v>
      </c>
      <c r="V74" s="328">
        <v>8</v>
      </c>
      <c r="W74" s="328">
        <v>8</v>
      </c>
      <c r="X74" s="328">
        <v>8</v>
      </c>
      <c r="Y74" s="328">
        <v>8</v>
      </c>
      <c r="Z74" s="328">
        <v>8</v>
      </c>
      <c r="AA74" s="328">
        <v>8</v>
      </c>
      <c r="AB74" s="328">
        <v>8</v>
      </c>
      <c r="AC74" s="328">
        <v>8</v>
      </c>
      <c r="AD74" s="328">
        <v>8</v>
      </c>
      <c r="AE74" s="328">
        <v>8</v>
      </c>
      <c r="AF74" s="328">
        <v>8</v>
      </c>
    </row>
    <row r="75" spans="1:32" s="470" customFormat="1" ht="15" customHeight="1">
      <c r="A75" s="9"/>
      <c r="B75" s="64"/>
      <c r="C75" s="16" t="s">
        <v>566</v>
      </c>
      <c r="D75" s="12" t="s">
        <v>65</v>
      </c>
      <c r="E75" s="16" t="s">
        <v>566</v>
      </c>
      <c r="F75" s="222"/>
      <c r="G75" s="328"/>
      <c r="H75" s="328"/>
      <c r="I75" s="328"/>
      <c r="J75" s="328"/>
      <c r="K75" s="328"/>
      <c r="L75" s="328"/>
      <c r="M75" s="328"/>
      <c r="N75" s="328"/>
      <c r="O75" s="328"/>
      <c r="P75" s="328"/>
      <c r="Q75" s="328">
        <v>9</v>
      </c>
      <c r="R75" s="328">
        <v>9</v>
      </c>
      <c r="S75" s="328">
        <v>9</v>
      </c>
      <c r="T75" s="328">
        <v>9</v>
      </c>
      <c r="U75" s="328">
        <v>9</v>
      </c>
      <c r="V75" s="328">
        <v>9</v>
      </c>
      <c r="W75" s="328">
        <v>9</v>
      </c>
      <c r="X75" s="328">
        <v>9</v>
      </c>
      <c r="Y75" s="328">
        <v>9</v>
      </c>
      <c r="Z75" s="328">
        <v>9</v>
      </c>
      <c r="AA75" s="328">
        <v>9</v>
      </c>
      <c r="AB75" s="328">
        <v>9</v>
      </c>
      <c r="AC75" s="328">
        <v>9</v>
      </c>
      <c r="AD75" s="328">
        <v>9</v>
      </c>
      <c r="AE75" s="328">
        <v>9</v>
      </c>
      <c r="AF75" s="328">
        <v>9</v>
      </c>
    </row>
    <row r="76" spans="1:32" s="470" customFormat="1" ht="15" customHeight="1">
      <c r="A76" s="9"/>
      <c r="B76" s="64"/>
      <c r="C76" s="16" t="s">
        <v>567</v>
      </c>
      <c r="D76" s="12" t="s">
        <v>65</v>
      </c>
      <c r="E76" s="16" t="s">
        <v>567</v>
      </c>
      <c r="F76" s="222"/>
      <c r="G76" s="328"/>
      <c r="H76" s="328"/>
      <c r="I76" s="328"/>
      <c r="J76" s="328"/>
      <c r="K76" s="328"/>
      <c r="L76" s="328"/>
      <c r="M76" s="328"/>
      <c r="N76" s="328"/>
      <c r="O76" s="328"/>
      <c r="P76" s="328"/>
      <c r="Q76" s="328">
        <v>10</v>
      </c>
      <c r="R76" s="328">
        <v>10</v>
      </c>
      <c r="S76" s="328">
        <v>10</v>
      </c>
      <c r="T76" s="328">
        <v>10</v>
      </c>
      <c r="U76" s="328">
        <v>10</v>
      </c>
      <c r="V76" s="328">
        <v>10</v>
      </c>
      <c r="W76" s="328">
        <v>10</v>
      </c>
      <c r="X76" s="328">
        <v>10</v>
      </c>
      <c r="Y76" s="328">
        <v>10</v>
      </c>
      <c r="Z76" s="328">
        <v>10</v>
      </c>
      <c r="AA76" s="328">
        <v>10</v>
      </c>
      <c r="AB76" s="328">
        <v>10</v>
      </c>
      <c r="AC76" s="328">
        <v>10</v>
      </c>
      <c r="AD76" s="328">
        <v>10</v>
      </c>
      <c r="AE76" s="328">
        <v>10</v>
      </c>
      <c r="AF76" s="328">
        <v>10</v>
      </c>
    </row>
    <row r="77" spans="1:32" s="470" customFormat="1" ht="15" customHeight="1">
      <c r="B77" s="471"/>
      <c r="C77" s="183"/>
      <c r="D77" s="186"/>
      <c r="E77" s="169"/>
      <c r="F77" s="540"/>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row>
    <row r="78" spans="1:32" s="470" customFormat="1" ht="15" customHeight="1">
      <c r="B78" s="471"/>
      <c r="C78" s="183"/>
      <c r="D78" s="186"/>
      <c r="E78" s="169"/>
      <c r="F78" s="540"/>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row>
    <row r="79" spans="1:32" s="470" customFormat="1" ht="15" customHeight="1">
      <c r="B79" s="471"/>
      <c r="C79" s="183"/>
      <c r="D79" s="186"/>
      <c r="E79" s="169"/>
      <c r="F79" s="540"/>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row>
    <row r="80" spans="1:32" s="470" customFormat="1" ht="15" customHeight="1">
      <c r="B80" s="471"/>
      <c r="C80" s="183"/>
      <c r="D80" s="186"/>
      <c r="E80" s="169"/>
      <c r="F80" s="540"/>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row>
    <row r="81" spans="1:32" s="470" customFormat="1" ht="15" customHeight="1">
      <c r="B81" s="471"/>
      <c r="C81" s="183"/>
      <c r="D81" s="186"/>
      <c r="E81" s="169"/>
      <c r="F81" s="540"/>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row>
    <row r="82" spans="1:32" s="470" customFormat="1" ht="15" customHeight="1">
      <c r="B82" s="471"/>
      <c r="C82" s="183"/>
      <c r="D82" s="186"/>
      <c r="E82" s="169"/>
      <c r="F82" s="540"/>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row>
    <row r="83" spans="1:32" s="470" customFormat="1" ht="15" customHeight="1">
      <c r="B83" s="471"/>
      <c r="C83" s="183"/>
      <c r="D83" s="186"/>
      <c r="E83" s="169"/>
      <c r="F83" s="540"/>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row>
    <row r="84" spans="1:32" s="470" customFormat="1" ht="15" customHeight="1">
      <c r="B84" s="471"/>
      <c r="C84" s="183"/>
      <c r="D84" s="186"/>
      <c r="E84" s="169"/>
      <c r="F84" s="540"/>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row>
    <row r="85" spans="1:32" s="470" customFormat="1" ht="15" customHeight="1">
      <c r="B85" s="471"/>
      <c r="C85" s="183"/>
      <c r="D85" s="186"/>
      <c r="E85" s="169"/>
      <c r="F85" s="540"/>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row>
    <row r="86" spans="1:32" s="470" customFormat="1" ht="15" customHeight="1">
      <c r="B86" s="471"/>
      <c r="C86" s="183"/>
      <c r="D86" s="186"/>
      <c r="E86" s="169"/>
      <c r="F86" s="540"/>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row>
    <row r="87" spans="1:32" s="470" customFormat="1" ht="15" customHeight="1">
      <c r="B87" s="471"/>
      <c r="C87" s="183"/>
      <c r="D87" s="186"/>
      <c r="E87" s="169"/>
      <c r="F87" s="540"/>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row>
    <row r="88" spans="1:32" s="470" customFormat="1" ht="15" customHeight="1">
      <c r="B88" s="471"/>
      <c r="C88" s="183"/>
      <c r="D88" s="186"/>
      <c r="E88" s="169"/>
      <c r="F88" s="540"/>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row>
    <row r="89" spans="1:32" s="470" customFormat="1" ht="15" customHeight="1">
      <c r="B89" s="472"/>
      <c r="C89" s="183"/>
      <c r="D89" s="186"/>
      <c r="E89" s="169"/>
      <c r="F89" s="540"/>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row>
    <row r="90" spans="1:32" ht="15" customHeight="1">
      <c r="C90" s="18"/>
      <c r="D90" s="18"/>
      <c r="E90" s="18"/>
      <c r="F90" s="18"/>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row>
    <row r="91" spans="1:32" ht="15" customHeight="1">
      <c r="B91" s="172" t="s">
        <v>12</v>
      </c>
      <c r="C91" s="321" t="s">
        <v>138</v>
      </c>
      <c r="D91" s="22" t="s">
        <v>65</v>
      </c>
      <c r="E91" s="35" t="s">
        <v>558</v>
      </c>
      <c r="F91" s="548"/>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row>
    <row r="92" spans="1:32" s="470" customFormat="1" ht="15" customHeight="1">
      <c r="A92" s="9"/>
      <c r="B92" s="64"/>
      <c r="C92" s="174" t="s">
        <v>558</v>
      </c>
      <c r="D92" s="12" t="s">
        <v>65</v>
      </c>
      <c r="E92" s="11" t="s">
        <v>558</v>
      </c>
      <c r="F92" s="222"/>
      <c r="G92" s="328"/>
      <c r="H92" s="328"/>
      <c r="I92" s="328"/>
      <c r="J92" s="328"/>
      <c r="K92" s="328"/>
      <c r="L92" s="328">
        <v>0</v>
      </c>
      <c r="M92" s="328">
        <v>0</v>
      </c>
      <c r="N92" s="328">
        <v>0</v>
      </c>
      <c r="O92" s="328">
        <v>0</v>
      </c>
      <c r="P92" s="328">
        <v>0</v>
      </c>
      <c r="Q92" s="328">
        <v>0</v>
      </c>
      <c r="R92" s="328">
        <v>0</v>
      </c>
      <c r="S92" s="328">
        <v>0</v>
      </c>
      <c r="T92" s="328">
        <v>0</v>
      </c>
      <c r="U92" s="328">
        <v>0</v>
      </c>
      <c r="V92" s="328">
        <v>0</v>
      </c>
      <c r="W92" s="328">
        <v>0</v>
      </c>
      <c r="X92" s="328">
        <v>0</v>
      </c>
      <c r="Y92" s="328">
        <v>0</v>
      </c>
      <c r="Z92" s="328">
        <v>0</v>
      </c>
      <c r="AA92" s="328">
        <v>0</v>
      </c>
      <c r="AB92" s="328">
        <v>0</v>
      </c>
      <c r="AC92" s="328">
        <v>0</v>
      </c>
      <c r="AD92" s="328">
        <v>0</v>
      </c>
      <c r="AE92" s="328">
        <v>0</v>
      </c>
      <c r="AF92" s="328">
        <v>0</v>
      </c>
    </row>
    <row r="93" spans="1:32" s="470" customFormat="1" ht="15" customHeight="1">
      <c r="A93" s="9"/>
      <c r="B93" s="64"/>
      <c r="C93" s="1179" t="s">
        <v>559</v>
      </c>
      <c r="D93" s="12" t="s">
        <v>65</v>
      </c>
      <c r="E93" s="1179" t="s">
        <v>559</v>
      </c>
      <c r="F93" s="222"/>
      <c r="G93" s="328"/>
      <c r="H93" s="328"/>
      <c r="I93" s="328"/>
      <c r="J93" s="328"/>
      <c r="K93" s="328"/>
      <c r="L93" s="328">
        <v>1</v>
      </c>
      <c r="M93" s="328">
        <v>1</v>
      </c>
      <c r="N93" s="328">
        <v>1</v>
      </c>
      <c r="O93" s="328">
        <v>1</v>
      </c>
      <c r="P93" s="328">
        <v>1</v>
      </c>
      <c r="Q93" s="328">
        <v>1</v>
      </c>
      <c r="R93" s="328">
        <v>1</v>
      </c>
      <c r="S93" s="328">
        <v>1</v>
      </c>
      <c r="T93" s="328">
        <v>1</v>
      </c>
      <c r="U93" s="328">
        <v>1</v>
      </c>
      <c r="V93" s="328">
        <v>1</v>
      </c>
      <c r="W93" s="328">
        <v>1</v>
      </c>
      <c r="X93" s="328">
        <v>1</v>
      </c>
      <c r="Y93" s="328">
        <v>1</v>
      </c>
      <c r="Z93" s="328">
        <v>1</v>
      </c>
      <c r="AA93" s="328">
        <v>1</v>
      </c>
      <c r="AB93" s="328">
        <v>1</v>
      </c>
      <c r="AC93" s="328">
        <v>1</v>
      </c>
      <c r="AD93" s="328">
        <v>1</v>
      </c>
      <c r="AE93" s="328">
        <v>1</v>
      </c>
      <c r="AF93" s="328">
        <v>1</v>
      </c>
    </row>
    <row r="94" spans="1:32" s="470" customFormat="1" ht="15" customHeight="1">
      <c r="A94" s="9"/>
      <c r="B94" s="64"/>
      <c r="C94" s="16" t="s">
        <v>560</v>
      </c>
      <c r="D94" s="12" t="s">
        <v>65</v>
      </c>
      <c r="E94" s="16" t="s">
        <v>560</v>
      </c>
      <c r="F94" s="222"/>
      <c r="G94" s="328"/>
      <c r="H94" s="328"/>
      <c r="I94" s="328"/>
      <c r="J94" s="328"/>
      <c r="K94" s="328"/>
      <c r="L94" s="328"/>
      <c r="M94" s="328"/>
      <c r="N94" s="328"/>
      <c r="O94" s="328"/>
      <c r="P94" s="328"/>
      <c r="Q94" s="328">
        <v>2</v>
      </c>
      <c r="R94" s="328">
        <v>2</v>
      </c>
      <c r="S94" s="328">
        <v>2</v>
      </c>
      <c r="T94" s="328">
        <v>2</v>
      </c>
      <c r="U94" s="328">
        <v>2</v>
      </c>
      <c r="V94" s="328">
        <v>2</v>
      </c>
      <c r="W94" s="328">
        <v>2</v>
      </c>
      <c r="X94" s="328">
        <v>2</v>
      </c>
      <c r="Y94" s="328">
        <v>2</v>
      </c>
      <c r="Z94" s="328">
        <v>2</v>
      </c>
      <c r="AA94" s="328">
        <v>2</v>
      </c>
      <c r="AB94" s="328">
        <v>2</v>
      </c>
      <c r="AC94" s="328">
        <v>2</v>
      </c>
      <c r="AD94" s="328">
        <v>2</v>
      </c>
      <c r="AE94" s="328">
        <v>2</v>
      </c>
      <c r="AF94" s="328">
        <v>2</v>
      </c>
    </row>
    <row r="95" spans="1:32" s="470" customFormat="1" ht="15" customHeight="1">
      <c r="A95" s="9"/>
      <c r="B95" s="64"/>
      <c r="C95" s="16" t="s">
        <v>561</v>
      </c>
      <c r="D95" s="12" t="s">
        <v>65</v>
      </c>
      <c r="E95" s="16" t="s">
        <v>561</v>
      </c>
      <c r="F95" s="222"/>
      <c r="G95" s="328"/>
      <c r="H95" s="328"/>
      <c r="I95" s="328"/>
      <c r="J95" s="328"/>
      <c r="K95" s="328"/>
      <c r="L95" s="328"/>
      <c r="M95" s="328"/>
      <c r="N95" s="328"/>
      <c r="O95" s="328"/>
      <c r="P95" s="328"/>
      <c r="Q95" s="328">
        <v>3</v>
      </c>
      <c r="R95" s="328">
        <v>3</v>
      </c>
      <c r="S95" s="328">
        <v>3</v>
      </c>
      <c r="T95" s="328">
        <v>3</v>
      </c>
      <c r="U95" s="328">
        <v>3</v>
      </c>
      <c r="V95" s="328">
        <v>3</v>
      </c>
      <c r="W95" s="328">
        <v>3</v>
      </c>
      <c r="X95" s="328">
        <v>3</v>
      </c>
      <c r="Y95" s="328">
        <v>3</v>
      </c>
      <c r="Z95" s="328">
        <v>3</v>
      </c>
      <c r="AA95" s="328">
        <v>3</v>
      </c>
      <c r="AB95" s="328">
        <v>3</v>
      </c>
      <c r="AC95" s="328">
        <v>3</v>
      </c>
      <c r="AD95" s="328">
        <v>3</v>
      </c>
      <c r="AE95" s="328">
        <v>3</v>
      </c>
      <c r="AF95" s="328">
        <v>3</v>
      </c>
    </row>
    <row r="96" spans="1:32" s="470" customFormat="1" ht="15" customHeight="1">
      <c r="A96" s="9"/>
      <c r="B96" s="64"/>
      <c r="C96" s="16" t="s">
        <v>562</v>
      </c>
      <c r="D96" s="12" t="s">
        <v>65</v>
      </c>
      <c r="E96" s="16" t="s">
        <v>562</v>
      </c>
      <c r="F96" s="222"/>
      <c r="G96" s="328"/>
      <c r="H96" s="328"/>
      <c r="I96" s="328"/>
      <c r="J96" s="328"/>
      <c r="K96" s="328"/>
      <c r="L96" s="328"/>
      <c r="M96" s="328"/>
      <c r="N96" s="328"/>
      <c r="O96" s="328"/>
      <c r="P96" s="328"/>
      <c r="Q96" s="328">
        <v>4</v>
      </c>
      <c r="R96" s="328">
        <v>4</v>
      </c>
      <c r="S96" s="328">
        <v>4</v>
      </c>
      <c r="T96" s="328">
        <v>4</v>
      </c>
      <c r="U96" s="328">
        <v>4</v>
      </c>
      <c r="V96" s="328">
        <v>4</v>
      </c>
      <c r="W96" s="328">
        <v>4</v>
      </c>
      <c r="X96" s="328">
        <v>4</v>
      </c>
      <c r="Y96" s="328">
        <v>4</v>
      </c>
      <c r="Z96" s="328">
        <v>4</v>
      </c>
      <c r="AA96" s="328">
        <v>4</v>
      </c>
      <c r="AB96" s="328">
        <v>4</v>
      </c>
      <c r="AC96" s="328">
        <v>4</v>
      </c>
      <c r="AD96" s="328">
        <v>4</v>
      </c>
      <c r="AE96" s="328">
        <v>4</v>
      </c>
      <c r="AF96" s="328">
        <v>4</v>
      </c>
    </row>
    <row r="97" spans="1:32" s="470" customFormat="1" ht="15" customHeight="1">
      <c r="A97" s="9"/>
      <c r="B97" s="64"/>
      <c r="C97" s="16" t="s">
        <v>557</v>
      </c>
      <c r="D97" s="12" t="s">
        <v>65</v>
      </c>
      <c r="E97" s="16" t="s">
        <v>557</v>
      </c>
      <c r="F97" s="222"/>
      <c r="G97" s="328"/>
      <c r="H97" s="328"/>
      <c r="I97" s="328"/>
      <c r="J97" s="328"/>
      <c r="K97" s="328"/>
      <c r="L97" s="328"/>
      <c r="M97" s="328"/>
      <c r="N97" s="328"/>
      <c r="O97" s="328"/>
      <c r="P97" s="328"/>
      <c r="Q97" s="328">
        <v>5</v>
      </c>
      <c r="R97" s="328">
        <v>5</v>
      </c>
      <c r="S97" s="328">
        <v>5</v>
      </c>
      <c r="T97" s="328">
        <v>5</v>
      </c>
      <c r="U97" s="328">
        <v>5</v>
      </c>
      <c r="V97" s="328">
        <v>5</v>
      </c>
      <c r="W97" s="328">
        <v>5</v>
      </c>
      <c r="X97" s="328">
        <v>5</v>
      </c>
      <c r="Y97" s="328">
        <v>5</v>
      </c>
      <c r="Z97" s="328">
        <v>5</v>
      </c>
      <c r="AA97" s="328">
        <v>5</v>
      </c>
      <c r="AB97" s="328">
        <v>5</v>
      </c>
      <c r="AC97" s="328">
        <v>5</v>
      </c>
      <c r="AD97" s="328">
        <v>5</v>
      </c>
      <c r="AE97" s="328">
        <v>5</v>
      </c>
      <c r="AF97" s="328">
        <v>5</v>
      </c>
    </row>
    <row r="98" spans="1:32" s="470" customFormat="1" ht="15" customHeight="1">
      <c r="A98" s="9"/>
      <c r="B98" s="64"/>
      <c r="C98" s="16" t="s">
        <v>563</v>
      </c>
      <c r="D98" s="12" t="s">
        <v>65</v>
      </c>
      <c r="E98" s="16" t="s">
        <v>563</v>
      </c>
      <c r="F98" s="222"/>
      <c r="G98" s="328"/>
      <c r="H98" s="328"/>
      <c r="I98" s="328"/>
      <c r="J98" s="328"/>
      <c r="K98" s="328"/>
      <c r="L98" s="328"/>
      <c r="M98" s="328"/>
      <c r="N98" s="328"/>
      <c r="O98" s="328"/>
      <c r="P98" s="328"/>
      <c r="Q98" s="328">
        <v>6</v>
      </c>
      <c r="R98" s="328">
        <v>6</v>
      </c>
      <c r="S98" s="328">
        <v>6</v>
      </c>
      <c r="T98" s="328">
        <v>6</v>
      </c>
      <c r="U98" s="328">
        <v>6</v>
      </c>
      <c r="V98" s="328">
        <v>6</v>
      </c>
      <c r="W98" s="328">
        <v>6</v>
      </c>
      <c r="X98" s="328">
        <v>6</v>
      </c>
      <c r="Y98" s="328">
        <v>6</v>
      </c>
      <c r="Z98" s="328">
        <v>6</v>
      </c>
      <c r="AA98" s="328">
        <v>6</v>
      </c>
      <c r="AB98" s="328">
        <v>6</v>
      </c>
      <c r="AC98" s="328">
        <v>6</v>
      </c>
      <c r="AD98" s="328">
        <v>6</v>
      </c>
      <c r="AE98" s="328">
        <v>6</v>
      </c>
      <c r="AF98" s="328">
        <v>6</v>
      </c>
    </row>
    <row r="99" spans="1:32" s="470" customFormat="1" ht="15" customHeight="1">
      <c r="A99" s="9"/>
      <c r="B99" s="64"/>
      <c r="C99" s="16" t="s">
        <v>564</v>
      </c>
      <c r="D99" s="12" t="s">
        <v>65</v>
      </c>
      <c r="E99" s="16" t="s">
        <v>564</v>
      </c>
      <c r="F99" s="222"/>
      <c r="G99" s="328"/>
      <c r="H99" s="328"/>
      <c r="I99" s="328"/>
      <c r="J99" s="328"/>
      <c r="K99" s="328"/>
      <c r="L99" s="328"/>
      <c r="M99" s="328"/>
      <c r="N99" s="328"/>
      <c r="O99" s="328"/>
      <c r="P99" s="328"/>
      <c r="Q99" s="328">
        <v>7</v>
      </c>
      <c r="R99" s="328">
        <v>7</v>
      </c>
      <c r="S99" s="328">
        <v>7</v>
      </c>
      <c r="T99" s="328">
        <v>7</v>
      </c>
      <c r="U99" s="328">
        <v>7</v>
      </c>
      <c r="V99" s="328">
        <v>7</v>
      </c>
      <c r="W99" s="328">
        <v>7</v>
      </c>
      <c r="X99" s="328">
        <v>7</v>
      </c>
      <c r="Y99" s="328">
        <v>7</v>
      </c>
      <c r="Z99" s="328">
        <v>7</v>
      </c>
      <c r="AA99" s="328">
        <v>7</v>
      </c>
      <c r="AB99" s="328">
        <v>7</v>
      </c>
      <c r="AC99" s="328">
        <v>7</v>
      </c>
      <c r="AD99" s="328">
        <v>7</v>
      </c>
      <c r="AE99" s="328">
        <v>7</v>
      </c>
      <c r="AF99" s="328">
        <v>7</v>
      </c>
    </row>
    <row r="100" spans="1:32" s="470" customFormat="1" ht="15" customHeight="1">
      <c r="A100" s="9"/>
      <c r="B100" s="64"/>
      <c r="C100" s="16" t="s">
        <v>565</v>
      </c>
      <c r="D100" s="12" t="s">
        <v>65</v>
      </c>
      <c r="E100" s="16" t="s">
        <v>565</v>
      </c>
      <c r="F100" s="222"/>
      <c r="G100" s="328"/>
      <c r="H100" s="328"/>
      <c r="I100" s="328"/>
      <c r="J100" s="328"/>
      <c r="K100" s="328"/>
      <c r="L100" s="328"/>
      <c r="M100" s="328"/>
      <c r="N100" s="328"/>
      <c r="O100" s="328"/>
      <c r="P100" s="328"/>
      <c r="Q100" s="328">
        <v>8</v>
      </c>
      <c r="R100" s="328">
        <v>8</v>
      </c>
      <c r="S100" s="328">
        <v>8</v>
      </c>
      <c r="T100" s="328">
        <v>8</v>
      </c>
      <c r="U100" s="328">
        <v>8</v>
      </c>
      <c r="V100" s="328">
        <v>8</v>
      </c>
      <c r="W100" s="328">
        <v>8</v>
      </c>
      <c r="X100" s="328">
        <v>8</v>
      </c>
      <c r="Y100" s="328">
        <v>8</v>
      </c>
      <c r="Z100" s="328">
        <v>8</v>
      </c>
      <c r="AA100" s="328">
        <v>8</v>
      </c>
      <c r="AB100" s="328">
        <v>8</v>
      </c>
      <c r="AC100" s="328">
        <v>8</v>
      </c>
      <c r="AD100" s="328">
        <v>8</v>
      </c>
      <c r="AE100" s="328">
        <v>8</v>
      </c>
      <c r="AF100" s="328">
        <v>8</v>
      </c>
    </row>
    <row r="101" spans="1:32" s="470" customFormat="1" ht="15" customHeight="1">
      <c r="A101" s="9"/>
      <c r="B101" s="64"/>
      <c r="C101" s="16" t="s">
        <v>566</v>
      </c>
      <c r="D101" s="12" t="s">
        <v>65</v>
      </c>
      <c r="E101" s="16" t="s">
        <v>566</v>
      </c>
      <c r="F101" s="222"/>
      <c r="G101" s="328"/>
      <c r="H101" s="328"/>
      <c r="I101" s="328"/>
      <c r="J101" s="328"/>
      <c r="K101" s="328"/>
      <c r="L101" s="328"/>
      <c r="M101" s="328"/>
      <c r="N101" s="328"/>
      <c r="O101" s="328"/>
      <c r="P101" s="328"/>
      <c r="Q101" s="328">
        <v>9</v>
      </c>
      <c r="R101" s="328">
        <v>9</v>
      </c>
      <c r="S101" s="328">
        <v>9</v>
      </c>
      <c r="T101" s="328">
        <v>9</v>
      </c>
      <c r="U101" s="328">
        <v>9</v>
      </c>
      <c r="V101" s="328">
        <v>9</v>
      </c>
      <c r="W101" s="328">
        <v>9</v>
      </c>
      <c r="X101" s="328">
        <v>9</v>
      </c>
      <c r="Y101" s="328">
        <v>9</v>
      </c>
      <c r="Z101" s="328">
        <v>9</v>
      </c>
      <c r="AA101" s="328">
        <v>9</v>
      </c>
      <c r="AB101" s="328">
        <v>9</v>
      </c>
      <c r="AC101" s="328">
        <v>9</v>
      </c>
      <c r="AD101" s="328">
        <v>9</v>
      </c>
      <c r="AE101" s="328">
        <v>9</v>
      </c>
      <c r="AF101" s="328">
        <v>9</v>
      </c>
    </row>
    <row r="102" spans="1:32" s="470" customFormat="1" ht="15" customHeight="1">
      <c r="A102" s="9"/>
      <c r="B102" s="64"/>
      <c r="C102" s="16" t="s">
        <v>567</v>
      </c>
      <c r="D102" s="12" t="s">
        <v>65</v>
      </c>
      <c r="E102" s="16" t="s">
        <v>567</v>
      </c>
      <c r="F102" s="222"/>
      <c r="G102" s="328"/>
      <c r="H102" s="328"/>
      <c r="I102" s="328"/>
      <c r="J102" s="328"/>
      <c r="K102" s="328"/>
      <c r="L102" s="328"/>
      <c r="M102" s="328"/>
      <c r="N102" s="328"/>
      <c r="O102" s="328"/>
      <c r="P102" s="328"/>
      <c r="Q102" s="328">
        <v>10</v>
      </c>
      <c r="R102" s="328">
        <v>10</v>
      </c>
      <c r="S102" s="328">
        <v>10</v>
      </c>
      <c r="T102" s="328">
        <v>10</v>
      </c>
      <c r="U102" s="328">
        <v>10</v>
      </c>
      <c r="V102" s="328">
        <v>10</v>
      </c>
      <c r="W102" s="328">
        <v>10</v>
      </c>
      <c r="X102" s="328">
        <v>10</v>
      </c>
      <c r="Y102" s="328">
        <v>10</v>
      </c>
      <c r="Z102" s="328">
        <v>10</v>
      </c>
      <c r="AA102" s="328">
        <v>10</v>
      </c>
      <c r="AB102" s="328">
        <v>10</v>
      </c>
      <c r="AC102" s="328">
        <v>10</v>
      </c>
      <c r="AD102" s="328">
        <v>10</v>
      </c>
      <c r="AE102" s="328">
        <v>10</v>
      </c>
      <c r="AF102" s="328">
        <v>10</v>
      </c>
    </row>
    <row r="103" spans="1:32" s="470" customFormat="1" ht="15" customHeight="1">
      <c r="B103" s="471"/>
      <c r="C103" s="183"/>
      <c r="D103" s="186"/>
      <c r="E103" s="169"/>
      <c r="F103" s="540"/>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row>
    <row r="104" spans="1:32" s="470" customFormat="1" ht="15" customHeight="1">
      <c r="B104" s="471"/>
      <c r="C104" s="183"/>
      <c r="D104" s="186"/>
      <c r="E104" s="169"/>
      <c r="F104" s="540"/>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row>
    <row r="105" spans="1:32" s="470" customFormat="1" ht="15" customHeight="1">
      <c r="B105" s="471"/>
      <c r="C105" s="183"/>
      <c r="D105" s="186"/>
      <c r="E105" s="169"/>
      <c r="F105" s="540"/>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row>
    <row r="106" spans="1:32" s="470" customFormat="1" ht="15" customHeight="1">
      <c r="B106" s="471"/>
      <c r="C106" s="183"/>
      <c r="D106" s="186"/>
      <c r="E106" s="169"/>
      <c r="F106" s="540"/>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row>
    <row r="107" spans="1:32" s="470" customFormat="1" ht="15" customHeight="1">
      <c r="B107" s="471"/>
      <c r="C107" s="183"/>
      <c r="D107" s="186"/>
      <c r="E107" s="169"/>
      <c r="F107" s="540"/>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row>
    <row r="108" spans="1:32" s="470" customFormat="1" ht="15" customHeight="1">
      <c r="B108" s="471"/>
      <c r="C108" s="183"/>
      <c r="D108" s="186"/>
      <c r="E108" s="169"/>
      <c r="F108" s="540"/>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row>
    <row r="109" spans="1:32" s="470" customFormat="1" ht="15" customHeight="1">
      <c r="B109" s="471"/>
      <c r="C109" s="183"/>
      <c r="D109" s="186"/>
      <c r="E109" s="169"/>
      <c r="F109" s="540"/>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row>
    <row r="110" spans="1:32" s="470" customFormat="1" ht="15" customHeight="1">
      <c r="B110" s="471"/>
      <c r="C110" s="183"/>
      <c r="D110" s="186"/>
      <c r="E110" s="169"/>
      <c r="F110" s="540"/>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row>
    <row r="111" spans="1:32" s="470" customFormat="1" ht="15" customHeight="1">
      <c r="B111" s="471"/>
      <c r="C111" s="183"/>
      <c r="D111" s="186"/>
      <c r="E111" s="169"/>
      <c r="F111" s="540"/>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row>
    <row r="112" spans="1:32" s="470" customFormat="1" ht="15" customHeight="1">
      <c r="B112" s="471"/>
      <c r="C112" s="183"/>
      <c r="D112" s="186"/>
      <c r="E112" s="169"/>
      <c r="F112" s="540"/>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row>
    <row r="113" spans="1:32" s="470" customFormat="1" ht="15" customHeight="1">
      <c r="B113" s="471"/>
      <c r="C113" s="183"/>
      <c r="D113" s="186"/>
      <c r="E113" s="169"/>
      <c r="F113" s="540"/>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row>
    <row r="114" spans="1:32" s="470" customFormat="1" ht="15" customHeight="1">
      <c r="B114" s="471"/>
      <c r="C114" s="183"/>
      <c r="D114" s="186"/>
      <c r="E114" s="169"/>
      <c r="F114" s="540"/>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row>
    <row r="115" spans="1:32" s="470" customFormat="1" ht="15" customHeight="1">
      <c r="B115" s="472"/>
      <c r="C115" s="183"/>
      <c r="D115" s="186"/>
      <c r="E115" s="169"/>
      <c r="F115" s="540"/>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row>
    <row r="116" spans="1:32" ht="15" customHeight="1">
      <c r="C116" s="18"/>
      <c r="D116" s="18"/>
      <c r="E116" s="18"/>
      <c r="F116" s="18"/>
      <c r="G116" s="17"/>
      <c r="H116" s="17"/>
      <c r="I116" s="17"/>
      <c r="J116" s="17"/>
      <c r="K116" s="17"/>
      <c r="L116" s="989"/>
      <c r="M116" s="989"/>
      <c r="N116" s="989"/>
      <c r="O116" s="989"/>
      <c r="P116" s="989"/>
      <c r="Q116" s="989"/>
      <c r="R116" s="17"/>
      <c r="S116" s="17"/>
      <c r="T116" s="17"/>
      <c r="U116" s="17"/>
      <c r="V116" s="17"/>
      <c r="W116" s="17"/>
      <c r="X116" s="17"/>
      <c r="Y116" s="17"/>
      <c r="Z116" s="17"/>
      <c r="AA116" s="17"/>
      <c r="AB116" s="17"/>
      <c r="AC116" s="17"/>
      <c r="AD116" s="17"/>
      <c r="AE116" s="17"/>
      <c r="AF116" s="17"/>
    </row>
    <row r="117" spans="1:32" ht="15" customHeight="1">
      <c r="B117" s="172" t="s">
        <v>24</v>
      </c>
      <c r="C117" s="321" t="s">
        <v>138</v>
      </c>
      <c r="D117" s="22" t="s">
        <v>65</v>
      </c>
      <c r="E117" s="321" t="s">
        <v>557</v>
      </c>
      <c r="F117" s="548"/>
      <c r="G117" s="23">
        <v>0</v>
      </c>
      <c r="H117" s="1270">
        <v>0</v>
      </c>
      <c r="I117" s="1270">
        <v>0</v>
      </c>
      <c r="J117" s="1270">
        <v>0</v>
      </c>
      <c r="K117" s="1270">
        <v>0</v>
      </c>
      <c r="L117" s="1270">
        <v>0</v>
      </c>
      <c r="M117" s="1270">
        <v>0</v>
      </c>
      <c r="N117" s="1270">
        <v>0</v>
      </c>
      <c r="O117" s="1270">
        <v>0</v>
      </c>
      <c r="P117" s="1270">
        <v>0</v>
      </c>
      <c r="Q117" s="1270">
        <v>1</v>
      </c>
      <c r="R117" s="23">
        <v>1</v>
      </c>
      <c r="S117" s="23">
        <v>5</v>
      </c>
      <c r="T117" s="23">
        <f t="shared" ref="T117:AF117" si="0">S117</f>
        <v>5</v>
      </c>
      <c r="U117" s="23">
        <f t="shared" si="0"/>
        <v>5</v>
      </c>
      <c r="V117" s="23">
        <f t="shared" si="0"/>
        <v>5</v>
      </c>
      <c r="W117" s="23">
        <f t="shared" si="0"/>
        <v>5</v>
      </c>
      <c r="X117" s="23">
        <f t="shared" si="0"/>
        <v>5</v>
      </c>
      <c r="Y117" s="23">
        <f t="shared" si="0"/>
        <v>5</v>
      </c>
      <c r="Z117" s="23">
        <f t="shared" si="0"/>
        <v>5</v>
      </c>
      <c r="AA117" s="23">
        <f t="shared" si="0"/>
        <v>5</v>
      </c>
      <c r="AB117" s="23">
        <f t="shared" si="0"/>
        <v>5</v>
      </c>
      <c r="AC117" s="23">
        <f t="shared" si="0"/>
        <v>5</v>
      </c>
      <c r="AD117" s="23">
        <f t="shared" si="0"/>
        <v>5</v>
      </c>
      <c r="AE117" s="23">
        <f t="shared" si="0"/>
        <v>5</v>
      </c>
      <c r="AF117" s="23">
        <f t="shared" si="0"/>
        <v>5</v>
      </c>
    </row>
    <row r="118" spans="1:32" s="470" customFormat="1" ht="15" customHeight="1">
      <c r="A118" s="9"/>
      <c r="B118" s="64"/>
      <c r="C118" s="174" t="s">
        <v>558</v>
      </c>
      <c r="D118" s="12" t="s">
        <v>65</v>
      </c>
      <c r="E118" s="11" t="s">
        <v>558</v>
      </c>
      <c r="F118" s="222"/>
      <c r="G118" s="328"/>
      <c r="H118" s="328"/>
      <c r="I118" s="328"/>
      <c r="J118" s="328"/>
      <c r="K118" s="328"/>
      <c r="L118" s="328">
        <v>0</v>
      </c>
      <c r="M118" s="328">
        <v>0</v>
      </c>
      <c r="N118" s="328">
        <v>0</v>
      </c>
      <c r="O118" s="328">
        <v>0</v>
      </c>
      <c r="P118" s="328">
        <v>0</v>
      </c>
      <c r="Q118" s="328">
        <v>0</v>
      </c>
      <c r="R118" s="328">
        <v>0</v>
      </c>
      <c r="S118" s="328">
        <v>0</v>
      </c>
      <c r="T118" s="328">
        <v>0</v>
      </c>
      <c r="U118" s="328">
        <v>0</v>
      </c>
      <c r="V118" s="328">
        <v>0</v>
      </c>
      <c r="W118" s="328">
        <v>0</v>
      </c>
      <c r="X118" s="328">
        <v>0</v>
      </c>
      <c r="Y118" s="328">
        <v>0</v>
      </c>
      <c r="Z118" s="328">
        <v>0</v>
      </c>
      <c r="AA118" s="328">
        <v>0</v>
      </c>
      <c r="AB118" s="328">
        <v>0</v>
      </c>
      <c r="AC118" s="328">
        <v>0</v>
      </c>
      <c r="AD118" s="328">
        <v>0</v>
      </c>
      <c r="AE118" s="328">
        <v>0</v>
      </c>
      <c r="AF118" s="328">
        <v>0</v>
      </c>
    </row>
    <row r="119" spans="1:32" s="470" customFormat="1" ht="15" customHeight="1">
      <c r="A119" s="9"/>
      <c r="B119" s="64"/>
      <c r="C119" s="1179" t="s">
        <v>559</v>
      </c>
      <c r="D119" s="12" t="s">
        <v>65</v>
      </c>
      <c r="E119" s="1179" t="s">
        <v>559</v>
      </c>
      <c r="F119" s="222"/>
      <c r="G119" s="328"/>
      <c r="H119" s="328"/>
      <c r="I119" s="328"/>
      <c r="J119" s="328"/>
      <c r="K119" s="328"/>
      <c r="L119" s="328">
        <v>1</v>
      </c>
      <c r="M119" s="328">
        <v>1</v>
      </c>
      <c r="N119" s="328">
        <v>1</v>
      </c>
      <c r="O119" s="328">
        <v>1</v>
      </c>
      <c r="P119" s="328">
        <v>1</v>
      </c>
      <c r="Q119" s="328">
        <v>1</v>
      </c>
      <c r="R119" s="328">
        <v>1</v>
      </c>
      <c r="S119" s="328">
        <v>1</v>
      </c>
      <c r="T119" s="328">
        <v>1</v>
      </c>
      <c r="U119" s="328">
        <v>1</v>
      </c>
      <c r="V119" s="328">
        <v>1</v>
      </c>
      <c r="W119" s="328">
        <v>1</v>
      </c>
      <c r="X119" s="328">
        <v>1</v>
      </c>
      <c r="Y119" s="328">
        <v>1</v>
      </c>
      <c r="Z119" s="328">
        <v>1</v>
      </c>
      <c r="AA119" s="328">
        <v>1</v>
      </c>
      <c r="AB119" s="328">
        <v>1</v>
      </c>
      <c r="AC119" s="328">
        <v>1</v>
      </c>
      <c r="AD119" s="328">
        <v>1</v>
      </c>
      <c r="AE119" s="328">
        <v>1</v>
      </c>
      <c r="AF119" s="328">
        <v>1</v>
      </c>
    </row>
    <row r="120" spans="1:32" s="470" customFormat="1" ht="15" customHeight="1">
      <c r="A120" s="9"/>
      <c r="B120" s="64"/>
      <c r="C120" s="16" t="s">
        <v>560</v>
      </c>
      <c r="D120" s="12" t="s">
        <v>65</v>
      </c>
      <c r="E120" s="16" t="s">
        <v>560</v>
      </c>
      <c r="F120" s="222"/>
      <c r="G120" s="328"/>
      <c r="H120" s="328"/>
      <c r="I120" s="328"/>
      <c r="J120" s="328"/>
      <c r="K120" s="328"/>
      <c r="L120" s="328"/>
      <c r="M120" s="328"/>
      <c r="N120" s="328"/>
      <c r="O120" s="328"/>
      <c r="P120" s="328"/>
      <c r="Q120" s="328">
        <v>2</v>
      </c>
      <c r="R120" s="328">
        <v>2</v>
      </c>
      <c r="S120" s="328">
        <v>2</v>
      </c>
      <c r="T120" s="328">
        <v>2</v>
      </c>
      <c r="U120" s="328">
        <v>2</v>
      </c>
      <c r="V120" s="328">
        <v>2</v>
      </c>
      <c r="W120" s="328">
        <v>2</v>
      </c>
      <c r="X120" s="328">
        <v>2</v>
      </c>
      <c r="Y120" s="328">
        <v>2</v>
      </c>
      <c r="Z120" s="328">
        <v>2</v>
      </c>
      <c r="AA120" s="328">
        <v>2</v>
      </c>
      <c r="AB120" s="328">
        <v>2</v>
      </c>
      <c r="AC120" s="328">
        <v>2</v>
      </c>
      <c r="AD120" s="328">
        <v>2</v>
      </c>
      <c r="AE120" s="328">
        <v>2</v>
      </c>
      <c r="AF120" s="328">
        <v>2</v>
      </c>
    </row>
    <row r="121" spans="1:32" s="470" customFormat="1" ht="15" customHeight="1">
      <c r="A121" s="9"/>
      <c r="B121" s="64"/>
      <c r="C121" s="16" t="s">
        <v>561</v>
      </c>
      <c r="D121" s="12" t="s">
        <v>65</v>
      </c>
      <c r="E121" s="16" t="s">
        <v>561</v>
      </c>
      <c r="F121" s="222"/>
      <c r="G121" s="328"/>
      <c r="H121" s="328"/>
      <c r="I121" s="328"/>
      <c r="J121" s="328"/>
      <c r="K121" s="328"/>
      <c r="L121" s="328"/>
      <c r="M121" s="328"/>
      <c r="N121" s="328"/>
      <c r="O121" s="328"/>
      <c r="P121" s="328"/>
      <c r="Q121" s="328">
        <v>3</v>
      </c>
      <c r="R121" s="328">
        <v>3</v>
      </c>
      <c r="S121" s="328">
        <v>3</v>
      </c>
      <c r="T121" s="328">
        <v>3</v>
      </c>
      <c r="U121" s="328">
        <v>3</v>
      </c>
      <c r="V121" s="328">
        <v>3</v>
      </c>
      <c r="W121" s="328">
        <v>3</v>
      </c>
      <c r="X121" s="328">
        <v>3</v>
      </c>
      <c r="Y121" s="328">
        <v>3</v>
      </c>
      <c r="Z121" s="328">
        <v>3</v>
      </c>
      <c r="AA121" s="328">
        <v>3</v>
      </c>
      <c r="AB121" s="328">
        <v>3</v>
      </c>
      <c r="AC121" s="328">
        <v>3</v>
      </c>
      <c r="AD121" s="328">
        <v>3</v>
      </c>
      <c r="AE121" s="328">
        <v>3</v>
      </c>
      <c r="AF121" s="328">
        <v>3</v>
      </c>
    </row>
    <row r="122" spans="1:32" s="470" customFormat="1" ht="15" customHeight="1">
      <c r="A122" s="9"/>
      <c r="B122" s="64"/>
      <c r="C122" s="16" t="s">
        <v>562</v>
      </c>
      <c r="D122" s="12" t="s">
        <v>65</v>
      </c>
      <c r="E122" s="16" t="s">
        <v>562</v>
      </c>
      <c r="F122" s="222"/>
      <c r="G122" s="328"/>
      <c r="H122" s="328"/>
      <c r="I122" s="328"/>
      <c r="J122" s="328"/>
      <c r="K122" s="328"/>
      <c r="L122" s="328"/>
      <c r="M122" s="328"/>
      <c r="N122" s="328"/>
      <c r="O122" s="328"/>
      <c r="P122" s="328"/>
      <c r="Q122" s="328">
        <v>4</v>
      </c>
      <c r="R122" s="328">
        <v>4</v>
      </c>
      <c r="S122" s="328">
        <v>4</v>
      </c>
      <c r="T122" s="328">
        <v>4</v>
      </c>
      <c r="U122" s="328">
        <v>4</v>
      </c>
      <c r="V122" s="328">
        <v>4</v>
      </c>
      <c r="W122" s="328">
        <v>4</v>
      </c>
      <c r="X122" s="328">
        <v>4</v>
      </c>
      <c r="Y122" s="328">
        <v>4</v>
      </c>
      <c r="Z122" s="328">
        <v>4</v>
      </c>
      <c r="AA122" s="328">
        <v>4</v>
      </c>
      <c r="AB122" s="328">
        <v>4</v>
      </c>
      <c r="AC122" s="328">
        <v>4</v>
      </c>
      <c r="AD122" s="328">
        <v>4</v>
      </c>
      <c r="AE122" s="328">
        <v>4</v>
      </c>
      <c r="AF122" s="328">
        <v>4</v>
      </c>
    </row>
    <row r="123" spans="1:32" s="470" customFormat="1" ht="15" customHeight="1">
      <c r="A123" s="9"/>
      <c r="B123" s="64"/>
      <c r="C123" s="16" t="s">
        <v>557</v>
      </c>
      <c r="D123" s="12" t="s">
        <v>65</v>
      </c>
      <c r="E123" s="16" t="s">
        <v>557</v>
      </c>
      <c r="F123" s="222"/>
      <c r="G123" s="328"/>
      <c r="H123" s="328"/>
      <c r="I123" s="328"/>
      <c r="J123" s="328"/>
      <c r="K123" s="328"/>
      <c r="L123" s="328"/>
      <c r="M123" s="328"/>
      <c r="N123" s="328"/>
      <c r="O123" s="328"/>
      <c r="P123" s="328"/>
      <c r="Q123" s="328">
        <v>5</v>
      </c>
      <c r="R123" s="328">
        <v>5</v>
      </c>
      <c r="S123" s="328">
        <v>5</v>
      </c>
      <c r="T123" s="328">
        <v>5</v>
      </c>
      <c r="U123" s="328">
        <v>5</v>
      </c>
      <c r="V123" s="328">
        <v>5</v>
      </c>
      <c r="W123" s="328">
        <v>5</v>
      </c>
      <c r="X123" s="328">
        <v>5</v>
      </c>
      <c r="Y123" s="328">
        <v>5</v>
      </c>
      <c r="Z123" s="328">
        <v>5</v>
      </c>
      <c r="AA123" s="328">
        <v>5</v>
      </c>
      <c r="AB123" s="328">
        <v>5</v>
      </c>
      <c r="AC123" s="328">
        <v>5</v>
      </c>
      <c r="AD123" s="328">
        <v>5</v>
      </c>
      <c r="AE123" s="328">
        <v>5</v>
      </c>
      <c r="AF123" s="328">
        <v>5</v>
      </c>
    </row>
    <row r="124" spans="1:32" s="470" customFormat="1" ht="15" customHeight="1">
      <c r="A124" s="9"/>
      <c r="B124" s="64"/>
      <c r="C124" s="16" t="s">
        <v>563</v>
      </c>
      <c r="D124" s="12" t="s">
        <v>65</v>
      </c>
      <c r="E124" s="16" t="s">
        <v>563</v>
      </c>
      <c r="F124" s="222"/>
      <c r="G124" s="328"/>
      <c r="H124" s="328"/>
      <c r="I124" s="328"/>
      <c r="J124" s="328"/>
      <c r="K124" s="328"/>
      <c r="L124" s="328"/>
      <c r="M124" s="328"/>
      <c r="N124" s="328"/>
      <c r="O124" s="328"/>
      <c r="P124" s="328"/>
      <c r="Q124" s="328">
        <v>6</v>
      </c>
      <c r="R124" s="328">
        <v>6</v>
      </c>
      <c r="S124" s="328">
        <v>6</v>
      </c>
      <c r="T124" s="328">
        <v>6</v>
      </c>
      <c r="U124" s="328">
        <v>6</v>
      </c>
      <c r="V124" s="328">
        <v>6</v>
      </c>
      <c r="W124" s="328">
        <v>6</v>
      </c>
      <c r="X124" s="328">
        <v>6</v>
      </c>
      <c r="Y124" s="328">
        <v>6</v>
      </c>
      <c r="Z124" s="328">
        <v>6</v>
      </c>
      <c r="AA124" s="328">
        <v>6</v>
      </c>
      <c r="AB124" s="328">
        <v>6</v>
      </c>
      <c r="AC124" s="328">
        <v>6</v>
      </c>
      <c r="AD124" s="328">
        <v>6</v>
      </c>
      <c r="AE124" s="328">
        <v>6</v>
      </c>
      <c r="AF124" s="328">
        <v>6</v>
      </c>
    </row>
    <row r="125" spans="1:32" s="470" customFormat="1" ht="15" customHeight="1">
      <c r="A125" s="9"/>
      <c r="B125" s="64"/>
      <c r="C125" s="16" t="s">
        <v>564</v>
      </c>
      <c r="D125" s="12" t="s">
        <v>65</v>
      </c>
      <c r="E125" s="16" t="s">
        <v>564</v>
      </c>
      <c r="F125" s="222"/>
      <c r="G125" s="328"/>
      <c r="H125" s="328"/>
      <c r="I125" s="328"/>
      <c r="J125" s="328"/>
      <c r="K125" s="328"/>
      <c r="L125" s="328"/>
      <c r="M125" s="328"/>
      <c r="N125" s="328"/>
      <c r="O125" s="328"/>
      <c r="P125" s="328"/>
      <c r="Q125" s="328">
        <v>7</v>
      </c>
      <c r="R125" s="328">
        <v>7</v>
      </c>
      <c r="S125" s="328">
        <v>7</v>
      </c>
      <c r="T125" s="328">
        <v>7</v>
      </c>
      <c r="U125" s="328">
        <v>7</v>
      </c>
      <c r="V125" s="328">
        <v>7</v>
      </c>
      <c r="W125" s="328">
        <v>7</v>
      </c>
      <c r="X125" s="328">
        <v>7</v>
      </c>
      <c r="Y125" s="328">
        <v>7</v>
      </c>
      <c r="Z125" s="328">
        <v>7</v>
      </c>
      <c r="AA125" s="328">
        <v>7</v>
      </c>
      <c r="AB125" s="328">
        <v>7</v>
      </c>
      <c r="AC125" s="328">
        <v>7</v>
      </c>
      <c r="AD125" s="328">
        <v>7</v>
      </c>
      <c r="AE125" s="328">
        <v>7</v>
      </c>
      <c r="AF125" s="328">
        <v>7</v>
      </c>
    </row>
    <row r="126" spans="1:32" s="470" customFormat="1" ht="15" customHeight="1">
      <c r="A126" s="9"/>
      <c r="B126" s="64"/>
      <c r="C126" s="16" t="s">
        <v>565</v>
      </c>
      <c r="D126" s="12" t="s">
        <v>65</v>
      </c>
      <c r="E126" s="16" t="s">
        <v>565</v>
      </c>
      <c r="F126" s="222"/>
      <c r="G126" s="328"/>
      <c r="H126" s="328"/>
      <c r="I126" s="328"/>
      <c r="J126" s="328"/>
      <c r="K126" s="328"/>
      <c r="L126" s="328"/>
      <c r="M126" s="328"/>
      <c r="N126" s="328"/>
      <c r="O126" s="328"/>
      <c r="P126" s="328"/>
      <c r="Q126" s="328">
        <v>8</v>
      </c>
      <c r="R126" s="328">
        <v>8</v>
      </c>
      <c r="S126" s="328">
        <v>8</v>
      </c>
      <c r="T126" s="328">
        <v>8</v>
      </c>
      <c r="U126" s="328">
        <v>8</v>
      </c>
      <c r="V126" s="328">
        <v>8</v>
      </c>
      <c r="W126" s="328">
        <v>8</v>
      </c>
      <c r="X126" s="328">
        <v>8</v>
      </c>
      <c r="Y126" s="328">
        <v>8</v>
      </c>
      <c r="Z126" s="328">
        <v>8</v>
      </c>
      <c r="AA126" s="328">
        <v>8</v>
      </c>
      <c r="AB126" s="328">
        <v>8</v>
      </c>
      <c r="AC126" s="328">
        <v>8</v>
      </c>
      <c r="AD126" s="328">
        <v>8</v>
      </c>
      <c r="AE126" s="328">
        <v>8</v>
      </c>
      <c r="AF126" s="328">
        <v>8</v>
      </c>
    </row>
    <row r="127" spans="1:32" s="470" customFormat="1" ht="15" customHeight="1">
      <c r="A127" s="9"/>
      <c r="B127" s="64"/>
      <c r="C127" s="16" t="s">
        <v>566</v>
      </c>
      <c r="D127" s="12" t="s">
        <v>65</v>
      </c>
      <c r="E127" s="16" t="s">
        <v>566</v>
      </c>
      <c r="F127" s="222"/>
      <c r="G127" s="328"/>
      <c r="H127" s="328"/>
      <c r="I127" s="328"/>
      <c r="J127" s="328"/>
      <c r="K127" s="328"/>
      <c r="L127" s="328"/>
      <c r="M127" s="328"/>
      <c r="N127" s="328"/>
      <c r="O127" s="328"/>
      <c r="P127" s="328"/>
      <c r="Q127" s="328">
        <v>9</v>
      </c>
      <c r="R127" s="328">
        <v>9</v>
      </c>
      <c r="S127" s="328">
        <v>9</v>
      </c>
      <c r="T127" s="328">
        <v>9</v>
      </c>
      <c r="U127" s="328">
        <v>9</v>
      </c>
      <c r="V127" s="328">
        <v>9</v>
      </c>
      <c r="W127" s="328">
        <v>9</v>
      </c>
      <c r="X127" s="328">
        <v>9</v>
      </c>
      <c r="Y127" s="328">
        <v>9</v>
      </c>
      <c r="Z127" s="328">
        <v>9</v>
      </c>
      <c r="AA127" s="328">
        <v>9</v>
      </c>
      <c r="AB127" s="328">
        <v>9</v>
      </c>
      <c r="AC127" s="328">
        <v>9</v>
      </c>
      <c r="AD127" s="328">
        <v>9</v>
      </c>
      <c r="AE127" s="328">
        <v>9</v>
      </c>
      <c r="AF127" s="328">
        <v>9</v>
      </c>
    </row>
    <row r="128" spans="1:32" s="470" customFormat="1" ht="15" customHeight="1">
      <c r="A128" s="9"/>
      <c r="B128" s="64"/>
      <c r="C128" s="16" t="s">
        <v>567</v>
      </c>
      <c r="D128" s="12" t="s">
        <v>65</v>
      </c>
      <c r="E128" s="16" t="s">
        <v>567</v>
      </c>
      <c r="F128" s="222"/>
      <c r="G128" s="328"/>
      <c r="H128" s="328"/>
      <c r="I128" s="328"/>
      <c r="J128" s="328"/>
      <c r="K128" s="328"/>
      <c r="L128" s="328"/>
      <c r="M128" s="328"/>
      <c r="N128" s="328"/>
      <c r="O128" s="328"/>
      <c r="P128" s="328"/>
      <c r="Q128" s="328">
        <v>10</v>
      </c>
      <c r="R128" s="328">
        <v>10</v>
      </c>
      <c r="S128" s="328">
        <v>10</v>
      </c>
      <c r="T128" s="328">
        <v>10</v>
      </c>
      <c r="U128" s="328">
        <v>10</v>
      </c>
      <c r="V128" s="328">
        <v>10</v>
      </c>
      <c r="W128" s="328">
        <v>10</v>
      </c>
      <c r="X128" s="328">
        <v>10</v>
      </c>
      <c r="Y128" s="328">
        <v>10</v>
      </c>
      <c r="Z128" s="328">
        <v>10</v>
      </c>
      <c r="AA128" s="328">
        <v>10</v>
      </c>
      <c r="AB128" s="328">
        <v>10</v>
      </c>
      <c r="AC128" s="328">
        <v>10</v>
      </c>
      <c r="AD128" s="328">
        <v>10</v>
      </c>
      <c r="AE128" s="328">
        <v>10</v>
      </c>
      <c r="AF128" s="328">
        <v>10</v>
      </c>
    </row>
    <row r="129" spans="1:32" s="470" customFormat="1" ht="15" customHeight="1">
      <c r="A129" s="9"/>
      <c r="B129" s="64"/>
      <c r="C129" s="16"/>
      <c r="D129" s="12"/>
      <c r="E129" s="11"/>
      <c r="F129" s="222"/>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row>
    <row r="130" spans="1:32" s="470" customFormat="1" ht="15" customHeight="1">
      <c r="A130" s="9"/>
      <c r="B130" s="64"/>
      <c r="C130" s="16" t="s">
        <v>832</v>
      </c>
      <c r="D130" s="49" t="s">
        <v>833</v>
      </c>
      <c r="E130" s="11" t="s">
        <v>834</v>
      </c>
      <c r="F130" s="222"/>
      <c r="G130" s="328"/>
      <c r="H130" s="328"/>
      <c r="I130" s="328"/>
      <c r="J130" s="328"/>
      <c r="K130" s="328"/>
      <c r="L130" s="328"/>
      <c r="M130" s="328"/>
      <c r="N130" s="328"/>
      <c r="O130" s="328"/>
      <c r="P130" s="328"/>
      <c r="Q130" s="328">
        <f t="shared" ref="Q130:AF130" si="1">Q123</f>
        <v>5</v>
      </c>
      <c r="R130" s="328">
        <f t="shared" si="1"/>
        <v>5</v>
      </c>
      <c r="S130" s="328">
        <f t="shared" si="1"/>
        <v>5</v>
      </c>
      <c r="T130" s="328">
        <f t="shared" si="1"/>
        <v>5</v>
      </c>
      <c r="U130" s="328">
        <f t="shared" si="1"/>
        <v>5</v>
      </c>
      <c r="V130" s="328">
        <f t="shared" si="1"/>
        <v>5</v>
      </c>
      <c r="W130" s="328">
        <f t="shared" si="1"/>
        <v>5</v>
      </c>
      <c r="X130" s="328">
        <f t="shared" si="1"/>
        <v>5</v>
      </c>
      <c r="Y130" s="328">
        <f t="shared" si="1"/>
        <v>5</v>
      </c>
      <c r="Z130" s="328">
        <f t="shared" si="1"/>
        <v>5</v>
      </c>
      <c r="AA130" s="328">
        <f t="shared" si="1"/>
        <v>5</v>
      </c>
      <c r="AB130" s="328">
        <f t="shared" si="1"/>
        <v>5</v>
      </c>
      <c r="AC130" s="328">
        <f t="shared" si="1"/>
        <v>5</v>
      </c>
      <c r="AD130" s="328">
        <f t="shared" si="1"/>
        <v>5</v>
      </c>
      <c r="AE130" s="328">
        <f t="shared" si="1"/>
        <v>5</v>
      </c>
      <c r="AF130" s="328">
        <f t="shared" si="1"/>
        <v>5</v>
      </c>
    </row>
    <row r="131" spans="1:32" s="470" customFormat="1" ht="15" customHeight="1">
      <c r="B131" s="471"/>
      <c r="C131" s="183" t="s">
        <v>908</v>
      </c>
      <c r="D131" s="186" t="s">
        <v>925</v>
      </c>
      <c r="E131" s="169" t="s">
        <v>926</v>
      </c>
      <c r="F131" s="540"/>
      <c r="G131" s="187"/>
      <c r="H131" s="187"/>
      <c r="I131" s="187"/>
      <c r="J131" s="187"/>
      <c r="K131" s="187"/>
      <c r="L131" s="187"/>
      <c r="M131" s="187"/>
      <c r="N131" s="187"/>
      <c r="O131" s="187"/>
      <c r="P131" s="187"/>
      <c r="Q131" s="187"/>
      <c r="R131" s="187"/>
      <c r="S131" s="187">
        <v>2</v>
      </c>
      <c r="T131" s="187">
        <f t="shared" ref="T131:AF132" si="2">S131</f>
        <v>2</v>
      </c>
      <c r="U131" s="187">
        <f>T131</f>
        <v>2</v>
      </c>
      <c r="V131" s="187">
        <f t="shared" si="2"/>
        <v>2</v>
      </c>
      <c r="W131" s="187">
        <f t="shared" si="2"/>
        <v>2</v>
      </c>
      <c r="X131" s="187">
        <f t="shared" si="2"/>
        <v>2</v>
      </c>
      <c r="Y131" s="187">
        <f t="shared" si="2"/>
        <v>2</v>
      </c>
      <c r="Z131" s="187">
        <f t="shared" si="2"/>
        <v>2</v>
      </c>
      <c r="AA131" s="187">
        <f t="shared" si="2"/>
        <v>2</v>
      </c>
      <c r="AB131" s="187">
        <f t="shared" si="2"/>
        <v>2</v>
      </c>
      <c r="AC131" s="187">
        <f t="shared" si="2"/>
        <v>2</v>
      </c>
      <c r="AD131" s="187">
        <f t="shared" si="2"/>
        <v>2</v>
      </c>
      <c r="AE131" s="187">
        <f t="shared" si="2"/>
        <v>2</v>
      </c>
      <c r="AF131" s="187">
        <f t="shared" si="2"/>
        <v>2</v>
      </c>
    </row>
    <row r="132" spans="1:32" s="470" customFormat="1" ht="15" customHeight="1">
      <c r="B132" s="471"/>
      <c r="C132" s="183" t="s">
        <v>959</v>
      </c>
      <c r="D132" s="186" t="s">
        <v>256</v>
      </c>
      <c r="E132" s="169" t="s">
        <v>561</v>
      </c>
      <c r="F132" s="540"/>
      <c r="G132" s="187"/>
      <c r="H132" s="187"/>
      <c r="I132" s="187"/>
      <c r="J132" s="187"/>
      <c r="K132" s="187"/>
      <c r="L132" s="187"/>
      <c r="M132" s="187"/>
      <c r="N132" s="187"/>
      <c r="O132" s="187"/>
      <c r="P132" s="187"/>
      <c r="Q132" s="328">
        <v>1</v>
      </c>
      <c r="R132" s="328">
        <v>1</v>
      </c>
      <c r="S132" s="328">
        <v>3</v>
      </c>
      <c r="T132" s="328">
        <f t="shared" si="2"/>
        <v>3</v>
      </c>
      <c r="U132" s="328">
        <f t="shared" ref="U132" si="3">T132</f>
        <v>3</v>
      </c>
      <c r="V132" s="328">
        <f t="shared" si="2"/>
        <v>3</v>
      </c>
      <c r="W132" s="328">
        <f t="shared" si="2"/>
        <v>3</v>
      </c>
      <c r="X132" s="328">
        <f t="shared" si="2"/>
        <v>3</v>
      </c>
      <c r="Y132" s="328">
        <f t="shared" si="2"/>
        <v>3</v>
      </c>
      <c r="Z132" s="328">
        <f t="shared" si="2"/>
        <v>3</v>
      </c>
      <c r="AA132" s="328">
        <f t="shared" si="2"/>
        <v>3</v>
      </c>
      <c r="AB132" s="328">
        <f t="shared" si="2"/>
        <v>3</v>
      </c>
      <c r="AC132" s="328">
        <f t="shared" si="2"/>
        <v>3</v>
      </c>
      <c r="AD132" s="328">
        <f t="shared" si="2"/>
        <v>3</v>
      </c>
      <c r="AE132" s="328">
        <f t="shared" si="2"/>
        <v>3</v>
      </c>
      <c r="AF132" s="328">
        <f t="shared" si="2"/>
        <v>3</v>
      </c>
    </row>
    <row r="133" spans="1:32" s="470" customFormat="1" ht="15" customHeight="1">
      <c r="B133" s="471"/>
      <c r="C133" s="183"/>
      <c r="D133" s="186"/>
      <c r="E133" s="169"/>
      <c r="F133" s="540"/>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row>
    <row r="134" spans="1:32" s="470" customFormat="1" ht="15" customHeight="1">
      <c r="B134" s="471"/>
      <c r="C134" s="183"/>
      <c r="D134" s="186"/>
      <c r="E134" s="169"/>
      <c r="F134" s="540"/>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row>
    <row r="135" spans="1:32" s="470" customFormat="1" ht="15" customHeight="1">
      <c r="B135" s="471"/>
      <c r="C135" s="183"/>
      <c r="D135" s="186"/>
      <c r="E135" s="169"/>
      <c r="F135" s="540"/>
      <c r="G135" s="187"/>
      <c r="H135" s="187"/>
      <c r="I135" s="187"/>
      <c r="J135" s="187"/>
      <c r="K135" s="187"/>
      <c r="L135" s="187"/>
      <c r="M135" s="187"/>
      <c r="N135" s="187"/>
      <c r="O135" s="187"/>
      <c r="P135" s="187"/>
      <c r="Q135" s="187"/>
      <c r="R135" s="187"/>
      <c r="S135" s="187"/>
      <c r="T135" s="187"/>
      <c r="U135" s="187"/>
      <c r="V135" s="187"/>
      <c r="W135" s="187"/>
      <c r="X135" s="187"/>
      <c r="Y135" s="187"/>
      <c r="Z135" s="187"/>
      <c r="AA135" s="187"/>
      <c r="AB135" s="187"/>
      <c r="AC135" s="187"/>
      <c r="AD135" s="187"/>
      <c r="AE135" s="187"/>
      <c r="AF135" s="187"/>
    </row>
    <row r="136" spans="1:32" s="470" customFormat="1" ht="15" customHeight="1">
      <c r="B136" s="471"/>
      <c r="C136" s="183"/>
      <c r="D136" s="186"/>
      <c r="E136" s="169"/>
      <c r="F136" s="540"/>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row>
    <row r="137" spans="1:32" s="470" customFormat="1" ht="15" customHeight="1">
      <c r="B137" s="471"/>
      <c r="C137" s="183"/>
      <c r="D137" s="186"/>
      <c r="E137" s="169"/>
      <c r="F137" s="540"/>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row>
    <row r="138" spans="1:32" s="470" customFormat="1" ht="15" customHeight="1">
      <c r="B138" s="471"/>
      <c r="C138" s="183"/>
      <c r="D138" s="186"/>
      <c r="E138" s="169"/>
      <c r="F138" s="540"/>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row>
    <row r="139" spans="1:32" s="470" customFormat="1" ht="15" customHeight="1">
      <c r="B139" s="471"/>
      <c r="C139" s="183"/>
      <c r="D139" s="186"/>
      <c r="E139" s="169"/>
      <c r="F139" s="540"/>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row>
    <row r="140" spans="1:32" s="470" customFormat="1" ht="15" customHeight="1">
      <c r="B140" s="471"/>
      <c r="C140" s="183"/>
      <c r="D140" s="186"/>
      <c r="E140" s="169"/>
      <c r="F140" s="540"/>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row>
    <row r="141" spans="1:32" s="470" customFormat="1" ht="15" customHeight="1">
      <c r="B141" s="472"/>
      <c r="C141" s="183"/>
      <c r="D141" s="186"/>
      <c r="E141" s="169"/>
      <c r="F141" s="540"/>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row>
    <row r="142" spans="1:32" ht="15" customHeight="1">
      <c r="C142" s="18"/>
      <c r="D142" s="18"/>
      <c r="E142" s="18"/>
      <c r="F142" s="18"/>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row>
    <row r="143" spans="1:32" ht="15" customHeight="1">
      <c r="B143" s="172" t="s">
        <v>26</v>
      </c>
      <c r="C143" s="321" t="s">
        <v>138</v>
      </c>
      <c r="D143" s="22" t="s">
        <v>65</v>
      </c>
      <c r="E143" s="35" t="s">
        <v>558</v>
      </c>
      <c r="F143" s="548"/>
      <c r="G143" s="23">
        <v>0</v>
      </c>
      <c r="H143" s="23">
        <v>0</v>
      </c>
      <c r="I143" s="23">
        <v>0</v>
      </c>
      <c r="J143" s="23">
        <v>0</v>
      </c>
      <c r="K143" s="23">
        <v>0</v>
      </c>
      <c r="L143" s="23">
        <v>0</v>
      </c>
      <c r="M143" s="23">
        <v>0</v>
      </c>
      <c r="N143" s="23">
        <v>0</v>
      </c>
      <c r="O143" s="23">
        <v>0</v>
      </c>
      <c r="P143" s="23">
        <v>0</v>
      </c>
      <c r="Q143" s="23">
        <v>0</v>
      </c>
      <c r="R143" s="23">
        <v>0</v>
      </c>
      <c r="S143" s="23">
        <v>0</v>
      </c>
      <c r="T143" s="23">
        <v>0</v>
      </c>
      <c r="U143" s="23">
        <v>0</v>
      </c>
      <c r="V143" s="23">
        <v>0</v>
      </c>
      <c r="W143" s="23">
        <v>0</v>
      </c>
      <c r="X143" s="23">
        <v>0</v>
      </c>
      <c r="Y143" s="23">
        <v>0</v>
      </c>
      <c r="Z143" s="23">
        <v>0</v>
      </c>
      <c r="AA143" s="23">
        <v>0</v>
      </c>
      <c r="AB143" s="23">
        <v>0</v>
      </c>
      <c r="AC143" s="23">
        <v>0</v>
      </c>
      <c r="AD143" s="23">
        <v>0</v>
      </c>
      <c r="AE143" s="23">
        <v>0</v>
      </c>
      <c r="AF143" s="23">
        <v>0</v>
      </c>
    </row>
    <row r="144" spans="1:32" s="470" customFormat="1" ht="15" customHeight="1">
      <c r="A144" s="9"/>
      <c r="B144" s="64"/>
      <c r="C144" s="174" t="s">
        <v>558</v>
      </c>
      <c r="D144" s="12" t="s">
        <v>65</v>
      </c>
      <c r="E144" s="11" t="s">
        <v>558</v>
      </c>
      <c r="F144" s="222"/>
      <c r="G144" s="328"/>
      <c r="H144" s="328"/>
      <c r="I144" s="328"/>
      <c r="J144" s="328"/>
      <c r="K144" s="328"/>
      <c r="L144" s="328">
        <v>0</v>
      </c>
      <c r="M144" s="328">
        <v>0</v>
      </c>
      <c r="N144" s="328">
        <v>0</v>
      </c>
      <c r="O144" s="328">
        <v>0</v>
      </c>
      <c r="P144" s="328">
        <v>0</v>
      </c>
      <c r="Q144" s="328">
        <v>0</v>
      </c>
      <c r="R144" s="328">
        <v>0</v>
      </c>
      <c r="S144" s="328">
        <v>0</v>
      </c>
      <c r="T144" s="328">
        <v>0</v>
      </c>
      <c r="U144" s="328">
        <v>0</v>
      </c>
      <c r="V144" s="328">
        <v>0</v>
      </c>
      <c r="W144" s="328">
        <v>0</v>
      </c>
      <c r="X144" s="328">
        <v>0</v>
      </c>
      <c r="Y144" s="328">
        <v>0</v>
      </c>
      <c r="Z144" s="328">
        <v>0</v>
      </c>
      <c r="AA144" s="328">
        <v>0</v>
      </c>
      <c r="AB144" s="328">
        <v>0</v>
      </c>
      <c r="AC144" s="328">
        <v>0</v>
      </c>
      <c r="AD144" s="328">
        <v>0</v>
      </c>
      <c r="AE144" s="328">
        <v>0</v>
      </c>
      <c r="AF144" s="328">
        <v>0</v>
      </c>
    </row>
    <row r="145" spans="1:32" s="470" customFormat="1" ht="15" customHeight="1">
      <c r="A145" s="9"/>
      <c r="B145" s="64"/>
      <c r="C145" s="1179" t="s">
        <v>559</v>
      </c>
      <c r="D145" s="12" t="s">
        <v>65</v>
      </c>
      <c r="E145" s="1179" t="s">
        <v>559</v>
      </c>
      <c r="F145" s="222"/>
      <c r="G145" s="328"/>
      <c r="H145" s="328"/>
      <c r="I145" s="328"/>
      <c r="J145" s="328"/>
      <c r="K145" s="328"/>
      <c r="L145" s="328">
        <v>1</v>
      </c>
      <c r="M145" s="328">
        <v>1</v>
      </c>
      <c r="N145" s="328">
        <v>1</v>
      </c>
      <c r="O145" s="328">
        <v>1</v>
      </c>
      <c r="P145" s="328">
        <v>1</v>
      </c>
      <c r="Q145" s="328">
        <v>1</v>
      </c>
      <c r="R145" s="328">
        <v>1</v>
      </c>
      <c r="S145" s="328">
        <v>1</v>
      </c>
      <c r="T145" s="328">
        <v>1</v>
      </c>
      <c r="U145" s="328">
        <v>1</v>
      </c>
      <c r="V145" s="328">
        <v>1</v>
      </c>
      <c r="W145" s="328">
        <v>1</v>
      </c>
      <c r="X145" s="328">
        <v>1</v>
      </c>
      <c r="Y145" s="328">
        <v>1</v>
      </c>
      <c r="Z145" s="328">
        <v>1</v>
      </c>
      <c r="AA145" s="328">
        <v>1</v>
      </c>
      <c r="AB145" s="328">
        <v>1</v>
      </c>
      <c r="AC145" s="328">
        <v>1</v>
      </c>
      <c r="AD145" s="328">
        <v>1</v>
      </c>
      <c r="AE145" s="328">
        <v>1</v>
      </c>
      <c r="AF145" s="328">
        <v>1</v>
      </c>
    </row>
    <row r="146" spans="1:32" s="470" customFormat="1" ht="15" customHeight="1">
      <c r="A146" s="9"/>
      <c r="B146" s="64"/>
      <c r="C146" s="16" t="s">
        <v>560</v>
      </c>
      <c r="D146" s="12" t="s">
        <v>65</v>
      </c>
      <c r="E146" s="16" t="s">
        <v>560</v>
      </c>
      <c r="F146" s="222"/>
      <c r="G146" s="328"/>
      <c r="H146" s="328"/>
      <c r="I146" s="328"/>
      <c r="J146" s="328"/>
      <c r="K146" s="328"/>
      <c r="L146" s="328"/>
      <c r="M146" s="328"/>
      <c r="N146" s="328"/>
      <c r="O146" s="328"/>
      <c r="P146" s="328"/>
      <c r="Q146" s="328">
        <v>2</v>
      </c>
      <c r="R146" s="328">
        <v>2</v>
      </c>
      <c r="S146" s="328">
        <v>2</v>
      </c>
      <c r="T146" s="328">
        <v>2</v>
      </c>
      <c r="U146" s="328">
        <v>2</v>
      </c>
      <c r="V146" s="328">
        <v>2</v>
      </c>
      <c r="W146" s="328">
        <v>2</v>
      </c>
      <c r="X146" s="328">
        <v>2</v>
      </c>
      <c r="Y146" s="328">
        <v>2</v>
      </c>
      <c r="Z146" s="328">
        <v>2</v>
      </c>
      <c r="AA146" s="328">
        <v>2</v>
      </c>
      <c r="AB146" s="328">
        <v>2</v>
      </c>
      <c r="AC146" s="328">
        <v>2</v>
      </c>
      <c r="AD146" s="328">
        <v>2</v>
      </c>
      <c r="AE146" s="328">
        <v>2</v>
      </c>
      <c r="AF146" s="328">
        <v>2</v>
      </c>
    </row>
    <row r="147" spans="1:32" s="470" customFormat="1" ht="15" customHeight="1">
      <c r="A147" s="9"/>
      <c r="B147" s="64"/>
      <c r="C147" s="16" t="s">
        <v>561</v>
      </c>
      <c r="D147" s="12" t="s">
        <v>65</v>
      </c>
      <c r="E147" s="16" t="s">
        <v>561</v>
      </c>
      <c r="F147" s="222"/>
      <c r="G147" s="328"/>
      <c r="H147" s="328"/>
      <c r="I147" s="328"/>
      <c r="J147" s="328"/>
      <c r="K147" s="328"/>
      <c r="L147" s="328"/>
      <c r="M147" s="328"/>
      <c r="N147" s="328"/>
      <c r="O147" s="328"/>
      <c r="P147" s="328"/>
      <c r="Q147" s="328">
        <v>3</v>
      </c>
      <c r="R147" s="328">
        <v>3</v>
      </c>
      <c r="S147" s="328">
        <v>3</v>
      </c>
      <c r="T147" s="328">
        <v>3</v>
      </c>
      <c r="U147" s="328">
        <v>3</v>
      </c>
      <c r="V147" s="328">
        <v>3</v>
      </c>
      <c r="W147" s="328">
        <v>3</v>
      </c>
      <c r="X147" s="328">
        <v>3</v>
      </c>
      <c r="Y147" s="328">
        <v>3</v>
      </c>
      <c r="Z147" s="328">
        <v>3</v>
      </c>
      <c r="AA147" s="328">
        <v>3</v>
      </c>
      <c r="AB147" s="328">
        <v>3</v>
      </c>
      <c r="AC147" s="328">
        <v>3</v>
      </c>
      <c r="AD147" s="328">
        <v>3</v>
      </c>
      <c r="AE147" s="328">
        <v>3</v>
      </c>
      <c r="AF147" s="328">
        <v>3</v>
      </c>
    </row>
    <row r="148" spans="1:32" s="470" customFormat="1" ht="15" customHeight="1">
      <c r="A148" s="9"/>
      <c r="B148" s="64"/>
      <c r="C148" s="16" t="s">
        <v>562</v>
      </c>
      <c r="D148" s="12" t="s">
        <v>65</v>
      </c>
      <c r="E148" s="16" t="s">
        <v>562</v>
      </c>
      <c r="F148" s="222"/>
      <c r="G148" s="328"/>
      <c r="H148" s="328"/>
      <c r="I148" s="328"/>
      <c r="J148" s="328"/>
      <c r="K148" s="328"/>
      <c r="L148" s="328"/>
      <c r="M148" s="328"/>
      <c r="N148" s="328"/>
      <c r="O148" s="328"/>
      <c r="P148" s="328"/>
      <c r="Q148" s="328">
        <v>4</v>
      </c>
      <c r="R148" s="328">
        <v>4</v>
      </c>
      <c r="S148" s="328">
        <v>4</v>
      </c>
      <c r="T148" s="328">
        <v>4</v>
      </c>
      <c r="U148" s="328">
        <v>4</v>
      </c>
      <c r="V148" s="328">
        <v>4</v>
      </c>
      <c r="W148" s="328">
        <v>4</v>
      </c>
      <c r="X148" s="328">
        <v>4</v>
      </c>
      <c r="Y148" s="328">
        <v>4</v>
      </c>
      <c r="Z148" s="328">
        <v>4</v>
      </c>
      <c r="AA148" s="328">
        <v>4</v>
      </c>
      <c r="AB148" s="328">
        <v>4</v>
      </c>
      <c r="AC148" s="328">
        <v>4</v>
      </c>
      <c r="AD148" s="328">
        <v>4</v>
      </c>
      <c r="AE148" s="328">
        <v>4</v>
      </c>
      <c r="AF148" s="328">
        <v>4</v>
      </c>
    </row>
    <row r="149" spans="1:32" s="470" customFormat="1" ht="15" customHeight="1">
      <c r="A149" s="9"/>
      <c r="B149" s="64"/>
      <c r="C149" s="16" t="s">
        <v>557</v>
      </c>
      <c r="D149" s="12" t="s">
        <v>65</v>
      </c>
      <c r="E149" s="16" t="s">
        <v>557</v>
      </c>
      <c r="F149" s="222"/>
      <c r="G149" s="328"/>
      <c r="H149" s="328"/>
      <c r="I149" s="328"/>
      <c r="J149" s="328"/>
      <c r="K149" s="328"/>
      <c r="L149" s="328"/>
      <c r="M149" s="328"/>
      <c r="N149" s="328"/>
      <c r="O149" s="328"/>
      <c r="P149" s="328"/>
      <c r="Q149" s="328">
        <v>5</v>
      </c>
      <c r="R149" s="328">
        <v>5</v>
      </c>
      <c r="S149" s="328">
        <v>5</v>
      </c>
      <c r="T149" s="328">
        <v>5</v>
      </c>
      <c r="U149" s="328">
        <v>5</v>
      </c>
      <c r="V149" s="328">
        <v>5</v>
      </c>
      <c r="W149" s="328">
        <v>5</v>
      </c>
      <c r="X149" s="328">
        <v>5</v>
      </c>
      <c r="Y149" s="328">
        <v>5</v>
      </c>
      <c r="Z149" s="328">
        <v>5</v>
      </c>
      <c r="AA149" s="328">
        <v>5</v>
      </c>
      <c r="AB149" s="328">
        <v>5</v>
      </c>
      <c r="AC149" s="328">
        <v>5</v>
      </c>
      <c r="AD149" s="328">
        <v>5</v>
      </c>
      <c r="AE149" s="328">
        <v>5</v>
      </c>
      <c r="AF149" s="328">
        <v>5</v>
      </c>
    </row>
    <row r="150" spans="1:32" s="470" customFormat="1" ht="15" customHeight="1">
      <c r="A150" s="9"/>
      <c r="B150" s="64"/>
      <c r="C150" s="16" t="s">
        <v>563</v>
      </c>
      <c r="D150" s="12" t="s">
        <v>65</v>
      </c>
      <c r="E150" s="16" t="s">
        <v>563</v>
      </c>
      <c r="F150" s="222"/>
      <c r="G150" s="328"/>
      <c r="H150" s="328"/>
      <c r="I150" s="328"/>
      <c r="J150" s="328"/>
      <c r="K150" s="328"/>
      <c r="L150" s="328"/>
      <c r="M150" s="328"/>
      <c r="N150" s="328"/>
      <c r="O150" s="328"/>
      <c r="P150" s="328"/>
      <c r="Q150" s="328">
        <v>6</v>
      </c>
      <c r="R150" s="328">
        <v>6</v>
      </c>
      <c r="S150" s="328">
        <v>6</v>
      </c>
      <c r="T150" s="328">
        <v>6</v>
      </c>
      <c r="U150" s="328">
        <v>6</v>
      </c>
      <c r="V150" s="328">
        <v>6</v>
      </c>
      <c r="W150" s="328">
        <v>6</v>
      </c>
      <c r="X150" s="328">
        <v>6</v>
      </c>
      <c r="Y150" s="328">
        <v>6</v>
      </c>
      <c r="Z150" s="328">
        <v>6</v>
      </c>
      <c r="AA150" s="328">
        <v>6</v>
      </c>
      <c r="AB150" s="328">
        <v>6</v>
      </c>
      <c r="AC150" s="328">
        <v>6</v>
      </c>
      <c r="AD150" s="328">
        <v>6</v>
      </c>
      <c r="AE150" s="328">
        <v>6</v>
      </c>
      <c r="AF150" s="328">
        <v>6</v>
      </c>
    </row>
    <row r="151" spans="1:32" s="470" customFormat="1" ht="15" customHeight="1">
      <c r="A151" s="9"/>
      <c r="B151" s="64"/>
      <c r="C151" s="16" t="s">
        <v>564</v>
      </c>
      <c r="D151" s="12" t="s">
        <v>65</v>
      </c>
      <c r="E151" s="16" t="s">
        <v>564</v>
      </c>
      <c r="F151" s="222"/>
      <c r="G151" s="328"/>
      <c r="H151" s="328"/>
      <c r="I151" s="328"/>
      <c r="J151" s="328"/>
      <c r="K151" s="328"/>
      <c r="L151" s="328"/>
      <c r="M151" s="328"/>
      <c r="N151" s="328"/>
      <c r="O151" s="328"/>
      <c r="P151" s="328"/>
      <c r="Q151" s="328">
        <v>7</v>
      </c>
      <c r="R151" s="328">
        <v>7</v>
      </c>
      <c r="S151" s="328">
        <v>7</v>
      </c>
      <c r="T151" s="328">
        <v>7</v>
      </c>
      <c r="U151" s="328">
        <v>7</v>
      </c>
      <c r="V151" s="328">
        <v>7</v>
      </c>
      <c r="W151" s="328">
        <v>7</v>
      </c>
      <c r="X151" s="328">
        <v>7</v>
      </c>
      <c r="Y151" s="328">
        <v>7</v>
      </c>
      <c r="Z151" s="328">
        <v>7</v>
      </c>
      <c r="AA151" s="328">
        <v>7</v>
      </c>
      <c r="AB151" s="328">
        <v>7</v>
      </c>
      <c r="AC151" s="328">
        <v>7</v>
      </c>
      <c r="AD151" s="328">
        <v>7</v>
      </c>
      <c r="AE151" s="328">
        <v>7</v>
      </c>
      <c r="AF151" s="328">
        <v>7</v>
      </c>
    </row>
    <row r="152" spans="1:32" s="470" customFormat="1" ht="15" customHeight="1">
      <c r="A152" s="9"/>
      <c r="B152" s="64"/>
      <c r="C152" s="16" t="s">
        <v>565</v>
      </c>
      <c r="D152" s="12" t="s">
        <v>65</v>
      </c>
      <c r="E152" s="16" t="s">
        <v>565</v>
      </c>
      <c r="F152" s="222"/>
      <c r="G152" s="328"/>
      <c r="H152" s="328"/>
      <c r="I152" s="328"/>
      <c r="J152" s="328"/>
      <c r="K152" s="328"/>
      <c r="L152" s="328"/>
      <c r="M152" s="328"/>
      <c r="N152" s="328"/>
      <c r="O152" s="328"/>
      <c r="P152" s="328"/>
      <c r="Q152" s="328">
        <v>8</v>
      </c>
      <c r="R152" s="328">
        <v>8</v>
      </c>
      <c r="S152" s="328">
        <v>8</v>
      </c>
      <c r="T152" s="328">
        <v>8</v>
      </c>
      <c r="U152" s="328">
        <v>8</v>
      </c>
      <c r="V152" s="328">
        <v>8</v>
      </c>
      <c r="W152" s="328">
        <v>8</v>
      </c>
      <c r="X152" s="328">
        <v>8</v>
      </c>
      <c r="Y152" s="328">
        <v>8</v>
      </c>
      <c r="Z152" s="328">
        <v>8</v>
      </c>
      <c r="AA152" s="328">
        <v>8</v>
      </c>
      <c r="AB152" s="328">
        <v>8</v>
      </c>
      <c r="AC152" s="328">
        <v>8</v>
      </c>
      <c r="AD152" s="328">
        <v>8</v>
      </c>
      <c r="AE152" s="328">
        <v>8</v>
      </c>
      <c r="AF152" s="328">
        <v>8</v>
      </c>
    </row>
    <row r="153" spans="1:32" s="470" customFormat="1" ht="15" customHeight="1">
      <c r="A153" s="9"/>
      <c r="B153" s="64"/>
      <c r="C153" s="16" t="s">
        <v>566</v>
      </c>
      <c r="D153" s="12" t="s">
        <v>65</v>
      </c>
      <c r="E153" s="16" t="s">
        <v>566</v>
      </c>
      <c r="F153" s="222"/>
      <c r="G153" s="328"/>
      <c r="H153" s="328"/>
      <c r="I153" s="328"/>
      <c r="J153" s="328"/>
      <c r="K153" s="328"/>
      <c r="L153" s="328"/>
      <c r="M153" s="328"/>
      <c r="N153" s="328"/>
      <c r="O153" s="328"/>
      <c r="P153" s="328"/>
      <c r="Q153" s="328">
        <v>9</v>
      </c>
      <c r="R153" s="328">
        <v>9</v>
      </c>
      <c r="S153" s="328">
        <v>9</v>
      </c>
      <c r="T153" s="328">
        <v>9</v>
      </c>
      <c r="U153" s="328">
        <v>9</v>
      </c>
      <c r="V153" s="328">
        <v>9</v>
      </c>
      <c r="W153" s="328">
        <v>9</v>
      </c>
      <c r="X153" s="328">
        <v>9</v>
      </c>
      <c r="Y153" s="328">
        <v>9</v>
      </c>
      <c r="Z153" s="328">
        <v>9</v>
      </c>
      <c r="AA153" s="328">
        <v>9</v>
      </c>
      <c r="AB153" s="328">
        <v>9</v>
      </c>
      <c r="AC153" s="328">
        <v>9</v>
      </c>
      <c r="AD153" s="328">
        <v>9</v>
      </c>
      <c r="AE153" s="328">
        <v>9</v>
      </c>
      <c r="AF153" s="328">
        <v>9</v>
      </c>
    </row>
    <row r="154" spans="1:32" s="470" customFormat="1" ht="15" customHeight="1">
      <c r="A154" s="9"/>
      <c r="B154" s="64"/>
      <c r="C154" s="16" t="s">
        <v>567</v>
      </c>
      <c r="D154" s="12" t="s">
        <v>65</v>
      </c>
      <c r="E154" s="16" t="s">
        <v>567</v>
      </c>
      <c r="F154" s="222"/>
      <c r="G154" s="328"/>
      <c r="H154" s="328"/>
      <c r="I154" s="328"/>
      <c r="J154" s="328"/>
      <c r="K154" s="328"/>
      <c r="L154" s="328"/>
      <c r="M154" s="328"/>
      <c r="N154" s="328"/>
      <c r="O154" s="328"/>
      <c r="P154" s="328"/>
      <c r="Q154" s="328">
        <v>10</v>
      </c>
      <c r="R154" s="328">
        <v>10</v>
      </c>
      <c r="S154" s="328">
        <v>10</v>
      </c>
      <c r="T154" s="328">
        <v>10</v>
      </c>
      <c r="U154" s="328">
        <v>10</v>
      </c>
      <c r="V154" s="328">
        <v>10</v>
      </c>
      <c r="W154" s="328">
        <v>10</v>
      </c>
      <c r="X154" s="328">
        <v>10</v>
      </c>
      <c r="Y154" s="328">
        <v>10</v>
      </c>
      <c r="Z154" s="328">
        <v>10</v>
      </c>
      <c r="AA154" s="328">
        <v>10</v>
      </c>
      <c r="AB154" s="328">
        <v>10</v>
      </c>
      <c r="AC154" s="328">
        <v>10</v>
      </c>
      <c r="AD154" s="328">
        <v>10</v>
      </c>
      <c r="AE154" s="328">
        <v>10</v>
      </c>
      <c r="AF154" s="328">
        <v>10</v>
      </c>
    </row>
    <row r="155" spans="1:32" s="470" customFormat="1" ht="15" customHeight="1">
      <c r="B155" s="471"/>
      <c r="C155" s="183"/>
      <c r="D155" s="186"/>
      <c r="E155" s="169"/>
      <c r="F155" s="540"/>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row>
    <row r="156" spans="1:32" s="470" customFormat="1" ht="15" customHeight="1">
      <c r="B156" s="471"/>
      <c r="C156" s="183"/>
      <c r="D156" s="186"/>
      <c r="E156" s="169"/>
      <c r="F156" s="540"/>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row>
    <row r="157" spans="1:32" s="470" customFormat="1" ht="15" customHeight="1">
      <c r="B157" s="471"/>
      <c r="C157" s="183"/>
      <c r="D157" s="186"/>
      <c r="E157" s="169"/>
      <c r="F157" s="540"/>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row>
    <row r="158" spans="1:32" s="470" customFormat="1" ht="15" customHeight="1">
      <c r="B158" s="471"/>
      <c r="C158" s="183"/>
      <c r="D158" s="186"/>
      <c r="E158" s="169"/>
      <c r="F158" s="540"/>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row>
    <row r="159" spans="1:32" s="470" customFormat="1" ht="15" customHeight="1">
      <c r="B159" s="471"/>
      <c r="C159" s="183"/>
      <c r="D159" s="186"/>
      <c r="E159" s="169"/>
      <c r="F159" s="540"/>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row>
    <row r="160" spans="1:32" s="470" customFormat="1" ht="15" customHeight="1">
      <c r="B160" s="471"/>
      <c r="C160" s="183"/>
      <c r="D160" s="186"/>
      <c r="E160" s="169"/>
      <c r="F160" s="540"/>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row>
    <row r="161" spans="1:32" s="470" customFormat="1" ht="15" customHeight="1">
      <c r="B161" s="471"/>
      <c r="C161" s="183"/>
      <c r="D161" s="186"/>
      <c r="E161" s="169"/>
      <c r="F161" s="540"/>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row>
    <row r="162" spans="1:32" s="470" customFormat="1" ht="15" customHeight="1">
      <c r="B162" s="471"/>
      <c r="C162" s="183"/>
      <c r="D162" s="186"/>
      <c r="E162" s="169"/>
      <c r="F162" s="540"/>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row>
    <row r="163" spans="1:32" s="470" customFormat="1" ht="15" customHeight="1">
      <c r="B163" s="471"/>
      <c r="C163" s="183"/>
      <c r="D163" s="186"/>
      <c r="E163" s="169"/>
      <c r="F163" s="540"/>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row>
    <row r="164" spans="1:32" s="470" customFormat="1" ht="15" customHeight="1">
      <c r="B164" s="471"/>
      <c r="C164" s="183"/>
      <c r="D164" s="186"/>
      <c r="E164" s="169"/>
      <c r="F164" s="540"/>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row>
    <row r="165" spans="1:32" s="470" customFormat="1" ht="15" customHeight="1">
      <c r="B165" s="471"/>
      <c r="C165" s="183"/>
      <c r="D165" s="186"/>
      <c r="E165" s="169"/>
      <c r="F165" s="540"/>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row>
    <row r="166" spans="1:32" s="470" customFormat="1" ht="15" customHeight="1">
      <c r="B166" s="471"/>
      <c r="C166" s="183"/>
      <c r="D166" s="186"/>
      <c r="E166" s="169"/>
      <c r="F166" s="540"/>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row>
    <row r="167" spans="1:32" s="470" customFormat="1" ht="15" customHeight="1">
      <c r="B167" s="472"/>
      <c r="C167" s="183"/>
      <c r="D167" s="186"/>
      <c r="E167" s="169"/>
      <c r="F167" s="540"/>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row>
    <row r="168" spans="1:32" ht="15" customHeight="1">
      <c r="C168" s="18"/>
      <c r="D168" s="18"/>
      <c r="E168" s="18"/>
      <c r="F168" s="18"/>
      <c r="G168" s="17"/>
      <c r="H168" s="17"/>
      <c r="I168" s="17"/>
      <c r="J168" s="17"/>
      <c r="K168" s="17"/>
      <c r="L168" s="989"/>
      <c r="M168" s="989"/>
      <c r="N168" s="989"/>
      <c r="O168" s="989"/>
      <c r="P168" s="989"/>
      <c r="Q168" s="989"/>
      <c r="R168" s="17"/>
      <c r="S168" s="17"/>
      <c r="T168" s="17"/>
      <c r="U168" s="17"/>
      <c r="V168" s="17"/>
      <c r="W168" s="17"/>
      <c r="X168" s="17"/>
      <c r="Y168" s="17"/>
      <c r="Z168" s="17"/>
      <c r="AA168" s="17"/>
      <c r="AB168" s="17"/>
      <c r="AC168" s="17"/>
      <c r="AD168" s="17"/>
      <c r="AE168" s="17"/>
      <c r="AF168" s="17"/>
    </row>
    <row r="169" spans="1:32" ht="15" customHeight="1">
      <c r="B169" s="172" t="s">
        <v>14</v>
      </c>
      <c r="C169" s="321" t="s">
        <v>138</v>
      </c>
      <c r="D169" s="22" t="s">
        <v>65</v>
      </c>
      <c r="E169" s="35" t="s">
        <v>557</v>
      </c>
      <c r="F169" s="548"/>
      <c r="G169" s="23"/>
      <c r="H169" s="23"/>
      <c r="I169" s="23"/>
      <c r="J169" s="23"/>
      <c r="K169" s="23"/>
      <c r="L169" s="23">
        <v>5</v>
      </c>
      <c r="M169" s="23">
        <v>5</v>
      </c>
      <c r="N169" s="23">
        <v>5</v>
      </c>
      <c r="O169" s="23">
        <v>5</v>
      </c>
      <c r="P169" s="23">
        <v>5</v>
      </c>
      <c r="Q169" s="23">
        <v>5</v>
      </c>
      <c r="R169" s="23">
        <v>5</v>
      </c>
      <c r="S169" s="23">
        <v>5</v>
      </c>
      <c r="T169" s="23">
        <v>5</v>
      </c>
      <c r="U169" s="23">
        <v>5</v>
      </c>
      <c r="V169" s="23">
        <v>5</v>
      </c>
      <c r="W169" s="23">
        <v>5</v>
      </c>
      <c r="X169" s="23">
        <v>5</v>
      </c>
      <c r="Y169" s="23">
        <v>5</v>
      </c>
      <c r="Z169" s="23">
        <v>5</v>
      </c>
      <c r="AA169" s="23">
        <v>5</v>
      </c>
      <c r="AB169" s="23">
        <v>5</v>
      </c>
      <c r="AC169" s="23">
        <v>5</v>
      </c>
      <c r="AD169" s="23">
        <v>5</v>
      </c>
      <c r="AE169" s="23">
        <v>5</v>
      </c>
      <c r="AF169" s="23">
        <v>5</v>
      </c>
    </row>
    <row r="170" spans="1:32" s="470" customFormat="1" ht="15" customHeight="1">
      <c r="A170" s="9"/>
      <c r="B170" s="64"/>
      <c r="C170" s="174" t="s">
        <v>558</v>
      </c>
      <c r="D170" s="12" t="s">
        <v>65</v>
      </c>
      <c r="E170" s="11" t="s">
        <v>558</v>
      </c>
      <c r="F170" s="222"/>
      <c r="G170" s="328"/>
      <c r="H170" s="328"/>
      <c r="I170" s="328"/>
      <c r="J170" s="328"/>
      <c r="K170" s="328"/>
      <c r="L170" s="328">
        <v>0</v>
      </c>
      <c r="M170" s="328">
        <v>0</v>
      </c>
      <c r="N170" s="328">
        <v>0</v>
      </c>
      <c r="O170" s="328">
        <v>0</v>
      </c>
      <c r="P170" s="328">
        <v>0</v>
      </c>
      <c r="Q170" s="328">
        <v>0</v>
      </c>
      <c r="R170" s="328">
        <v>0</v>
      </c>
      <c r="S170" s="328">
        <v>0</v>
      </c>
      <c r="T170" s="328">
        <v>0</v>
      </c>
      <c r="U170" s="328">
        <v>0</v>
      </c>
      <c r="V170" s="328">
        <v>0</v>
      </c>
      <c r="W170" s="328">
        <v>0</v>
      </c>
      <c r="X170" s="328">
        <v>0</v>
      </c>
      <c r="Y170" s="328">
        <v>0</v>
      </c>
      <c r="Z170" s="328">
        <v>0</v>
      </c>
      <c r="AA170" s="328">
        <v>0</v>
      </c>
      <c r="AB170" s="328">
        <v>0</v>
      </c>
      <c r="AC170" s="328">
        <v>0</v>
      </c>
      <c r="AD170" s="328">
        <v>0</v>
      </c>
      <c r="AE170" s="328">
        <v>0</v>
      </c>
      <c r="AF170" s="328">
        <v>0</v>
      </c>
    </row>
    <row r="171" spans="1:32" s="470" customFormat="1" ht="15" customHeight="1">
      <c r="A171" s="9"/>
      <c r="B171" s="64"/>
      <c r="C171" s="1179" t="s">
        <v>559</v>
      </c>
      <c r="D171" s="12" t="s">
        <v>65</v>
      </c>
      <c r="E171" s="1179" t="s">
        <v>559</v>
      </c>
      <c r="F171" s="222"/>
      <c r="G171" s="328"/>
      <c r="H171" s="328"/>
      <c r="I171" s="328"/>
      <c r="J171" s="328"/>
      <c r="K171" s="328"/>
      <c r="L171" s="328">
        <v>1</v>
      </c>
      <c r="M171" s="328">
        <v>1</v>
      </c>
      <c r="N171" s="328">
        <v>1</v>
      </c>
      <c r="O171" s="328">
        <v>1</v>
      </c>
      <c r="P171" s="328">
        <v>1</v>
      </c>
      <c r="Q171" s="328">
        <v>1</v>
      </c>
      <c r="R171" s="328">
        <v>1</v>
      </c>
      <c r="S171" s="328">
        <v>1</v>
      </c>
      <c r="T171" s="328">
        <v>1</v>
      </c>
      <c r="U171" s="328">
        <v>1</v>
      </c>
      <c r="V171" s="328">
        <v>1</v>
      </c>
      <c r="W171" s="328">
        <v>1</v>
      </c>
      <c r="X171" s="328">
        <v>1</v>
      </c>
      <c r="Y171" s="328">
        <v>1</v>
      </c>
      <c r="Z171" s="328">
        <v>1</v>
      </c>
      <c r="AA171" s="328">
        <v>1</v>
      </c>
      <c r="AB171" s="328">
        <v>1</v>
      </c>
      <c r="AC171" s="328">
        <v>1</v>
      </c>
      <c r="AD171" s="328">
        <v>1</v>
      </c>
      <c r="AE171" s="328">
        <v>1</v>
      </c>
      <c r="AF171" s="328">
        <v>1</v>
      </c>
    </row>
    <row r="172" spans="1:32" s="470" customFormat="1" ht="15" customHeight="1">
      <c r="A172" s="9"/>
      <c r="B172" s="64"/>
      <c r="C172" s="16" t="s">
        <v>560</v>
      </c>
      <c r="D172" s="12" t="s">
        <v>65</v>
      </c>
      <c r="E172" s="16" t="s">
        <v>560</v>
      </c>
      <c r="F172" s="222"/>
      <c r="G172" s="328"/>
      <c r="H172" s="328"/>
      <c r="I172" s="328"/>
      <c r="J172" s="328"/>
      <c r="K172" s="328"/>
      <c r="L172" s="328"/>
      <c r="M172" s="328"/>
      <c r="N172" s="328"/>
      <c r="O172" s="328"/>
      <c r="P172" s="328"/>
      <c r="Q172" s="328">
        <v>2</v>
      </c>
      <c r="R172" s="328">
        <v>2</v>
      </c>
      <c r="S172" s="328">
        <v>2</v>
      </c>
      <c r="T172" s="328">
        <v>2</v>
      </c>
      <c r="U172" s="328">
        <v>2</v>
      </c>
      <c r="V172" s="328">
        <v>2</v>
      </c>
      <c r="W172" s="328">
        <v>2</v>
      </c>
      <c r="X172" s="328">
        <v>2</v>
      </c>
      <c r="Y172" s="328">
        <v>2</v>
      </c>
      <c r="Z172" s="328">
        <v>2</v>
      </c>
      <c r="AA172" s="328">
        <v>2</v>
      </c>
      <c r="AB172" s="328">
        <v>2</v>
      </c>
      <c r="AC172" s="328">
        <v>2</v>
      </c>
      <c r="AD172" s="328">
        <v>2</v>
      </c>
      <c r="AE172" s="328">
        <v>2</v>
      </c>
      <c r="AF172" s="328">
        <v>2</v>
      </c>
    </row>
    <row r="173" spans="1:32" s="470" customFormat="1" ht="15" customHeight="1">
      <c r="A173" s="9"/>
      <c r="B173" s="64"/>
      <c r="C173" s="16" t="s">
        <v>561</v>
      </c>
      <c r="D173" s="12" t="s">
        <v>65</v>
      </c>
      <c r="E173" s="16" t="s">
        <v>561</v>
      </c>
      <c r="F173" s="222"/>
      <c r="G173" s="328"/>
      <c r="H173" s="328"/>
      <c r="I173" s="328"/>
      <c r="J173" s="328"/>
      <c r="K173" s="328"/>
      <c r="L173" s="328"/>
      <c r="M173" s="328"/>
      <c r="N173" s="328"/>
      <c r="O173" s="328"/>
      <c r="P173" s="328"/>
      <c r="Q173" s="328">
        <v>3</v>
      </c>
      <c r="R173" s="328">
        <v>3</v>
      </c>
      <c r="S173" s="328">
        <v>3</v>
      </c>
      <c r="T173" s="328">
        <v>3</v>
      </c>
      <c r="U173" s="328">
        <v>3</v>
      </c>
      <c r="V173" s="328">
        <v>3</v>
      </c>
      <c r="W173" s="328">
        <v>3</v>
      </c>
      <c r="X173" s="328">
        <v>3</v>
      </c>
      <c r="Y173" s="328">
        <v>3</v>
      </c>
      <c r="Z173" s="328">
        <v>3</v>
      </c>
      <c r="AA173" s="328">
        <v>3</v>
      </c>
      <c r="AB173" s="328">
        <v>3</v>
      </c>
      <c r="AC173" s="328">
        <v>3</v>
      </c>
      <c r="AD173" s="328">
        <v>3</v>
      </c>
      <c r="AE173" s="328">
        <v>3</v>
      </c>
      <c r="AF173" s="328">
        <v>3</v>
      </c>
    </row>
    <row r="174" spans="1:32" s="470" customFormat="1" ht="15" customHeight="1">
      <c r="A174" s="9"/>
      <c r="B174" s="64"/>
      <c r="C174" s="16" t="s">
        <v>562</v>
      </c>
      <c r="D174" s="12" t="s">
        <v>65</v>
      </c>
      <c r="E174" s="16" t="s">
        <v>562</v>
      </c>
      <c r="F174" s="222"/>
      <c r="G174" s="328"/>
      <c r="H174" s="328"/>
      <c r="I174" s="328"/>
      <c r="J174" s="328"/>
      <c r="K174" s="328"/>
      <c r="L174" s="328"/>
      <c r="M174" s="328"/>
      <c r="N174" s="328"/>
      <c r="O174" s="328"/>
      <c r="P174" s="328"/>
      <c r="Q174" s="328">
        <v>4</v>
      </c>
      <c r="R174" s="328">
        <v>4</v>
      </c>
      <c r="S174" s="328">
        <v>4</v>
      </c>
      <c r="T174" s="328">
        <v>4</v>
      </c>
      <c r="U174" s="328">
        <v>4</v>
      </c>
      <c r="V174" s="328">
        <v>4</v>
      </c>
      <c r="W174" s="328">
        <v>4</v>
      </c>
      <c r="X174" s="328">
        <v>4</v>
      </c>
      <c r="Y174" s="328">
        <v>4</v>
      </c>
      <c r="Z174" s="328">
        <v>4</v>
      </c>
      <c r="AA174" s="328">
        <v>4</v>
      </c>
      <c r="AB174" s="328">
        <v>4</v>
      </c>
      <c r="AC174" s="328">
        <v>4</v>
      </c>
      <c r="AD174" s="328">
        <v>4</v>
      </c>
      <c r="AE174" s="328">
        <v>4</v>
      </c>
      <c r="AF174" s="328">
        <v>4</v>
      </c>
    </row>
    <row r="175" spans="1:32" s="470" customFormat="1" ht="15" customHeight="1">
      <c r="A175" s="9"/>
      <c r="B175" s="64"/>
      <c r="C175" s="16" t="s">
        <v>557</v>
      </c>
      <c r="D175" s="12" t="s">
        <v>65</v>
      </c>
      <c r="E175" s="16" t="s">
        <v>557</v>
      </c>
      <c r="F175" s="222"/>
      <c r="G175" s="328"/>
      <c r="H175" s="328"/>
      <c r="I175" s="328"/>
      <c r="J175" s="328"/>
      <c r="K175" s="328"/>
      <c r="L175" s="328"/>
      <c r="M175" s="328"/>
      <c r="N175" s="328"/>
      <c r="O175" s="328"/>
      <c r="P175" s="328"/>
      <c r="Q175" s="328">
        <v>5</v>
      </c>
      <c r="R175" s="328">
        <v>5</v>
      </c>
      <c r="S175" s="328">
        <v>5</v>
      </c>
      <c r="T175" s="328">
        <v>5</v>
      </c>
      <c r="U175" s="328">
        <v>5</v>
      </c>
      <c r="V175" s="328">
        <v>5</v>
      </c>
      <c r="W175" s="328">
        <v>5</v>
      </c>
      <c r="X175" s="328">
        <v>5</v>
      </c>
      <c r="Y175" s="328">
        <v>5</v>
      </c>
      <c r="Z175" s="328">
        <v>5</v>
      </c>
      <c r="AA175" s="328">
        <v>5</v>
      </c>
      <c r="AB175" s="328">
        <v>5</v>
      </c>
      <c r="AC175" s="328">
        <v>5</v>
      </c>
      <c r="AD175" s="328">
        <v>5</v>
      </c>
      <c r="AE175" s="328">
        <v>5</v>
      </c>
      <c r="AF175" s="328">
        <v>5</v>
      </c>
    </row>
    <row r="176" spans="1:32" s="470" customFormat="1" ht="15" customHeight="1">
      <c r="A176" s="9"/>
      <c r="B176" s="64"/>
      <c r="C176" s="16" t="s">
        <v>563</v>
      </c>
      <c r="D176" s="12" t="s">
        <v>65</v>
      </c>
      <c r="E176" s="16" t="s">
        <v>563</v>
      </c>
      <c r="F176" s="222"/>
      <c r="G176" s="328"/>
      <c r="H176" s="328"/>
      <c r="I176" s="328"/>
      <c r="J176" s="328"/>
      <c r="K176" s="328"/>
      <c r="L176" s="328"/>
      <c r="M176" s="328"/>
      <c r="N176" s="328"/>
      <c r="O176" s="328"/>
      <c r="P176" s="328"/>
      <c r="Q176" s="328">
        <v>6</v>
      </c>
      <c r="R176" s="328">
        <v>6</v>
      </c>
      <c r="S176" s="328">
        <v>6</v>
      </c>
      <c r="T176" s="328">
        <v>6</v>
      </c>
      <c r="U176" s="328">
        <v>6</v>
      </c>
      <c r="V176" s="328">
        <v>6</v>
      </c>
      <c r="W176" s="328">
        <v>6</v>
      </c>
      <c r="X176" s="328">
        <v>6</v>
      </c>
      <c r="Y176" s="328">
        <v>6</v>
      </c>
      <c r="Z176" s="328">
        <v>6</v>
      </c>
      <c r="AA176" s="328">
        <v>6</v>
      </c>
      <c r="AB176" s="328">
        <v>6</v>
      </c>
      <c r="AC176" s="328">
        <v>6</v>
      </c>
      <c r="AD176" s="328">
        <v>6</v>
      </c>
      <c r="AE176" s="328">
        <v>6</v>
      </c>
      <c r="AF176" s="328">
        <v>6</v>
      </c>
    </row>
    <row r="177" spans="1:32" s="470" customFormat="1" ht="15" customHeight="1">
      <c r="A177" s="9"/>
      <c r="B177" s="64"/>
      <c r="C177" s="16" t="s">
        <v>564</v>
      </c>
      <c r="D177" s="12" t="s">
        <v>65</v>
      </c>
      <c r="E177" s="16" t="s">
        <v>564</v>
      </c>
      <c r="F177" s="222"/>
      <c r="G177" s="328"/>
      <c r="H177" s="328"/>
      <c r="I177" s="328"/>
      <c r="J177" s="328"/>
      <c r="K177" s="328"/>
      <c r="L177" s="328"/>
      <c r="M177" s="328"/>
      <c r="N177" s="328"/>
      <c r="O177" s="328"/>
      <c r="P177" s="328"/>
      <c r="Q177" s="328">
        <v>7</v>
      </c>
      <c r="R177" s="328">
        <v>7</v>
      </c>
      <c r="S177" s="328">
        <v>7</v>
      </c>
      <c r="T177" s="328">
        <v>7</v>
      </c>
      <c r="U177" s="328">
        <v>7</v>
      </c>
      <c r="V177" s="328">
        <v>7</v>
      </c>
      <c r="W177" s="328">
        <v>7</v>
      </c>
      <c r="X177" s="328">
        <v>7</v>
      </c>
      <c r="Y177" s="328">
        <v>7</v>
      </c>
      <c r="Z177" s="328">
        <v>7</v>
      </c>
      <c r="AA177" s="328">
        <v>7</v>
      </c>
      <c r="AB177" s="328">
        <v>7</v>
      </c>
      <c r="AC177" s="328">
        <v>7</v>
      </c>
      <c r="AD177" s="328">
        <v>7</v>
      </c>
      <c r="AE177" s="328">
        <v>7</v>
      </c>
      <c r="AF177" s="328">
        <v>7</v>
      </c>
    </row>
    <row r="178" spans="1:32" s="470" customFormat="1" ht="15" customHeight="1">
      <c r="A178" s="9"/>
      <c r="B178" s="64"/>
      <c r="C178" s="16" t="s">
        <v>565</v>
      </c>
      <c r="D178" s="12" t="s">
        <v>65</v>
      </c>
      <c r="E178" s="16" t="s">
        <v>565</v>
      </c>
      <c r="F178" s="222"/>
      <c r="G178" s="328"/>
      <c r="H178" s="328"/>
      <c r="I178" s="328"/>
      <c r="J178" s="328"/>
      <c r="K178" s="328"/>
      <c r="L178" s="328"/>
      <c r="M178" s="328"/>
      <c r="N178" s="328"/>
      <c r="O178" s="328"/>
      <c r="P178" s="328"/>
      <c r="Q178" s="328">
        <v>8</v>
      </c>
      <c r="R178" s="328">
        <v>8</v>
      </c>
      <c r="S178" s="328">
        <v>8</v>
      </c>
      <c r="T178" s="328">
        <v>8</v>
      </c>
      <c r="U178" s="328">
        <v>8</v>
      </c>
      <c r="V178" s="328">
        <v>8</v>
      </c>
      <c r="W178" s="328">
        <v>8</v>
      </c>
      <c r="X178" s="328">
        <v>8</v>
      </c>
      <c r="Y178" s="328">
        <v>8</v>
      </c>
      <c r="Z178" s="328">
        <v>8</v>
      </c>
      <c r="AA178" s="328">
        <v>8</v>
      </c>
      <c r="AB178" s="328">
        <v>8</v>
      </c>
      <c r="AC178" s="328">
        <v>8</v>
      </c>
      <c r="AD178" s="328">
        <v>8</v>
      </c>
      <c r="AE178" s="328">
        <v>8</v>
      </c>
      <c r="AF178" s="328">
        <v>8</v>
      </c>
    </row>
    <row r="179" spans="1:32" s="470" customFormat="1" ht="15" customHeight="1">
      <c r="A179" s="9"/>
      <c r="B179" s="64"/>
      <c r="C179" s="16" t="s">
        <v>566</v>
      </c>
      <c r="D179" s="12" t="s">
        <v>65</v>
      </c>
      <c r="E179" s="16" t="s">
        <v>566</v>
      </c>
      <c r="F179" s="222"/>
      <c r="G179" s="328"/>
      <c r="H179" s="328"/>
      <c r="I179" s="328"/>
      <c r="J179" s="328"/>
      <c r="K179" s="328"/>
      <c r="L179" s="328"/>
      <c r="M179" s="328"/>
      <c r="N179" s="328"/>
      <c r="O179" s="328"/>
      <c r="P179" s="328"/>
      <c r="Q179" s="328">
        <v>9</v>
      </c>
      <c r="R179" s="328">
        <v>9</v>
      </c>
      <c r="S179" s="328">
        <v>9</v>
      </c>
      <c r="T179" s="328">
        <v>9</v>
      </c>
      <c r="U179" s="328">
        <v>9</v>
      </c>
      <c r="V179" s="328">
        <v>9</v>
      </c>
      <c r="W179" s="328">
        <v>9</v>
      </c>
      <c r="X179" s="328">
        <v>9</v>
      </c>
      <c r="Y179" s="328">
        <v>9</v>
      </c>
      <c r="Z179" s="328">
        <v>9</v>
      </c>
      <c r="AA179" s="328">
        <v>9</v>
      </c>
      <c r="AB179" s="328">
        <v>9</v>
      </c>
      <c r="AC179" s="328">
        <v>9</v>
      </c>
      <c r="AD179" s="328">
        <v>9</v>
      </c>
      <c r="AE179" s="328">
        <v>9</v>
      </c>
      <c r="AF179" s="328">
        <v>9</v>
      </c>
    </row>
    <row r="180" spans="1:32" s="470" customFormat="1" ht="15" customHeight="1">
      <c r="A180" s="9"/>
      <c r="B180" s="64"/>
      <c r="C180" s="16" t="s">
        <v>567</v>
      </c>
      <c r="D180" s="12" t="s">
        <v>65</v>
      </c>
      <c r="E180" s="16" t="s">
        <v>567</v>
      </c>
      <c r="F180" s="222"/>
      <c r="G180" s="328"/>
      <c r="H180" s="328"/>
      <c r="I180" s="328"/>
      <c r="J180" s="328"/>
      <c r="K180" s="328"/>
      <c r="L180" s="328"/>
      <c r="M180" s="328"/>
      <c r="N180" s="328"/>
      <c r="O180" s="328"/>
      <c r="P180" s="328"/>
      <c r="Q180" s="328">
        <v>10</v>
      </c>
      <c r="R180" s="328">
        <v>10</v>
      </c>
      <c r="S180" s="328">
        <v>10</v>
      </c>
      <c r="T180" s="328">
        <v>10</v>
      </c>
      <c r="U180" s="328">
        <v>10</v>
      </c>
      <c r="V180" s="328">
        <v>10</v>
      </c>
      <c r="W180" s="328">
        <v>10</v>
      </c>
      <c r="X180" s="328">
        <v>10</v>
      </c>
      <c r="Y180" s="328">
        <v>10</v>
      </c>
      <c r="Z180" s="328">
        <v>10</v>
      </c>
      <c r="AA180" s="328">
        <v>10</v>
      </c>
      <c r="AB180" s="328">
        <v>10</v>
      </c>
      <c r="AC180" s="328">
        <v>10</v>
      </c>
      <c r="AD180" s="328">
        <v>10</v>
      </c>
      <c r="AE180" s="328">
        <v>10</v>
      </c>
      <c r="AF180" s="328">
        <v>10</v>
      </c>
    </row>
    <row r="181" spans="1:32" s="470" customFormat="1" ht="15" customHeight="1">
      <c r="B181" s="471"/>
      <c r="C181" s="183"/>
      <c r="D181" s="186"/>
      <c r="E181" s="169"/>
      <c r="F181" s="540"/>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row>
    <row r="182" spans="1:32" s="470" customFormat="1" ht="15" customHeight="1">
      <c r="B182" s="471"/>
      <c r="C182" s="183" t="s">
        <v>908</v>
      </c>
      <c r="D182" s="186" t="s">
        <v>845</v>
      </c>
      <c r="E182" s="169" t="s">
        <v>561</v>
      </c>
      <c r="F182" s="540" t="s">
        <v>933</v>
      </c>
      <c r="G182" s="187"/>
      <c r="H182" s="187"/>
      <c r="I182" s="187"/>
      <c r="J182" s="187"/>
      <c r="K182" s="187"/>
      <c r="L182" s="187"/>
      <c r="M182" s="187"/>
      <c r="N182" s="187"/>
      <c r="O182" s="187"/>
      <c r="P182" s="187"/>
      <c r="Q182" s="187">
        <v>3</v>
      </c>
      <c r="R182" s="187">
        <v>3</v>
      </c>
      <c r="S182" s="187">
        <v>3</v>
      </c>
      <c r="T182" s="187">
        <v>3</v>
      </c>
      <c r="U182" s="187">
        <v>3</v>
      </c>
      <c r="V182" s="187">
        <v>3</v>
      </c>
      <c r="W182" s="187">
        <v>3</v>
      </c>
      <c r="X182" s="187">
        <v>3</v>
      </c>
      <c r="Y182" s="187">
        <v>3</v>
      </c>
      <c r="Z182" s="187">
        <v>3</v>
      </c>
      <c r="AA182" s="187">
        <v>3</v>
      </c>
      <c r="AB182" s="187">
        <v>3</v>
      </c>
      <c r="AC182" s="187">
        <v>3</v>
      </c>
      <c r="AD182" s="187">
        <v>3</v>
      </c>
      <c r="AE182" s="187">
        <v>3</v>
      </c>
      <c r="AF182" s="187">
        <v>3</v>
      </c>
    </row>
    <row r="183" spans="1:32" s="470" customFormat="1" ht="15" customHeight="1">
      <c r="B183" s="471"/>
      <c r="C183" s="183"/>
      <c r="D183" s="186"/>
      <c r="E183" s="169"/>
      <c r="F183" s="540"/>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row>
    <row r="184" spans="1:32" s="470" customFormat="1" ht="15" customHeight="1">
      <c r="B184" s="471"/>
      <c r="C184" s="183"/>
      <c r="D184" s="186"/>
      <c r="E184" s="169"/>
      <c r="F184" s="540"/>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row>
    <row r="185" spans="1:32" s="470" customFormat="1" ht="15" customHeight="1">
      <c r="B185" s="471"/>
      <c r="C185" s="183"/>
      <c r="D185" s="186"/>
      <c r="E185" s="169"/>
      <c r="F185" s="540"/>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row>
    <row r="186" spans="1:32" s="470" customFormat="1" ht="15" customHeight="1">
      <c r="B186" s="471"/>
      <c r="C186" s="183"/>
      <c r="D186" s="186"/>
      <c r="E186" s="169"/>
      <c r="F186" s="540"/>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row>
    <row r="187" spans="1:32" s="470" customFormat="1" ht="15" customHeight="1">
      <c r="B187" s="471"/>
      <c r="C187" s="183"/>
      <c r="D187" s="186"/>
      <c r="E187" s="169"/>
      <c r="F187" s="540"/>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row>
    <row r="188" spans="1:32" s="470" customFormat="1" ht="15" customHeight="1">
      <c r="B188" s="471"/>
      <c r="C188" s="183"/>
      <c r="D188" s="186"/>
      <c r="E188" s="169"/>
      <c r="F188" s="540"/>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row>
    <row r="189" spans="1:32" s="470" customFormat="1" ht="15" customHeight="1">
      <c r="B189" s="471"/>
      <c r="C189" s="183"/>
      <c r="D189" s="186"/>
      <c r="E189" s="169"/>
      <c r="F189" s="540"/>
      <c r="G189" s="187"/>
      <c r="H189" s="187"/>
      <c r="I189" s="187"/>
      <c r="J189" s="187"/>
      <c r="K189" s="187"/>
      <c r="L189" s="187"/>
      <c r="M189" s="187"/>
      <c r="N189" s="187"/>
      <c r="O189" s="187"/>
      <c r="P189" s="187"/>
      <c r="Q189" s="187"/>
      <c r="R189" s="187"/>
      <c r="S189" s="187"/>
      <c r="T189" s="187"/>
      <c r="U189" s="187"/>
      <c r="V189" s="187"/>
      <c r="W189" s="187"/>
      <c r="X189" s="187"/>
      <c r="Y189" s="187"/>
      <c r="Z189" s="187"/>
      <c r="AA189" s="187"/>
      <c r="AB189" s="187"/>
      <c r="AC189" s="187"/>
      <c r="AD189" s="187"/>
      <c r="AE189" s="187"/>
      <c r="AF189" s="187"/>
    </row>
    <row r="190" spans="1:32" s="470" customFormat="1" ht="15" customHeight="1">
      <c r="B190" s="471"/>
      <c r="C190" s="183"/>
      <c r="D190" s="186"/>
      <c r="E190" s="169"/>
      <c r="F190" s="540"/>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row>
    <row r="191" spans="1:32" s="470" customFormat="1" ht="15" customHeight="1">
      <c r="B191" s="471"/>
      <c r="C191" s="183"/>
      <c r="D191" s="186"/>
      <c r="E191" s="169"/>
      <c r="F191" s="540"/>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row>
    <row r="192" spans="1:32" s="470" customFormat="1" ht="15" customHeight="1">
      <c r="B192" s="471"/>
      <c r="C192" s="183"/>
      <c r="D192" s="186"/>
      <c r="E192" s="169"/>
      <c r="F192" s="540"/>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row>
    <row r="193" spans="2:32" s="470" customFormat="1" ht="15" customHeight="1">
      <c r="B193" s="472"/>
      <c r="C193" s="185"/>
      <c r="D193" s="188"/>
      <c r="E193" s="189"/>
      <c r="F193" s="541"/>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row>
    <row r="194" spans="2:32" ht="15" customHeight="1">
      <c r="C194" s="21"/>
      <c r="D194" s="18"/>
      <c r="E194" s="18"/>
      <c r="F194" s="18"/>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row>
    <row r="195" spans="2:32" ht="15" customHeight="1"/>
    <row r="196" spans="2:32" ht="15" customHeight="1"/>
    <row r="197" spans="2:32" ht="15" customHeight="1"/>
    <row r="198" spans="2:32" ht="15" customHeight="1"/>
    <row r="199" spans="2:32" ht="15" customHeight="1"/>
    <row r="200" spans="2:32" ht="15" customHeight="1"/>
    <row r="201" spans="2:32" ht="15" customHeight="1"/>
    <row r="202" spans="2:32" ht="15" customHeight="1"/>
    <row r="203" spans="2:32" ht="15" customHeight="1"/>
    <row r="204" spans="2:32" ht="15" customHeight="1"/>
    <row r="205" spans="2:32" ht="15" customHeight="1"/>
    <row r="206" spans="2:32" ht="15" customHeight="1"/>
    <row r="207" spans="2:32" ht="15" customHeight="1"/>
    <row r="208" spans="2: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nJx7ZHtXa9gMdwSQi6kAZMDqFMJzR7dzLqqTRAZr/hpStHuY3vDcyqiesNhBsDLoyRsOE4TK/GHgD8UtECdthA==" saltValue="Eh9vNiWISFzNho0qTdCg1g==" spinCount="100000" sheet="1" objects="1" scenarios="1"/>
  <hyperlinks>
    <hyperlink ref="A1" location="'Start-Experte'!A1" display="zurück" xr:uid="{00000000-0004-0000-14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B22263EE-DF5F-43FF-AC7D-0A6D26C0B63C}">
            <xm:f>ControlPanel!$D$59-1</xm:f>
            <x14:dxf>
              <font>
                <color rgb="FF9C6500"/>
              </font>
              <fill>
                <patternFill>
                  <fgColor indexed="64"/>
                  <bgColor rgb="FFFFEB9C"/>
                </patternFill>
              </fill>
            </x14:dxf>
          </x14:cfRule>
          <x14:cfRule type="cellIs" priority="2" operator="lessThan" id="{41F05496-8663-404E-8382-9FEED80CFD1D}">
            <xm:f>ControlPanel!$D$59</xm:f>
            <x14:dxf>
              <font>
                <color rgb="FF006100"/>
              </font>
              <fill>
                <patternFill>
                  <fgColor indexed="64"/>
                  <bgColor rgb="FFC6EFCE"/>
                </patternFill>
              </fill>
            </x14:dxf>
          </x14:cfRule>
          <x14:cfRule type="cellIs" priority="3" operator="lessThan" id="{87E9B0A4-769D-4158-8107-34443BF66FF3}">
            <xm:f>ControlPanel!$D$59+1</xm:f>
            <x14:dxf>
              <font>
                <color rgb="FF006100"/>
              </font>
              <fill>
                <patternFill>
                  <fgColor indexed="64"/>
                  <bgColor rgb="FFC6EFCE"/>
                </patternFill>
              </fill>
            </x14:dxf>
          </x14:cfRule>
          <xm:sqref>G4:AF4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tabColor theme="9" tint="0.39997558519241921"/>
    <pageSetUpPr fitToPage="1"/>
  </sheetPr>
  <dimension ref="A1:AF1359"/>
  <sheetViews>
    <sheetView workbookViewId="0">
      <selection activeCell="K7" sqref="K7"/>
    </sheetView>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2">
      <c r="A1" s="41" t="s">
        <v>183</v>
      </c>
      <c r="B1" s="65" t="s">
        <v>22</v>
      </c>
      <c r="C1" s="19"/>
      <c r="D1" s="19"/>
      <c r="E1" s="19"/>
    </row>
    <row r="3" spans="1:32"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2"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2"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2" ht="51.75" customHeight="1" thickBot="1">
      <c r="B6" s="176" t="str">
        <f>ControlPanel!L19</f>
        <v>Referenz</v>
      </c>
      <c r="C6" s="1277" t="str">
        <f>VLOOKUP($B$6,$B$7:$AE$25,2,FALSE)</f>
        <v>fh</v>
      </c>
      <c r="D6" s="1278" t="str">
        <f>VLOOKUP($B$6,$B$7:$AE$25,3,FALSE)</f>
        <v>7,8 -&gt; 5,4 ct/kWh</v>
      </c>
      <c r="E6" s="1279" t="str">
        <f>VLOOKUP($B$6,$B$7:$AE$25,4,FALSE)</f>
        <v>Referenzpreis 2022, 2023-2031 Futurepreise vom 15.10.21, danach linear auf 65 €/MWh in 2035 (nominal)</v>
      </c>
      <c r="F6" s="1274">
        <f>IF(F$4&lt;ControlPanel!$D$59,VLOOKUP("Referenz",$B$7:$AE$25,F$4-$F$4+5,FALSE),VLOOKUP($B$6,$B$7:$AE$25,F$4-$F$4+5,FALSE))</f>
        <v>53.650480000000002</v>
      </c>
      <c r="G6" s="1274">
        <f>IF(G$4&lt;ControlPanel!$D$59,VLOOKUP("Referenz",$B$7:$AE$25,G$4-$F$4+5,FALSE),VLOOKUP($B$6,$B$7:$AE$25,G$4-$F$4+5,FALSE))</f>
        <v>50.739089999999997</v>
      </c>
      <c r="H6" s="1274">
        <f>IF(H$4&lt;ControlPanel!$D$59,VLOOKUP("Referenz",$B$7:$AE$25,H$4-$F$4+5,FALSE),VLOOKUP($B$6,$B$7:$AE$25,H$4-$F$4+5,FALSE))</f>
        <v>55.22</v>
      </c>
      <c r="I6" s="1274">
        <f>IF(I$4&lt;ControlPanel!$D$59,VLOOKUP("Referenz",$B$7:$AE$25,I$4-$F$4+5,FALSE),VLOOKUP($B$6,$B$7:$AE$25,I$4-$F$4+5,FALSE))</f>
        <v>51.15</v>
      </c>
      <c r="J6" s="1274">
        <f>IF(J$4&lt;ControlPanel!$D$59,VLOOKUP("Referenz",$B$7:$AE$25,J$4-$F$4+5,FALSE),VLOOKUP($B$6,$B$7:$AE$25,J$4-$F$4+5,FALSE))</f>
        <v>41.45</v>
      </c>
      <c r="K6" s="1274">
        <f>IF(K$4&lt;ControlPanel!$D$59,VLOOKUP("Referenz",$B$7:$AE$25,K$4-$F$4+5,FALSE),VLOOKUP($B$6,$B$7:$AE$25,K$4-$F$4+5,FALSE))</f>
        <v>35.67</v>
      </c>
      <c r="L6" s="1274">
        <f>IF(L$4&lt;ControlPanel!$D$59,VLOOKUP("Referenz",$B$7:$AE$25,L$4-$F$4+5,FALSE),VLOOKUP($B$6,$B$7:$AE$25,L$4-$F$4+5,FALSE))</f>
        <v>31.26</v>
      </c>
      <c r="M6" s="1274">
        <f>IF(M$4&lt;ControlPanel!$D$59,VLOOKUP("Referenz",$B$7:$AE$25,M$4-$F$4+5,FALSE),VLOOKUP($B$6,$B$7:$AE$25,M$4-$F$4+5,FALSE))</f>
        <v>26.75</v>
      </c>
      <c r="N6" s="1274">
        <f>IF(N$4&lt;ControlPanel!$D$59,VLOOKUP("Referenz",$B$7:$AE$25,N$4-$F$4+5,FALSE),VLOOKUP($B$6,$B$7:$AE$25,N$4-$F$4+5,FALSE))</f>
        <v>32.22</v>
      </c>
      <c r="O6" s="1274">
        <f>IF(O$4&lt;ControlPanel!$D$59,VLOOKUP("Referenz",$B$7:$AE$25,O$4-$F$4+5,FALSE),VLOOKUP($B$6,$B$7:$AE$25,O$4-$F$4+5,FALSE))</f>
        <v>46.28</v>
      </c>
      <c r="P6" s="1274">
        <f>IF(P$4&lt;ControlPanel!$D$59,VLOOKUP("Referenz",$B$7:$AE$25,P$4-$F$4+5,FALSE),VLOOKUP($B$6,$B$7:$AE$25,P$4-$F$4+5,FALSE))</f>
        <v>49.34</v>
      </c>
      <c r="Q6" s="1274">
        <f>IF(Q$4&lt;ControlPanel!$D$59,VLOOKUP("Referenz",$B$7:$AE$25,Q$4-$F$4+5,FALSE),VLOOKUP($B$6,$B$7:$AE$25,Q$4-$F$4+5,FALSE))</f>
        <v>40.74</v>
      </c>
      <c r="R6" s="1274">
        <f>IF(R$4&lt;ControlPanel!$D$59,VLOOKUP("Referenz",$B$7:$AE$25,R$4-$F$4+5,FALSE),VLOOKUP($B$6,$B$7:$AE$25,R$4-$F$4+5,FALSE))</f>
        <v>78.400000000000006</v>
      </c>
      <c r="S6" s="1274">
        <f>IF(S$4&lt;ControlPanel!$D$59,VLOOKUP("Referenz",$B$7:$AE$25,S$4-$F$4+5,FALSE),VLOOKUP($B$6,$B$7:$AE$25,S$4-$F$4+5,FALSE))</f>
        <v>86.22660098522168</v>
      </c>
      <c r="T6" s="1274">
        <f>IF(T$4&lt;ControlPanel!$D$59,VLOOKUP("Referenz",$B$7:$AE$25,T$4-$F$4+5,FALSE),VLOOKUP($B$6,$B$7:$AE$25,T$4-$F$4+5,FALSE))</f>
        <v>70.402096629377098</v>
      </c>
      <c r="U6" s="1274">
        <f>IF(U$4&lt;ControlPanel!$D$59,VLOOKUP("Referenz",$B$7:$AE$25,U$4-$F$4+5,FALSE),VLOOKUP($B$6,$B$7:$AE$25,U$4-$F$4+5,FALSE))</f>
        <v>68.472296751857399</v>
      </c>
      <c r="V6" s="1274">
        <f>IF(V$4&lt;ControlPanel!$D$59,VLOOKUP("Referenz",$B$7:$AE$25,V$4-$F$4+5,FALSE),VLOOKUP($B$6,$B$7:$AE$25,V$4-$F$4+5,FALSE))</f>
        <v>66.537050342848488</v>
      </c>
      <c r="W6" s="1274">
        <f>IF(W$4&lt;ControlPanel!$D$59,VLOOKUP("Referenz",$B$7:$AE$25,W$4-$F$4+5,FALSE),VLOOKUP($B$6,$B$7:$AE$25,W$4-$F$4+5,FALSE))</f>
        <v>65.303113892286774</v>
      </c>
      <c r="X6" s="1274">
        <f>IF(X$4&lt;ControlPanel!$D$59,VLOOKUP("Referenz",$B$7:$AE$25,X$4-$F$4+5,FALSE),VLOOKUP($B$6,$B$7:$AE$25,X$4-$F$4+5,FALSE))</f>
        <v>63.661282021169072</v>
      </c>
      <c r="Y6" s="1274">
        <f>IF(Y$4&lt;ControlPanel!$D$59,VLOOKUP("Referenz",$B$7:$AE$25,Y$4-$F$4+5,FALSE),VLOOKUP($B$6,$B$7:$AE$25,Y$4-$F$4+5,FALSE))</f>
        <v>62.107776680056098</v>
      </c>
      <c r="Z6" s="1274">
        <f>IF(Z$4&lt;ControlPanel!$D$59,VLOOKUP("Referenz",$B$7:$AE$25,Z$4-$F$4+5,FALSE),VLOOKUP($B$6,$B$7:$AE$25,Z$4-$F$4+5,FALSE))</f>
        <v>60.879228870271717</v>
      </c>
      <c r="AA6" s="1274">
        <f>IF(AA$4&lt;ControlPanel!$D$59,VLOOKUP("Referenz",$B$7:$AE$25,AA$4-$F$4+5,FALSE),VLOOKUP($B$6,$B$7:$AE$25,AA$4-$F$4+5,FALSE))</f>
        <v>59.620953014298841</v>
      </c>
      <c r="AB6" s="1274">
        <f>IF(AB$4&lt;ControlPanel!$D$59,VLOOKUP("Referenz",$B$7:$AE$25,AB$4-$F$4+5,FALSE),VLOOKUP($B$6,$B$7:$AE$25,AB$4-$F$4+5,FALSE))</f>
        <v>58.056983905361491</v>
      </c>
      <c r="AC6" s="1274">
        <f>IF(AC$4&lt;ControlPanel!$D$59,VLOOKUP("Referenz",$B$7:$AE$25,AC$4-$F$4+5,FALSE),VLOOKUP($B$6,$B$7:$AE$25,AC$4-$F$4+5,FALSE))</f>
        <v>56.526219334208548</v>
      </c>
      <c r="AD6" s="1274">
        <f>IF(AD$4&lt;ControlPanel!$D$59,VLOOKUP("Referenz",$B$7:$AE$25,AD$4-$F$4+5,FALSE),VLOOKUP($B$6,$B$7:$AE$25,AD$4-$F$4+5,FALSE))</f>
        <v>55.028019455052871</v>
      </c>
      <c r="AE6" s="1274">
        <f>IF(AE$4&lt;ControlPanel!$D$59,VLOOKUP("Referenz",$B$7:$AE$25,AE$4-$F$4+5,FALSE),VLOOKUP($B$6,$B$7:$AE$25,AE$4-$F$4+5,FALSE))</f>
        <v>53.561756081971204</v>
      </c>
      <c r="AF6" s="1362" t="s">
        <v>1052</v>
      </c>
    </row>
    <row r="7" spans="1:32" ht="38.25">
      <c r="B7" s="16" t="s">
        <v>138</v>
      </c>
      <c r="C7" s="12" t="s">
        <v>845</v>
      </c>
      <c r="D7" s="495" t="str">
        <f t="shared" ref="D7:D12" si="0">TEXT(R7/10,"##,0")&amp;" -&gt; "&amp;TEXT(AE7/10,"##,0")&amp;" ct/kWh"</f>
        <v>7,8 -&gt; 5,4 ct/kWh</v>
      </c>
      <c r="E7" s="1148" t="s">
        <v>1051</v>
      </c>
      <c r="F7" s="328">
        <v>53.650480000000002</v>
      </c>
      <c r="G7" s="328">
        <v>50.739089999999997</v>
      </c>
      <c r="H7" s="328">
        <v>55.22</v>
      </c>
      <c r="I7" s="328">
        <v>51.15</v>
      </c>
      <c r="J7" s="328">
        <v>41.45</v>
      </c>
      <c r="K7" s="328">
        <v>35.67</v>
      </c>
      <c r="L7" s="328">
        <v>31.26</v>
      </c>
      <c r="M7" s="328">
        <v>26.75</v>
      </c>
      <c r="N7" s="328">
        <v>32.22</v>
      </c>
      <c r="O7" s="328">
        <v>46.28</v>
      </c>
      <c r="P7" s="328">
        <v>49.34</v>
      </c>
      <c r="Q7" s="1280">
        <v>40.74</v>
      </c>
      <c r="R7" s="328">
        <v>78.400000000000006</v>
      </c>
      <c r="S7" s="328">
        <v>86.22660098522168</v>
      </c>
      <c r="T7" s="328">
        <v>70.402096629377098</v>
      </c>
      <c r="U7" s="328">
        <v>68.472296751857399</v>
      </c>
      <c r="V7" s="328">
        <v>66.537050342848488</v>
      </c>
      <c r="W7" s="328">
        <v>65.303113892286774</v>
      </c>
      <c r="X7" s="328">
        <v>63.661282021169072</v>
      </c>
      <c r="Y7" s="328">
        <v>62.107776680056098</v>
      </c>
      <c r="Z7" s="328">
        <v>60.879228870271717</v>
      </c>
      <c r="AA7" s="328">
        <v>59.620953014298841</v>
      </c>
      <c r="AB7" s="328">
        <v>58.056983905361491</v>
      </c>
      <c r="AC7" s="328">
        <v>56.526219334208548</v>
      </c>
      <c r="AD7" s="328">
        <v>55.028019455052871</v>
      </c>
      <c r="AE7" s="328">
        <v>53.561756081971204</v>
      </c>
    </row>
    <row r="8" spans="1:32">
      <c r="B8" s="16" t="s">
        <v>97</v>
      </c>
      <c r="C8" s="329" t="s">
        <v>845</v>
      </c>
      <c r="D8" s="495" t="str">
        <f t="shared" si="0"/>
        <v>4 -&gt; 5 ct/kWh</v>
      </c>
      <c r="E8" s="16" t="s">
        <v>963</v>
      </c>
      <c r="F8" s="328"/>
      <c r="G8" s="328"/>
      <c r="H8" s="328"/>
      <c r="I8" s="328"/>
      <c r="J8" s="328"/>
      <c r="K8" s="328"/>
      <c r="L8" s="328"/>
      <c r="M8" s="328"/>
      <c r="N8" s="328"/>
      <c r="O8" s="328"/>
      <c r="P8" s="328">
        <v>49.34</v>
      </c>
      <c r="Q8" s="328">
        <v>40.74</v>
      </c>
      <c r="R8" s="328">
        <f>Q8*1.01</f>
        <v>41.147400000000005</v>
      </c>
      <c r="S8" s="328">
        <f t="shared" ref="S8:AE8" si="1">R8*1.01</f>
        <v>41.558874000000003</v>
      </c>
      <c r="T8" s="328">
        <f t="shared" si="1"/>
        <v>41.97446274</v>
      </c>
      <c r="U8" s="328">
        <f t="shared" si="1"/>
        <v>42.3942073674</v>
      </c>
      <c r="V8" s="328">
        <f t="shared" si="1"/>
        <v>42.818149441073999</v>
      </c>
      <c r="W8" s="328">
        <f t="shared" si="1"/>
        <v>43.246330935484742</v>
      </c>
      <c r="X8" s="328">
        <f t="shared" si="1"/>
        <v>43.678794244839594</v>
      </c>
      <c r="Y8" s="328">
        <f t="shared" si="1"/>
        <v>44.115582187287991</v>
      </c>
      <c r="Z8" s="328">
        <f t="shared" si="1"/>
        <v>44.556738009160874</v>
      </c>
      <c r="AA8" s="328">
        <f t="shared" si="1"/>
        <v>45.002305389252484</v>
      </c>
      <c r="AB8" s="328">
        <f t="shared" si="1"/>
        <v>45.452328443145007</v>
      </c>
      <c r="AC8" s="328">
        <f t="shared" si="1"/>
        <v>45.906851727576459</v>
      </c>
      <c r="AD8" s="328">
        <f t="shared" si="1"/>
        <v>46.365920244852227</v>
      </c>
      <c r="AE8" s="328">
        <f t="shared" si="1"/>
        <v>46.829579447300752</v>
      </c>
    </row>
    <row r="9" spans="1:32">
      <c r="B9" s="16" t="s">
        <v>98</v>
      </c>
      <c r="C9" s="329" t="s">
        <v>845</v>
      </c>
      <c r="D9" s="495" t="str">
        <f t="shared" si="0"/>
        <v>4 -&gt; 6 ct/kWh</v>
      </c>
      <c r="E9" s="16" t="str">
        <f>"Anstieg auf "&amp;TEXT(AE9,"##")&amp;" €/MWh"</f>
        <v>Anstieg auf 55 €/MWh</v>
      </c>
      <c r="F9" s="328"/>
      <c r="G9" s="328"/>
      <c r="H9" s="328"/>
      <c r="I9" s="328"/>
      <c r="J9" s="328"/>
      <c r="K9" s="328"/>
      <c r="L9" s="328"/>
      <c r="M9" s="328"/>
      <c r="N9" s="328"/>
      <c r="O9" s="328"/>
      <c r="P9" s="328">
        <v>49.34</v>
      </c>
      <c r="Q9" s="328">
        <v>40.74</v>
      </c>
      <c r="R9" s="328">
        <f t="shared" ref="R9" si="2">Q9+($AE9-$O6)/($AE$4-$O$4)</f>
        <v>41.285000000000004</v>
      </c>
      <c r="S9" s="328">
        <f t="shared" ref="S9" si="3">R9+($AE9-$O6)/($AE$4-$O$4)</f>
        <v>41.830000000000005</v>
      </c>
      <c r="T9" s="328">
        <f t="shared" ref="T9" si="4">S9+($AE9-$O6)/($AE$4-$O$4)</f>
        <v>42.375000000000007</v>
      </c>
      <c r="U9" s="328">
        <f t="shared" ref="U9" si="5">T9+($AE9-$O6)/($AE$4-$O$4)</f>
        <v>42.920000000000009</v>
      </c>
      <c r="V9" s="328">
        <f t="shared" ref="V9" si="6">U9+($AE9-$O6)/($AE$4-$O$4)</f>
        <v>43.465000000000011</v>
      </c>
      <c r="W9" s="328">
        <f t="shared" ref="W9" si="7">V9+($AE9-$O6)/($AE$4-$O$4)</f>
        <v>44.010000000000012</v>
      </c>
      <c r="X9" s="328">
        <f t="shared" ref="X9" si="8">W9+($AE9-$O6)/($AE$4-$O$4)</f>
        <v>44.555000000000014</v>
      </c>
      <c r="Y9" s="328">
        <f t="shared" ref="Y9" si="9">X9+($AE9-$O6)/($AE$4-$O$4)</f>
        <v>45.100000000000016</v>
      </c>
      <c r="Z9" s="328">
        <f t="shared" ref="Z9" si="10">Y9+($AE9-$O6)/($AE$4-$O$4)</f>
        <v>45.645000000000017</v>
      </c>
      <c r="AA9" s="328">
        <f t="shared" ref="AA9" si="11">Z9+($AE9-$O6)/($AE$4-$O$4)</f>
        <v>46.190000000000019</v>
      </c>
      <c r="AB9" s="328">
        <f t="shared" ref="AB9" si="12">AA9+($AE9-$O6)/($AE$4-$O$4)</f>
        <v>46.735000000000021</v>
      </c>
      <c r="AC9" s="328">
        <f t="shared" ref="AC9" si="13">AB9+($AE9-$O6)/($AE$4-$O$4)</f>
        <v>47.280000000000022</v>
      </c>
      <c r="AD9" s="328">
        <f t="shared" ref="AD9" si="14">AC9+($AE9-$O6)/($AE$4-$O$4)</f>
        <v>47.825000000000024</v>
      </c>
      <c r="AE9" s="328">
        <v>55</v>
      </c>
    </row>
    <row r="10" spans="1:32">
      <c r="B10" s="16" t="s">
        <v>96</v>
      </c>
      <c r="C10" s="329" t="s">
        <v>845</v>
      </c>
      <c r="D10" s="495" t="str">
        <f t="shared" si="0"/>
        <v>4 -&gt; 7 ct/kWh</v>
      </c>
      <c r="E10" s="16" t="str">
        <f>"Anstieg auf "&amp;TEXT(AE10,"##")&amp;" €/MWh"</f>
        <v>Anstieg auf 65 €/MWh</v>
      </c>
      <c r="F10" s="328"/>
      <c r="G10" s="328"/>
      <c r="H10" s="328"/>
      <c r="I10" s="328"/>
      <c r="J10" s="328"/>
      <c r="K10" s="328"/>
      <c r="L10" s="328"/>
      <c r="M10" s="328"/>
      <c r="N10" s="328"/>
      <c r="O10" s="328"/>
      <c r="P10" s="328">
        <v>49.34</v>
      </c>
      <c r="Q10" s="328">
        <v>40.74</v>
      </c>
      <c r="R10" s="328">
        <f t="shared" ref="R10:AD10" si="15">Q10+($AE10-$O7)/($AE$4-$O$4)</f>
        <v>41.910000000000004</v>
      </c>
      <c r="S10" s="328">
        <f t="shared" si="15"/>
        <v>43.080000000000005</v>
      </c>
      <c r="T10" s="328">
        <f t="shared" si="15"/>
        <v>44.250000000000007</v>
      </c>
      <c r="U10" s="328">
        <f t="shared" si="15"/>
        <v>45.420000000000009</v>
      </c>
      <c r="V10" s="328">
        <f t="shared" si="15"/>
        <v>46.590000000000011</v>
      </c>
      <c r="W10" s="328">
        <f t="shared" si="15"/>
        <v>47.760000000000012</v>
      </c>
      <c r="X10" s="328">
        <f t="shared" si="15"/>
        <v>48.930000000000014</v>
      </c>
      <c r="Y10" s="328">
        <f t="shared" si="15"/>
        <v>50.100000000000016</v>
      </c>
      <c r="Z10" s="328">
        <f t="shared" si="15"/>
        <v>51.270000000000017</v>
      </c>
      <c r="AA10" s="328">
        <f t="shared" si="15"/>
        <v>52.440000000000019</v>
      </c>
      <c r="AB10" s="328">
        <f t="shared" si="15"/>
        <v>53.610000000000021</v>
      </c>
      <c r="AC10" s="328">
        <f t="shared" si="15"/>
        <v>54.780000000000022</v>
      </c>
      <c r="AD10" s="328">
        <f t="shared" si="15"/>
        <v>55.950000000000024</v>
      </c>
      <c r="AE10" s="328">
        <v>65</v>
      </c>
    </row>
    <row r="11" spans="1:32">
      <c r="B11" s="16" t="s">
        <v>99</v>
      </c>
      <c r="C11" s="329" t="s">
        <v>845</v>
      </c>
      <c r="D11" s="495" t="str">
        <f t="shared" si="0"/>
        <v>4 -&gt; 8 ct/kWh</v>
      </c>
      <c r="E11" s="16" t="str">
        <f>"Anstieg auf "&amp;TEXT(AE11,"##")&amp;" €/MWh"</f>
        <v>Anstieg auf 75 €/MWh</v>
      </c>
      <c r="F11" s="328"/>
      <c r="G11" s="328"/>
      <c r="H11" s="328"/>
      <c r="I11" s="328"/>
      <c r="J11" s="328"/>
      <c r="K11" s="328"/>
      <c r="L11" s="328"/>
      <c r="M11" s="328"/>
      <c r="N11" s="328"/>
      <c r="O11" s="328"/>
      <c r="P11" s="328">
        <v>49.34</v>
      </c>
      <c r="Q11" s="328">
        <v>40.74</v>
      </c>
      <c r="R11" s="328">
        <f t="shared" ref="R11:AD11" si="16">Q11+($AE11-$O7)/($AE$4-$O$4)</f>
        <v>42.535000000000004</v>
      </c>
      <c r="S11" s="328">
        <f t="shared" si="16"/>
        <v>44.330000000000005</v>
      </c>
      <c r="T11" s="328">
        <f t="shared" si="16"/>
        <v>46.125000000000007</v>
      </c>
      <c r="U11" s="328">
        <f t="shared" si="16"/>
        <v>47.920000000000009</v>
      </c>
      <c r="V11" s="328">
        <f t="shared" si="16"/>
        <v>49.715000000000011</v>
      </c>
      <c r="W11" s="328">
        <f t="shared" si="16"/>
        <v>51.510000000000012</v>
      </c>
      <c r="X11" s="328">
        <f t="shared" si="16"/>
        <v>53.305000000000014</v>
      </c>
      <c r="Y11" s="328">
        <f t="shared" si="16"/>
        <v>55.100000000000016</v>
      </c>
      <c r="Z11" s="328">
        <f t="shared" si="16"/>
        <v>56.895000000000017</v>
      </c>
      <c r="AA11" s="328">
        <f t="shared" si="16"/>
        <v>58.690000000000019</v>
      </c>
      <c r="AB11" s="328">
        <f t="shared" si="16"/>
        <v>60.485000000000021</v>
      </c>
      <c r="AC11" s="328">
        <f t="shared" si="16"/>
        <v>62.280000000000022</v>
      </c>
      <c r="AD11" s="328">
        <f t="shared" si="16"/>
        <v>64.075000000000017</v>
      </c>
      <c r="AE11" s="328">
        <v>75</v>
      </c>
    </row>
    <row r="12" spans="1:32" ht="63.75">
      <c r="B12" s="16" t="s">
        <v>844</v>
      </c>
      <c r="C12" s="12" t="s">
        <v>65</v>
      </c>
      <c r="D12" s="1215" t="str">
        <f t="shared" si="0"/>
        <v>5 -&gt; 5 ct/kWh</v>
      </c>
      <c r="E12" s="1216" t="s">
        <v>829</v>
      </c>
      <c r="F12" s="328">
        <v>53.650480000000002</v>
      </c>
      <c r="G12" s="328">
        <v>50.739089999999997</v>
      </c>
      <c r="H12" s="328">
        <v>55.22</v>
      </c>
      <c r="I12" s="328">
        <v>51.15</v>
      </c>
      <c r="J12" s="328">
        <v>41.45</v>
      </c>
      <c r="K12" s="328">
        <v>35.67</v>
      </c>
      <c r="L12" s="328">
        <v>31.26</v>
      </c>
      <c r="M12" s="328">
        <v>26.75</v>
      </c>
      <c r="N12" s="328">
        <v>32.22</v>
      </c>
      <c r="O12" s="328">
        <v>46.28</v>
      </c>
      <c r="P12" s="328">
        <f>$O12+($AE12-$O12)*(P$4-$O$4)/($AE$4-$O$4)</f>
        <v>46.512500000000003</v>
      </c>
      <c r="Q12" s="328">
        <f>$O12+($AE12-$O12)*(Q$4-$O$4)/($AE$4-$O$4)</f>
        <v>46.745000000000005</v>
      </c>
      <c r="R12" s="328">
        <f t="shared" ref="R12:AC12" si="17">$O12+($AE12-$O12)*(R$4-$O$4)/($AE$4-$O$4)</f>
        <v>46.977499999999999</v>
      </c>
      <c r="S12" s="328">
        <f t="shared" si="17"/>
        <v>47.21</v>
      </c>
      <c r="T12" s="328">
        <f>$O12+($AE12-$O12)*(T$4-$O$4)/($AE$4-$O$4)</f>
        <v>47.442500000000003</v>
      </c>
      <c r="U12" s="328">
        <f t="shared" si="17"/>
        <v>47.674999999999997</v>
      </c>
      <c r="V12" s="328">
        <f t="shared" si="17"/>
        <v>47.907499999999999</v>
      </c>
      <c r="W12" s="328">
        <f t="shared" si="17"/>
        <v>48.14</v>
      </c>
      <c r="X12" s="328">
        <f t="shared" si="17"/>
        <v>48.372500000000002</v>
      </c>
      <c r="Y12" s="328">
        <f t="shared" si="17"/>
        <v>48.605000000000004</v>
      </c>
      <c r="Z12" s="328">
        <f t="shared" si="17"/>
        <v>48.837499999999999</v>
      </c>
      <c r="AA12" s="328">
        <f t="shared" si="17"/>
        <v>49.07</v>
      </c>
      <c r="AB12" s="328">
        <f t="shared" si="17"/>
        <v>49.302500000000002</v>
      </c>
      <c r="AC12" s="328">
        <f t="shared" si="17"/>
        <v>49.534999999999997</v>
      </c>
      <c r="AD12" s="328">
        <f>$O12+($AE12-$O12)*(AD$4-$O$4)/($AE$4-$O$4)</f>
        <v>49.767499999999998</v>
      </c>
      <c r="AE12" s="328">
        <v>50</v>
      </c>
    </row>
    <row r="13" spans="1:32">
      <c r="B13" s="183" t="s">
        <v>959</v>
      </c>
      <c r="C13" s="186" t="s">
        <v>257</v>
      </c>
      <c r="D13" s="169" t="s">
        <v>962</v>
      </c>
      <c r="E13" s="183" t="s">
        <v>935</v>
      </c>
      <c r="F13" s="187"/>
      <c r="G13" s="187"/>
      <c r="H13" s="187"/>
      <c r="I13" s="187"/>
      <c r="J13" s="187"/>
      <c r="K13" s="187"/>
      <c r="L13" s="187"/>
      <c r="M13" s="187"/>
      <c r="N13" s="187"/>
      <c r="O13" s="187"/>
      <c r="P13" s="187">
        <v>37.521841125801302</v>
      </c>
      <c r="Q13" s="187">
        <v>56.6</v>
      </c>
      <c r="R13" s="187">
        <v>52.304500000000004</v>
      </c>
      <c r="S13" s="187">
        <v>52.328499999999998</v>
      </c>
      <c r="T13" s="187">
        <f>$S13+($AE13-$S13)*(T$4-$S$4)/($AE$4-$S$4)</f>
        <v>53.801124999999999</v>
      </c>
      <c r="U13" s="187">
        <f t="shared" ref="U13:AD13" si="18">$S13+($AE13-$S13)*(U$4-$S$4)/($AE$4-$S$4)</f>
        <v>55.27375</v>
      </c>
      <c r="V13" s="187">
        <f t="shared" si="18"/>
        <v>56.746375</v>
      </c>
      <c r="W13" s="187">
        <f t="shared" si="18"/>
        <v>58.219000000000001</v>
      </c>
      <c r="X13" s="187">
        <f t="shared" si="18"/>
        <v>59.691625000000002</v>
      </c>
      <c r="Y13" s="187">
        <f t="shared" si="18"/>
        <v>61.164249999999996</v>
      </c>
      <c r="Z13" s="187">
        <f t="shared" si="18"/>
        <v>62.636874999999996</v>
      </c>
      <c r="AA13" s="187">
        <f t="shared" si="18"/>
        <v>64.109499999999997</v>
      </c>
      <c r="AB13" s="187">
        <f t="shared" si="18"/>
        <v>65.582125000000005</v>
      </c>
      <c r="AC13" s="187">
        <f t="shared" si="18"/>
        <v>67.054749999999999</v>
      </c>
      <c r="AD13" s="187">
        <f t="shared" si="18"/>
        <v>68.527375000000006</v>
      </c>
      <c r="AE13" s="187">
        <v>70</v>
      </c>
    </row>
    <row r="14" spans="1:32" ht="18" customHeight="1">
      <c r="B14" s="183" t="s">
        <v>911</v>
      </c>
      <c r="C14" s="186" t="s">
        <v>256</v>
      </c>
      <c r="D14" s="169" t="s">
        <v>931</v>
      </c>
      <c r="E14" s="183" t="s">
        <v>912</v>
      </c>
      <c r="F14" s="187"/>
      <c r="G14" s="187"/>
      <c r="H14" s="187"/>
      <c r="I14" s="187"/>
      <c r="J14" s="187"/>
      <c r="K14" s="187"/>
      <c r="L14" s="187"/>
      <c r="M14" s="187"/>
      <c r="N14" s="187"/>
      <c r="O14" s="187"/>
      <c r="P14" s="187"/>
      <c r="Q14" s="187">
        <v>45</v>
      </c>
      <c r="R14" s="187">
        <v>52.304500000000004</v>
      </c>
      <c r="S14" s="187">
        <v>52.328499999999998</v>
      </c>
      <c r="T14" s="187">
        <v>49.795500000000011</v>
      </c>
      <c r="U14" s="187">
        <v>48.726499999999994</v>
      </c>
      <c r="V14" s="187">
        <v>48.994500000000002</v>
      </c>
      <c r="W14" s="187">
        <v>49.393000000000001</v>
      </c>
      <c r="X14" s="187">
        <v>49.770249999999997</v>
      </c>
      <c r="Y14" s="187">
        <v>50.147750000000002</v>
      </c>
      <c r="Z14" s="187">
        <v>50.529050000000005</v>
      </c>
      <c r="AA14" s="187">
        <v>50.910350000000008</v>
      </c>
      <c r="AB14" s="187">
        <v>51.291650000000011</v>
      </c>
      <c r="AC14" s="187">
        <v>51.672950000000014</v>
      </c>
      <c r="AD14" s="187">
        <v>52.054250000000017</v>
      </c>
      <c r="AE14" s="187">
        <v>52.435550000000021</v>
      </c>
    </row>
    <row r="15" spans="1:32">
      <c r="B15" s="600" t="s">
        <v>938</v>
      </c>
      <c r="C15" s="186"/>
      <c r="D15" s="1215" t="str">
        <f t="shared" ref="D15:D16" si="19">TEXT(R15/10,"##,0")&amp;" -&gt; "&amp;TEXT(AE15/10,"##,0")&amp;" ct/kWh"</f>
        <v>16 -&gt; 16 ct/kWh</v>
      </c>
      <c r="E15" s="600"/>
      <c r="F15" s="187"/>
      <c r="G15" s="187"/>
      <c r="H15" s="187"/>
      <c r="I15" s="187"/>
      <c r="J15" s="187"/>
      <c r="K15" s="187"/>
      <c r="L15" s="187"/>
      <c r="M15" s="187"/>
      <c r="N15" s="187"/>
      <c r="O15" s="187"/>
      <c r="P15" s="187"/>
      <c r="Q15" s="187"/>
      <c r="R15" s="187">
        <f>3*R14</f>
        <v>156.9135</v>
      </c>
      <c r="S15" s="187">
        <f t="shared" ref="S15:AE15" si="20">3*S14</f>
        <v>156.9855</v>
      </c>
      <c r="T15" s="187">
        <f t="shared" si="20"/>
        <v>149.38650000000004</v>
      </c>
      <c r="U15" s="187">
        <f t="shared" si="20"/>
        <v>146.17949999999999</v>
      </c>
      <c r="V15" s="187">
        <f t="shared" si="20"/>
        <v>146.98349999999999</v>
      </c>
      <c r="W15" s="187">
        <f t="shared" si="20"/>
        <v>148.179</v>
      </c>
      <c r="X15" s="187">
        <f t="shared" si="20"/>
        <v>149.31074999999998</v>
      </c>
      <c r="Y15" s="187">
        <f t="shared" si="20"/>
        <v>150.44325000000001</v>
      </c>
      <c r="Z15" s="187">
        <f t="shared" si="20"/>
        <v>151.58715000000001</v>
      </c>
      <c r="AA15" s="187">
        <f t="shared" si="20"/>
        <v>152.73105000000004</v>
      </c>
      <c r="AB15" s="187">
        <f t="shared" si="20"/>
        <v>153.87495000000004</v>
      </c>
      <c r="AC15" s="187">
        <f t="shared" si="20"/>
        <v>155.01885000000004</v>
      </c>
      <c r="AD15" s="187">
        <f t="shared" si="20"/>
        <v>156.16275000000005</v>
      </c>
      <c r="AE15" s="187">
        <f t="shared" si="20"/>
        <v>157.30665000000005</v>
      </c>
    </row>
    <row r="16" spans="1:32">
      <c r="B16" s="183" t="s">
        <v>950</v>
      </c>
      <c r="C16" s="186"/>
      <c r="D16" s="1215" t="str">
        <f t="shared" si="19"/>
        <v>5 -&gt; 20 ct/kWh</v>
      </c>
      <c r="E16" s="600"/>
      <c r="F16" s="187"/>
      <c r="G16" s="187"/>
      <c r="H16" s="187"/>
      <c r="I16" s="187"/>
      <c r="J16" s="187"/>
      <c r="K16" s="187"/>
      <c r="L16" s="187"/>
      <c r="M16" s="187"/>
      <c r="N16" s="187"/>
      <c r="O16" s="187"/>
      <c r="P16" s="187"/>
      <c r="Q16" s="187"/>
      <c r="R16" s="187">
        <f>R14</f>
        <v>52.304500000000004</v>
      </c>
      <c r="S16" s="187">
        <f t="shared" ref="S16:AD16" si="21">S14</f>
        <v>52.328499999999998</v>
      </c>
      <c r="T16" s="187">
        <f t="shared" si="21"/>
        <v>49.795500000000011</v>
      </c>
      <c r="U16" s="187">
        <f t="shared" si="21"/>
        <v>48.726499999999994</v>
      </c>
      <c r="V16" s="187">
        <f t="shared" si="21"/>
        <v>48.994500000000002</v>
      </c>
      <c r="W16" s="187">
        <f t="shared" si="21"/>
        <v>49.393000000000001</v>
      </c>
      <c r="X16" s="187">
        <f t="shared" si="21"/>
        <v>49.770249999999997</v>
      </c>
      <c r="Y16" s="187">
        <f t="shared" si="21"/>
        <v>50.147750000000002</v>
      </c>
      <c r="Z16" s="187">
        <f t="shared" si="21"/>
        <v>50.529050000000005</v>
      </c>
      <c r="AA16" s="187">
        <f t="shared" si="21"/>
        <v>50.910350000000008</v>
      </c>
      <c r="AB16" s="187">
        <f t="shared" si="21"/>
        <v>51.291650000000011</v>
      </c>
      <c r="AC16" s="187">
        <f t="shared" si="21"/>
        <v>51.672950000000014</v>
      </c>
      <c r="AD16" s="187">
        <f t="shared" si="21"/>
        <v>52.054250000000017</v>
      </c>
      <c r="AE16" s="187">
        <v>200</v>
      </c>
    </row>
    <row r="17" spans="2:31">
      <c r="B17" s="183"/>
      <c r="C17" s="186"/>
      <c r="D17" s="600"/>
      <c r="E17" s="60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c r="B18" s="183" t="s">
        <v>1037</v>
      </c>
      <c r="C18" s="168" t="s">
        <v>845</v>
      </c>
      <c r="D18" s="10" t="s">
        <v>788</v>
      </c>
      <c r="E18" s="183" t="s">
        <v>1038</v>
      </c>
      <c r="F18" s="187"/>
      <c r="G18" s="187"/>
      <c r="H18" s="187"/>
      <c r="I18" s="187"/>
      <c r="J18" s="187"/>
      <c r="K18" s="167"/>
      <c r="L18" s="167"/>
      <c r="M18" s="167"/>
      <c r="N18" s="167"/>
      <c r="O18" s="167"/>
      <c r="P18" s="167"/>
      <c r="Q18" s="167"/>
      <c r="R18" s="167">
        <v>78.400000000000006</v>
      </c>
      <c r="S18" s="167">
        <v>59.91</v>
      </c>
      <c r="T18" s="167">
        <v>57.38</v>
      </c>
      <c r="U18" s="167">
        <v>56.14</v>
      </c>
      <c r="V18" s="167">
        <v>56.07</v>
      </c>
      <c r="W18" s="328">
        <f>$V18+($AE18-$V18)*(W$4-$V$4)/($AE$4-$V$4)</f>
        <v>57.062222222222225</v>
      </c>
      <c r="X18" s="328">
        <f t="shared" ref="X18:AD18" si="22">$V18+($AE18-$V18)*(X$4-$V$4)/($AE$4-$V$4)</f>
        <v>58.054444444444442</v>
      </c>
      <c r="Y18" s="328">
        <f t="shared" si="22"/>
        <v>59.046666666666667</v>
      </c>
      <c r="Z18" s="328">
        <f t="shared" si="22"/>
        <v>60.038888888888891</v>
      </c>
      <c r="AA18" s="328">
        <f t="shared" si="22"/>
        <v>61.031111111111109</v>
      </c>
      <c r="AB18" s="328">
        <f t="shared" si="22"/>
        <v>62.023333333333333</v>
      </c>
      <c r="AC18" s="328">
        <f t="shared" si="22"/>
        <v>63.015555555555558</v>
      </c>
      <c r="AD18" s="328">
        <f t="shared" si="22"/>
        <v>64.007777777777775</v>
      </c>
      <c r="AE18" s="167">
        <v>65</v>
      </c>
    </row>
    <row r="19" spans="2:31">
      <c r="B19" s="1294"/>
      <c r="C19" s="186"/>
      <c r="D19" s="1294"/>
      <c r="E19" s="1294"/>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c r="B20" s="183"/>
      <c r="C20" s="186"/>
      <c r="D20" s="183"/>
      <c r="E20" s="183"/>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c r="B21" s="1294"/>
      <c r="C21" s="186"/>
      <c r="D21" s="1294"/>
      <c r="E21" s="1294"/>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c r="B22" s="183"/>
      <c r="C22" s="186"/>
      <c r="D22" s="525"/>
      <c r="E22" s="169"/>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c r="B23" s="183"/>
      <c r="C23" s="186"/>
      <c r="D23" s="525"/>
      <c r="E23" s="169"/>
      <c r="F23" s="187"/>
      <c r="G23" s="187"/>
      <c r="H23" s="187"/>
      <c r="I23" s="187"/>
      <c r="J23" s="187"/>
      <c r="K23" s="187"/>
      <c r="L23" s="187"/>
      <c r="M23" s="187"/>
      <c r="N23" s="187"/>
      <c r="O23" s="187"/>
      <c r="P23" s="187"/>
      <c r="Q23" s="187"/>
      <c r="R23" s="1295"/>
      <c r="S23" s="1295"/>
      <c r="T23" s="1295"/>
      <c r="U23" s="1295"/>
      <c r="V23" s="1295"/>
      <c r="W23" s="1295"/>
      <c r="X23" s="1295"/>
      <c r="Y23" s="1295"/>
      <c r="Z23" s="1295"/>
      <c r="AA23" s="1295"/>
      <c r="AB23" s="1295"/>
      <c r="AC23" s="1295"/>
      <c r="AD23" s="1295"/>
      <c r="AE23" s="1295"/>
    </row>
    <row r="24" spans="2:31">
      <c r="B24" s="183"/>
      <c r="C24" s="186"/>
      <c r="D24" s="525"/>
      <c r="E24" s="169"/>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c r="B25" s="185"/>
      <c r="C25" s="188"/>
      <c r="D25" s="601"/>
      <c r="E25" s="189"/>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QmnhAkrDfgerQuCsQeDTtLA8LO4riwdMl8sel1rUdxrgLh5dH4eGOKalnnNvIwJNsYFcXndBOzCLE9VlqhFbeA==" saltValue="vaff+2QuAveTGGQaMkOMWQ==" spinCount="100000" sheet="1" objects="1" scenarios="1"/>
  <hyperlinks>
    <hyperlink ref="A1" location="'Start-Experte'!A1" display="zurück" xr:uid="{00000000-0004-0000-15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05" operator="greaterThan" id="{2149E094-AD2D-415B-AC8F-DBE291AB00DB}">
            <xm:f>ControlPanel!$D$59-1</xm:f>
            <x14:dxf>
              <font>
                <color rgb="FF9C6500"/>
              </font>
              <fill>
                <patternFill>
                  <bgColor rgb="FFFFEB9C"/>
                </patternFill>
              </fill>
            </x14:dxf>
          </x14:cfRule>
          <x14:cfRule type="cellIs" priority="706" operator="lessThan" id="{35BC31FA-5959-49C7-9DE3-10974EF8966A}">
            <xm:f>ControlPanel!$D$59</xm:f>
            <x14:dxf>
              <font>
                <color rgb="FF006100"/>
              </font>
              <fill>
                <patternFill>
                  <bgColor rgb="FFC6EFCE"/>
                </patternFill>
              </fill>
            </x14:dxf>
          </x14:cfRule>
          <xm:sqref>F4:AE4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5">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65" t="s">
        <v>19</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48" customHeight="1" thickBot="1">
      <c r="B6" s="176" t="str">
        <f>ControlPanel!L20</f>
        <v>Referenz</v>
      </c>
      <c r="C6" s="15" t="str">
        <f>VLOOKUP($B$6,$B$7:$AE$25,2,FALSE)</f>
        <v>fh</v>
      </c>
      <c r="D6" s="494" t="str">
        <f>VLOOKUP($B$6,$B$7:$AE$25,3,FALSE)</f>
        <v>ÜNB-Umlageberechnungen, danach 6%</v>
      </c>
      <c r="E6" s="494" t="str">
        <f>VLOOKUP($B$6,$B$7:$AE$25,4,FALSE)</f>
        <v>bis 2022: ÜNB-Jahresprognosen, danach: 6%</v>
      </c>
      <c r="F6" s="38">
        <f>IF(F$4&lt;ControlPanel!$D$59,VLOOKUP("Referenz",$B$7:$AE$25,F$4-$F$4+5,FALSE),VLOOKUP($B$6,$B$7:$AE$25,F$4-$F$4+5,FALSE))</f>
        <v>0</v>
      </c>
      <c r="G6" s="38">
        <f>IF(G$4&lt;ControlPanel!$D$59,VLOOKUP("Referenz",$B$7:$AE$25,G$4-$F$4+5,FALSE),VLOOKUP($B$6,$B$7:$AE$25,G$4-$F$4+5,FALSE))</f>
        <v>0</v>
      </c>
      <c r="H6" s="38">
        <f>IF(H$4&lt;ControlPanel!$D$59,VLOOKUP("Referenz",$B$7:$AE$25,H$4-$F$4+5,FALSE),VLOOKUP($B$6,$B$7:$AE$25,H$4-$F$4+5,FALSE))</f>
        <v>0.03</v>
      </c>
      <c r="I6" s="38">
        <f>IF(I$4&lt;ControlPanel!$D$59,VLOOKUP("Referenz",$B$7:$AE$25,I$4-$F$4+5,FALSE),VLOOKUP($B$6,$B$7:$AE$25,I$4-$F$4+5,FALSE))</f>
        <v>0.1</v>
      </c>
      <c r="J6" s="38">
        <f>IF(J$4&lt;ControlPanel!$D$59,VLOOKUP("Referenz",$B$7:$AE$25,J$4-$F$4+5,FALSE),VLOOKUP($B$6,$B$7:$AE$25,J$4-$F$4+5,FALSE))</f>
        <v>0.1</v>
      </c>
      <c r="K6" s="38">
        <f>IF(K$4&lt;ControlPanel!$D$59,VLOOKUP("Referenz",$B$7:$AE$25,K$4-$F$4+5,FALSE),VLOOKUP($B$6,$B$7:$AE$25,K$4-$F$4+5,FALSE))</f>
        <v>0.1</v>
      </c>
      <c r="L6" s="38">
        <f>IF(L$4&lt;ControlPanel!$D$59,VLOOKUP("Referenz",$B$7:$AE$25,L$4-$F$4+5,FALSE),VLOOKUP($B$6,$B$7:$AE$25,L$4-$F$4+5,FALSE))</f>
        <v>0.1</v>
      </c>
      <c r="M6" s="38">
        <f>IF(M$4&lt;ControlPanel!$D$59,VLOOKUP("Referenz",$B$7:$AE$25,M$4-$F$4+5,FALSE),VLOOKUP($B$6,$B$7:$AE$25,M$4-$F$4+5,FALSE))</f>
        <v>0.06</v>
      </c>
      <c r="N6" s="14">
        <f>IF(N$4&lt;ControlPanel!$D$59,VLOOKUP("Referenz",$B$7:$AE$25,N$4-$F$4+5,FALSE),VLOOKUP($B$6,$B$7:$AE$25,N$4-$F$4+5,FALSE))</f>
        <v>0.06</v>
      </c>
      <c r="O6" s="14">
        <f>IF(O$4&lt;ControlPanel!$D$59,VLOOKUP("Referenz",$B$7:$AE$25,O$4-$F$4+5,FALSE),VLOOKUP($B$6,$B$7:$AE$25,O$4-$F$4+5,FALSE))</f>
        <v>0.06</v>
      </c>
      <c r="P6" s="14">
        <f>IF(P$4&lt;ControlPanel!$D$59,VLOOKUP("Referenz",$B$7:$AE$25,P$4-$F$4+5,FALSE),VLOOKUP($B$6,$B$7:$AE$25,P$4-$F$4+5,FALSE))</f>
        <v>0.08</v>
      </c>
      <c r="Q6" s="14">
        <f>IF(Q$4&lt;ControlPanel!$D$59,VLOOKUP("Referenz",$B$7:$AE$25,Q$4-$F$4+5,FALSE),VLOOKUP($B$6,$B$7:$AE$25,Q$4-$F$4+5,FALSE))</f>
        <v>0.1</v>
      </c>
      <c r="R6" s="14">
        <f>IF(R$4&lt;ControlPanel!$D$59,VLOOKUP("Referenz",$B$7:$AE$25,R$4-$F$4+5,FALSE),VLOOKUP($B$6,$B$7:$AE$25,R$4-$F$4+5,FALSE))</f>
        <v>0.05</v>
      </c>
      <c r="S6" s="14">
        <f>IF(S$4&lt;ControlPanel!$D$59,VLOOKUP("Referenz",$B$7:$AE$25,S$4-$F$4+5,FALSE),VLOOKUP($B$6,$B$7:$AE$25,S$4-$F$4+5,FALSE))</f>
        <v>0.06</v>
      </c>
      <c r="T6" s="14">
        <f>IF(T$4&lt;ControlPanel!$D$59,VLOOKUP("Referenz",$B$7:$AE$25,T$4-$F$4+5,FALSE),VLOOKUP($B$6,$B$7:$AE$25,T$4-$F$4+5,FALSE))</f>
        <v>0.06</v>
      </c>
      <c r="U6" s="14">
        <f>IF(U$4&lt;ControlPanel!$D$59,VLOOKUP("Referenz",$B$7:$AE$25,U$4-$F$4+5,FALSE),VLOOKUP($B$6,$B$7:$AE$25,U$4-$F$4+5,FALSE))</f>
        <v>0.06</v>
      </c>
      <c r="V6" s="14">
        <f>IF(V$4&lt;ControlPanel!$D$59,VLOOKUP("Referenz",$B$7:$AE$25,V$4-$F$4+5,FALSE),VLOOKUP($B$6,$B$7:$AE$25,V$4-$F$4+5,FALSE))</f>
        <v>0.06</v>
      </c>
      <c r="W6" s="14">
        <f>IF(W$4&lt;ControlPanel!$D$59,VLOOKUP("Referenz",$B$7:$AE$25,W$4-$F$4+5,FALSE),VLOOKUP($B$6,$B$7:$AE$25,W$4-$F$4+5,FALSE))</f>
        <v>0.06</v>
      </c>
      <c r="X6" s="14">
        <f>IF(X$4&lt;ControlPanel!$D$59,VLOOKUP("Referenz",$B$7:$AE$25,X$4-$F$4+5,FALSE),VLOOKUP($B$6,$B$7:$AE$25,X$4-$F$4+5,FALSE))</f>
        <v>0.06</v>
      </c>
      <c r="Y6" s="14">
        <f>IF(Y$4&lt;ControlPanel!$D$59,VLOOKUP("Referenz",$B$7:$AE$25,Y$4-$F$4+5,FALSE),VLOOKUP($B$6,$B$7:$AE$25,Y$4-$F$4+5,FALSE))</f>
        <v>0.06</v>
      </c>
      <c r="Z6" s="14">
        <f>IF(Z$4&lt;ControlPanel!$D$59,VLOOKUP("Referenz",$B$7:$AE$25,Z$4-$F$4+5,FALSE),VLOOKUP($B$6,$B$7:$AE$25,Z$4-$F$4+5,FALSE))</f>
        <v>0.06</v>
      </c>
      <c r="AA6" s="14">
        <f>IF(AA$4&lt;ControlPanel!$D$59,VLOOKUP("Referenz",$B$7:$AE$25,AA$4-$F$4+5,FALSE),VLOOKUP($B$6,$B$7:$AE$25,AA$4-$F$4+5,FALSE))</f>
        <v>0.06</v>
      </c>
      <c r="AB6" s="14">
        <f>IF(AB$4&lt;ControlPanel!$D$59,VLOOKUP("Referenz",$B$7:$AE$25,AB$4-$F$4+5,FALSE),VLOOKUP($B$6,$B$7:$AE$25,AB$4-$F$4+5,FALSE))</f>
        <v>0.06</v>
      </c>
      <c r="AC6" s="14">
        <f>IF(AC$4&lt;ControlPanel!$D$59,VLOOKUP("Referenz",$B$7:$AE$25,AC$4-$F$4+5,FALSE),VLOOKUP($B$6,$B$7:$AE$25,AC$4-$F$4+5,FALSE))</f>
        <v>0.06</v>
      </c>
      <c r="AD6" s="14">
        <f>IF(AD$4&lt;ControlPanel!$D$59,VLOOKUP("Referenz",$B$7:$AE$25,AD$4-$F$4+5,FALSE),VLOOKUP($B$6,$B$7:$AE$25,AD$4-$F$4+5,FALSE))</f>
        <v>0.06</v>
      </c>
      <c r="AE6" s="14">
        <f>IF(AE$4&lt;ControlPanel!$D$59,VLOOKUP("Referenz",$B$7:$AE$25,AE$4-$F$4+5,FALSE),VLOOKUP($B$6,$B$7:$AE$25,AE$4-$F$4+5,FALSE))</f>
        <v>0.06</v>
      </c>
    </row>
    <row r="7" spans="1:31" ht="25.5">
      <c r="B7" s="16" t="s">
        <v>138</v>
      </c>
      <c r="C7" s="12" t="s">
        <v>845</v>
      </c>
      <c r="D7" s="1219" t="s">
        <v>850</v>
      </c>
      <c r="E7" s="496" t="s">
        <v>1039</v>
      </c>
      <c r="F7" s="232">
        <v>0</v>
      </c>
      <c r="G7" s="232">
        <v>0</v>
      </c>
      <c r="H7" s="232">
        <v>0.03</v>
      </c>
      <c r="I7" s="232">
        <v>0.1</v>
      </c>
      <c r="J7" s="232">
        <v>0.1</v>
      </c>
      <c r="K7" s="232">
        <v>0.1</v>
      </c>
      <c r="L7" s="232">
        <v>0.1</v>
      </c>
      <c r="M7" s="232">
        <v>0.06</v>
      </c>
      <c r="N7" s="232">
        <v>0.06</v>
      </c>
      <c r="O7" s="232">
        <v>0.06</v>
      </c>
      <c r="P7" s="232">
        <v>0.08</v>
      </c>
      <c r="Q7" s="232">
        <v>0.1</v>
      </c>
      <c r="R7" s="232">
        <v>0.05</v>
      </c>
      <c r="S7" s="232">
        <v>0.06</v>
      </c>
      <c r="T7" s="232">
        <v>0.06</v>
      </c>
      <c r="U7" s="232">
        <v>0.06</v>
      </c>
      <c r="V7" s="232">
        <v>0.06</v>
      </c>
      <c r="W7" s="232">
        <v>0.06</v>
      </c>
      <c r="X7" s="232">
        <v>0.06</v>
      </c>
      <c r="Y7" s="232">
        <v>0.06</v>
      </c>
      <c r="Z7" s="232">
        <v>0.06</v>
      </c>
      <c r="AA7" s="232">
        <v>0.06</v>
      </c>
      <c r="AB7" s="232">
        <v>0.06</v>
      </c>
      <c r="AC7" s="232">
        <v>0.06</v>
      </c>
      <c r="AD7" s="232">
        <v>0.06</v>
      </c>
      <c r="AE7" s="232">
        <v>0.06</v>
      </c>
    </row>
    <row r="8" spans="1:31" ht="15" customHeight="1">
      <c r="B8" s="175" t="str">
        <f>P8*100&amp;"%"</f>
        <v>0%</v>
      </c>
      <c r="C8" s="1162" t="s">
        <v>65</v>
      </c>
      <c r="D8" s="175" t="str">
        <f>B8&amp;" ab 2020"</f>
        <v>0% ab 2020</v>
      </c>
      <c r="E8" s="544" t="str">
        <f>D8</f>
        <v>0% ab 2020</v>
      </c>
      <c r="F8" s="232"/>
      <c r="G8" s="232"/>
      <c r="H8" s="232"/>
      <c r="I8" s="232"/>
      <c r="J8" s="232"/>
      <c r="K8" s="232"/>
      <c r="L8" s="232"/>
      <c r="M8" s="232"/>
      <c r="N8" s="232"/>
      <c r="O8" s="232"/>
      <c r="P8" s="232">
        <v>0</v>
      </c>
      <c r="Q8" s="232">
        <v>0</v>
      </c>
      <c r="R8" s="232">
        <v>0</v>
      </c>
      <c r="S8" s="232">
        <v>0</v>
      </c>
      <c r="T8" s="232">
        <v>0</v>
      </c>
      <c r="U8" s="232">
        <v>0</v>
      </c>
      <c r="V8" s="232">
        <v>0</v>
      </c>
      <c r="W8" s="232">
        <v>0</v>
      </c>
      <c r="X8" s="232">
        <v>0</v>
      </c>
      <c r="Y8" s="232">
        <v>0</v>
      </c>
      <c r="Z8" s="232">
        <v>0</v>
      </c>
      <c r="AA8" s="232">
        <v>0</v>
      </c>
      <c r="AB8" s="232">
        <v>0</v>
      </c>
      <c r="AC8" s="232">
        <v>0</v>
      </c>
      <c r="AD8" s="232">
        <v>0</v>
      </c>
      <c r="AE8" s="232">
        <v>0</v>
      </c>
    </row>
    <row r="9" spans="1:31" ht="15" customHeight="1">
      <c r="B9" s="175" t="str">
        <f t="shared" ref="B9:B18" si="0">P9*100&amp;"%"</f>
        <v>1%</v>
      </c>
      <c r="C9" s="329" t="s">
        <v>65</v>
      </c>
      <c r="D9" s="175" t="str">
        <f t="shared" ref="D9:D18" si="1">B9&amp;" ab 2020"</f>
        <v>1% ab 2020</v>
      </c>
      <c r="E9" s="542" t="str">
        <f t="shared" ref="E9:E18" si="2">D9</f>
        <v>1% ab 2020</v>
      </c>
      <c r="F9" s="232"/>
      <c r="G9" s="232"/>
      <c r="H9" s="232"/>
      <c r="I9" s="232"/>
      <c r="J9" s="232"/>
      <c r="K9" s="232"/>
      <c r="L9" s="232"/>
      <c r="M9" s="232"/>
      <c r="N9" s="232"/>
      <c r="O9" s="232"/>
      <c r="P9" s="232">
        <v>0.01</v>
      </c>
      <c r="Q9" s="232">
        <v>0.01</v>
      </c>
      <c r="R9" s="232">
        <v>0.01</v>
      </c>
      <c r="S9" s="232">
        <v>0.01</v>
      </c>
      <c r="T9" s="232">
        <v>0.01</v>
      </c>
      <c r="U9" s="232">
        <v>0.01</v>
      </c>
      <c r="V9" s="232">
        <v>0.01</v>
      </c>
      <c r="W9" s="232">
        <v>0.01</v>
      </c>
      <c r="X9" s="232">
        <v>0.01</v>
      </c>
      <c r="Y9" s="232">
        <v>0.01</v>
      </c>
      <c r="Z9" s="232">
        <v>0.01</v>
      </c>
      <c r="AA9" s="232">
        <v>0.01</v>
      </c>
      <c r="AB9" s="232">
        <v>0.01</v>
      </c>
      <c r="AC9" s="232">
        <v>0.01</v>
      </c>
      <c r="AD9" s="232">
        <v>0.01</v>
      </c>
      <c r="AE9" s="232">
        <v>0.01</v>
      </c>
    </row>
    <row r="10" spans="1:31" ht="15" customHeight="1">
      <c r="B10" s="175" t="str">
        <f t="shared" si="0"/>
        <v>2%</v>
      </c>
      <c r="C10" s="329" t="s">
        <v>65</v>
      </c>
      <c r="D10" s="175" t="str">
        <f t="shared" si="1"/>
        <v>2% ab 2020</v>
      </c>
      <c r="E10" s="542" t="str">
        <f t="shared" si="2"/>
        <v>2% ab 2020</v>
      </c>
      <c r="F10" s="232"/>
      <c r="G10" s="232"/>
      <c r="H10" s="232"/>
      <c r="I10" s="232"/>
      <c r="J10" s="232"/>
      <c r="K10" s="232"/>
      <c r="L10" s="232"/>
      <c r="M10" s="232"/>
      <c r="N10" s="232"/>
      <c r="O10" s="232"/>
      <c r="P10" s="232">
        <v>0.02</v>
      </c>
      <c r="Q10" s="232">
        <v>0.02</v>
      </c>
      <c r="R10" s="232">
        <v>0.02</v>
      </c>
      <c r="S10" s="232">
        <v>0.02</v>
      </c>
      <c r="T10" s="232">
        <v>0.02</v>
      </c>
      <c r="U10" s="232">
        <v>0.02</v>
      </c>
      <c r="V10" s="232">
        <v>0.02</v>
      </c>
      <c r="W10" s="232">
        <v>0.02</v>
      </c>
      <c r="X10" s="232">
        <v>0.02</v>
      </c>
      <c r="Y10" s="232">
        <v>0.02</v>
      </c>
      <c r="Z10" s="232">
        <v>0.02</v>
      </c>
      <c r="AA10" s="232">
        <v>0.02</v>
      </c>
      <c r="AB10" s="232">
        <v>0.02</v>
      </c>
      <c r="AC10" s="232">
        <v>0.02</v>
      </c>
      <c r="AD10" s="232">
        <v>0.02</v>
      </c>
      <c r="AE10" s="232">
        <v>0.02</v>
      </c>
    </row>
    <row r="11" spans="1:31" ht="15" customHeight="1">
      <c r="B11" s="175" t="str">
        <f t="shared" si="0"/>
        <v>3%</v>
      </c>
      <c r="C11" s="329" t="s">
        <v>65</v>
      </c>
      <c r="D11" s="175" t="str">
        <f t="shared" si="1"/>
        <v>3% ab 2020</v>
      </c>
      <c r="E11" s="542" t="str">
        <f t="shared" si="2"/>
        <v>3% ab 2020</v>
      </c>
      <c r="F11" s="232"/>
      <c r="G11" s="232"/>
      <c r="H11" s="232"/>
      <c r="I11" s="232"/>
      <c r="J11" s="232"/>
      <c r="K11" s="232"/>
      <c r="L11" s="232"/>
      <c r="M11" s="232"/>
      <c r="N11" s="232"/>
      <c r="O11" s="232"/>
      <c r="P11" s="232">
        <v>0.03</v>
      </c>
      <c r="Q11" s="232">
        <v>0.03</v>
      </c>
      <c r="R11" s="232">
        <v>0.03</v>
      </c>
      <c r="S11" s="232">
        <v>0.03</v>
      </c>
      <c r="T11" s="232">
        <v>0.03</v>
      </c>
      <c r="U11" s="232">
        <v>0.03</v>
      </c>
      <c r="V11" s="232">
        <v>0.03</v>
      </c>
      <c r="W11" s="232">
        <v>0.03</v>
      </c>
      <c r="X11" s="232">
        <v>0.03</v>
      </c>
      <c r="Y11" s="232">
        <v>0.03</v>
      </c>
      <c r="Z11" s="232">
        <v>0.03</v>
      </c>
      <c r="AA11" s="232">
        <v>0.03</v>
      </c>
      <c r="AB11" s="232">
        <v>0.03</v>
      </c>
      <c r="AC11" s="232">
        <v>0.03</v>
      </c>
      <c r="AD11" s="232">
        <v>0.03</v>
      </c>
      <c r="AE11" s="232">
        <v>0.03</v>
      </c>
    </row>
    <row r="12" spans="1:31" ht="15" customHeight="1">
      <c r="B12" s="175" t="str">
        <f t="shared" si="0"/>
        <v>4%</v>
      </c>
      <c r="C12" s="329" t="s">
        <v>65</v>
      </c>
      <c r="D12" s="175" t="str">
        <f t="shared" si="1"/>
        <v>4% ab 2020</v>
      </c>
      <c r="E12" s="542" t="str">
        <f t="shared" si="2"/>
        <v>4% ab 2020</v>
      </c>
      <c r="F12" s="232"/>
      <c r="G12" s="232"/>
      <c r="H12" s="232"/>
      <c r="I12" s="232"/>
      <c r="J12" s="232"/>
      <c r="K12" s="232"/>
      <c r="L12" s="232"/>
      <c r="M12" s="232"/>
      <c r="N12" s="232"/>
      <c r="O12" s="232"/>
      <c r="P12" s="232">
        <v>0.04</v>
      </c>
      <c r="Q12" s="232">
        <v>0.04</v>
      </c>
      <c r="R12" s="232">
        <v>0.04</v>
      </c>
      <c r="S12" s="232">
        <v>0.04</v>
      </c>
      <c r="T12" s="232">
        <v>0.04</v>
      </c>
      <c r="U12" s="232">
        <v>0.04</v>
      </c>
      <c r="V12" s="232">
        <v>0.04</v>
      </c>
      <c r="W12" s="232">
        <v>0.04</v>
      </c>
      <c r="X12" s="232">
        <v>0.04</v>
      </c>
      <c r="Y12" s="232">
        <v>0.04</v>
      </c>
      <c r="Z12" s="232">
        <v>0.04</v>
      </c>
      <c r="AA12" s="232">
        <v>0.04</v>
      </c>
      <c r="AB12" s="232">
        <v>0.04</v>
      </c>
      <c r="AC12" s="232">
        <v>0.04</v>
      </c>
      <c r="AD12" s="232">
        <v>0.04</v>
      </c>
      <c r="AE12" s="232">
        <v>0.04</v>
      </c>
    </row>
    <row r="13" spans="1:31" ht="15" customHeight="1">
      <c r="B13" s="175" t="str">
        <f t="shared" si="0"/>
        <v>5%</v>
      </c>
      <c r="C13" s="329" t="s">
        <v>65</v>
      </c>
      <c r="D13" s="175" t="str">
        <f t="shared" si="1"/>
        <v>5% ab 2020</v>
      </c>
      <c r="E13" s="542" t="str">
        <f t="shared" si="2"/>
        <v>5% ab 2020</v>
      </c>
      <c r="F13" s="232"/>
      <c r="G13" s="232"/>
      <c r="H13" s="232"/>
      <c r="I13" s="232"/>
      <c r="J13" s="232"/>
      <c r="K13" s="232"/>
      <c r="L13" s="232"/>
      <c r="M13" s="232"/>
      <c r="N13" s="232"/>
      <c r="O13" s="232"/>
      <c r="P13" s="232">
        <v>0.05</v>
      </c>
      <c r="Q13" s="232">
        <v>0.05</v>
      </c>
      <c r="R13" s="232">
        <v>0.05</v>
      </c>
      <c r="S13" s="232">
        <v>0.05</v>
      </c>
      <c r="T13" s="232">
        <v>0.05</v>
      </c>
      <c r="U13" s="232">
        <v>0.05</v>
      </c>
      <c r="V13" s="232">
        <v>0.05</v>
      </c>
      <c r="W13" s="232">
        <v>0.05</v>
      </c>
      <c r="X13" s="232">
        <v>0.05</v>
      </c>
      <c r="Y13" s="232">
        <v>0.05</v>
      </c>
      <c r="Z13" s="232">
        <v>0.05</v>
      </c>
      <c r="AA13" s="232">
        <v>0.05</v>
      </c>
      <c r="AB13" s="232">
        <v>0.05</v>
      </c>
      <c r="AC13" s="232">
        <v>0.05</v>
      </c>
      <c r="AD13" s="232">
        <v>0.05</v>
      </c>
      <c r="AE13" s="232">
        <v>0.05</v>
      </c>
    </row>
    <row r="14" spans="1:31" ht="15" customHeight="1">
      <c r="B14" s="175" t="str">
        <f t="shared" si="0"/>
        <v>6%</v>
      </c>
      <c r="C14" s="329" t="s">
        <v>65</v>
      </c>
      <c r="D14" s="175" t="str">
        <f t="shared" si="1"/>
        <v>6% ab 2020</v>
      </c>
      <c r="E14" s="542" t="str">
        <f t="shared" si="2"/>
        <v>6% ab 2020</v>
      </c>
      <c r="F14" s="232"/>
      <c r="G14" s="232"/>
      <c r="H14" s="232"/>
      <c r="I14" s="232"/>
      <c r="J14" s="232"/>
      <c r="K14" s="232"/>
      <c r="L14" s="232"/>
      <c r="M14" s="232"/>
      <c r="N14" s="232"/>
      <c r="O14" s="232"/>
      <c r="P14" s="232">
        <v>0.06</v>
      </c>
      <c r="Q14" s="232">
        <v>0.06</v>
      </c>
      <c r="R14" s="232">
        <v>0.06</v>
      </c>
      <c r="S14" s="232">
        <v>0.06</v>
      </c>
      <c r="T14" s="232">
        <v>0.06</v>
      </c>
      <c r="U14" s="232">
        <v>0.06</v>
      </c>
      <c r="V14" s="232">
        <v>0.06</v>
      </c>
      <c r="W14" s="232">
        <v>0.06</v>
      </c>
      <c r="X14" s="232">
        <v>0.06</v>
      </c>
      <c r="Y14" s="232">
        <v>0.06</v>
      </c>
      <c r="Z14" s="232">
        <v>0.06</v>
      </c>
      <c r="AA14" s="232">
        <v>0.06</v>
      </c>
      <c r="AB14" s="232">
        <v>0.06</v>
      </c>
      <c r="AC14" s="232">
        <v>0.06</v>
      </c>
      <c r="AD14" s="232">
        <v>0.06</v>
      </c>
      <c r="AE14" s="232">
        <v>0.06</v>
      </c>
    </row>
    <row r="15" spans="1:31" ht="15" customHeight="1">
      <c r="B15" s="175" t="str">
        <f t="shared" si="0"/>
        <v>7%</v>
      </c>
      <c r="C15" s="329" t="s">
        <v>65</v>
      </c>
      <c r="D15" s="175" t="str">
        <f t="shared" si="1"/>
        <v>7% ab 2020</v>
      </c>
      <c r="E15" s="542" t="str">
        <f t="shared" si="2"/>
        <v>7% ab 2020</v>
      </c>
      <c r="F15" s="232"/>
      <c r="G15" s="232"/>
      <c r="H15" s="232"/>
      <c r="I15" s="232"/>
      <c r="J15" s="232"/>
      <c r="K15" s="232"/>
      <c r="L15" s="232"/>
      <c r="M15" s="232"/>
      <c r="N15" s="232"/>
      <c r="O15" s="232"/>
      <c r="P15" s="232">
        <v>7.0000000000000007E-2</v>
      </c>
      <c r="Q15" s="232">
        <v>7.0000000000000007E-2</v>
      </c>
      <c r="R15" s="232">
        <v>7.0000000000000007E-2</v>
      </c>
      <c r="S15" s="232">
        <v>7.0000000000000007E-2</v>
      </c>
      <c r="T15" s="232">
        <v>7.0000000000000007E-2</v>
      </c>
      <c r="U15" s="232">
        <v>7.0000000000000007E-2</v>
      </c>
      <c r="V15" s="232">
        <v>7.0000000000000007E-2</v>
      </c>
      <c r="W15" s="232">
        <v>7.0000000000000007E-2</v>
      </c>
      <c r="X15" s="232">
        <v>7.0000000000000007E-2</v>
      </c>
      <c r="Y15" s="232">
        <v>7.0000000000000007E-2</v>
      </c>
      <c r="Z15" s="232">
        <v>7.0000000000000007E-2</v>
      </c>
      <c r="AA15" s="232">
        <v>7.0000000000000007E-2</v>
      </c>
      <c r="AB15" s="232">
        <v>7.0000000000000007E-2</v>
      </c>
      <c r="AC15" s="232">
        <v>7.0000000000000007E-2</v>
      </c>
      <c r="AD15" s="232">
        <v>7.0000000000000007E-2</v>
      </c>
      <c r="AE15" s="232">
        <v>7.0000000000000007E-2</v>
      </c>
    </row>
    <row r="16" spans="1:31" ht="15" customHeight="1">
      <c r="B16" s="175" t="str">
        <f t="shared" si="0"/>
        <v>8%</v>
      </c>
      <c r="C16" s="12" t="s">
        <v>65</v>
      </c>
      <c r="D16" s="175" t="str">
        <f t="shared" si="1"/>
        <v>8% ab 2020</v>
      </c>
      <c r="E16" s="222" t="str">
        <f t="shared" si="2"/>
        <v>8% ab 2020</v>
      </c>
      <c r="F16" s="232"/>
      <c r="G16" s="232"/>
      <c r="H16" s="232"/>
      <c r="I16" s="232"/>
      <c r="J16" s="232"/>
      <c r="K16" s="232"/>
      <c r="L16" s="232"/>
      <c r="M16" s="232"/>
      <c r="N16" s="232"/>
      <c r="O16" s="232"/>
      <c r="P16" s="232">
        <v>0.08</v>
      </c>
      <c r="Q16" s="232">
        <v>0.08</v>
      </c>
      <c r="R16" s="232">
        <v>0.08</v>
      </c>
      <c r="S16" s="232">
        <v>0.08</v>
      </c>
      <c r="T16" s="232">
        <v>0.08</v>
      </c>
      <c r="U16" s="232">
        <v>0.08</v>
      </c>
      <c r="V16" s="232">
        <v>0.08</v>
      </c>
      <c r="W16" s="232">
        <v>0.08</v>
      </c>
      <c r="X16" s="232">
        <v>0.08</v>
      </c>
      <c r="Y16" s="232">
        <v>0.08</v>
      </c>
      <c r="Z16" s="232">
        <v>0.08</v>
      </c>
      <c r="AA16" s="232">
        <v>0.08</v>
      </c>
      <c r="AB16" s="232">
        <v>0.08</v>
      </c>
      <c r="AC16" s="232">
        <v>0.08</v>
      </c>
      <c r="AD16" s="232">
        <v>0.08</v>
      </c>
      <c r="AE16" s="232">
        <v>0.08</v>
      </c>
    </row>
    <row r="17" spans="2:31" ht="15" customHeight="1">
      <c r="B17" s="175" t="str">
        <f t="shared" si="0"/>
        <v>9%</v>
      </c>
      <c r="C17" s="12" t="s">
        <v>65</v>
      </c>
      <c r="D17" s="175" t="str">
        <f t="shared" si="1"/>
        <v>9% ab 2020</v>
      </c>
      <c r="E17" s="222" t="str">
        <f t="shared" si="2"/>
        <v>9% ab 2020</v>
      </c>
      <c r="F17" s="232"/>
      <c r="G17" s="232"/>
      <c r="H17" s="232"/>
      <c r="I17" s="232"/>
      <c r="J17" s="232"/>
      <c r="K17" s="232"/>
      <c r="L17" s="232"/>
      <c r="M17" s="232"/>
      <c r="N17" s="232"/>
      <c r="O17" s="232"/>
      <c r="P17" s="232">
        <v>0.09</v>
      </c>
      <c r="Q17" s="232">
        <v>0.09</v>
      </c>
      <c r="R17" s="232">
        <v>0.09</v>
      </c>
      <c r="S17" s="232">
        <v>0.09</v>
      </c>
      <c r="T17" s="232">
        <v>0.09</v>
      </c>
      <c r="U17" s="232">
        <v>0.09</v>
      </c>
      <c r="V17" s="232">
        <v>0.09</v>
      </c>
      <c r="W17" s="232">
        <v>0.09</v>
      </c>
      <c r="X17" s="232">
        <v>0.09</v>
      </c>
      <c r="Y17" s="232">
        <v>0.09</v>
      </c>
      <c r="Z17" s="232">
        <v>0.09</v>
      </c>
      <c r="AA17" s="232">
        <v>0.09</v>
      </c>
      <c r="AB17" s="232">
        <v>0.09</v>
      </c>
      <c r="AC17" s="232">
        <v>0.09</v>
      </c>
      <c r="AD17" s="232">
        <v>0.09</v>
      </c>
      <c r="AE17" s="232">
        <v>0.09</v>
      </c>
    </row>
    <row r="18" spans="2:31" ht="15" customHeight="1">
      <c r="B18" s="175" t="str">
        <f t="shared" si="0"/>
        <v>10%</v>
      </c>
      <c r="C18" s="12" t="s">
        <v>65</v>
      </c>
      <c r="D18" s="175" t="str">
        <f t="shared" si="1"/>
        <v>10% ab 2020</v>
      </c>
      <c r="E18" s="222" t="str">
        <f t="shared" si="2"/>
        <v>10% ab 2020</v>
      </c>
      <c r="F18" s="232"/>
      <c r="G18" s="232"/>
      <c r="H18" s="232"/>
      <c r="I18" s="232"/>
      <c r="J18" s="232"/>
      <c r="K18" s="232"/>
      <c r="L18" s="232"/>
      <c r="M18" s="232"/>
      <c r="N18" s="232"/>
      <c r="O18" s="232"/>
      <c r="P18" s="232">
        <v>0.1</v>
      </c>
      <c r="Q18" s="232">
        <v>0.1</v>
      </c>
      <c r="R18" s="232">
        <v>0.1</v>
      </c>
      <c r="S18" s="232">
        <v>0.1</v>
      </c>
      <c r="T18" s="232">
        <v>0.1</v>
      </c>
      <c r="U18" s="232">
        <v>0.1</v>
      </c>
      <c r="V18" s="232">
        <v>0.1</v>
      </c>
      <c r="W18" s="232">
        <v>0.1</v>
      </c>
      <c r="X18" s="232">
        <v>0.1</v>
      </c>
      <c r="Y18" s="232">
        <v>0.1</v>
      </c>
      <c r="Z18" s="232">
        <v>0.1</v>
      </c>
      <c r="AA18" s="232">
        <v>0.1</v>
      </c>
      <c r="AB18" s="232">
        <v>0.1</v>
      </c>
      <c r="AC18" s="232">
        <v>0.1</v>
      </c>
      <c r="AD18" s="232">
        <v>0.1</v>
      </c>
      <c r="AE18" s="232">
        <v>0.1</v>
      </c>
    </row>
    <row r="19" spans="2:31" ht="15" customHeight="1">
      <c r="B19" s="183"/>
      <c r="C19" s="186"/>
      <c r="D19" s="169"/>
      <c r="E19" s="540"/>
      <c r="F19" s="531"/>
      <c r="G19" s="531"/>
      <c r="H19" s="531"/>
      <c r="I19" s="531"/>
      <c r="J19" s="531"/>
      <c r="K19" s="531"/>
      <c r="L19" s="531"/>
      <c r="M19" s="531"/>
      <c r="N19" s="187"/>
      <c r="O19" s="187"/>
      <c r="P19" s="187"/>
      <c r="Q19" s="187"/>
      <c r="R19" s="187"/>
      <c r="S19" s="187"/>
      <c r="T19" s="187"/>
      <c r="U19" s="187"/>
      <c r="V19" s="187"/>
      <c r="W19" s="187"/>
      <c r="X19" s="187"/>
      <c r="Y19" s="187"/>
      <c r="Z19" s="187"/>
      <c r="AA19" s="187"/>
      <c r="AB19" s="187"/>
      <c r="AC19" s="187"/>
      <c r="AD19" s="187"/>
      <c r="AE19" s="187"/>
    </row>
    <row r="20" spans="2:31" ht="15" customHeight="1">
      <c r="B20" s="183"/>
      <c r="C20" s="186"/>
      <c r="D20" s="169"/>
      <c r="E20" s="540"/>
      <c r="F20" s="531"/>
      <c r="G20" s="531"/>
      <c r="H20" s="531"/>
      <c r="I20" s="531"/>
      <c r="J20" s="531"/>
      <c r="K20" s="531"/>
      <c r="L20" s="531"/>
      <c r="M20" s="531"/>
      <c r="N20" s="187"/>
      <c r="O20" s="187"/>
      <c r="P20" s="187"/>
      <c r="Q20" s="187"/>
      <c r="R20" s="187"/>
      <c r="S20" s="187"/>
      <c r="T20" s="187"/>
      <c r="U20" s="187"/>
      <c r="V20" s="187"/>
      <c r="W20" s="187"/>
      <c r="X20" s="187"/>
      <c r="Y20" s="187"/>
      <c r="Z20" s="187"/>
      <c r="AA20" s="187"/>
      <c r="AB20" s="187"/>
      <c r="AC20" s="187"/>
      <c r="AD20" s="187"/>
      <c r="AE20" s="187"/>
    </row>
    <row r="21" spans="2:31" ht="15" customHeight="1">
      <c r="B21" s="183"/>
      <c r="C21" s="186"/>
      <c r="D21" s="169"/>
      <c r="E21" s="540"/>
      <c r="F21" s="531"/>
      <c r="G21" s="531"/>
      <c r="H21" s="531"/>
      <c r="I21" s="531"/>
      <c r="J21" s="531"/>
      <c r="K21" s="531"/>
      <c r="L21" s="531"/>
      <c r="M21" s="531"/>
      <c r="N21" s="187"/>
      <c r="O21" s="187"/>
      <c r="P21" s="187"/>
      <c r="Q21" s="187"/>
      <c r="R21" s="187"/>
      <c r="S21" s="187"/>
      <c r="T21" s="187"/>
      <c r="U21" s="187"/>
      <c r="V21" s="187"/>
      <c r="W21" s="187"/>
      <c r="X21" s="187"/>
      <c r="Y21" s="187"/>
      <c r="Z21" s="187"/>
      <c r="AA21" s="187"/>
      <c r="AB21" s="187"/>
      <c r="AC21" s="187"/>
      <c r="AD21" s="187"/>
      <c r="AE21" s="187"/>
    </row>
    <row r="22" spans="2:31" ht="15" customHeight="1">
      <c r="B22" s="183"/>
      <c r="C22" s="186"/>
      <c r="D22" s="169"/>
      <c r="E22" s="540"/>
      <c r="F22" s="531"/>
      <c r="G22" s="531"/>
      <c r="H22" s="531"/>
      <c r="I22" s="531"/>
      <c r="J22" s="531"/>
      <c r="K22" s="531"/>
      <c r="L22" s="531"/>
      <c r="M22" s="531"/>
      <c r="N22" s="187"/>
      <c r="O22" s="187"/>
      <c r="P22" s="187"/>
      <c r="Q22" s="187"/>
      <c r="R22" s="187"/>
      <c r="S22" s="187"/>
      <c r="T22" s="187"/>
      <c r="U22" s="187"/>
      <c r="V22" s="187"/>
      <c r="W22" s="187"/>
      <c r="X22" s="187"/>
      <c r="Y22" s="187"/>
      <c r="Z22" s="187"/>
      <c r="AA22" s="187"/>
      <c r="AB22" s="187"/>
      <c r="AC22" s="187"/>
      <c r="AD22" s="187"/>
      <c r="AE22" s="187"/>
    </row>
    <row r="23" spans="2:31" ht="15" customHeight="1">
      <c r="B23" s="183"/>
      <c r="C23" s="186"/>
      <c r="D23" s="169"/>
      <c r="E23" s="540"/>
      <c r="F23" s="531"/>
      <c r="G23" s="531"/>
      <c r="H23" s="531"/>
      <c r="I23" s="531"/>
      <c r="J23" s="531"/>
      <c r="K23" s="531"/>
      <c r="L23" s="531"/>
      <c r="M23" s="531"/>
      <c r="N23" s="187"/>
      <c r="O23" s="187"/>
      <c r="P23" s="187"/>
      <c r="Q23" s="187"/>
      <c r="R23" s="187"/>
      <c r="S23" s="187"/>
      <c r="T23" s="187"/>
      <c r="U23" s="187"/>
      <c r="V23" s="187"/>
      <c r="W23" s="187"/>
      <c r="X23" s="187"/>
      <c r="Y23" s="187"/>
      <c r="Z23" s="187"/>
      <c r="AA23" s="187"/>
      <c r="AB23" s="187"/>
      <c r="AC23" s="187"/>
      <c r="AD23" s="187"/>
      <c r="AE23" s="187"/>
    </row>
    <row r="24" spans="2:31" ht="15" customHeight="1">
      <c r="B24" s="183"/>
      <c r="C24" s="186"/>
      <c r="D24" s="169"/>
      <c r="E24" s="540"/>
      <c r="F24" s="531"/>
      <c r="G24" s="531"/>
      <c r="H24" s="531"/>
      <c r="I24" s="531"/>
      <c r="J24" s="531"/>
      <c r="K24" s="531"/>
      <c r="L24" s="531"/>
      <c r="M24" s="531"/>
      <c r="N24" s="187"/>
      <c r="O24" s="187"/>
      <c r="P24" s="187"/>
      <c r="Q24" s="187"/>
      <c r="R24" s="187"/>
      <c r="S24" s="187"/>
      <c r="T24" s="187"/>
      <c r="U24" s="187"/>
      <c r="V24" s="187"/>
      <c r="W24" s="187"/>
      <c r="X24" s="187"/>
      <c r="Y24" s="187"/>
      <c r="Z24" s="187"/>
      <c r="AA24" s="187"/>
      <c r="AB24" s="187"/>
      <c r="AC24" s="187"/>
      <c r="AD24" s="187"/>
      <c r="AE24" s="187"/>
    </row>
    <row r="25" spans="2:31" ht="15" customHeight="1">
      <c r="B25" s="185"/>
      <c r="C25" s="188"/>
      <c r="D25" s="189"/>
      <c r="E25" s="541"/>
      <c r="F25" s="532"/>
      <c r="G25" s="532"/>
      <c r="H25" s="532"/>
      <c r="I25" s="532"/>
      <c r="J25" s="532"/>
      <c r="K25" s="532"/>
      <c r="L25" s="532"/>
      <c r="M25" s="532"/>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6LFmk0ANttOOp9o++6bp6aq0aQZkDub5eJri3lzBveyuJjx5VMI1/UzSPI8tMwrKu2IDIhM6IxPj1ZzpDrogJg==" saltValue="1tySNLF5IDS9E1ImcmDxRA==" spinCount="100000" sheet="1" objects="1" scenarios="1"/>
  <hyperlinks>
    <hyperlink ref="A1" location="'Start-Experte'!A1" display="zurück" xr:uid="{00000000-0004-0000-16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09" operator="greaterThan" id="{00000000-0000-0000-0000-000000000000}">
            <xm:f>ControlPanel!$D$59-1</xm:f>
            <x14:dxf>
              <font>
                <color rgb="FF9C6500"/>
              </font>
              <fill>
                <patternFill>
                  <fgColor indexed="64"/>
                  <bgColor rgb="FFFFEB9C"/>
                </patternFill>
              </fill>
            </x14:dxf>
          </x14:cfRule>
          <x14:cfRule type="cellIs" priority="710"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7">
    <tabColor theme="9" tint="0.39997558519241921"/>
    <pageSetUpPr fitToPage="1"/>
  </sheetPr>
  <dimension ref="A1:AE1359"/>
  <sheetViews>
    <sheetView workbookViewId="0">
      <selection activeCell="R15" sqref="R15:T15"/>
    </sheetView>
  </sheetViews>
  <sheetFormatPr baseColWidth="10" defaultColWidth="11.5703125" defaultRowHeight="12.75" outlineLevelRow="1" outlineLevelCol="3"/>
  <cols>
    <col min="1" max="1" width="3.7109375" style="9" customWidth="1"/>
    <col min="2" max="2" width="25.7109375" style="330" customWidth="1"/>
    <col min="3" max="3" width="20.7109375" style="10" customWidth="1" outlineLevel="3"/>
    <col min="4" max="5" width="40.7109375" style="10" customWidth="1" outlineLevel="1"/>
    <col min="6" max="15" width="8.7109375" style="9" customWidth="1" outlineLevel="1"/>
    <col min="16" max="16" width="8.7109375" style="9" customWidth="1"/>
    <col min="17" max="31" width="8.7109375" style="9" customWidth="1" outlineLevel="1"/>
    <col min="32" max="16384" width="11.5703125" style="9"/>
  </cols>
  <sheetData>
    <row r="1" spans="1:31">
      <c r="A1" s="41" t="s">
        <v>183</v>
      </c>
      <c r="B1" s="65" t="s">
        <v>493</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6"/>
      <c r="C4" s="18"/>
      <c r="D4" s="321"/>
      <c r="E4" s="18"/>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outlineLevel="1" thickBot="1">
      <c r="B5" s="67"/>
      <c r="D5" s="16"/>
      <c r="F5" s="330" t="s">
        <v>35</v>
      </c>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row>
    <row r="6" spans="1:31" ht="13.5" outlineLevel="1" thickBot="1">
      <c r="B6" s="177" t="str">
        <f>ControlPanel!L26</f>
        <v>Referenz</v>
      </c>
      <c r="C6" s="15" t="str">
        <f>VLOOKUP($B$6,$B$7:$AE$25,2,FALSE)</f>
        <v>fh</v>
      </c>
      <c r="D6" s="494" t="str">
        <f>VLOOKUP($B$6,$B$7:$AE$25,3,FALSE)</f>
        <v>2022-2026: ÜNB-Umlageberechnung 2021. Danach ansteigend auf 600 TWh in 2030</v>
      </c>
      <c r="E6" s="494" t="str">
        <f>VLOOKUP($B$6,$B$7:$AE$25,4,FALSE)</f>
        <v>2022-2026: ÜNB-Umlageberechnung 2021. Danach ansteigend auf 600 TWh in 2030</v>
      </c>
      <c r="F6" s="14">
        <f>IF(F$4&lt;ControlPanel!$D$59,VLOOKUP("Referenz",$B$7:$AE$25,F$4-$F$4+5,FALSE),VLOOKUP($B$6,$B$7:$AE$25,F$4-$F$4+5,FALSE))</f>
        <v>535.4</v>
      </c>
      <c r="G6" s="14">
        <f>IF(G$4&lt;ControlPanel!$D$59,VLOOKUP("Referenz",$B$7:$AE$25,G$4-$F$4+5,FALSE),VLOOKUP($B$6,$B$7:$AE$25,G$4-$F$4+5,FALSE))</f>
        <v>536.79999999999995</v>
      </c>
      <c r="H6" s="14">
        <f>IF(H$4&lt;ControlPanel!$D$59,VLOOKUP("Referenz",$B$7:$AE$25,H$4-$F$4+5,FALSE),VLOOKUP($B$6,$B$7:$AE$25,H$4-$F$4+5,FALSE))</f>
        <v>540.29999999999995</v>
      </c>
      <c r="I6" s="14">
        <f>IF(I$4&lt;ControlPanel!$D$59,VLOOKUP("Referenz",$B$7:$AE$25,I$4-$F$4+5,FALSE),VLOOKUP($B$6,$B$7:$AE$25,I$4-$F$4+5,FALSE))</f>
        <v>537.10000000000014</v>
      </c>
      <c r="J6" s="14">
        <f>IF(J$4&lt;ControlPanel!$D$59,VLOOKUP("Referenz",$B$7:$AE$25,J$4-$F$4+5,FALSE),VLOOKUP($B$6,$B$7:$AE$25,J$4-$F$4+5,FALSE))</f>
        <v>529.87864653548297</v>
      </c>
      <c r="K6" s="14">
        <f>IF(K$4&lt;ControlPanel!$D$59,VLOOKUP("Referenz",$B$7:$AE$25,K$4-$F$4+5,FALSE),VLOOKUP($B$6,$B$7:$AE$25,K$4-$F$4+5,FALSE))</f>
        <v>520.6</v>
      </c>
      <c r="L6" s="14">
        <f>IF(L$4&lt;ControlPanel!$D$59,VLOOKUP("Referenz",$B$7:$AE$25,L$4-$F$4+5,FALSE),VLOOKUP($B$6,$B$7:$AE$25,L$4-$F$4+5,FALSE))</f>
        <v>511.6</v>
      </c>
      <c r="M6" s="14">
        <f>IF(M$4&lt;ControlPanel!$D$59,VLOOKUP("Referenz",$B$7:$AE$25,M$4-$F$4+5,FALSE),VLOOKUP($B$6,$B$7:$AE$25,M$4-$F$4+5,FALSE))</f>
        <v>521.90464399999996</v>
      </c>
      <c r="N6" s="14">
        <f>IF(N$4&lt;ControlPanel!$D$59,VLOOKUP("Referenz",$B$7:$AE$25,N$4-$F$4+5,FALSE),VLOOKUP($B$6,$B$7:$AE$25,N$4-$F$4+5,FALSE))</f>
        <v>524.64</v>
      </c>
      <c r="O6" s="14">
        <f>IF(O$4&lt;ControlPanel!$D$59,VLOOKUP("Referenz",$B$7:$AE$25,O$4-$F$4+5,FALSE),VLOOKUP($B$6,$B$7:$AE$25,O$4-$F$4+5,FALSE))</f>
        <v>536.23646499999995</v>
      </c>
      <c r="P6" s="14">
        <f>IF(P$4&lt;ControlPanel!$D$59,VLOOKUP("Referenz",$B$7:$AE$25,P$4-$F$4+5,FALSE),VLOOKUP($B$6,$B$7:$AE$25,P$4-$F$4+5,FALSE))</f>
        <v>538.51776999999993</v>
      </c>
      <c r="Q6" s="14">
        <f>IF(Q$4&lt;ControlPanel!$D$59,VLOOKUP("Referenz",$B$7:$AE$25,Q$4-$F$4+5,FALSE),VLOOKUP($B$6,$B$7:$AE$25,Q$4-$F$4+5,FALSE))</f>
        <v>518.52683000000002</v>
      </c>
      <c r="R6" s="14">
        <f>IF(R$4&lt;ControlPanel!$D$59,VLOOKUP("Referenz",$B$7:$AE$25,R$4-$F$4+5,FALSE),VLOOKUP($B$6,$B$7:$AE$25,R$4-$F$4+5,FALSE))</f>
        <v>518</v>
      </c>
      <c r="S6" s="14">
        <f>IF(S$4&lt;ControlPanel!$D$59,VLOOKUP("Referenz",$B$7:$AE$25,S$4-$F$4+5,FALSE),VLOOKUP($B$6,$B$7:$AE$25,S$4-$F$4+5,FALSE))</f>
        <v>515.70000000000005</v>
      </c>
      <c r="T6" s="14">
        <f>IF(T$4&lt;ControlPanel!$D$59,VLOOKUP("Referenz",$B$7:$AE$25,T$4-$F$4+5,FALSE),VLOOKUP($B$6,$B$7:$AE$25,T$4-$F$4+5,FALSE))</f>
        <v>515.20000000000005</v>
      </c>
      <c r="U6" s="14">
        <f>IF(U$4&lt;ControlPanel!$D$59,VLOOKUP("Referenz",$B$7:$AE$25,U$4-$F$4+5,FALSE),VLOOKUP($B$6,$B$7:$AE$25,U$4-$F$4+5,FALSE))</f>
        <v>512.6</v>
      </c>
      <c r="V6" s="14">
        <f>IF(V$4&lt;ControlPanel!$D$59,VLOOKUP("Referenz",$B$7:$AE$25,V$4-$F$4+5,FALSE),VLOOKUP($B$6,$B$7:$AE$25,V$4-$F$4+5,FALSE))</f>
        <v>512.20000000000005</v>
      </c>
      <c r="W6" s="14">
        <f>IF(W$4&lt;ControlPanel!$D$59,VLOOKUP("Referenz",$B$7:$AE$25,W$4-$F$4+5,FALSE),VLOOKUP($B$6,$B$7:$AE$25,W$4-$F$4+5,FALSE))</f>
        <v>534.15000000000009</v>
      </c>
      <c r="X6" s="14">
        <f>IF(X$4&lt;ControlPanel!$D$59,VLOOKUP("Referenz",$B$7:$AE$25,X$4-$F$4+5,FALSE),VLOOKUP($B$6,$B$7:$AE$25,X$4-$F$4+5,FALSE))</f>
        <v>556.1</v>
      </c>
      <c r="Y6" s="14">
        <f>IF(Y$4&lt;ControlPanel!$D$59,VLOOKUP("Referenz",$B$7:$AE$25,Y$4-$F$4+5,FALSE),VLOOKUP($B$6,$B$7:$AE$25,Y$4-$F$4+5,FALSE))</f>
        <v>578.04999999999995</v>
      </c>
      <c r="Z6" s="14">
        <f>IF(Z$4&lt;ControlPanel!$D$59,VLOOKUP("Referenz",$B$7:$AE$25,Z$4-$F$4+5,FALSE),VLOOKUP($B$6,$B$7:$AE$25,Z$4-$F$4+5,FALSE))</f>
        <v>600</v>
      </c>
      <c r="AA6" s="14">
        <f>IF(AA$4&lt;ControlPanel!$D$59,VLOOKUP("Referenz",$B$7:$AE$25,AA$4-$F$4+5,FALSE),VLOOKUP($B$6,$B$7:$AE$25,AA$4-$F$4+5,FALSE))</f>
        <v>621.95000000000005</v>
      </c>
      <c r="AB6" s="14">
        <f>IF(AB$4&lt;ControlPanel!$D$59,VLOOKUP("Referenz",$B$7:$AE$25,AB$4-$F$4+5,FALSE),VLOOKUP($B$6,$B$7:$AE$25,AB$4-$F$4+5,FALSE))</f>
        <v>643.90000000000009</v>
      </c>
      <c r="AC6" s="14">
        <f>IF(AC$4&lt;ControlPanel!$D$59,VLOOKUP("Referenz",$B$7:$AE$25,AC$4-$F$4+5,FALSE),VLOOKUP($B$6,$B$7:$AE$25,AC$4-$F$4+5,FALSE))</f>
        <v>665.85000000000014</v>
      </c>
      <c r="AD6" s="14">
        <f>IF(AD$4&lt;ControlPanel!$D$59,VLOOKUP("Referenz",$B$7:$AE$25,AD$4-$F$4+5,FALSE),VLOOKUP($B$6,$B$7:$AE$25,AD$4-$F$4+5,FALSE))</f>
        <v>687.80000000000018</v>
      </c>
      <c r="AE6" s="14">
        <f>IF(AE$4&lt;ControlPanel!$D$59,VLOOKUP("Referenz",$B$7:$AE$25,AE$4-$F$4+5,FALSE),VLOOKUP($B$6,$B$7:$AE$25,AE$4-$F$4+5,FALSE))</f>
        <v>709.75000000000023</v>
      </c>
    </row>
    <row r="7" spans="1:31" ht="25.5">
      <c r="B7" s="329" t="s">
        <v>138</v>
      </c>
      <c r="C7" s="12" t="s">
        <v>845</v>
      </c>
      <c r="D7" s="1097" t="s">
        <v>1046</v>
      </c>
      <c r="E7" s="1097" t="s">
        <v>1046</v>
      </c>
      <c r="F7" s="328">
        <v>535.4</v>
      </c>
      <c r="G7" s="328">
        <v>536.79999999999995</v>
      </c>
      <c r="H7" s="328">
        <v>540.29999999999995</v>
      </c>
      <c r="I7" s="328">
        <v>537.10000000000014</v>
      </c>
      <c r="J7" s="53">
        <v>529.87864653548297</v>
      </c>
      <c r="K7" s="328">
        <v>520.6</v>
      </c>
      <c r="L7" s="328">
        <v>511.6</v>
      </c>
      <c r="M7" s="328">
        <v>521.90464399999996</v>
      </c>
      <c r="N7" s="328">
        <v>524.64</v>
      </c>
      <c r="O7" s="328">
        <v>536.23646499999995</v>
      </c>
      <c r="P7" s="328">
        <v>538.51776999999993</v>
      </c>
      <c r="Q7" s="1276">
        <v>518.52683000000002</v>
      </c>
      <c r="R7" s="328">
        <v>518</v>
      </c>
      <c r="S7" s="328">
        <v>515.70000000000005</v>
      </c>
      <c r="T7" s="328">
        <v>515.20000000000005</v>
      </c>
      <c r="U7" s="328">
        <v>512.6</v>
      </c>
      <c r="V7" s="328">
        <v>512.20000000000005</v>
      </c>
      <c r="W7" s="328">
        <f t="shared" ref="W7:Y7" si="0">($Z$7-V7)/($Z$4-V4)+V7</f>
        <v>534.15000000000009</v>
      </c>
      <c r="X7" s="328">
        <f t="shared" si="0"/>
        <v>556.1</v>
      </c>
      <c r="Y7" s="328">
        <f t="shared" si="0"/>
        <v>578.04999999999995</v>
      </c>
      <c r="Z7" s="328">
        <v>600</v>
      </c>
      <c r="AA7" s="328">
        <f>Z7+Z7-Y7</f>
        <v>621.95000000000005</v>
      </c>
      <c r="AB7" s="328">
        <f t="shared" ref="AB7:AE7" si="1">AA7+AA7-Z7</f>
        <v>643.90000000000009</v>
      </c>
      <c r="AC7" s="328">
        <f t="shared" si="1"/>
        <v>665.85000000000014</v>
      </c>
      <c r="AD7" s="328">
        <f t="shared" si="1"/>
        <v>687.80000000000018</v>
      </c>
      <c r="AE7" s="328">
        <f t="shared" si="1"/>
        <v>709.75000000000023</v>
      </c>
    </row>
    <row r="8" spans="1:31" ht="25.5">
      <c r="B8" s="16" t="s">
        <v>97</v>
      </c>
      <c r="C8" s="12" t="s">
        <v>65</v>
      </c>
      <c r="D8" s="546" t="s">
        <v>824</v>
      </c>
      <c r="E8" s="546"/>
      <c r="F8" s="328"/>
      <c r="G8" s="328"/>
      <c r="H8" s="328"/>
      <c r="I8" s="328"/>
      <c r="J8" s="328"/>
      <c r="K8" s="328"/>
      <c r="L8" s="328"/>
      <c r="M8" s="328"/>
      <c r="N8" s="328"/>
      <c r="O8" s="328"/>
      <c r="P8" s="328"/>
      <c r="Q8" s="328"/>
      <c r="R8" s="328">
        <f>Q7*0.99</f>
        <v>513.34156170000006</v>
      </c>
      <c r="S8" s="328">
        <f t="shared" ref="S8:AD8" si="2">R8*0.99</f>
        <v>508.20814608300003</v>
      </c>
      <c r="T8" s="328">
        <f t="shared" si="2"/>
        <v>503.12606462217002</v>
      </c>
      <c r="U8" s="328">
        <f t="shared" si="2"/>
        <v>498.09480397594831</v>
      </c>
      <c r="V8" s="328">
        <f t="shared" si="2"/>
        <v>493.11385593618883</v>
      </c>
      <c r="W8" s="328">
        <f t="shared" si="2"/>
        <v>488.18271737682693</v>
      </c>
      <c r="X8" s="328">
        <f t="shared" si="2"/>
        <v>483.30089020305866</v>
      </c>
      <c r="Y8" s="328">
        <f t="shared" si="2"/>
        <v>478.46788130102806</v>
      </c>
      <c r="Z8" s="328">
        <f t="shared" si="2"/>
        <v>473.6832024880178</v>
      </c>
      <c r="AA8" s="328">
        <f t="shared" si="2"/>
        <v>468.94637046313761</v>
      </c>
      <c r="AB8" s="328">
        <f t="shared" si="2"/>
        <v>464.2569067585062</v>
      </c>
      <c r="AC8" s="328">
        <f t="shared" si="2"/>
        <v>459.61433769092116</v>
      </c>
      <c r="AD8" s="328">
        <f t="shared" si="2"/>
        <v>455.01819431401196</v>
      </c>
      <c r="AE8" s="328">
        <f>AD8*0.99</f>
        <v>450.46801237087186</v>
      </c>
    </row>
    <row r="9" spans="1:31" ht="25.5">
      <c r="B9" s="329" t="s">
        <v>98</v>
      </c>
      <c r="C9" s="12" t="s">
        <v>65</v>
      </c>
      <c r="D9" s="546" t="s">
        <v>825</v>
      </c>
      <c r="E9" s="546"/>
      <c r="F9" s="328"/>
      <c r="G9" s="328"/>
      <c r="H9" s="328"/>
      <c r="I9" s="328"/>
      <c r="J9" s="328"/>
      <c r="K9" s="328"/>
      <c r="L9" s="328"/>
      <c r="M9" s="328"/>
      <c r="N9" s="328"/>
      <c r="O9" s="328"/>
      <c r="P9" s="328"/>
      <c r="Q9" s="328"/>
      <c r="R9" s="328">
        <f>Q7*0.995</f>
        <v>515.93419585000004</v>
      </c>
      <c r="S9" s="328">
        <f t="shared" ref="S9:AE9" si="3">R9*0.995</f>
        <v>513.35452487075008</v>
      </c>
      <c r="T9" s="328">
        <f t="shared" si="3"/>
        <v>510.78775224639634</v>
      </c>
      <c r="U9" s="328">
        <f t="shared" si="3"/>
        <v>508.23381348516438</v>
      </c>
      <c r="V9" s="328">
        <f t="shared" si="3"/>
        <v>505.69264441773856</v>
      </c>
      <c r="W9" s="328">
        <f t="shared" si="3"/>
        <v>503.16418119564986</v>
      </c>
      <c r="X9" s="328">
        <f t="shared" si="3"/>
        <v>500.64836028967159</v>
      </c>
      <c r="Y9" s="328">
        <f t="shared" si="3"/>
        <v>498.1451184882232</v>
      </c>
      <c r="Z9" s="328">
        <f t="shared" si="3"/>
        <v>495.65439289578211</v>
      </c>
      <c r="AA9" s="328">
        <f t="shared" si="3"/>
        <v>493.17612093130322</v>
      </c>
      <c r="AB9" s="328">
        <f t="shared" si="3"/>
        <v>490.71024032664673</v>
      </c>
      <c r="AC9" s="328">
        <f t="shared" si="3"/>
        <v>488.25668912501351</v>
      </c>
      <c r="AD9" s="328">
        <f t="shared" si="3"/>
        <v>485.81540567938845</v>
      </c>
      <c r="AE9" s="328">
        <f t="shared" si="3"/>
        <v>483.38632865099152</v>
      </c>
    </row>
    <row r="10" spans="1:31" ht="25.5">
      <c r="B10" s="329" t="s">
        <v>96</v>
      </c>
      <c r="C10" s="12" t="s">
        <v>65</v>
      </c>
      <c r="D10" s="546" t="s">
        <v>823</v>
      </c>
      <c r="E10" s="546"/>
      <c r="F10" s="328"/>
      <c r="G10" s="328"/>
      <c r="H10" s="328"/>
      <c r="I10" s="328"/>
      <c r="J10" s="328"/>
      <c r="K10" s="328"/>
      <c r="L10" s="328"/>
      <c r="M10" s="328"/>
      <c r="N10" s="328"/>
      <c r="O10" s="328"/>
      <c r="P10" s="328"/>
      <c r="Q10" s="328"/>
      <c r="R10" s="328">
        <f>Q7</f>
        <v>518.52683000000002</v>
      </c>
      <c r="S10" s="328">
        <f>R10</f>
        <v>518.52683000000002</v>
      </c>
      <c r="T10" s="328">
        <f t="shared" ref="T10:AE10" si="4">S10</f>
        <v>518.52683000000002</v>
      </c>
      <c r="U10" s="328">
        <f t="shared" si="4"/>
        <v>518.52683000000002</v>
      </c>
      <c r="V10" s="328">
        <f t="shared" si="4"/>
        <v>518.52683000000002</v>
      </c>
      <c r="W10" s="328">
        <f t="shared" si="4"/>
        <v>518.52683000000002</v>
      </c>
      <c r="X10" s="328">
        <f t="shared" si="4"/>
        <v>518.52683000000002</v>
      </c>
      <c r="Y10" s="328">
        <f t="shared" si="4"/>
        <v>518.52683000000002</v>
      </c>
      <c r="Z10" s="328">
        <f t="shared" si="4"/>
        <v>518.52683000000002</v>
      </c>
      <c r="AA10" s="328">
        <f t="shared" si="4"/>
        <v>518.52683000000002</v>
      </c>
      <c r="AB10" s="328">
        <f t="shared" si="4"/>
        <v>518.52683000000002</v>
      </c>
      <c r="AC10" s="328">
        <f t="shared" si="4"/>
        <v>518.52683000000002</v>
      </c>
      <c r="AD10" s="328">
        <f t="shared" si="4"/>
        <v>518.52683000000002</v>
      </c>
      <c r="AE10" s="328">
        <f t="shared" si="4"/>
        <v>518.52683000000002</v>
      </c>
    </row>
    <row r="11" spans="1:31" s="470" customFormat="1" ht="25.5">
      <c r="A11" s="9"/>
      <c r="B11" s="16" t="s">
        <v>99</v>
      </c>
      <c r="C11" s="12" t="s">
        <v>65</v>
      </c>
      <c r="D11" s="546" t="s">
        <v>826</v>
      </c>
      <c r="E11" s="546"/>
      <c r="F11" s="328"/>
      <c r="G11" s="328"/>
      <c r="H11" s="328"/>
      <c r="I11" s="328"/>
      <c r="J11" s="328"/>
      <c r="K11" s="328"/>
      <c r="L11" s="328"/>
      <c r="M11" s="328"/>
      <c r="N11" s="328"/>
      <c r="O11" s="328"/>
      <c r="P11" s="328"/>
      <c r="Q11" s="328"/>
      <c r="R11" s="328">
        <f>Q7*1.005</f>
        <v>521.11946415</v>
      </c>
      <c r="S11" s="328">
        <f t="shared" ref="S11:AE11" si="5">R11*1.005</f>
        <v>523.72506147074989</v>
      </c>
      <c r="T11" s="328">
        <f t="shared" si="5"/>
        <v>526.34368677810357</v>
      </c>
      <c r="U11" s="328">
        <f t="shared" si="5"/>
        <v>528.97540521199403</v>
      </c>
      <c r="V11" s="328">
        <f t="shared" si="5"/>
        <v>531.62028223805396</v>
      </c>
      <c r="W11" s="328">
        <f t="shared" si="5"/>
        <v>534.27838364924412</v>
      </c>
      <c r="X11" s="328">
        <f t="shared" si="5"/>
        <v>536.94977556749029</v>
      </c>
      <c r="Y11" s="328">
        <f t="shared" si="5"/>
        <v>539.63452444532766</v>
      </c>
      <c r="Z11" s="328">
        <f t="shared" si="5"/>
        <v>542.33269706755425</v>
      </c>
      <c r="AA11" s="328">
        <f t="shared" si="5"/>
        <v>545.04436055289193</v>
      </c>
      <c r="AB11" s="328">
        <f t="shared" si="5"/>
        <v>547.76958235565633</v>
      </c>
      <c r="AC11" s="328">
        <f t="shared" si="5"/>
        <v>550.50843026743451</v>
      </c>
      <c r="AD11" s="328">
        <f t="shared" si="5"/>
        <v>553.26097241877164</v>
      </c>
      <c r="AE11" s="328">
        <f t="shared" si="5"/>
        <v>556.02727728086541</v>
      </c>
    </row>
    <row r="12" spans="1:31" s="470" customFormat="1" ht="25.5">
      <c r="A12" s="9"/>
      <c r="B12" s="16" t="s">
        <v>100</v>
      </c>
      <c r="C12" s="12" t="s">
        <v>65</v>
      </c>
      <c r="D12" s="546" t="s">
        <v>827</v>
      </c>
      <c r="E12" s="546"/>
      <c r="F12" s="328"/>
      <c r="G12" s="328"/>
      <c r="H12" s="328"/>
      <c r="I12" s="328"/>
      <c r="J12" s="328"/>
      <c r="K12" s="328"/>
      <c r="L12" s="328"/>
      <c r="M12" s="328"/>
      <c r="N12" s="328"/>
      <c r="O12" s="328"/>
      <c r="P12" s="328"/>
      <c r="Q12" s="328"/>
      <c r="R12" s="328">
        <f>Q7*1.01</f>
        <v>523.71209829999998</v>
      </c>
      <c r="S12" s="328">
        <f t="shared" ref="S12:AE12" si="6">R12*1.01</f>
        <v>528.94921928299993</v>
      </c>
      <c r="T12" s="328">
        <f t="shared" si="6"/>
        <v>534.23871147582997</v>
      </c>
      <c r="U12" s="328">
        <f t="shared" si="6"/>
        <v>539.58109859058823</v>
      </c>
      <c r="V12" s="328">
        <f t="shared" si="6"/>
        <v>544.97690957649411</v>
      </c>
      <c r="W12" s="328">
        <f t="shared" si="6"/>
        <v>550.42667867225907</v>
      </c>
      <c r="X12" s="328">
        <f t="shared" si="6"/>
        <v>555.93094545898168</v>
      </c>
      <c r="Y12" s="328">
        <f t="shared" si="6"/>
        <v>561.49025491357145</v>
      </c>
      <c r="Z12" s="328">
        <f t="shared" si="6"/>
        <v>567.10515746270721</v>
      </c>
      <c r="AA12" s="328">
        <f t="shared" si="6"/>
        <v>572.7762090373343</v>
      </c>
      <c r="AB12" s="328">
        <f t="shared" si="6"/>
        <v>578.5039711277077</v>
      </c>
      <c r="AC12" s="328">
        <f t="shared" si="6"/>
        <v>584.28901083898484</v>
      </c>
      <c r="AD12" s="328">
        <f t="shared" si="6"/>
        <v>590.13190094737467</v>
      </c>
      <c r="AE12" s="328">
        <f t="shared" si="6"/>
        <v>596.03321995684837</v>
      </c>
    </row>
    <row r="13" spans="1:31" s="470" customFormat="1" ht="25.5">
      <c r="A13" s="9"/>
      <c r="B13" s="16" t="s">
        <v>700</v>
      </c>
      <c r="C13" s="329" t="s">
        <v>845</v>
      </c>
      <c r="D13" s="546" t="s">
        <v>700</v>
      </c>
      <c r="E13" s="546" t="s">
        <v>879</v>
      </c>
      <c r="F13" s="328"/>
      <c r="G13" s="328"/>
      <c r="H13" s="328"/>
      <c r="I13" s="328"/>
      <c r="J13" s="328"/>
      <c r="K13" s="328"/>
      <c r="L13" s="328"/>
      <c r="M13" s="328"/>
      <c r="N13" s="328"/>
      <c r="O13" s="328"/>
      <c r="P13" s="328"/>
      <c r="Q13" s="328"/>
      <c r="R13" s="328">
        <v>532.08000000000004</v>
      </c>
      <c r="S13" s="328">
        <v>530.58000000000004</v>
      </c>
      <c r="T13" s="328">
        <v>529.65</v>
      </c>
      <c r="U13" s="328">
        <v>529.54999999999995</v>
      </c>
      <c r="V13" s="328">
        <f t="shared" ref="V13:AE13" si="7">U13</f>
        <v>529.54999999999995</v>
      </c>
      <c r="W13" s="328">
        <f t="shared" si="7"/>
        <v>529.54999999999995</v>
      </c>
      <c r="X13" s="328">
        <f t="shared" si="7"/>
        <v>529.54999999999995</v>
      </c>
      <c r="Y13" s="328">
        <f t="shared" si="7"/>
        <v>529.54999999999995</v>
      </c>
      <c r="Z13" s="328">
        <f t="shared" si="7"/>
        <v>529.54999999999995</v>
      </c>
      <c r="AA13" s="328">
        <f t="shared" si="7"/>
        <v>529.54999999999995</v>
      </c>
      <c r="AB13" s="328">
        <f t="shared" si="7"/>
        <v>529.54999999999995</v>
      </c>
      <c r="AC13" s="328">
        <f t="shared" si="7"/>
        <v>529.54999999999995</v>
      </c>
      <c r="AD13" s="328">
        <f t="shared" si="7"/>
        <v>529.54999999999995</v>
      </c>
      <c r="AE13" s="328">
        <f t="shared" si="7"/>
        <v>529.54999999999995</v>
      </c>
    </row>
    <row r="14" spans="1:31" s="470" customFormat="1" ht="25.5">
      <c r="A14" s="9"/>
      <c r="B14" s="16" t="s">
        <v>701</v>
      </c>
      <c r="C14" s="329" t="s">
        <v>845</v>
      </c>
      <c r="D14" s="546" t="s">
        <v>701</v>
      </c>
      <c r="E14" s="546" t="s">
        <v>880</v>
      </c>
      <c r="F14" s="328"/>
      <c r="G14" s="328"/>
      <c r="H14" s="328"/>
      <c r="I14" s="328"/>
      <c r="J14" s="328"/>
      <c r="K14" s="328"/>
      <c r="L14" s="328"/>
      <c r="M14" s="328"/>
      <c r="N14" s="328"/>
      <c r="O14" s="328"/>
      <c r="P14" s="328"/>
      <c r="Q14" s="328"/>
      <c r="R14" s="328">
        <v>500.08</v>
      </c>
      <c r="S14" s="328">
        <v>496.35</v>
      </c>
      <c r="T14" s="328">
        <v>492.11</v>
      </c>
      <c r="U14" s="328">
        <v>488.51</v>
      </c>
      <c r="V14" s="328">
        <f t="shared" ref="V14:AE14" si="8">U14</f>
        <v>488.51</v>
      </c>
      <c r="W14" s="328">
        <f t="shared" si="8"/>
        <v>488.51</v>
      </c>
      <c r="X14" s="328">
        <f t="shared" si="8"/>
        <v>488.51</v>
      </c>
      <c r="Y14" s="328">
        <f t="shared" si="8"/>
        <v>488.51</v>
      </c>
      <c r="Z14" s="328">
        <f t="shared" si="8"/>
        <v>488.51</v>
      </c>
      <c r="AA14" s="328">
        <f t="shared" si="8"/>
        <v>488.51</v>
      </c>
      <c r="AB14" s="328">
        <f t="shared" si="8"/>
        <v>488.51</v>
      </c>
      <c r="AC14" s="328">
        <f t="shared" si="8"/>
        <v>488.51</v>
      </c>
      <c r="AD14" s="328">
        <f t="shared" si="8"/>
        <v>488.51</v>
      </c>
      <c r="AE14" s="328">
        <f t="shared" si="8"/>
        <v>488.51</v>
      </c>
    </row>
    <row r="15" spans="1:31" s="470" customFormat="1">
      <c r="B15" s="168" t="s">
        <v>959</v>
      </c>
      <c r="C15" s="186" t="s">
        <v>257</v>
      </c>
      <c r="D15" s="169" t="s">
        <v>962</v>
      </c>
      <c r="E15" s="545"/>
      <c r="F15" s="187"/>
      <c r="G15" s="187"/>
      <c r="H15" s="187"/>
      <c r="I15" s="187"/>
      <c r="J15" s="187"/>
      <c r="K15" s="187"/>
      <c r="L15" s="187"/>
      <c r="M15" s="187"/>
      <c r="N15" s="187"/>
      <c r="O15" s="187"/>
      <c r="P15" s="187"/>
      <c r="Q15" s="187"/>
      <c r="R15" s="187">
        <v>535.59066200000007</v>
      </c>
      <c r="S15" s="187">
        <v>534.12710800000013</v>
      </c>
      <c r="T15" s="187">
        <v>532.6635540000002</v>
      </c>
      <c r="U15" s="187">
        <v>531.20000000000005</v>
      </c>
      <c r="V15" s="187">
        <f t="shared" ref="V15" si="9">U15+($Z$15-$U$15)/5</f>
        <v>545.84</v>
      </c>
      <c r="W15" s="187">
        <f>V15+($Z$15-$U$15)/5</f>
        <v>560.48</v>
      </c>
      <c r="X15" s="187">
        <f t="shared" ref="X15:Y15" si="10">W15+($Z$15-$U$15)/5</f>
        <v>575.12</v>
      </c>
      <c r="Y15" s="187">
        <f t="shared" si="10"/>
        <v>589.76</v>
      </c>
      <c r="Z15" s="187">
        <v>604.4</v>
      </c>
      <c r="AA15" s="187">
        <v>623.14792115538728</v>
      </c>
      <c r="AB15" s="187">
        <v>646.63914734610694</v>
      </c>
      <c r="AC15" s="187">
        <v>668.94668514385751</v>
      </c>
      <c r="AD15" s="187">
        <v>690.84279062790483</v>
      </c>
      <c r="AE15" s="187">
        <v>719.78285251580098</v>
      </c>
    </row>
    <row r="16" spans="1:31" s="470" customFormat="1">
      <c r="B16" s="1206"/>
      <c r="C16" s="186"/>
      <c r="D16" s="545"/>
      <c r="E16" s="545"/>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c r="B17" s="168" t="s">
        <v>908</v>
      </c>
      <c r="C17" s="186" t="s">
        <v>845</v>
      </c>
      <c r="D17" s="545" t="s">
        <v>908</v>
      </c>
      <c r="E17" s="545" t="s">
        <v>934</v>
      </c>
      <c r="F17" s="187"/>
      <c r="G17" s="187"/>
      <c r="H17" s="187"/>
      <c r="I17" s="187"/>
      <c r="J17" s="187"/>
      <c r="K17" s="187"/>
      <c r="L17" s="187"/>
      <c r="M17" s="187"/>
      <c r="N17" s="187"/>
      <c r="O17" s="187"/>
      <c r="P17" s="187"/>
      <c r="Q17" s="328"/>
      <c r="R17" s="328">
        <v>550</v>
      </c>
      <c r="S17" s="328">
        <v>550</v>
      </c>
      <c r="T17" s="328">
        <v>550</v>
      </c>
      <c r="U17" s="328">
        <v>550</v>
      </c>
      <c r="V17" s="328">
        <v>550</v>
      </c>
      <c r="W17" s="328">
        <v>550</v>
      </c>
      <c r="X17" s="328">
        <v>550</v>
      </c>
      <c r="Y17" s="328">
        <v>550</v>
      </c>
      <c r="Z17" s="328">
        <v>550</v>
      </c>
      <c r="AA17" s="328">
        <v>550</v>
      </c>
      <c r="AB17" s="328">
        <v>550</v>
      </c>
      <c r="AC17" s="328">
        <v>550</v>
      </c>
      <c r="AD17" s="328">
        <v>550</v>
      </c>
      <c r="AE17" s="328">
        <v>550</v>
      </c>
    </row>
    <row r="18" spans="2:31" s="470" customFormat="1">
      <c r="B18" s="168"/>
      <c r="C18" s="186"/>
      <c r="D18" s="545"/>
      <c r="E18" s="545"/>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c r="B19" s="168"/>
      <c r="C19" s="186"/>
      <c r="D19" s="545"/>
      <c r="E19" s="545"/>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c r="B20" s="168"/>
      <c r="C20" s="186"/>
      <c r="D20" s="545"/>
      <c r="E20" s="545"/>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c r="B21" s="168"/>
      <c r="C21" s="168"/>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c r="B22" s="168"/>
      <c r="C22" s="168"/>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68"/>
      <c r="C23" s="168"/>
      <c r="D23" s="545"/>
      <c r="E23" s="54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68"/>
      <c r="C24" s="186"/>
      <c r="D24" s="545"/>
      <c r="E24" s="54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94"/>
      <c r="C25" s="188"/>
      <c r="D25" s="1027"/>
      <c r="E25" s="1027"/>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c r="L30" s="519"/>
      <c r="M30" s="519"/>
      <c r="N30" s="519"/>
      <c r="O30" s="519"/>
      <c r="P30" s="519"/>
      <c r="Q30" s="519"/>
      <c r="R30" s="519"/>
      <c r="S30" s="519"/>
      <c r="T30" s="519"/>
      <c r="U30" s="519"/>
      <c r="V30" s="519"/>
      <c r="W30" s="519"/>
      <c r="X30" s="519"/>
      <c r="Y30" s="519"/>
      <c r="Z30" s="519"/>
      <c r="AA30" s="519"/>
      <c r="AB30" s="519"/>
      <c r="AC30" s="519"/>
      <c r="AD30" s="519"/>
      <c r="AE30" s="519"/>
    </row>
    <row r="31" spans="2:31" ht="15" customHeight="1"/>
    <row r="32" spans="2:31" ht="15" customHeight="1"/>
    <row r="33" spans="11:31" ht="15" customHeight="1"/>
    <row r="34" spans="11:31" ht="15" customHeight="1"/>
    <row r="35" spans="11:31" ht="15" customHeight="1"/>
    <row r="36" spans="11:31" ht="15" customHeight="1"/>
    <row r="37" spans="11:31" ht="15" customHeight="1"/>
    <row r="38" spans="11:31" ht="15" customHeight="1"/>
    <row r="39" spans="11:31" ht="15" customHeight="1"/>
    <row r="40" spans="11:31" ht="15" customHeight="1"/>
    <row r="41" spans="11:31" ht="15" customHeight="1"/>
    <row r="42" spans="11:31" ht="15" customHeight="1">
      <c r="K42" s="654"/>
      <c r="L42" s="654"/>
      <c r="M42" s="654"/>
      <c r="N42" s="654"/>
      <c r="O42" s="654"/>
      <c r="P42" s="654"/>
      <c r="Q42" s="654"/>
      <c r="R42" s="654"/>
      <c r="S42" s="654"/>
      <c r="T42" s="654"/>
      <c r="U42" s="654"/>
      <c r="V42" s="654"/>
      <c r="W42" s="654"/>
      <c r="X42" s="654"/>
      <c r="Y42" s="654"/>
      <c r="Z42" s="654"/>
      <c r="AA42" s="654"/>
      <c r="AB42" s="654"/>
      <c r="AC42" s="654"/>
      <c r="AD42" s="654"/>
      <c r="AE42" s="654"/>
    </row>
    <row r="43" spans="11:31" ht="15" customHeight="1"/>
    <row r="44" spans="11:31" ht="15" customHeight="1"/>
    <row r="45" spans="11:31" ht="15" customHeight="1"/>
    <row r="46" spans="11:31" ht="15" customHeight="1"/>
    <row r="47" spans="11:31" ht="15" customHeight="1"/>
    <row r="48" spans="11:3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GKs6ZN1j9gpmf+ym0rx7U5EYL+941cn34kX6TrMnO/T5LOcrqaaFGgs7vZcMsSFsWSGmkjRKn0PqfTNIV8ySmA==" saltValue="lXbo01KIFq19AFyLC1fsxg==" spinCount="100000" sheet="1" objects="1" scenarios="1"/>
  <hyperlinks>
    <hyperlink ref="A1" location="'Start-Experte'!A1" display="zurück" xr:uid="{00000000-0004-0000-17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11" operator="greaterThan" id="{00000000-0000-0000-0000-000000000000}">
            <xm:f>ControlPanel!$D$59-1</xm:f>
            <x14:dxf>
              <font>
                <color rgb="FF9C6500"/>
              </font>
              <fill>
                <patternFill>
                  <fgColor indexed="64"/>
                  <bgColor rgb="FFFFEB9C"/>
                </patternFill>
              </fill>
            </x14:dxf>
          </x14:cfRule>
          <x14:cfRule type="cellIs" priority="712"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8">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142</v>
      </c>
      <c r="C1" s="19"/>
      <c r="D1" s="19"/>
      <c r="E1" s="19"/>
    </row>
    <row r="3" spans="1:31" ht="15" customHeight="1">
      <c r="B3" s="66" t="s">
        <v>18</v>
      </c>
      <c r="C3" s="18" t="s">
        <v>17</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137</v>
      </c>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row>
    <row r="6" spans="1:31" ht="31.5" customHeight="1" thickBot="1">
      <c r="B6" s="176" t="str">
        <f>ControlPanel!E19</f>
        <v>Referenz</v>
      </c>
      <c r="C6" s="15" t="str">
        <f>VLOOKUP($B$6,$B$7:$AE$25,2,FALSE)</f>
        <v>fh</v>
      </c>
      <c r="D6" s="494" t="str">
        <f>VLOOKUP($B$6,$B$7:$AE$25,3,FALSE)</f>
        <v>MFP Referenz</v>
      </c>
      <c r="E6" s="494" t="str">
        <f>VLOOKUP($B$6,$B$7:$AE$25,4,FALSE)</f>
        <v>Bis 2026: MFP Trend. Danach konstant</v>
      </c>
      <c r="F6" s="14">
        <f>IF(F$4&lt;ControlPanel!$D$59,VLOOKUP("Referenz",$B$7:$AE$25,F$4-$F$4+5,FALSE),VLOOKUP($B$6,$B$7:$AE$25,F$4-$F$4+5,FALSE))</f>
        <v>67.885999999999996</v>
      </c>
      <c r="G6" s="14">
        <f>IF(G$4&lt;ControlPanel!$D$59,VLOOKUP("Referenz",$B$7:$AE$25,G$4-$F$4+5,FALSE),VLOOKUP($B$6,$B$7:$AE$25,G$4-$F$4+5,FALSE))</f>
        <v>74.729966079999997</v>
      </c>
      <c r="H6" s="14">
        <f>IF(H$4&lt;ControlPanel!$D$59,VLOOKUP("Referenz",$B$7:$AE$25,H$4-$F$4+5,FALSE),VLOOKUP($B$6,$B$7:$AE$25,H$4-$F$4+5,FALSE))</f>
        <v>84.727446</v>
      </c>
      <c r="I6" s="14">
        <f>IF(I$4&lt;ControlPanel!$D$59,VLOOKUP("Referenz",$B$7:$AE$25,I$4-$F$4+5,FALSE),VLOOKUP($B$6,$B$7:$AE$25,I$4-$F$4+5,FALSE))</f>
        <v>96.225492000000003</v>
      </c>
      <c r="J6" s="14">
        <f>IF(J$4&lt;ControlPanel!$D$59,VLOOKUP("Referenz",$B$7:$AE$25,J$4-$F$4+5,FALSE),VLOOKUP($B$6,$B$7:$AE$25,J$4-$F$4+5,FALSE))</f>
        <v>106.52299099999999</v>
      </c>
      <c r="K6" s="14">
        <f>IF(K$4&lt;ControlPanel!$D$59,VLOOKUP("Referenz",$B$7:$AE$25,K$4-$F$4+5,FALSE),VLOOKUP($B$6,$B$7:$AE$25,K$4-$F$4+5,FALSE))</f>
        <v>110.247</v>
      </c>
      <c r="L6" s="14">
        <f>IF(L$4&lt;ControlPanel!$D$59,VLOOKUP("Referenz",$B$7:$AE$25,L$4-$F$4+5,FALSE),VLOOKUP($B$6,$B$7:$AE$25,L$4-$F$4+5,FALSE))</f>
        <v>103.9</v>
      </c>
      <c r="M6" s="14">
        <f>IF(M$4&lt;ControlPanel!$D$59,VLOOKUP("Referenz",$B$7:$AE$25,M$4-$F$4+5,FALSE),VLOOKUP($B$6,$B$7:$AE$25,M$4-$F$4+5,FALSE))</f>
        <v>114.145597</v>
      </c>
      <c r="N6" s="14">
        <f>IF(N$4&lt;ControlPanel!$D$59,VLOOKUP("Referenz",$B$7:$AE$25,N$4-$F$4+5,FALSE),VLOOKUP($B$6,$B$7:$AE$25,N$4-$F$4+5,FALSE))</f>
        <v>114.690017</v>
      </c>
      <c r="O6" s="14">
        <f>IF(O$4&lt;ControlPanel!$D$59,VLOOKUP("Referenz",$B$7:$AE$25,O$4-$F$4+5,FALSE),VLOOKUP($B$6,$B$7:$AE$25,O$4-$F$4+5,FALSE))</f>
        <v>113.926688</v>
      </c>
      <c r="P6" s="14">
        <f>IF(P$4&lt;ControlPanel!$D$59,VLOOKUP("Referenz",$B$7:$AE$25,P$4-$F$4+5,FALSE),VLOOKUP($B$6,$B$7:$AE$25,P$4-$F$4+5,FALSE))</f>
        <v>116.17166499999999</v>
      </c>
      <c r="Q6" s="14">
        <f>IF(Q$4&lt;ControlPanel!$D$59,VLOOKUP("Referenz",$B$7:$AE$25,Q$4-$F$4+5,FALSE),VLOOKUP($B$6,$B$7:$AE$25,Q$4-$F$4+5,FALSE))</f>
        <v>112.73</v>
      </c>
      <c r="R6" s="14">
        <f>IF(R$4&lt;ControlPanel!$D$59,VLOOKUP("Referenz",$B$7:$AE$25,R$4-$F$4+5,FALSE),VLOOKUP($B$6,$B$7:$AE$25,R$4-$F$4+5,FALSE))</f>
        <v>118.62</v>
      </c>
      <c r="S6" s="14">
        <f>IF(S$4&lt;ControlPanel!$D$59,VLOOKUP("Referenz",$B$7:$AE$25,S$4-$F$4+5,FALSE),VLOOKUP($B$6,$B$7:$AE$25,S$4-$F$4+5,FALSE))</f>
        <v>116.59</v>
      </c>
      <c r="T6" s="14">
        <f>IF(T$4&lt;ControlPanel!$D$59,VLOOKUP("Referenz",$B$7:$AE$25,T$4-$F$4+5,FALSE),VLOOKUP($B$6,$B$7:$AE$25,T$4-$F$4+5,FALSE))</f>
        <v>119.55</v>
      </c>
      <c r="U6" s="14">
        <f>IF(U$4&lt;ControlPanel!$D$59,VLOOKUP("Referenz",$B$7:$AE$25,U$4-$F$4+5,FALSE),VLOOKUP($B$6,$B$7:$AE$25,U$4-$F$4+5,FALSE))</f>
        <v>119.81</v>
      </c>
      <c r="V6" s="14">
        <f>IF(V$4&lt;ControlPanel!$D$59,VLOOKUP("Referenz",$B$7:$AE$25,V$4-$F$4+5,FALSE),VLOOKUP($B$6,$B$7:$AE$25,V$4-$F$4+5,FALSE))</f>
        <v>121.07</v>
      </c>
      <c r="W6" s="14">
        <f>IF(W$4&lt;ControlPanel!$D$59,VLOOKUP("Referenz",$B$7:$AE$25,W$4-$F$4+5,FALSE),VLOOKUP($B$6,$B$7:$AE$25,W$4-$F$4+5,FALSE))</f>
        <v>121.07</v>
      </c>
      <c r="X6" s="14">
        <f>IF(X$4&lt;ControlPanel!$D$59,VLOOKUP("Referenz",$B$7:$AE$25,X$4-$F$4+5,FALSE),VLOOKUP($B$6,$B$7:$AE$25,X$4-$F$4+5,FALSE))</f>
        <v>121.07</v>
      </c>
      <c r="Y6" s="14">
        <f>IF(Y$4&lt;ControlPanel!$D$59,VLOOKUP("Referenz",$B$7:$AE$25,Y$4-$F$4+5,FALSE),VLOOKUP($B$6,$B$7:$AE$25,Y$4-$F$4+5,FALSE))</f>
        <v>121.07</v>
      </c>
      <c r="Z6" s="14">
        <f>IF(Z$4&lt;ControlPanel!$D$59,VLOOKUP("Referenz",$B$7:$AE$25,Z$4-$F$4+5,FALSE),VLOOKUP($B$6,$B$7:$AE$25,Z$4-$F$4+5,FALSE))</f>
        <v>121.07</v>
      </c>
      <c r="AA6" s="14">
        <f>IF(AA$4&lt;ControlPanel!$D$59,VLOOKUP("Referenz",$B$7:$AE$25,AA$4-$F$4+5,FALSE),VLOOKUP($B$6,$B$7:$AE$25,AA$4-$F$4+5,FALSE))</f>
        <v>121.07</v>
      </c>
      <c r="AB6" s="14">
        <f>IF(AB$4&lt;ControlPanel!$D$59,VLOOKUP("Referenz",$B$7:$AE$25,AB$4-$F$4+5,FALSE),VLOOKUP($B$6,$B$7:$AE$25,AB$4-$F$4+5,FALSE))</f>
        <v>121.07</v>
      </c>
      <c r="AC6" s="14">
        <f>IF(AC$4&lt;ControlPanel!$D$59,VLOOKUP("Referenz",$B$7:$AE$25,AC$4-$F$4+5,FALSE),VLOOKUP($B$6,$B$7:$AE$25,AC$4-$F$4+5,FALSE))</f>
        <v>121.07</v>
      </c>
      <c r="AD6" s="14">
        <f>IF(AD$4&lt;ControlPanel!$D$59,VLOOKUP("Referenz",$B$7:$AE$25,AD$4-$F$4+5,FALSE),VLOOKUP($B$6,$B$7:$AE$25,AD$4-$F$4+5,FALSE))</f>
        <v>121.07</v>
      </c>
      <c r="AE6" s="14">
        <f>IF(AE$4&lt;ControlPanel!$D$59,VLOOKUP("Referenz",$B$7:$AE$25,AE$4-$F$4+5,FALSE),VLOOKUP($B$6,$B$7:$AE$25,AE$4-$F$4+5,FALSE))</f>
        <v>121.07</v>
      </c>
    </row>
    <row r="7" spans="1:31">
      <c r="B7" s="16" t="s">
        <v>138</v>
      </c>
      <c r="C7" s="12" t="s">
        <v>845</v>
      </c>
      <c r="D7" s="496" t="s">
        <v>737</v>
      </c>
      <c r="E7" s="496" t="s">
        <v>1040</v>
      </c>
      <c r="F7" s="328">
        <v>67.885999999999996</v>
      </c>
      <c r="G7" s="328">
        <v>74.729966079999997</v>
      </c>
      <c r="H7" s="328">
        <v>84.727446</v>
      </c>
      <c r="I7" s="328">
        <v>96.225492000000003</v>
      </c>
      <c r="J7" s="53">
        <v>106.52299099999999</v>
      </c>
      <c r="K7" s="53">
        <v>110.247</v>
      </c>
      <c r="L7" s="53">
        <v>103.9</v>
      </c>
      <c r="M7" s="53">
        <v>114.145597</v>
      </c>
      <c r="N7" s="53">
        <v>114.690017</v>
      </c>
      <c r="O7" s="53">
        <v>113.926688</v>
      </c>
      <c r="P7" s="53">
        <v>116.17166499999999</v>
      </c>
      <c r="Q7" s="53">
        <v>112.73</v>
      </c>
      <c r="R7" s="53">
        <v>118.62</v>
      </c>
      <c r="S7" s="53">
        <v>116.59</v>
      </c>
      <c r="T7" s="53">
        <v>119.55</v>
      </c>
      <c r="U7" s="53">
        <v>119.81</v>
      </c>
      <c r="V7" s="53">
        <v>121.07</v>
      </c>
      <c r="W7" s="53">
        <f t="shared" ref="W7:AE7" si="0">V7</f>
        <v>121.07</v>
      </c>
      <c r="X7" s="53">
        <f t="shared" si="0"/>
        <v>121.07</v>
      </c>
      <c r="Y7" s="53">
        <f t="shared" si="0"/>
        <v>121.07</v>
      </c>
      <c r="Z7" s="53">
        <f t="shared" si="0"/>
        <v>121.07</v>
      </c>
      <c r="AA7" s="53">
        <f t="shared" si="0"/>
        <v>121.07</v>
      </c>
      <c r="AB7" s="53">
        <f t="shared" si="0"/>
        <v>121.07</v>
      </c>
      <c r="AC7" s="53">
        <f t="shared" si="0"/>
        <v>121.07</v>
      </c>
      <c r="AD7" s="53">
        <f t="shared" si="0"/>
        <v>121.07</v>
      </c>
      <c r="AE7" s="53">
        <f t="shared" si="0"/>
        <v>121.07</v>
      </c>
    </row>
    <row r="8" spans="1:31" ht="15" customHeight="1">
      <c r="B8" s="16" t="s">
        <v>279</v>
      </c>
      <c r="C8" s="12" t="s">
        <v>256</v>
      </c>
      <c r="D8" s="174" t="s">
        <v>268</v>
      </c>
      <c r="E8" s="542"/>
      <c r="F8" s="328"/>
      <c r="G8" s="328"/>
      <c r="H8" s="328"/>
      <c r="I8" s="328"/>
      <c r="J8" s="53"/>
      <c r="K8" s="53"/>
      <c r="L8" s="53"/>
      <c r="M8" s="53"/>
      <c r="N8" s="53"/>
      <c r="O8" s="53"/>
      <c r="P8" s="53"/>
      <c r="Q8" s="53"/>
      <c r="R8" s="53">
        <v>0</v>
      </c>
      <c r="S8" s="53">
        <v>0</v>
      </c>
      <c r="T8" s="53">
        <v>0</v>
      </c>
      <c r="U8" s="53">
        <v>0</v>
      </c>
      <c r="V8" s="53">
        <v>0</v>
      </c>
      <c r="W8" s="53">
        <v>0</v>
      </c>
      <c r="X8" s="53">
        <v>0</v>
      </c>
      <c r="Y8" s="53">
        <v>0</v>
      </c>
      <c r="Z8" s="53">
        <v>0</v>
      </c>
      <c r="AA8" s="53">
        <v>0</v>
      </c>
      <c r="AB8" s="53">
        <v>0</v>
      </c>
      <c r="AC8" s="53">
        <v>0</v>
      </c>
      <c r="AD8" s="53">
        <v>0</v>
      </c>
      <c r="AE8" s="53">
        <v>0</v>
      </c>
    </row>
    <row r="9" spans="1:31" ht="15" customHeight="1">
      <c r="B9" s="16" t="s">
        <v>98</v>
      </c>
      <c r="C9" s="12" t="s">
        <v>256</v>
      </c>
      <c r="D9" s="174" t="s">
        <v>582</v>
      </c>
      <c r="E9" s="542" t="s">
        <v>583</v>
      </c>
      <c r="F9" s="328"/>
      <c r="G9" s="328"/>
      <c r="H9" s="328"/>
      <c r="I9" s="328"/>
      <c r="J9" s="53"/>
      <c r="K9" s="53"/>
      <c r="L9" s="53"/>
      <c r="M9" s="53"/>
      <c r="N9" s="53"/>
      <c r="O9" s="53"/>
      <c r="P9" s="53"/>
      <c r="Q9" s="53"/>
      <c r="R9" s="53">
        <v>65</v>
      </c>
      <c r="S9" s="53">
        <v>65</v>
      </c>
      <c r="T9" s="53">
        <v>65</v>
      </c>
      <c r="U9" s="53">
        <v>65</v>
      </c>
      <c r="V9" s="53">
        <v>65</v>
      </c>
      <c r="W9" s="53">
        <v>65</v>
      </c>
      <c r="X9" s="53">
        <v>65</v>
      </c>
      <c r="Y9" s="53">
        <v>65</v>
      </c>
      <c r="Z9" s="53">
        <v>65</v>
      </c>
      <c r="AA9" s="53">
        <v>65</v>
      </c>
      <c r="AB9" s="53">
        <v>65</v>
      </c>
      <c r="AC9" s="53">
        <v>65</v>
      </c>
      <c r="AD9" s="53">
        <v>65</v>
      </c>
      <c r="AE9" s="53">
        <v>65</v>
      </c>
    </row>
    <row r="10" spans="1:31" ht="15" customHeight="1">
      <c r="B10" s="16" t="s">
        <v>96</v>
      </c>
      <c r="C10" s="12" t="s">
        <v>256</v>
      </c>
      <c r="D10" s="174" t="s">
        <v>395</v>
      </c>
      <c r="E10" s="542"/>
      <c r="F10" s="328"/>
      <c r="G10" s="328"/>
      <c r="H10" s="328"/>
      <c r="I10" s="328"/>
      <c r="J10" s="328"/>
      <c r="K10" s="53"/>
      <c r="L10" s="53"/>
      <c r="M10" s="53"/>
      <c r="N10" s="53"/>
      <c r="O10" s="53"/>
      <c r="P10" s="53"/>
      <c r="Q10" s="53"/>
      <c r="R10" s="53">
        <f t="shared" ref="R10:AE10" si="1">R7-20</f>
        <v>98.62</v>
      </c>
      <c r="S10" s="53">
        <f t="shared" si="1"/>
        <v>96.59</v>
      </c>
      <c r="T10" s="53">
        <f t="shared" si="1"/>
        <v>99.55</v>
      </c>
      <c r="U10" s="53">
        <f t="shared" si="1"/>
        <v>99.81</v>
      </c>
      <c r="V10" s="53">
        <f t="shared" si="1"/>
        <v>101.07</v>
      </c>
      <c r="W10" s="53">
        <f t="shared" si="1"/>
        <v>101.07</v>
      </c>
      <c r="X10" s="53">
        <f t="shared" si="1"/>
        <v>101.07</v>
      </c>
      <c r="Y10" s="53">
        <f t="shared" si="1"/>
        <v>101.07</v>
      </c>
      <c r="Z10" s="53">
        <f t="shared" si="1"/>
        <v>101.07</v>
      </c>
      <c r="AA10" s="53">
        <f t="shared" si="1"/>
        <v>101.07</v>
      </c>
      <c r="AB10" s="53">
        <f t="shared" si="1"/>
        <v>101.07</v>
      </c>
      <c r="AC10" s="53">
        <f t="shared" si="1"/>
        <v>101.07</v>
      </c>
      <c r="AD10" s="53">
        <f t="shared" si="1"/>
        <v>101.07</v>
      </c>
      <c r="AE10" s="53">
        <f t="shared" si="1"/>
        <v>101.07</v>
      </c>
    </row>
    <row r="11" spans="1:31">
      <c r="B11" s="16" t="s">
        <v>99</v>
      </c>
      <c r="C11" s="12" t="s">
        <v>256</v>
      </c>
      <c r="D11" s="498" t="s">
        <v>396</v>
      </c>
      <c r="E11" s="546"/>
      <c r="F11" s="328"/>
      <c r="G11" s="328"/>
      <c r="H11" s="328"/>
      <c r="I11" s="328"/>
      <c r="J11" s="328"/>
      <c r="K11" s="53"/>
      <c r="L11" s="53"/>
      <c r="M11" s="53"/>
      <c r="N11" s="53"/>
      <c r="O11" s="53"/>
      <c r="P11" s="53"/>
      <c r="Q11" s="53"/>
      <c r="R11" s="53">
        <f t="shared" ref="R11:AE11" si="2">R7</f>
        <v>118.62</v>
      </c>
      <c r="S11" s="53">
        <f t="shared" si="2"/>
        <v>116.59</v>
      </c>
      <c r="T11" s="53">
        <f t="shared" si="2"/>
        <v>119.55</v>
      </c>
      <c r="U11" s="53">
        <f t="shared" si="2"/>
        <v>119.81</v>
      </c>
      <c r="V11" s="53">
        <f t="shared" si="2"/>
        <v>121.07</v>
      </c>
      <c r="W11" s="53">
        <f t="shared" si="2"/>
        <v>121.07</v>
      </c>
      <c r="X11" s="53">
        <f t="shared" si="2"/>
        <v>121.07</v>
      </c>
      <c r="Y11" s="53">
        <f t="shared" si="2"/>
        <v>121.07</v>
      </c>
      <c r="Z11" s="53">
        <f t="shared" si="2"/>
        <v>121.07</v>
      </c>
      <c r="AA11" s="53">
        <f t="shared" si="2"/>
        <v>121.07</v>
      </c>
      <c r="AB11" s="53">
        <f t="shared" si="2"/>
        <v>121.07</v>
      </c>
      <c r="AC11" s="53">
        <f t="shared" si="2"/>
        <v>121.07</v>
      </c>
      <c r="AD11" s="53">
        <f t="shared" si="2"/>
        <v>121.07</v>
      </c>
      <c r="AE11" s="53">
        <f t="shared" si="2"/>
        <v>121.07</v>
      </c>
    </row>
    <row r="12" spans="1:31" ht="15" customHeight="1">
      <c r="B12" s="16" t="s">
        <v>100</v>
      </c>
      <c r="C12" s="12" t="s">
        <v>256</v>
      </c>
      <c r="D12" s="174" t="s">
        <v>397</v>
      </c>
      <c r="E12" s="542"/>
      <c r="F12" s="328"/>
      <c r="G12" s="328"/>
      <c r="H12" s="328"/>
      <c r="I12" s="328"/>
      <c r="J12" s="328"/>
      <c r="K12" s="53"/>
      <c r="L12" s="53"/>
      <c r="M12" s="53"/>
      <c r="N12" s="53"/>
      <c r="O12" s="53"/>
      <c r="P12" s="53"/>
      <c r="Q12" s="53"/>
      <c r="R12" s="53">
        <f t="shared" ref="R12:AE12" si="3">R7+20</f>
        <v>138.62</v>
      </c>
      <c r="S12" s="53">
        <f t="shared" si="3"/>
        <v>136.59</v>
      </c>
      <c r="T12" s="53">
        <f t="shared" si="3"/>
        <v>139.55000000000001</v>
      </c>
      <c r="U12" s="53">
        <f t="shared" si="3"/>
        <v>139.81</v>
      </c>
      <c r="V12" s="53">
        <f t="shared" si="3"/>
        <v>141.07</v>
      </c>
      <c r="W12" s="53">
        <f t="shared" si="3"/>
        <v>141.07</v>
      </c>
      <c r="X12" s="53">
        <f t="shared" si="3"/>
        <v>141.07</v>
      </c>
      <c r="Y12" s="53">
        <f t="shared" si="3"/>
        <v>141.07</v>
      </c>
      <c r="Z12" s="53">
        <f t="shared" si="3"/>
        <v>141.07</v>
      </c>
      <c r="AA12" s="53">
        <f t="shared" si="3"/>
        <v>141.07</v>
      </c>
      <c r="AB12" s="53">
        <f t="shared" si="3"/>
        <v>141.07</v>
      </c>
      <c r="AC12" s="53">
        <f t="shared" si="3"/>
        <v>141.07</v>
      </c>
      <c r="AD12" s="53">
        <f t="shared" si="3"/>
        <v>141.07</v>
      </c>
      <c r="AE12" s="53">
        <f t="shared" si="3"/>
        <v>141.07</v>
      </c>
    </row>
    <row r="13" spans="1:31" ht="15" customHeight="1">
      <c r="B13" s="16" t="s">
        <v>700</v>
      </c>
      <c r="C13" s="329" t="s">
        <v>845</v>
      </c>
      <c r="D13" s="16" t="s">
        <v>700</v>
      </c>
      <c r="E13" s="222" t="s">
        <v>881</v>
      </c>
      <c r="F13" s="328"/>
      <c r="G13" s="328"/>
      <c r="H13" s="328"/>
      <c r="I13" s="328"/>
      <c r="J13" s="328"/>
      <c r="K13" s="328"/>
      <c r="L13" s="328"/>
      <c r="M13" s="328"/>
      <c r="N13" s="328"/>
      <c r="O13" s="328"/>
      <c r="P13" s="328"/>
      <c r="Q13" s="328"/>
      <c r="R13" s="328">
        <v>121.01</v>
      </c>
      <c r="S13" s="328">
        <v>119.38</v>
      </c>
      <c r="T13" s="328">
        <v>122.86</v>
      </c>
      <c r="U13" s="328">
        <v>123.72</v>
      </c>
      <c r="V13" s="328">
        <v>125.78</v>
      </c>
      <c r="W13" s="328">
        <f t="shared" ref="W13:AE13" si="4">V13</f>
        <v>125.78</v>
      </c>
      <c r="X13" s="328">
        <f t="shared" si="4"/>
        <v>125.78</v>
      </c>
      <c r="Y13" s="328">
        <f t="shared" si="4"/>
        <v>125.78</v>
      </c>
      <c r="Z13" s="328">
        <f t="shared" si="4"/>
        <v>125.78</v>
      </c>
      <c r="AA13" s="328">
        <f t="shared" si="4"/>
        <v>125.78</v>
      </c>
      <c r="AB13" s="328">
        <f t="shared" si="4"/>
        <v>125.78</v>
      </c>
      <c r="AC13" s="328">
        <f t="shared" si="4"/>
        <v>125.78</v>
      </c>
      <c r="AD13" s="328">
        <f t="shared" si="4"/>
        <v>125.78</v>
      </c>
      <c r="AE13" s="328">
        <f t="shared" si="4"/>
        <v>125.78</v>
      </c>
    </row>
    <row r="14" spans="1:31">
      <c r="B14" s="16" t="s">
        <v>701</v>
      </c>
      <c r="C14" s="329" t="s">
        <v>845</v>
      </c>
      <c r="D14" s="16" t="s">
        <v>701</v>
      </c>
      <c r="E14" s="222" t="s">
        <v>882</v>
      </c>
      <c r="F14" s="328"/>
      <c r="G14" s="328"/>
      <c r="H14" s="328"/>
      <c r="I14" s="328"/>
      <c r="J14" s="328"/>
      <c r="K14" s="328"/>
      <c r="L14" s="328"/>
      <c r="M14" s="328"/>
      <c r="N14" s="328"/>
      <c r="O14" s="328"/>
      <c r="P14" s="328"/>
      <c r="Q14" s="328"/>
      <c r="R14" s="328">
        <v>114.81</v>
      </c>
      <c r="S14" s="328">
        <v>112.59</v>
      </c>
      <c r="T14" s="328">
        <v>115.14</v>
      </c>
      <c r="U14" s="328">
        <v>114.97</v>
      </c>
      <c r="V14" s="328">
        <v>115.65</v>
      </c>
      <c r="W14" s="328">
        <f t="shared" ref="W14:AE14" si="5">V14</f>
        <v>115.65</v>
      </c>
      <c r="X14" s="328">
        <f t="shared" si="5"/>
        <v>115.65</v>
      </c>
      <c r="Y14" s="328">
        <f t="shared" si="5"/>
        <v>115.65</v>
      </c>
      <c r="Z14" s="328">
        <f t="shared" si="5"/>
        <v>115.65</v>
      </c>
      <c r="AA14" s="328">
        <f t="shared" si="5"/>
        <v>115.65</v>
      </c>
      <c r="AB14" s="328">
        <f t="shared" si="5"/>
        <v>115.65</v>
      </c>
      <c r="AC14" s="328">
        <f t="shared" si="5"/>
        <v>115.65</v>
      </c>
      <c r="AD14" s="328">
        <f t="shared" si="5"/>
        <v>115.65</v>
      </c>
      <c r="AE14" s="328">
        <f t="shared" si="5"/>
        <v>115.65</v>
      </c>
    </row>
    <row r="15" spans="1:31">
      <c r="B15" s="183" t="s">
        <v>959</v>
      </c>
      <c r="C15" s="186" t="s">
        <v>257</v>
      </c>
      <c r="D15" s="169" t="s">
        <v>962</v>
      </c>
      <c r="E15" s="540"/>
      <c r="F15" s="187"/>
      <c r="G15" s="187"/>
      <c r="H15" s="187"/>
      <c r="I15" s="187"/>
      <c r="J15" s="187"/>
      <c r="K15" s="187"/>
      <c r="L15" s="187"/>
      <c r="M15" s="187"/>
      <c r="N15" s="187"/>
      <c r="O15" s="187"/>
      <c r="P15" s="187"/>
      <c r="Q15" s="187"/>
      <c r="R15" s="187">
        <v>115.24</v>
      </c>
      <c r="S15" s="187">
        <f>R15+($U$15-$R$15)/3</f>
        <v>114.7744569391254</v>
      </c>
      <c r="T15" s="187">
        <f>S15+($U$15-$R$15)/3</f>
        <v>114.30891387825081</v>
      </c>
      <c r="U15" s="187">
        <v>113.8433708173762</v>
      </c>
      <c r="V15" s="187">
        <f t="shared" ref="V15" si="6">U15+($Z$15-$U$15)/5</f>
        <v>120.08798438038727</v>
      </c>
      <c r="W15" s="187">
        <f>V15+($Z$15-$U$15)/5</f>
        <v>126.33259794339834</v>
      </c>
      <c r="X15" s="187">
        <f t="shared" ref="X15:Y15" si="7">W15+($Z$15-$U$15)/5</f>
        <v>132.57721150640941</v>
      </c>
      <c r="Y15" s="187">
        <f t="shared" si="7"/>
        <v>138.82182506942047</v>
      </c>
      <c r="Z15" s="187">
        <v>145.06643863243156</v>
      </c>
      <c r="AA15" s="187">
        <f t="shared" ref="AA15" si="8">Z15+($AE$15-$Z$15)/5</f>
        <v>150.75897816467355</v>
      </c>
      <c r="AB15" s="187">
        <f>AA15+($AE$15-$Z$15)/5</f>
        <v>156.45151769691554</v>
      </c>
      <c r="AC15" s="187">
        <f t="shared" ref="AC15:AD15" si="9">AB15+($AE$15-$Z$15)/5</f>
        <v>162.14405722915754</v>
      </c>
      <c r="AD15" s="187">
        <f t="shared" si="9"/>
        <v>167.83659676139953</v>
      </c>
      <c r="AE15" s="187">
        <v>173.52913629364156</v>
      </c>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67"/>
      <c r="L17" s="167"/>
      <c r="M17" s="167"/>
      <c r="N17" s="167"/>
      <c r="O17" s="167"/>
      <c r="P17" s="167"/>
      <c r="Q17" s="167"/>
      <c r="R17" s="167"/>
      <c r="S17" s="167"/>
      <c r="T17" s="167"/>
      <c r="U17" s="167"/>
      <c r="V17" s="167"/>
      <c r="W17" s="167"/>
      <c r="X17" s="167"/>
      <c r="Y17" s="167"/>
      <c r="Z17" s="167"/>
      <c r="AA17" s="167"/>
      <c r="AB17" s="167"/>
      <c r="AC17" s="167"/>
      <c r="AD17" s="167"/>
      <c r="AE17" s="16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P/3NtKnFZCmQJP/0n5S5h/P9YA9zV0I7gBbf6EeMKbQdj8MlqndbE+jSUQ6/i+N4ot+oqs6x5Awh/dlHJR8P2Q==" saltValue="xE6yHwBJ5MzWSEQARUS+yw==" spinCount="100000" sheet="1" objects="1" scenarios="1"/>
  <hyperlinks>
    <hyperlink ref="A1" location="'Start-Experte'!A1" display="zurück" xr:uid="{00000000-0004-0000-18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13" operator="greaterThan" id="{00000000-0000-0000-0000-000000000000}">
            <xm:f>ControlPanel!$D$59-1</xm:f>
            <x14:dxf>
              <font>
                <color rgb="FF9C6500"/>
              </font>
              <fill>
                <patternFill>
                  <fgColor indexed="64"/>
                  <bgColor rgb="FFFFEB9C"/>
                </patternFill>
              </fill>
            </x14:dxf>
          </x14:cfRule>
          <x14:cfRule type="cellIs" priority="714"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2">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265</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266</v>
      </c>
      <c r="G5" s="330" t="s">
        <v>266</v>
      </c>
      <c r="H5" s="330" t="s">
        <v>266</v>
      </c>
      <c r="I5" s="330" t="s">
        <v>266</v>
      </c>
      <c r="J5" s="330" t="s">
        <v>266</v>
      </c>
      <c r="K5" s="330" t="s">
        <v>266</v>
      </c>
      <c r="L5" s="330" t="s">
        <v>266</v>
      </c>
      <c r="M5" s="330" t="s">
        <v>266</v>
      </c>
      <c r="N5" s="330" t="s">
        <v>266</v>
      </c>
      <c r="O5" s="330" t="s">
        <v>266</v>
      </c>
      <c r="P5" s="330" t="s">
        <v>266</v>
      </c>
      <c r="Q5" s="330" t="s">
        <v>266</v>
      </c>
      <c r="R5" s="330" t="s">
        <v>266</v>
      </c>
      <c r="S5" s="330" t="s">
        <v>266</v>
      </c>
      <c r="T5" s="330" t="s">
        <v>266</v>
      </c>
      <c r="U5" s="330" t="s">
        <v>266</v>
      </c>
      <c r="V5" s="330" t="s">
        <v>266</v>
      </c>
      <c r="W5" s="330" t="s">
        <v>266</v>
      </c>
      <c r="X5" s="330" t="s">
        <v>266</v>
      </c>
      <c r="Y5" s="330" t="s">
        <v>266</v>
      </c>
      <c r="Z5" s="330" t="s">
        <v>266</v>
      </c>
      <c r="AA5" s="330" t="s">
        <v>266</v>
      </c>
      <c r="AB5" s="330" t="s">
        <v>266</v>
      </c>
      <c r="AC5" s="330" t="s">
        <v>266</v>
      </c>
      <c r="AD5" s="330" t="s">
        <v>266</v>
      </c>
      <c r="AE5" s="330" t="s">
        <v>266</v>
      </c>
    </row>
    <row r="6" spans="1:31" ht="15" customHeight="1" thickBot="1">
      <c r="B6" s="177" t="str">
        <f>ControlPanel!E20</f>
        <v>Referenz</v>
      </c>
      <c r="C6" s="15" t="str">
        <f>VLOOKUP($B$6,$B$7:$AE$25,2,FALSE)</f>
        <v>dr</v>
      </c>
      <c r="D6" s="493" t="str">
        <f>VLOOKUP($B$6,$B$7:$AE$25,3,FALSE)</f>
        <v>15% (gem. EEG 2021)</v>
      </c>
      <c r="E6" s="493">
        <f>VLOOKUP($B$6,$B$7:$AE$25,4,FALSE)</f>
        <v>0</v>
      </c>
      <c r="F6" s="339">
        <f>IF(F$4&lt;ControlPanel!$D$59,VLOOKUP("Referenz",$B$7:$AE$25,F$4-$F$4+5,FALSE),VLOOKUP($B$6,$B$7:$AE$25,F$4-$F$4+5,FALSE))</f>
        <v>2.4421006724375267E-2</v>
      </c>
      <c r="G6" s="339">
        <f>IF(G$4&lt;ControlPanel!$D$59,VLOOKUP("Referenz",$B$7:$AE$25,G$4-$F$4+5,FALSE),VLOOKUP($B$6,$B$7:$AE$25,G$4-$F$4+5,FALSE))</f>
        <v>1.416149742259081E-2</v>
      </c>
      <c r="H6" s="339">
        <f>IF(H$4&lt;ControlPanel!$D$59,VLOOKUP("Referenz",$B$7:$AE$25,H$4-$F$4+5,FALSE),VLOOKUP($B$6,$B$7:$AE$25,H$4-$F$4+5,FALSE))</f>
        <v>1.3920264634567114E-2</v>
      </c>
      <c r="I6" s="339">
        <f>IF(I$4&lt;ControlPanel!$D$59,VLOOKUP("Referenz",$B$7:$AE$25,I$4-$F$4+5,FALSE),VLOOKUP($B$6,$B$7:$AE$25,I$4-$F$4+5,FALSE))</f>
        <v>6.442107437727964E-3</v>
      </c>
      <c r="J6" s="339">
        <f>IF(J$4&lt;ControlPanel!$D$59,VLOOKUP("Referenz",$B$7:$AE$25,J$4-$F$4+5,FALSE),VLOOKUP($B$6,$B$7:$AE$25,J$4-$F$4+5,FALSE))</f>
        <v>2.083534312096447E-2</v>
      </c>
      <c r="K6" s="339">
        <f>IF(K$4&lt;ControlPanel!$D$59,VLOOKUP("Referenz",$B$7:$AE$25,K$4-$F$4+5,FALSE),VLOOKUP($B$6,$B$7:$AE$25,K$4-$F$4+5,FALSE))</f>
        <v>0.15</v>
      </c>
      <c r="L6" s="339">
        <f>IF(L$4&lt;ControlPanel!$D$59,VLOOKUP("Referenz",$B$7:$AE$25,L$4-$F$4+5,FALSE),VLOOKUP($B$6,$B$7:$AE$25,L$4-$F$4+5,FALSE))</f>
        <v>0.15</v>
      </c>
      <c r="M6" s="339">
        <f>IF(M$4&lt;ControlPanel!$D$59,VLOOKUP("Referenz",$B$7:$AE$25,M$4-$F$4+5,FALSE),VLOOKUP($B$6,$B$7:$AE$25,M$4-$F$4+5,FALSE))</f>
        <v>0.15</v>
      </c>
      <c r="N6" s="339">
        <f>IF(N$4&lt;ControlPanel!$D$59,VLOOKUP("Referenz",$B$7:$AE$25,N$4-$F$4+5,FALSE),VLOOKUP($B$6,$B$7:$AE$25,N$4-$F$4+5,FALSE))</f>
        <v>0.15</v>
      </c>
      <c r="O6" s="339">
        <f>IF(O$4&lt;ControlPanel!$D$59,VLOOKUP("Referenz",$B$7:$AE$25,O$4-$F$4+5,FALSE),VLOOKUP($B$6,$B$7:$AE$25,O$4-$F$4+5,FALSE))</f>
        <v>0.15</v>
      </c>
      <c r="P6" s="339">
        <f>IF(P$4&lt;ControlPanel!$D$59,VLOOKUP("Referenz",$B$7:$AE$25,P$4-$F$4+5,FALSE),VLOOKUP($B$6,$B$7:$AE$25,P$4-$F$4+5,FALSE))</f>
        <v>0.15</v>
      </c>
      <c r="Q6" s="339">
        <f>IF(Q$4&lt;ControlPanel!$D$59,VLOOKUP("Referenz",$B$7:$AE$25,Q$4-$F$4+5,FALSE),VLOOKUP($B$6,$B$7:$AE$25,Q$4-$F$4+5,FALSE))</f>
        <v>0.15</v>
      </c>
      <c r="R6" s="339">
        <f>IF(R$4&lt;ControlPanel!$D$59,VLOOKUP("Referenz",$B$7:$AE$25,R$4-$F$4+5,FALSE),VLOOKUP($B$6,$B$7:$AE$25,R$4-$F$4+5,FALSE))</f>
        <v>0.15</v>
      </c>
      <c r="S6" s="339">
        <f>IF(S$4&lt;ControlPanel!$D$59,VLOOKUP("Referenz",$B$7:$AE$25,S$4-$F$4+5,FALSE),VLOOKUP($B$6,$B$7:$AE$25,S$4-$F$4+5,FALSE))</f>
        <v>0.15</v>
      </c>
      <c r="T6" s="339">
        <f>IF(T$4&lt;ControlPanel!$D$59,VLOOKUP("Referenz",$B$7:$AE$25,T$4-$F$4+5,FALSE),VLOOKUP($B$6,$B$7:$AE$25,T$4-$F$4+5,FALSE))</f>
        <v>0.15</v>
      </c>
      <c r="U6" s="339">
        <f>IF(U$4&lt;ControlPanel!$D$59,VLOOKUP("Referenz",$B$7:$AE$25,U$4-$F$4+5,FALSE),VLOOKUP($B$6,$B$7:$AE$25,U$4-$F$4+5,FALSE))</f>
        <v>0.15</v>
      </c>
      <c r="V6" s="339">
        <f>IF(V$4&lt;ControlPanel!$D$59,VLOOKUP("Referenz",$B$7:$AE$25,V$4-$F$4+5,FALSE),VLOOKUP($B$6,$B$7:$AE$25,V$4-$F$4+5,FALSE))</f>
        <v>0.15</v>
      </c>
      <c r="W6" s="339">
        <f>IF(W$4&lt;ControlPanel!$D$59,VLOOKUP("Referenz",$B$7:$AE$25,W$4-$F$4+5,FALSE),VLOOKUP($B$6,$B$7:$AE$25,W$4-$F$4+5,FALSE))</f>
        <v>0.15</v>
      </c>
      <c r="X6" s="339">
        <f>IF(X$4&lt;ControlPanel!$D$59,VLOOKUP("Referenz",$B$7:$AE$25,X$4-$F$4+5,FALSE),VLOOKUP($B$6,$B$7:$AE$25,X$4-$F$4+5,FALSE))</f>
        <v>0.15</v>
      </c>
      <c r="Y6" s="339">
        <f>IF(Y$4&lt;ControlPanel!$D$59,VLOOKUP("Referenz",$B$7:$AE$25,Y$4-$F$4+5,FALSE),VLOOKUP($B$6,$B$7:$AE$25,Y$4-$F$4+5,FALSE))</f>
        <v>0.15</v>
      </c>
      <c r="Z6" s="339">
        <f>IF(Z$4&lt;ControlPanel!$D$59,VLOOKUP("Referenz",$B$7:$AE$25,Z$4-$F$4+5,FALSE),VLOOKUP($B$6,$B$7:$AE$25,Z$4-$F$4+5,FALSE))</f>
        <v>0.15</v>
      </c>
      <c r="AA6" s="339">
        <f>IF(AA$4&lt;ControlPanel!$D$59,VLOOKUP("Referenz",$B$7:$AE$25,AA$4-$F$4+5,FALSE),VLOOKUP($B$6,$B$7:$AE$25,AA$4-$F$4+5,FALSE))</f>
        <v>0.15</v>
      </c>
      <c r="AB6" s="339">
        <f>IF(AB$4&lt;ControlPanel!$D$59,VLOOKUP("Referenz",$B$7:$AE$25,AB$4-$F$4+5,FALSE),VLOOKUP($B$6,$B$7:$AE$25,AB$4-$F$4+5,FALSE))</f>
        <v>0.15</v>
      </c>
      <c r="AC6" s="339">
        <f>IF(AC$4&lt;ControlPanel!$D$59,VLOOKUP("Referenz",$B$7:$AE$25,AC$4-$F$4+5,FALSE),VLOOKUP($B$6,$B$7:$AE$25,AC$4-$F$4+5,FALSE))</f>
        <v>0.15</v>
      </c>
      <c r="AD6" s="339">
        <f>IF(AD$4&lt;ControlPanel!$D$59,VLOOKUP("Referenz",$B$7:$AE$25,AD$4-$F$4+5,FALSE),VLOOKUP($B$6,$B$7:$AE$25,AD$4-$F$4+5,FALSE))</f>
        <v>0.15</v>
      </c>
      <c r="AE6" s="339">
        <f>IF(AE$4&lt;ControlPanel!$D$59,VLOOKUP("Referenz",$B$7:$AE$25,AE$4-$F$4+5,FALSE),VLOOKUP($B$6,$B$7:$AE$25,AE$4-$F$4+5,FALSE))</f>
        <v>0.15</v>
      </c>
    </row>
    <row r="7" spans="1:31" ht="15" customHeight="1">
      <c r="B7" s="329" t="s">
        <v>138</v>
      </c>
      <c r="C7" s="12" t="s">
        <v>257</v>
      </c>
      <c r="D7" s="428" t="s">
        <v>939</v>
      </c>
      <c r="E7" s="551"/>
      <c r="F7" s="342">
        <v>2.4421006724375267E-2</v>
      </c>
      <c r="G7" s="342">
        <v>1.416149742259081E-2</v>
      </c>
      <c r="H7" s="342">
        <v>1.3920264634567114E-2</v>
      </c>
      <c r="I7" s="342">
        <v>6.442107437727964E-3</v>
      </c>
      <c r="J7" s="342">
        <v>2.083534312096447E-2</v>
      </c>
      <c r="K7" s="342">
        <v>0.15</v>
      </c>
      <c r="L7" s="342">
        <v>0.15</v>
      </c>
      <c r="M7" s="342">
        <v>0.15</v>
      </c>
      <c r="N7" s="342">
        <v>0.15</v>
      </c>
      <c r="O7" s="342">
        <v>0.15</v>
      </c>
      <c r="P7" s="342">
        <v>0.15</v>
      </c>
      <c r="Q7" s="342">
        <v>0.15</v>
      </c>
      <c r="R7" s="342">
        <v>0.15</v>
      </c>
      <c r="S7" s="342">
        <v>0.15</v>
      </c>
      <c r="T7" s="342">
        <v>0.15</v>
      </c>
      <c r="U7" s="342">
        <v>0.15</v>
      </c>
      <c r="V7" s="342">
        <v>0.15</v>
      </c>
      <c r="W7" s="342">
        <v>0.15</v>
      </c>
      <c r="X7" s="342">
        <v>0.15</v>
      </c>
      <c r="Y7" s="342">
        <v>0.15</v>
      </c>
      <c r="Z7" s="342">
        <v>0.15</v>
      </c>
      <c r="AA7" s="342">
        <v>0.15</v>
      </c>
      <c r="AB7" s="342">
        <v>0.15</v>
      </c>
      <c r="AC7" s="342">
        <v>0.15</v>
      </c>
      <c r="AD7" s="342">
        <v>0.15</v>
      </c>
      <c r="AE7" s="342">
        <v>0.15</v>
      </c>
    </row>
    <row r="8" spans="1:31" ht="15" customHeight="1">
      <c r="B8" s="16" t="s">
        <v>97</v>
      </c>
      <c r="C8" s="12" t="s">
        <v>256</v>
      </c>
      <c r="D8" s="428" t="s">
        <v>398</v>
      </c>
      <c r="E8" s="551"/>
      <c r="F8" s="342"/>
      <c r="G8" s="342"/>
      <c r="H8" s="342"/>
      <c r="I8" s="342"/>
      <c r="J8" s="342"/>
      <c r="K8" s="342"/>
      <c r="L8" s="342"/>
      <c r="M8" s="342"/>
      <c r="N8" s="342"/>
      <c r="O8" s="342"/>
      <c r="P8" s="342"/>
      <c r="Q8" s="342"/>
      <c r="R8" s="342">
        <v>0</v>
      </c>
      <c r="S8" s="342">
        <v>0</v>
      </c>
      <c r="T8" s="342">
        <v>0</v>
      </c>
      <c r="U8" s="342">
        <v>0</v>
      </c>
      <c r="V8" s="342">
        <v>0</v>
      </c>
      <c r="W8" s="342">
        <v>0</v>
      </c>
      <c r="X8" s="342">
        <v>0</v>
      </c>
      <c r="Y8" s="342">
        <v>0</v>
      </c>
      <c r="Z8" s="342">
        <v>0</v>
      </c>
      <c r="AA8" s="342">
        <v>0</v>
      </c>
      <c r="AB8" s="342">
        <v>0</v>
      </c>
      <c r="AC8" s="342">
        <v>0</v>
      </c>
      <c r="AD8" s="342">
        <v>0</v>
      </c>
      <c r="AE8" s="342">
        <v>0</v>
      </c>
    </row>
    <row r="9" spans="1:31" ht="15" customHeight="1">
      <c r="B9" s="16" t="s">
        <v>98</v>
      </c>
      <c r="C9" s="12" t="s">
        <v>256</v>
      </c>
      <c r="D9" s="428">
        <v>0.05</v>
      </c>
      <c r="E9" s="551"/>
      <c r="F9" s="342"/>
      <c r="G9" s="342"/>
      <c r="H9" s="342"/>
      <c r="I9" s="342"/>
      <c r="J9" s="342"/>
      <c r="K9" s="342"/>
      <c r="L9" s="342"/>
      <c r="M9" s="342"/>
      <c r="N9" s="342"/>
      <c r="O9" s="342"/>
      <c r="P9" s="342"/>
      <c r="Q9" s="342"/>
      <c r="R9" s="342">
        <v>0.05</v>
      </c>
      <c r="S9" s="342">
        <v>0.05</v>
      </c>
      <c r="T9" s="342">
        <v>0.05</v>
      </c>
      <c r="U9" s="342">
        <v>0.05</v>
      </c>
      <c r="V9" s="342">
        <v>0.05</v>
      </c>
      <c r="W9" s="342">
        <v>0.05</v>
      </c>
      <c r="X9" s="342">
        <v>0.05</v>
      </c>
      <c r="Y9" s="342">
        <v>0.05</v>
      </c>
      <c r="Z9" s="342">
        <v>0.05</v>
      </c>
      <c r="AA9" s="342">
        <v>0.05</v>
      </c>
      <c r="AB9" s="342">
        <v>0.05</v>
      </c>
      <c r="AC9" s="342">
        <v>0.05</v>
      </c>
      <c r="AD9" s="342">
        <v>0.05</v>
      </c>
      <c r="AE9" s="342">
        <v>0.05</v>
      </c>
    </row>
    <row r="10" spans="1:31" ht="15" customHeight="1">
      <c r="B10" s="16" t="s">
        <v>96</v>
      </c>
      <c r="C10" s="12" t="s">
        <v>256</v>
      </c>
      <c r="D10" s="428">
        <v>0.25</v>
      </c>
      <c r="E10" s="551"/>
      <c r="F10" s="342"/>
      <c r="G10" s="342"/>
      <c r="H10" s="342"/>
      <c r="I10" s="342"/>
      <c r="J10" s="342"/>
      <c r="K10" s="342"/>
      <c r="L10" s="342"/>
      <c r="M10" s="342"/>
      <c r="N10" s="342"/>
      <c r="O10" s="342"/>
      <c r="P10" s="342"/>
      <c r="Q10" s="342"/>
      <c r="R10" s="342">
        <v>0.25</v>
      </c>
      <c r="S10" s="342">
        <v>0.25</v>
      </c>
      <c r="T10" s="342">
        <v>0.25</v>
      </c>
      <c r="U10" s="342">
        <v>0.25</v>
      </c>
      <c r="V10" s="342">
        <v>0.25</v>
      </c>
      <c r="W10" s="342">
        <v>0.25</v>
      </c>
      <c r="X10" s="342">
        <v>0.25</v>
      </c>
      <c r="Y10" s="342">
        <v>0.25</v>
      </c>
      <c r="Z10" s="342">
        <v>0.25</v>
      </c>
      <c r="AA10" s="342">
        <v>0.25</v>
      </c>
      <c r="AB10" s="342">
        <v>0.25</v>
      </c>
      <c r="AC10" s="342">
        <v>0.25</v>
      </c>
      <c r="AD10" s="342">
        <v>0.25</v>
      </c>
      <c r="AE10" s="342">
        <v>0.25</v>
      </c>
    </row>
    <row r="11" spans="1:31" ht="15" customHeight="1">
      <c r="B11" s="16" t="s">
        <v>99</v>
      </c>
      <c r="C11" s="12" t="s">
        <v>256</v>
      </c>
      <c r="D11" s="428">
        <v>0.5</v>
      </c>
      <c r="E11" s="551"/>
      <c r="F11" s="342"/>
      <c r="G11" s="342"/>
      <c r="H11" s="342"/>
      <c r="I11" s="342"/>
      <c r="J11" s="342"/>
      <c r="K11" s="342"/>
      <c r="L11" s="342"/>
      <c r="M11" s="342"/>
      <c r="N11" s="342"/>
      <c r="O11" s="342"/>
      <c r="P11" s="342"/>
      <c r="Q11" s="342"/>
      <c r="R11" s="342">
        <v>0.5</v>
      </c>
      <c r="S11" s="342">
        <v>0.5</v>
      </c>
      <c r="T11" s="342">
        <v>0.5</v>
      </c>
      <c r="U11" s="342">
        <v>0.5</v>
      </c>
      <c r="V11" s="342">
        <v>0.5</v>
      </c>
      <c r="W11" s="342">
        <v>0.5</v>
      </c>
      <c r="X11" s="342">
        <v>0.5</v>
      </c>
      <c r="Y11" s="342">
        <v>0.5</v>
      </c>
      <c r="Z11" s="342">
        <v>0.5</v>
      </c>
      <c r="AA11" s="342">
        <v>0.5</v>
      </c>
      <c r="AB11" s="342">
        <v>0.5</v>
      </c>
      <c r="AC11" s="342">
        <v>0.5</v>
      </c>
      <c r="AD11" s="342">
        <v>0.5</v>
      </c>
      <c r="AE11" s="342">
        <v>0.5</v>
      </c>
    </row>
    <row r="12" spans="1:31" ht="15" customHeight="1">
      <c r="B12" s="16" t="s">
        <v>263</v>
      </c>
      <c r="C12" s="12" t="s">
        <v>256</v>
      </c>
      <c r="D12" s="428">
        <v>1</v>
      </c>
      <c r="E12" s="551"/>
      <c r="F12" s="342"/>
      <c r="G12" s="342"/>
      <c r="H12" s="342"/>
      <c r="I12" s="342"/>
      <c r="J12" s="342"/>
      <c r="K12" s="342"/>
      <c r="L12" s="342"/>
      <c r="M12" s="342"/>
      <c r="N12" s="342"/>
      <c r="O12" s="342"/>
      <c r="P12" s="342"/>
      <c r="Q12" s="342"/>
      <c r="R12" s="342">
        <v>1</v>
      </c>
      <c r="S12" s="342">
        <v>1</v>
      </c>
      <c r="T12" s="342">
        <v>1</v>
      </c>
      <c r="U12" s="342">
        <v>1</v>
      </c>
      <c r="V12" s="342">
        <v>1</v>
      </c>
      <c r="W12" s="342">
        <v>1</v>
      </c>
      <c r="X12" s="342">
        <v>1</v>
      </c>
      <c r="Y12" s="342">
        <v>1</v>
      </c>
      <c r="Z12" s="342">
        <v>1</v>
      </c>
      <c r="AA12" s="342">
        <v>1</v>
      </c>
      <c r="AB12" s="342">
        <v>1</v>
      </c>
      <c r="AC12" s="342">
        <v>1</v>
      </c>
      <c r="AD12" s="342">
        <v>1</v>
      </c>
      <c r="AE12" s="342">
        <v>1</v>
      </c>
    </row>
    <row r="13" spans="1:31" s="470" customFormat="1" ht="15" customHeight="1">
      <c r="B13" s="183" t="s">
        <v>959</v>
      </c>
      <c r="C13" s="186" t="s">
        <v>257</v>
      </c>
      <c r="D13" s="169" t="s">
        <v>962</v>
      </c>
      <c r="E13" s="540"/>
      <c r="F13" s="343"/>
      <c r="G13" s="343"/>
      <c r="H13" s="343"/>
      <c r="I13" s="343"/>
      <c r="J13" s="343"/>
      <c r="K13" s="343"/>
      <c r="L13" s="343"/>
      <c r="M13" s="343"/>
      <c r="N13" s="343"/>
      <c r="O13" s="343"/>
      <c r="P13" s="343"/>
      <c r="Q13" s="343"/>
      <c r="R13" s="343">
        <f t="shared" ref="R13:T13" si="0">$U$13</f>
        <v>0.15443759198601226</v>
      </c>
      <c r="S13" s="343">
        <f t="shared" si="0"/>
        <v>0.15443759198601226</v>
      </c>
      <c r="T13" s="343">
        <f t="shared" si="0"/>
        <v>0.15443759198601226</v>
      </c>
      <c r="U13" s="343">
        <v>0.15443759198601226</v>
      </c>
      <c r="V13" s="343">
        <f>U13-($U$13-$Z$13)/5</f>
        <v>0.14874243140291157</v>
      </c>
      <c r="W13" s="343">
        <f t="shared" ref="W13:Y13" si="1">V13-($U$13-$Z$13)/5</f>
        <v>0.14304727081981089</v>
      </c>
      <c r="X13" s="343">
        <f t="shared" si="1"/>
        <v>0.13735211023671021</v>
      </c>
      <c r="Y13" s="343">
        <f t="shared" si="1"/>
        <v>0.13165694965360952</v>
      </c>
      <c r="Z13" s="343">
        <v>0.12596178907050881</v>
      </c>
      <c r="AA13" s="343">
        <f t="shared" ref="AA13" si="2">Z13-($Z$13-$AE$13)/5</f>
        <v>0.12460432874947634</v>
      </c>
      <c r="AB13" s="343">
        <f>AA13-($Z$13-$AE$13)/5</f>
        <v>0.12324686842844387</v>
      </c>
      <c r="AC13" s="343">
        <f t="shared" ref="AC13:AD13" si="3">AB13-($Z$13-$AE$13)/5</f>
        <v>0.1218894081074114</v>
      </c>
      <c r="AD13" s="343">
        <f t="shared" si="3"/>
        <v>0.12053194778637893</v>
      </c>
      <c r="AE13" s="343">
        <v>0.11917448746534647</v>
      </c>
    </row>
    <row r="14" spans="1:31" ht="15" customHeight="1">
      <c r="B14" s="1207"/>
      <c r="C14" s="1133"/>
      <c r="D14" s="1208"/>
      <c r="E14" s="1209"/>
      <c r="F14" s="1210"/>
      <c r="G14" s="1210"/>
      <c r="H14" s="1210"/>
      <c r="I14" s="1210"/>
      <c r="J14" s="1210"/>
      <c r="K14" s="1210"/>
      <c r="L14" s="1210"/>
      <c r="M14" s="1210"/>
      <c r="N14" s="1210"/>
      <c r="O14" s="1210"/>
      <c r="P14" s="1210"/>
      <c r="Q14" s="1210"/>
      <c r="R14" s="1210"/>
      <c r="S14" s="1210"/>
      <c r="T14" s="1210"/>
      <c r="U14" s="1210"/>
      <c r="V14" s="1210"/>
      <c r="W14" s="1210"/>
      <c r="X14" s="1210"/>
      <c r="Y14" s="1210"/>
      <c r="Z14" s="1210"/>
      <c r="AA14" s="1210"/>
      <c r="AB14" s="1210"/>
      <c r="AC14" s="1210"/>
      <c r="AD14" s="1210"/>
      <c r="AE14" s="1210"/>
    </row>
    <row r="15" spans="1:31" ht="15" customHeight="1">
      <c r="B15" s="183"/>
      <c r="C15" s="186"/>
      <c r="D15" s="169"/>
      <c r="E15" s="540"/>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row>
    <row r="16" spans="1:31" s="470" customFormat="1" ht="15" customHeight="1">
      <c r="B16" s="183"/>
      <c r="C16" s="186"/>
      <c r="D16" s="169"/>
      <c r="E16" s="540"/>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row>
    <row r="17" spans="2:31" s="470" customFormat="1" ht="15" customHeight="1">
      <c r="B17" s="183"/>
      <c r="C17" s="186"/>
      <c r="D17" s="169"/>
      <c r="E17" s="540"/>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row>
    <row r="18" spans="2:31" s="470" customFormat="1" ht="15" customHeight="1">
      <c r="B18" s="183"/>
      <c r="C18" s="186"/>
      <c r="D18" s="169"/>
      <c r="E18" s="540"/>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row>
    <row r="19" spans="2:31" s="470" customFormat="1" ht="15" customHeight="1">
      <c r="B19" s="183"/>
      <c r="C19" s="186"/>
      <c r="D19" s="169"/>
      <c r="E19" s="540"/>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row>
    <row r="20" spans="2:31" s="470" customFormat="1" ht="15" customHeight="1">
      <c r="B20" s="183"/>
      <c r="C20" s="186"/>
      <c r="D20" s="169"/>
      <c r="E20" s="540"/>
      <c r="F20" s="343"/>
      <c r="G20" s="343"/>
      <c r="H20" s="343"/>
      <c r="I20" s="343"/>
      <c r="J20" s="343"/>
      <c r="K20" s="343"/>
      <c r="L20" s="343"/>
      <c r="M20" s="343"/>
      <c r="N20" s="343"/>
      <c r="O20" s="343"/>
      <c r="P20" s="343"/>
      <c r="Q20" s="343"/>
      <c r="R20" s="343"/>
      <c r="S20" s="343"/>
      <c r="T20" s="343"/>
      <c r="U20" s="343"/>
      <c r="V20" s="343"/>
      <c r="W20" s="343"/>
      <c r="X20" s="343"/>
      <c r="Y20" s="343"/>
      <c r="Z20" s="343"/>
      <c r="AA20" s="343"/>
      <c r="AB20" s="343"/>
      <c r="AC20" s="343"/>
      <c r="AD20" s="343"/>
      <c r="AE20" s="343"/>
    </row>
    <row r="21" spans="2:31" s="470" customFormat="1" ht="15" customHeight="1">
      <c r="B21" s="183"/>
      <c r="C21" s="186"/>
      <c r="D21" s="169"/>
      <c r="E21" s="540"/>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2:31" s="470" customFormat="1" ht="15" customHeight="1">
      <c r="B22" s="183"/>
      <c r="C22" s="186"/>
      <c r="D22" s="169"/>
      <c r="E22" s="540"/>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c r="AE22" s="343"/>
    </row>
    <row r="23" spans="2:31" s="470" customFormat="1" ht="15" customHeight="1">
      <c r="B23" s="183"/>
      <c r="C23" s="186"/>
      <c r="D23" s="169"/>
      <c r="E23" s="540"/>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43"/>
    </row>
    <row r="24" spans="2:31" s="470" customFormat="1" ht="15" customHeight="1">
      <c r="B24" s="183"/>
      <c r="C24" s="186"/>
      <c r="D24" s="169"/>
      <c r="E24" s="540"/>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row>
    <row r="25" spans="2:31" s="470" customFormat="1" ht="15" customHeight="1">
      <c r="B25" s="185"/>
      <c r="C25" s="188"/>
      <c r="D25" s="189"/>
      <c r="E25" s="541"/>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c r="G29" s="165"/>
      <c r="H29" s="165"/>
      <c r="I29" s="165"/>
      <c r="J29" s="165"/>
      <c r="K29" s="518"/>
      <c r="L29" s="518"/>
      <c r="M29" s="518"/>
      <c r="N29" s="518"/>
    </row>
    <row r="30" spans="2:31" ht="15" customHeight="1">
      <c r="G30" s="165"/>
      <c r="H30" s="165"/>
      <c r="I30" s="165"/>
      <c r="J30" s="165"/>
      <c r="K30" s="518"/>
      <c r="L30" s="518"/>
      <c r="M30" s="518"/>
      <c r="N30" s="518"/>
    </row>
    <row r="31" spans="2:31" ht="15" customHeight="1">
      <c r="G31" s="165"/>
      <c r="H31" s="165"/>
      <c r="I31" s="165"/>
      <c r="J31" s="165"/>
      <c r="K31" s="518"/>
      <c r="L31" s="518"/>
      <c r="M31" s="518"/>
      <c r="N31" s="518"/>
    </row>
    <row r="32" spans="2:31" ht="15" customHeight="1">
      <c r="G32" s="165"/>
      <c r="H32" s="165"/>
      <c r="I32" s="165"/>
      <c r="J32" s="165"/>
      <c r="K32" s="518"/>
      <c r="L32" s="518"/>
      <c r="M32" s="518"/>
      <c r="N32" s="518"/>
    </row>
    <row r="33" spans="7:14" ht="15" customHeight="1">
      <c r="G33" s="165"/>
      <c r="H33" s="165"/>
      <c r="I33" s="165"/>
      <c r="J33" s="165"/>
      <c r="K33" s="518"/>
      <c r="L33" s="518"/>
      <c r="M33" s="518"/>
      <c r="N33" s="518"/>
    </row>
    <row r="34" spans="7:14" ht="15" customHeight="1">
      <c r="G34" s="165"/>
      <c r="H34" s="165"/>
      <c r="I34" s="165"/>
      <c r="J34" s="165"/>
      <c r="K34" s="518"/>
      <c r="L34" s="518"/>
      <c r="M34" s="518"/>
      <c r="N34" s="518"/>
    </row>
    <row r="35" spans="7:14" ht="15" customHeight="1"/>
    <row r="36" spans="7:14" ht="15" customHeight="1">
      <c r="J36" s="384"/>
    </row>
    <row r="37" spans="7:14" ht="15" customHeight="1"/>
    <row r="38" spans="7:14" ht="15" customHeight="1"/>
    <row r="39" spans="7:14" ht="15" customHeight="1"/>
    <row r="40" spans="7:14" ht="15" customHeight="1"/>
    <row r="41" spans="7:14" ht="15" customHeight="1"/>
    <row r="42" spans="7:14" ht="15" customHeight="1"/>
    <row r="43" spans="7:14" ht="15" customHeight="1"/>
    <row r="44" spans="7:14" ht="15" customHeight="1"/>
    <row r="45" spans="7:14" ht="15" customHeight="1"/>
    <row r="46" spans="7:14" ht="15" customHeight="1"/>
    <row r="47" spans="7:14" ht="15" customHeight="1"/>
    <row r="48" spans="7: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7Dx2cLlb6tdlle0m5DazGApjiExnA6o5ylOub/SZzgbmQO9l30LMlhdR5pDD1Ktip5iDSBIP/vmv5a7ZZvomGg==" saltValue="vJsszhUVPfy8NqkPtZkp7A==" spinCount="100000" sheet="1" objects="1" scenarios="1"/>
  <hyperlinks>
    <hyperlink ref="A1" location="'Start-Experte'!A1" display="zurück" xr:uid="{00000000-0004-0000-19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719" operator="greaterThan" id="{00000000-0000-0000-0000-000000000000}">
            <xm:f>ControlPanel!$D$59-1</xm:f>
            <x14:dxf>
              <font>
                <color rgb="FF9C6500"/>
              </font>
              <fill>
                <patternFill>
                  <fgColor indexed="64"/>
                  <bgColor rgb="FFFFEB9C"/>
                </patternFill>
              </fill>
            </x14:dxf>
          </x14:cfRule>
          <x14:cfRule type="cellIs" priority="720"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9">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4" width="76.140625" style="10" customWidth="1"/>
    <col min="5" max="5" width="20.85546875" style="10" customWidth="1"/>
    <col min="6" max="14" width="8.7109375" style="9" customWidth="1"/>
    <col min="15" max="31" width="8.7109375" style="9" customWidth="1" outlineLevel="1"/>
    <col min="32" max="16384" width="11.5703125" style="9"/>
  </cols>
  <sheetData>
    <row r="1" spans="1:31">
      <c r="A1" s="41" t="s">
        <v>183</v>
      </c>
      <c r="B1" s="20" t="s">
        <v>355</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60</v>
      </c>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row>
    <row r="6" spans="1:31" ht="15" customHeight="1" thickBot="1">
      <c r="B6" s="176" t="str">
        <f>ControlPanel!E21</f>
        <v>Referenz</v>
      </c>
      <c r="C6" s="15" t="str">
        <f>VLOOKUP($B$6,$B$7:$AE$25,2,FALSE)</f>
        <v>fh</v>
      </c>
      <c r="D6" s="15" t="str">
        <f>VLOOKUP($B$6,$B$7:$AE$25,3,FALSE)</f>
        <v>Bis 2022: ÜNB-Umlageberechnungen, danach konstant (wirkt wie vollständige Befreiung von 62% des priv. LV)</v>
      </c>
      <c r="E6" s="15">
        <f>VLOOKUP($B$6,$B$7:$AE$25,4,FALSE)</f>
        <v>0</v>
      </c>
      <c r="F6" s="520">
        <f>IF(F$4&lt;ControlPanel!$D$59,VLOOKUP("Referenz",$B$7:$AE$25,F$4-$F$4+5,FALSE),VLOOKUP($B$6,$B$7:$AE$25,F$4-$F$4+5,FALSE))</f>
        <v>0</v>
      </c>
      <c r="G6" s="520">
        <f>IF(G$4&lt;ControlPanel!$D$59,VLOOKUP("Referenz",$B$7:$AE$25,G$4-$F$4+5,FALSE),VLOOKUP($B$6,$B$7:$AE$25,G$4-$F$4+5,FALSE))</f>
        <v>0</v>
      </c>
      <c r="H6" s="520">
        <f>IF(H$4&lt;ControlPanel!$D$59,VLOOKUP("Referenz",$B$7:$AE$25,H$4-$F$4+5,FALSE),VLOOKUP($B$6,$B$7:$AE$25,H$4-$F$4+5,FALSE))</f>
        <v>0</v>
      </c>
      <c r="I6" s="520">
        <f>IF(I$4&lt;ControlPanel!$D$59,VLOOKUP("Referenz",$B$7:$AE$25,I$4-$F$4+5,FALSE),VLOOKUP($B$6,$B$7:$AE$25,I$4-$F$4+5,FALSE))</f>
        <v>0</v>
      </c>
      <c r="J6" s="520">
        <f>IF(J$4&lt;ControlPanel!$D$59,VLOOKUP("Referenz",$B$7:$AE$25,J$4-$F$4+5,FALSE),VLOOKUP($B$6,$B$7:$AE$25,J$4-$F$4+5,FALSE))</f>
        <v>0</v>
      </c>
      <c r="K6" s="520">
        <f>IF(K$4&lt;ControlPanel!$D$59,VLOOKUP("Referenz",$B$7:$AE$25,K$4-$F$4+5,FALSE),VLOOKUP($B$6,$B$7:$AE$25,K$4-$F$4+5,FALSE))</f>
        <v>0.53400000000000003</v>
      </c>
      <c r="L6" s="520">
        <f>IF(L$4&lt;ControlPanel!$D$59,VLOOKUP("Referenz",$B$7:$AE$25,L$4-$F$4+5,FALSE),VLOOKUP($B$6,$B$7:$AE$25,L$4-$F$4+5,FALSE))</f>
        <v>0.502</v>
      </c>
      <c r="M6" s="520">
        <f>IF(M$4&lt;ControlPanel!$D$59,VLOOKUP("Referenz",$B$7:$AE$25,M$4-$F$4+5,FALSE),VLOOKUP($B$6,$B$7:$AE$25,M$4-$F$4+5,FALSE))</f>
        <v>0.61956606648897039</v>
      </c>
      <c r="N6" s="520">
        <f>IF(N$4&lt;ControlPanel!$D$59,VLOOKUP("Referenz",$B$7:$AE$25,N$4-$F$4+5,FALSE),VLOOKUP($B$6,$B$7:$AE$25,N$4-$F$4+5,FALSE))</f>
        <v>0.59982457576591419</v>
      </c>
      <c r="O6" s="520">
        <f>IF(O$4&lt;ControlPanel!$D$59,VLOOKUP("Referenz",$B$7:$AE$25,O$4-$F$4+5,FALSE),VLOOKUP($B$6,$B$7:$AE$25,O$4-$F$4+5,FALSE))</f>
        <v>0.61796806733819043</v>
      </c>
      <c r="P6" s="520">
        <f>IF(P$4&lt;ControlPanel!$D$59,VLOOKUP("Referenz",$B$7:$AE$25,P$4-$F$4+5,FALSE),VLOOKUP($B$6,$B$7:$AE$25,P$4-$F$4+5,FALSE))</f>
        <v>0.62235249305977924</v>
      </c>
      <c r="Q6" s="520">
        <f>IF(Q$4&lt;ControlPanel!$D$59,VLOOKUP("Referenz",$B$7:$AE$25,Q$4-$F$4+5,FALSE),VLOOKUP($B$6,$B$7:$AE$25,Q$4-$F$4+5,FALSE))</f>
        <v>0.6181753273601267</v>
      </c>
      <c r="R6" s="520">
        <f>IF(R$4&lt;ControlPanel!$D$59,VLOOKUP("Referenz",$B$7:$AE$25,R$4-$F$4+5,FALSE),VLOOKUP($B$6,$B$7:$AE$25,R$4-$F$4+5,FALSE))</f>
        <v>0.60592012608777501</v>
      </c>
      <c r="S6" s="520">
        <f>IF(S$4&lt;ControlPanel!$D$59,VLOOKUP("Referenz",$B$7:$AE$25,S$4-$F$4+5,FALSE),VLOOKUP($B$6,$B$7:$AE$25,S$4-$F$4+5,FALSE))</f>
        <v>0.60592012608777501</v>
      </c>
      <c r="T6" s="520">
        <f>IF(T$4&lt;ControlPanel!$D$59,VLOOKUP("Referenz",$B$7:$AE$25,T$4-$F$4+5,FALSE),VLOOKUP($B$6,$B$7:$AE$25,T$4-$F$4+5,FALSE))</f>
        <v>0.60592012608777501</v>
      </c>
      <c r="U6" s="520">
        <f>IF(U$4&lt;ControlPanel!$D$59,VLOOKUP("Referenz",$B$7:$AE$25,U$4-$F$4+5,FALSE),VLOOKUP($B$6,$B$7:$AE$25,U$4-$F$4+5,FALSE))</f>
        <v>0.60592012608777501</v>
      </c>
      <c r="V6" s="520">
        <f>IF(V$4&lt;ControlPanel!$D$59,VLOOKUP("Referenz",$B$7:$AE$25,V$4-$F$4+5,FALSE),VLOOKUP($B$6,$B$7:$AE$25,V$4-$F$4+5,FALSE))</f>
        <v>0.60592012608777501</v>
      </c>
      <c r="W6" s="520">
        <f>IF(W$4&lt;ControlPanel!$D$59,VLOOKUP("Referenz",$B$7:$AE$25,W$4-$F$4+5,FALSE),VLOOKUP($B$6,$B$7:$AE$25,W$4-$F$4+5,FALSE))</f>
        <v>0.60592012608777501</v>
      </c>
      <c r="X6" s="520">
        <f>IF(X$4&lt;ControlPanel!$D$59,VLOOKUP("Referenz",$B$7:$AE$25,X$4-$F$4+5,FALSE),VLOOKUP($B$6,$B$7:$AE$25,X$4-$F$4+5,FALSE))</f>
        <v>0.60592012608777501</v>
      </c>
      <c r="Y6" s="520">
        <f>IF(Y$4&lt;ControlPanel!$D$59,VLOOKUP("Referenz",$B$7:$AE$25,Y$4-$F$4+5,FALSE),VLOOKUP($B$6,$B$7:$AE$25,Y$4-$F$4+5,FALSE))</f>
        <v>0.60592012608777501</v>
      </c>
      <c r="Z6" s="520">
        <f>IF(Z$4&lt;ControlPanel!$D$59,VLOOKUP("Referenz",$B$7:$AE$25,Z$4-$F$4+5,FALSE),VLOOKUP($B$6,$B$7:$AE$25,Z$4-$F$4+5,FALSE))</f>
        <v>0.60592012608777501</v>
      </c>
      <c r="AA6" s="520">
        <f>IF(AA$4&lt;ControlPanel!$D$59,VLOOKUP("Referenz",$B$7:$AE$25,AA$4-$F$4+5,FALSE),VLOOKUP($B$6,$B$7:$AE$25,AA$4-$F$4+5,FALSE))</f>
        <v>0.60592012608777501</v>
      </c>
      <c r="AB6" s="520">
        <f>IF(AB$4&lt;ControlPanel!$D$59,VLOOKUP("Referenz",$B$7:$AE$25,AB$4-$F$4+5,FALSE),VLOOKUP($B$6,$B$7:$AE$25,AB$4-$F$4+5,FALSE))</f>
        <v>0.60592012608777501</v>
      </c>
      <c r="AC6" s="520">
        <f>IF(AC$4&lt;ControlPanel!$D$59,VLOOKUP("Referenz",$B$7:$AE$25,AC$4-$F$4+5,FALSE),VLOOKUP($B$6,$B$7:$AE$25,AC$4-$F$4+5,FALSE))</f>
        <v>0.60592012608777501</v>
      </c>
      <c r="AD6" s="520">
        <f>IF(AD$4&lt;ControlPanel!$D$59,VLOOKUP("Referenz",$B$7:$AE$25,AD$4-$F$4+5,FALSE),VLOOKUP($B$6,$B$7:$AE$25,AD$4-$F$4+5,FALSE))</f>
        <v>0.60592012608777501</v>
      </c>
      <c r="AE6" s="520">
        <f>IF(AE$4&lt;ControlPanel!$D$59,VLOOKUP("Referenz",$B$7:$AE$25,AE$4-$F$4+5,FALSE),VLOOKUP($B$6,$B$7:$AE$25,AE$4-$F$4+5,FALSE))</f>
        <v>0.60592012608777501</v>
      </c>
    </row>
    <row r="7" spans="1:31" ht="15" customHeight="1">
      <c r="B7" s="16" t="s">
        <v>138</v>
      </c>
      <c r="C7" s="12" t="s">
        <v>845</v>
      </c>
      <c r="D7" s="11" t="s">
        <v>1041</v>
      </c>
      <c r="E7" s="222"/>
      <c r="F7" s="53">
        <v>0</v>
      </c>
      <c r="G7" s="53">
        <v>0</v>
      </c>
      <c r="H7" s="53">
        <v>0</v>
      </c>
      <c r="I7" s="53">
        <v>0</v>
      </c>
      <c r="J7" s="53">
        <v>0</v>
      </c>
      <c r="K7" s="328">
        <v>0.53400000000000003</v>
      </c>
      <c r="L7" s="232">
        <v>0.502</v>
      </c>
      <c r="M7" s="232">
        <v>0.61956606648897039</v>
      </c>
      <c r="N7" s="232">
        <v>0.59982457576591419</v>
      </c>
      <c r="O7" s="232">
        <v>0.61796806733819043</v>
      </c>
      <c r="P7" s="232">
        <v>0.62235249305977924</v>
      </c>
      <c r="Q7" s="232">
        <v>0.6181753273601267</v>
      </c>
      <c r="R7" s="232">
        <v>0.60592012608777501</v>
      </c>
      <c r="S7" s="232">
        <f t="shared" ref="S7:AE7" si="0">R7</f>
        <v>0.60592012608777501</v>
      </c>
      <c r="T7" s="232">
        <f t="shared" si="0"/>
        <v>0.60592012608777501</v>
      </c>
      <c r="U7" s="232">
        <f t="shared" si="0"/>
        <v>0.60592012608777501</v>
      </c>
      <c r="V7" s="232">
        <f t="shared" si="0"/>
        <v>0.60592012608777501</v>
      </c>
      <c r="W7" s="232">
        <f t="shared" si="0"/>
        <v>0.60592012608777501</v>
      </c>
      <c r="X7" s="232">
        <f t="shared" si="0"/>
        <v>0.60592012608777501</v>
      </c>
      <c r="Y7" s="232">
        <f t="shared" si="0"/>
        <v>0.60592012608777501</v>
      </c>
      <c r="Z7" s="232">
        <f t="shared" si="0"/>
        <v>0.60592012608777501</v>
      </c>
      <c r="AA7" s="232">
        <f t="shared" si="0"/>
        <v>0.60592012608777501</v>
      </c>
      <c r="AB7" s="232">
        <f t="shared" si="0"/>
        <v>0.60592012608777501</v>
      </c>
      <c r="AC7" s="232">
        <f t="shared" si="0"/>
        <v>0.60592012608777501</v>
      </c>
      <c r="AD7" s="232">
        <f t="shared" si="0"/>
        <v>0.60592012608777501</v>
      </c>
      <c r="AE7" s="232">
        <f t="shared" si="0"/>
        <v>0.60592012608777501</v>
      </c>
    </row>
    <row r="8" spans="1:31" s="470" customFormat="1" ht="25.5">
      <c r="A8" s="9"/>
      <c r="B8" s="11" t="s">
        <v>376</v>
      </c>
      <c r="C8" s="12" t="s">
        <v>256</v>
      </c>
      <c r="D8" s="1059" t="s">
        <v>375</v>
      </c>
      <c r="E8" s="221"/>
      <c r="F8" s="328"/>
      <c r="G8" s="328"/>
      <c r="H8" s="328"/>
      <c r="I8" s="328"/>
      <c r="J8" s="328"/>
      <c r="K8" s="53"/>
      <c r="L8" s="53"/>
      <c r="M8" s="53"/>
      <c r="N8" s="53"/>
      <c r="O8" s="53"/>
      <c r="P8" s="53">
        <v>0</v>
      </c>
      <c r="Q8" s="53">
        <v>0</v>
      </c>
      <c r="R8" s="53">
        <v>0</v>
      </c>
      <c r="S8" s="53">
        <v>0</v>
      </c>
      <c r="T8" s="53">
        <v>0</v>
      </c>
      <c r="U8" s="53">
        <v>0</v>
      </c>
      <c r="V8" s="53">
        <v>0</v>
      </c>
      <c r="W8" s="53">
        <v>0</v>
      </c>
      <c r="X8" s="53">
        <v>0</v>
      </c>
      <c r="Y8" s="53">
        <v>0</v>
      </c>
      <c r="Z8" s="53">
        <v>0</v>
      </c>
      <c r="AA8" s="53">
        <v>0</v>
      </c>
      <c r="AB8" s="53">
        <v>0</v>
      </c>
      <c r="AC8" s="53">
        <v>0</v>
      </c>
      <c r="AD8" s="53">
        <v>0</v>
      </c>
      <c r="AE8" s="53">
        <v>0</v>
      </c>
    </row>
    <row r="9" spans="1:31" s="470" customFormat="1" ht="15" customHeight="1">
      <c r="A9" s="9"/>
      <c r="B9" s="16" t="s">
        <v>98</v>
      </c>
      <c r="C9" s="12" t="s">
        <v>256</v>
      </c>
      <c r="D9" s="11" t="s">
        <v>370</v>
      </c>
      <c r="E9" s="222"/>
      <c r="F9" s="328"/>
      <c r="G9" s="328"/>
      <c r="H9" s="328"/>
      <c r="I9" s="328"/>
      <c r="J9" s="328"/>
      <c r="K9" s="328"/>
      <c r="L9" s="328"/>
      <c r="M9" s="328"/>
      <c r="N9" s="328"/>
      <c r="O9" s="328"/>
      <c r="P9" s="328">
        <v>0.2</v>
      </c>
      <c r="Q9" s="328">
        <v>0.2</v>
      </c>
      <c r="R9" s="328">
        <v>0.2</v>
      </c>
      <c r="S9" s="328">
        <v>0.2</v>
      </c>
      <c r="T9" s="328">
        <v>0.2</v>
      </c>
      <c r="U9" s="328">
        <v>0.2</v>
      </c>
      <c r="V9" s="328">
        <v>0.2</v>
      </c>
      <c r="W9" s="328">
        <v>0.2</v>
      </c>
      <c r="X9" s="328">
        <v>0.2</v>
      </c>
      <c r="Y9" s="328">
        <v>0.2</v>
      </c>
      <c r="Z9" s="328">
        <v>0.2</v>
      </c>
      <c r="AA9" s="328">
        <v>0.2</v>
      </c>
      <c r="AB9" s="328">
        <v>0.2</v>
      </c>
      <c r="AC9" s="328">
        <v>0.2</v>
      </c>
      <c r="AD9" s="328">
        <v>0.2</v>
      </c>
      <c r="AE9" s="328">
        <v>0.2</v>
      </c>
    </row>
    <row r="10" spans="1:31" s="470" customFormat="1" ht="15" customHeight="1">
      <c r="A10" s="9"/>
      <c r="B10" s="16" t="s">
        <v>96</v>
      </c>
      <c r="C10" s="12" t="s">
        <v>256</v>
      </c>
      <c r="D10" s="11" t="s">
        <v>371</v>
      </c>
      <c r="E10" s="222"/>
      <c r="F10" s="328"/>
      <c r="G10" s="328"/>
      <c r="H10" s="328"/>
      <c r="I10" s="328"/>
      <c r="J10" s="328"/>
      <c r="K10" s="328"/>
      <c r="L10" s="328"/>
      <c r="M10" s="328"/>
      <c r="N10" s="328"/>
      <c r="O10" s="328"/>
      <c r="P10" s="328">
        <v>0.4</v>
      </c>
      <c r="Q10" s="328">
        <v>0.4</v>
      </c>
      <c r="R10" s="328">
        <v>0.4</v>
      </c>
      <c r="S10" s="328">
        <v>0.4</v>
      </c>
      <c r="T10" s="328">
        <v>0.4</v>
      </c>
      <c r="U10" s="328">
        <v>0.4</v>
      </c>
      <c r="V10" s="328">
        <v>0.4</v>
      </c>
      <c r="W10" s="328">
        <v>0.4</v>
      </c>
      <c r="X10" s="328">
        <v>0.4</v>
      </c>
      <c r="Y10" s="328">
        <v>0.4</v>
      </c>
      <c r="Z10" s="328">
        <v>0.4</v>
      </c>
      <c r="AA10" s="328">
        <v>0.4</v>
      </c>
      <c r="AB10" s="328">
        <v>0.4</v>
      </c>
      <c r="AC10" s="328">
        <v>0.4</v>
      </c>
      <c r="AD10" s="328">
        <v>0.4</v>
      </c>
      <c r="AE10" s="328">
        <v>0.4</v>
      </c>
    </row>
    <row r="11" spans="1:31" s="470" customFormat="1" ht="15" customHeight="1">
      <c r="A11" s="9"/>
      <c r="B11" s="16" t="s">
        <v>99</v>
      </c>
      <c r="C11" s="12" t="s">
        <v>256</v>
      </c>
      <c r="D11" s="11" t="s">
        <v>372</v>
      </c>
      <c r="E11" s="222"/>
      <c r="F11" s="328"/>
      <c r="G11" s="328"/>
      <c r="H11" s="328"/>
      <c r="I11" s="328"/>
      <c r="J11" s="328"/>
      <c r="K11" s="328"/>
      <c r="L11" s="328"/>
      <c r="M11" s="328"/>
      <c r="N11" s="328"/>
      <c r="O11" s="328"/>
      <c r="P11" s="328">
        <v>0.6</v>
      </c>
      <c r="Q11" s="328">
        <v>0.6</v>
      </c>
      <c r="R11" s="328">
        <v>0.6</v>
      </c>
      <c r="S11" s="328">
        <v>0.6</v>
      </c>
      <c r="T11" s="328">
        <v>0.6</v>
      </c>
      <c r="U11" s="328">
        <v>0.6</v>
      </c>
      <c r="V11" s="328">
        <v>0.6</v>
      </c>
      <c r="W11" s="328">
        <v>0.6</v>
      </c>
      <c r="X11" s="328">
        <v>0.6</v>
      </c>
      <c r="Y11" s="328">
        <v>0.6</v>
      </c>
      <c r="Z11" s="328">
        <v>0.6</v>
      </c>
      <c r="AA11" s="328">
        <v>0.6</v>
      </c>
      <c r="AB11" s="328">
        <v>0.6</v>
      </c>
      <c r="AC11" s="328">
        <v>0.6</v>
      </c>
      <c r="AD11" s="328">
        <v>0.6</v>
      </c>
      <c r="AE11" s="328">
        <v>0.6</v>
      </c>
    </row>
    <row r="12" spans="1:31" s="470" customFormat="1" ht="15" customHeight="1">
      <c r="A12" s="9"/>
      <c r="B12" s="16" t="s">
        <v>100</v>
      </c>
      <c r="C12" s="12" t="s">
        <v>256</v>
      </c>
      <c r="D12" s="11" t="s">
        <v>369</v>
      </c>
      <c r="E12" s="222"/>
      <c r="F12" s="328"/>
      <c r="G12" s="328"/>
      <c r="H12" s="328"/>
      <c r="I12" s="328"/>
      <c r="J12" s="328"/>
      <c r="K12" s="328"/>
      <c r="L12" s="328"/>
      <c r="M12" s="328"/>
      <c r="N12" s="328"/>
      <c r="O12" s="328"/>
      <c r="P12" s="328">
        <v>0.8</v>
      </c>
      <c r="Q12" s="328">
        <v>0.8</v>
      </c>
      <c r="R12" s="328">
        <v>0.8</v>
      </c>
      <c r="S12" s="328">
        <v>0.8</v>
      </c>
      <c r="T12" s="328">
        <v>0.8</v>
      </c>
      <c r="U12" s="328">
        <v>0.8</v>
      </c>
      <c r="V12" s="328">
        <v>0.8</v>
      </c>
      <c r="W12" s="328">
        <v>0.8</v>
      </c>
      <c r="X12" s="328">
        <v>0.8</v>
      </c>
      <c r="Y12" s="328">
        <v>0.8</v>
      </c>
      <c r="Z12" s="328">
        <v>0.8</v>
      </c>
      <c r="AA12" s="328">
        <v>0.8</v>
      </c>
      <c r="AB12" s="328">
        <v>0.8</v>
      </c>
      <c r="AC12" s="328">
        <v>0.8</v>
      </c>
      <c r="AD12" s="328">
        <v>0.8</v>
      </c>
      <c r="AE12" s="328">
        <v>0.8</v>
      </c>
    </row>
    <row r="13" spans="1:31" s="470" customFormat="1" ht="15" customHeight="1">
      <c r="B13" s="183" t="s">
        <v>959</v>
      </c>
      <c r="C13" s="186" t="s">
        <v>257</v>
      </c>
      <c r="D13" s="169" t="s">
        <v>962</v>
      </c>
      <c r="E13" s="540"/>
      <c r="F13" s="167"/>
      <c r="G13" s="167"/>
      <c r="H13" s="167"/>
      <c r="I13" s="167"/>
      <c r="J13" s="167"/>
      <c r="K13" s="187"/>
      <c r="L13" s="187"/>
      <c r="M13" s="187"/>
      <c r="N13" s="187"/>
      <c r="O13" s="187"/>
      <c r="P13" s="187">
        <f>P7</f>
        <v>0.62235249305977924</v>
      </c>
      <c r="Q13" s="187">
        <f t="shared" ref="Q13:U13" si="1">Q7</f>
        <v>0.6181753273601267</v>
      </c>
      <c r="R13" s="187">
        <f t="shared" si="1"/>
        <v>0.60592012608777501</v>
      </c>
      <c r="S13" s="187">
        <f t="shared" si="1"/>
        <v>0.60592012608777501</v>
      </c>
      <c r="T13" s="187">
        <f t="shared" si="1"/>
        <v>0.60592012608777501</v>
      </c>
      <c r="U13" s="187">
        <f t="shared" si="1"/>
        <v>0.60592012608777501</v>
      </c>
      <c r="V13" s="1285">
        <f>U13-($U$13-$Z$13)/5</f>
        <v>0.58073610087021998</v>
      </c>
      <c r="W13" s="1285">
        <f t="shared" ref="W13:Y13" si="2">V13-($U$13-$Z$13)/5</f>
        <v>0.55555207565266496</v>
      </c>
      <c r="X13" s="1285">
        <f t="shared" si="2"/>
        <v>0.53036805043510993</v>
      </c>
      <c r="Y13" s="1285">
        <f t="shared" si="2"/>
        <v>0.5051840252175549</v>
      </c>
      <c r="Z13" s="187">
        <v>0.48</v>
      </c>
      <c r="AA13" s="1285">
        <f t="shared" ref="AA13" si="3">Z13-($Z$13-$AE$13)/5</f>
        <v>0.47199999999999998</v>
      </c>
      <c r="AB13" s="1285">
        <f>AA13-($Z$13-$AE$13)/5</f>
        <v>0.46399999999999997</v>
      </c>
      <c r="AC13" s="1285">
        <f t="shared" ref="AC13:AD13" si="4">AB13-($Z$13-$AE$13)/5</f>
        <v>0.45599999999999996</v>
      </c>
      <c r="AD13" s="1285">
        <f t="shared" si="4"/>
        <v>0.44799999999999995</v>
      </c>
      <c r="AE13" s="187">
        <v>0.44</v>
      </c>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1087" customFormat="1" ht="15" customHeight="1">
      <c r="B15" s="1132"/>
      <c r="C15" s="1133"/>
      <c r="D15" s="1134"/>
      <c r="E15" s="1135"/>
      <c r="F15" s="1088"/>
      <c r="G15" s="1088"/>
      <c r="H15" s="1088"/>
      <c r="I15" s="1088"/>
      <c r="J15" s="1088"/>
      <c r="K15" s="1088"/>
      <c r="L15" s="1088"/>
      <c r="M15" s="1088"/>
      <c r="N15" s="1088"/>
      <c r="O15" s="1088"/>
      <c r="P15" s="1088"/>
      <c r="Q15" s="1088"/>
      <c r="R15" s="1088"/>
      <c r="S15" s="1088"/>
      <c r="T15" s="1088"/>
      <c r="U15" s="1088"/>
      <c r="V15" s="1088"/>
      <c r="W15" s="1088"/>
      <c r="X15" s="1088"/>
      <c r="Y15" s="1088"/>
      <c r="Z15" s="1088"/>
      <c r="AA15" s="1088"/>
      <c r="AB15" s="1088"/>
      <c r="AC15" s="1088"/>
      <c r="AD15" s="1088"/>
      <c r="AE15" s="1088"/>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c r="G28" s="165"/>
      <c r="H28" s="165"/>
      <c r="I28" s="165"/>
      <c r="J28" s="165"/>
      <c r="K28" s="519"/>
      <c r="L28" s="519"/>
      <c r="M28" s="519"/>
      <c r="N28" s="519"/>
    </row>
    <row r="29" spans="2:31" ht="15" customHeight="1">
      <c r="G29" s="165"/>
      <c r="H29" s="165"/>
      <c r="I29" s="165"/>
      <c r="J29" s="165"/>
      <c r="K29" s="519"/>
      <c r="L29" s="519"/>
      <c r="M29" s="519"/>
      <c r="N29" s="519"/>
    </row>
    <row r="30" spans="2:31" ht="15" customHeight="1">
      <c r="G30" s="165"/>
      <c r="H30" s="165"/>
      <c r="I30" s="165"/>
      <c r="J30" s="165"/>
      <c r="K30" s="519"/>
      <c r="L30" s="519"/>
      <c r="M30" s="519"/>
      <c r="N30" s="519"/>
    </row>
    <row r="31" spans="2:31" ht="15" customHeight="1">
      <c r="G31" s="165"/>
      <c r="H31" s="165"/>
      <c r="I31" s="165"/>
      <c r="J31" s="165"/>
      <c r="K31" s="519"/>
      <c r="L31" s="519"/>
      <c r="M31" s="519"/>
      <c r="N31" s="519"/>
    </row>
    <row r="32" spans="2:31" ht="15" customHeight="1">
      <c r="G32" s="165"/>
      <c r="H32" s="165"/>
      <c r="I32" s="165"/>
      <c r="J32" s="165"/>
      <c r="K32" s="519"/>
      <c r="L32" s="519"/>
      <c r="M32" s="519"/>
      <c r="N32" s="519"/>
    </row>
    <row r="33" spans="7:14" ht="15" customHeight="1">
      <c r="G33" s="165"/>
      <c r="H33" s="165"/>
      <c r="I33" s="165"/>
      <c r="J33" s="165"/>
      <c r="K33" s="519"/>
      <c r="L33" s="519"/>
      <c r="M33" s="519"/>
      <c r="N33" s="519"/>
    </row>
    <row r="34" spans="7:14" ht="15" customHeight="1"/>
    <row r="35" spans="7:14" ht="15" customHeight="1"/>
    <row r="36" spans="7:14" ht="15" customHeight="1"/>
    <row r="37" spans="7:14" ht="15" customHeight="1"/>
    <row r="38" spans="7:14" ht="15" customHeight="1"/>
    <row r="39" spans="7:14" ht="15" customHeight="1"/>
    <row r="40" spans="7:14" ht="15" customHeight="1"/>
    <row r="41" spans="7:14" ht="15" customHeight="1"/>
    <row r="42" spans="7:14" ht="15" customHeight="1"/>
    <row r="43" spans="7:14" ht="15" customHeight="1"/>
    <row r="44" spans="7:14" ht="15" customHeight="1"/>
    <row r="45" spans="7:14" ht="15" customHeight="1"/>
    <row r="46" spans="7:14" ht="15" customHeight="1"/>
    <row r="47" spans="7:14" ht="15" customHeight="1"/>
    <row r="48" spans="7: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ov44U1GC6PGK+kNFg6SFYowYV6n1H0d/ZffXucvuvxiFzri3k4sNSTgcDw5g1dvJnu6ImN4IzadNv8tLkt6ZGg==" saltValue="vrJ3Gg3TVHPDFpMRUdPxMg==" spinCount="100000" sheet="1" objects="1" scenarios="1"/>
  <hyperlinks>
    <hyperlink ref="A1" location="'Start-Experte'!A1" display="zurück" xr:uid="{00000000-0004-0000-1A00-000000000000}"/>
  </hyperlinks>
  <pageMargins left="0.78740157480314965" right="0.78740157480314965" top="0.98425196850393704" bottom="0.98425196850393704" header="0.59055118110236227" footer="0.59055118110236227"/>
  <pageSetup paperSize="9" scale="60"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10FC8B98-CA66-4034-B654-4DE325045485}">
            <xm:f>ControlPanel!$D$59-1</xm:f>
            <x14:dxf>
              <font>
                <color rgb="FF9C6500"/>
              </font>
              <fill>
                <patternFill>
                  <fgColor indexed="64"/>
                  <bgColor rgb="FFFFEB9C"/>
                </patternFill>
              </fill>
            </x14:dxf>
          </x14:cfRule>
          <x14:cfRule type="cellIs" priority="2" operator="lessThan" id="{82AE3272-2CA1-4A49-B142-90AEED5683E3}">
            <xm:f>ControlPanel!$D$59</xm:f>
            <x14:dxf>
              <font>
                <color rgb="FF006100"/>
              </font>
              <fill>
                <patternFill>
                  <fgColor indexed="64"/>
                  <bgColor rgb="FFC6EFCE"/>
                </patternFill>
              </fill>
            </x14:dxf>
          </x14:cfRule>
          <xm:sqref>F4:AE4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9">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379</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15" customHeight="1" thickBot="1">
      <c r="B6" s="176" t="str">
        <f>ControlPanel!E29</f>
        <v>Referenz</v>
      </c>
      <c r="C6" s="15" t="str">
        <f>VLOOKUP($B$6,$B$7:$AE$25,2,FALSE)</f>
        <v>cl</v>
      </c>
      <c r="D6" s="15" t="str">
        <f>VLOOKUP($B$6,$B$7:$AE$25,3,FALSE)</f>
        <v>vollständig befreit (gem. EEG 2014)</v>
      </c>
      <c r="E6" s="15">
        <f>VLOOKUP($B$6,$B$7:$AE$25,4,FALSE)</f>
        <v>0</v>
      </c>
      <c r="F6" s="14">
        <f>IF(F$4&lt;ControlPanel!$D$59,VLOOKUP("Referenz",$B$7:$AE$25,F$4-$F$4+5,FALSE),VLOOKUP($B$6,$B$7:$AE$25,F$4-$F$4+5,FALSE))</f>
        <v>0</v>
      </c>
      <c r="G6" s="14">
        <f>IF(G$4&lt;ControlPanel!$D$59,VLOOKUP("Referenz",$B$7:$AE$25,G$4-$F$4+5,FALSE),VLOOKUP($B$6,$B$7:$AE$25,G$4-$F$4+5,FALSE))</f>
        <v>0</v>
      </c>
      <c r="H6" s="14">
        <f>IF(H$4&lt;ControlPanel!$D$59,VLOOKUP("Referenz",$B$7:$AE$25,H$4-$F$4+5,FALSE),VLOOKUP($B$6,$B$7:$AE$25,H$4-$F$4+5,FALSE))</f>
        <v>0</v>
      </c>
      <c r="I6" s="14">
        <f>IF(I$4&lt;ControlPanel!$D$59,VLOOKUP("Referenz",$B$7:$AE$25,I$4-$F$4+5,FALSE),VLOOKUP($B$6,$B$7:$AE$25,I$4-$F$4+5,FALSE))</f>
        <v>0</v>
      </c>
      <c r="J6" s="14">
        <f>IF(J$4&lt;ControlPanel!$D$59,VLOOKUP("Referenz",$B$7:$AE$25,J$4-$F$4+5,FALSE),VLOOKUP($B$6,$B$7:$AE$25,J$4-$F$4+5,FALSE))</f>
        <v>0</v>
      </c>
      <c r="K6" s="14">
        <f>IF(K$4&lt;ControlPanel!$D$59,VLOOKUP("Referenz",$B$7:$AE$25,K$4-$F$4+5,FALSE),VLOOKUP($B$6,$B$7:$AE$25,K$4-$F$4+5,FALSE))</f>
        <v>0</v>
      </c>
      <c r="L6" s="14">
        <f>IF(L$4&lt;ControlPanel!$D$59,VLOOKUP("Referenz",$B$7:$AE$25,L$4-$F$4+5,FALSE),VLOOKUP($B$6,$B$7:$AE$25,L$4-$F$4+5,FALSE))</f>
        <v>0</v>
      </c>
      <c r="M6" s="14">
        <f>IF(M$4&lt;ControlPanel!$D$59,VLOOKUP("Referenz",$B$7:$AE$25,M$4-$F$4+5,FALSE),VLOOKUP($B$6,$B$7:$AE$25,M$4-$F$4+5,FALSE))</f>
        <v>0</v>
      </c>
      <c r="N6" s="14">
        <f>IF(N$4&lt;ControlPanel!$D$59,VLOOKUP("Referenz",$B$7:$AE$25,N$4-$F$4+5,FALSE),VLOOKUP($B$6,$B$7:$AE$25,N$4-$F$4+5,FALSE))</f>
        <v>0</v>
      </c>
      <c r="O6" s="14">
        <f>IF(O$4&lt;ControlPanel!$D$59,VLOOKUP("Referenz",$B$7:$AE$25,O$4-$F$4+5,FALSE),VLOOKUP($B$6,$B$7:$AE$25,O$4-$F$4+5,FALSE))</f>
        <v>0</v>
      </c>
      <c r="P6" s="14">
        <f>IF(P$4&lt;ControlPanel!$D$59,VLOOKUP("Referenz",$B$7:$AE$25,P$4-$F$4+5,FALSE),VLOOKUP($B$6,$B$7:$AE$25,P$4-$F$4+5,FALSE))</f>
        <v>0</v>
      </c>
      <c r="Q6" s="14">
        <f>IF(Q$4&lt;ControlPanel!$D$59,VLOOKUP("Referenz",$B$7:$AE$25,Q$4-$F$4+5,FALSE),VLOOKUP($B$6,$B$7:$AE$25,Q$4-$F$4+5,FALSE))</f>
        <v>0</v>
      </c>
      <c r="R6" s="14">
        <f>IF(R$4&lt;ControlPanel!$D$59,VLOOKUP("Referenz",$B$7:$AE$25,R$4-$F$4+5,FALSE),VLOOKUP($B$6,$B$7:$AE$25,R$4-$F$4+5,FALSE))</f>
        <v>0</v>
      </c>
      <c r="S6" s="14">
        <f>IF(S$4&lt;ControlPanel!$D$59,VLOOKUP("Referenz",$B$7:$AE$25,S$4-$F$4+5,FALSE),VLOOKUP($B$6,$B$7:$AE$25,S$4-$F$4+5,FALSE))</f>
        <v>0</v>
      </c>
      <c r="T6" s="14">
        <f>IF(T$4&lt;ControlPanel!$D$59,VLOOKUP("Referenz",$B$7:$AE$25,T$4-$F$4+5,FALSE),VLOOKUP($B$6,$B$7:$AE$25,T$4-$F$4+5,FALSE))</f>
        <v>0</v>
      </c>
      <c r="U6" s="14">
        <f>IF(U$4&lt;ControlPanel!$D$59,VLOOKUP("Referenz",$B$7:$AE$25,U$4-$F$4+5,FALSE),VLOOKUP($B$6,$B$7:$AE$25,U$4-$F$4+5,FALSE))</f>
        <v>0</v>
      </c>
      <c r="V6" s="14">
        <f>IF(V$4&lt;ControlPanel!$D$59,VLOOKUP("Referenz",$B$7:$AE$25,V$4-$F$4+5,FALSE),VLOOKUP($B$6,$B$7:$AE$25,V$4-$F$4+5,FALSE))</f>
        <v>0</v>
      </c>
      <c r="W6" s="14">
        <f>IF(W$4&lt;ControlPanel!$D$59,VLOOKUP("Referenz",$B$7:$AE$25,W$4-$F$4+5,FALSE),VLOOKUP($B$6,$B$7:$AE$25,W$4-$F$4+5,FALSE))</f>
        <v>0</v>
      </c>
      <c r="X6" s="14">
        <f>IF(X$4&lt;ControlPanel!$D$59,VLOOKUP("Referenz",$B$7:$AE$25,X$4-$F$4+5,FALSE),VLOOKUP($B$6,$B$7:$AE$25,X$4-$F$4+5,FALSE))</f>
        <v>0</v>
      </c>
      <c r="Y6" s="14">
        <f>IF(Y$4&lt;ControlPanel!$D$59,VLOOKUP("Referenz",$B$7:$AE$25,Y$4-$F$4+5,FALSE),VLOOKUP($B$6,$B$7:$AE$25,Y$4-$F$4+5,FALSE))</f>
        <v>0</v>
      </c>
      <c r="Z6" s="14">
        <f>IF(Z$4&lt;ControlPanel!$D$59,VLOOKUP("Referenz",$B$7:$AE$25,Z$4-$F$4+5,FALSE),VLOOKUP($B$6,$B$7:$AE$25,Z$4-$F$4+5,FALSE))</f>
        <v>0</v>
      </c>
      <c r="AA6" s="14">
        <f>IF(AA$4&lt;ControlPanel!$D$59,VLOOKUP("Referenz",$B$7:$AE$25,AA$4-$F$4+5,FALSE),VLOOKUP($B$6,$B$7:$AE$25,AA$4-$F$4+5,FALSE))</f>
        <v>0</v>
      </c>
      <c r="AB6" s="14">
        <f>IF(AB$4&lt;ControlPanel!$D$59,VLOOKUP("Referenz",$B$7:$AE$25,AB$4-$F$4+5,FALSE),VLOOKUP($B$6,$B$7:$AE$25,AB$4-$F$4+5,FALSE))</f>
        <v>0</v>
      </c>
      <c r="AC6" s="14">
        <f>IF(AC$4&lt;ControlPanel!$D$59,VLOOKUP("Referenz",$B$7:$AE$25,AC$4-$F$4+5,FALSE),VLOOKUP($B$6,$B$7:$AE$25,AC$4-$F$4+5,FALSE))</f>
        <v>0</v>
      </c>
      <c r="AD6" s="14">
        <f>IF(AD$4&lt;ControlPanel!$D$59,VLOOKUP("Referenz",$B$7:$AE$25,AD$4-$F$4+5,FALSE),VLOOKUP($B$6,$B$7:$AE$25,AD$4-$F$4+5,FALSE))</f>
        <v>0</v>
      </c>
      <c r="AE6" s="14">
        <f>IF(AE$4&lt;ControlPanel!$D$59,VLOOKUP("Referenz",$B$7:$AE$25,AE$4-$F$4+5,FALSE),VLOOKUP($B$6,$B$7:$AE$25,AE$4-$F$4+5,FALSE))</f>
        <v>0</v>
      </c>
    </row>
    <row r="7" spans="1:31" ht="15" customHeight="1">
      <c r="B7" s="180" t="s">
        <v>138</v>
      </c>
      <c r="C7" s="12" t="s">
        <v>256</v>
      </c>
      <c r="D7" s="329" t="s">
        <v>380</v>
      </c>
      <c r="E7" s="26"/>
      <c r="F7" s="328">
        <v>0</v>
      </c>
      <c r="G7" s="328">
        <v>0</v>
      </c>
      <c r="H7" s="328">
        <v>0</v>
      </c>
      <c r="I7" s="328">
        <v>0</v>
      </c>
      <c r="J7" s="328">
        <v>0</v>
      </c>
      <c r="K7" s="328">
        <v>0</v>
      </c>
      <c r="L7" s="328">
        <v>0</v>
      </c>
      <c r="M7" s="328">
        <v>0</v>
      </c>
      <c r="N7" s="328">
        <v>0</v>
      </c>
      <c r="O7" s="328">
        <v>0</v>
      </c>
      <c r="P7" s="328">
        <v>0</v>
      </c>
      <c r="Q7" s="328">
        <v>0</v>
      </c>
      <c r="R7" s="328">
        <v>0</v>
      </c>
      <c r="S7" s="328">
        <v>0</v>
      </c>
      <c r="T7" s="328">
        <v>0</v>
      </c>
      <c r="U7" s="328">
        <v>0</v>
      </c>
      <c r="V7" s="328">
        <v>0</v>
      </c>
      <c r="W7" s="328">
        <v>0</v>
      </c>
      <c r="X7" s="328">
        <v>0</v>
      </c>
      <c r="Y7" s="328">
        <v>0</v>
      </c>
      <c r="Z7" s="328">
        <v>0</v>
      </c>
      <c r="AA7" s="328">
        <v>0</v>
      </c>
      <c r="AB7" s="328">
        <v>0</v>
      </c>
      <c r="AC7" s="328">
        <v>0</v>
      </c>
      <c r="AD7" s="328">
        <v>0</v>
      </c>
      <c r="AE7" s="328">
        <v>0</v>
      </c>
    </row>
    <row r="8" spans="1:31" ht="15" customHeight="1">
      <c r="B8" s="16" t="s">
        <v>262</v>
      </c>
      <c r="C8" s="12" t="s">
        <v>257</v>
      </c>
      <c r="D8" s="329" t="s">
        <v>135</v>
      </c>
      <c r="E8" s="26"/>
      <c r="F8" s="328"/>
      <c r="G8" s="328"/>
      <c r="H8" s="328"/>
      <c r="I8" s="328"/>
      <c r="J8" s="328"/>
      <c r="K8" s="328"/>
      <c r="L8" s="328"/>
      <c r="M8" s="328"/>
      <c r="N8" s="328"/>
      <c r="O8" s="328"/>
      <c r="P8" s="328">
        <v>0</v>
      </c>
      <c r="Q8" s="328">
        <v>0</v>
      </c>
      <c r="R8" s="328">
        <v>0</v>
      </c>
      <c r="S8" s="328">
        <v>0</v>
      </c>
      <c r="T8" s="328">
        <v>0</v>
      </c>
      <c r="U8" s="328">
        <v>0</v>
      </c>
      <c r="V8" s="328">
        <v>0</v>
      </c>
      <c r="W8" s="328">
        <v>0</v>
      </c>
      <c r="X8" s="328">
        <v>0</v>
      </c>
      <c r="Y8" s="328">
        <v>0</v>
      </c>
      <c r="Z8" s="328">
        <v>0</v>
      </c>
      <c r="AA8" s="328">
        <v>0</v>
      </c>
      <c r="AB8" s="328">
        <v>0</v>
      </c>
      <c r="AC8" s="328">
        <v>0</v>
      </c>
      <c r="AD8" s="328">
        <v>0</v>
      </c>
      <c r="AE8" s="328">
        <v>0</v>
      </c>
    </row>
    <row r="9" spans="1:31" ht="15" customHeight="1">
      <c r="B9" s="16" t="s">
        <v>98</v>
      </c>
      <c r="C9" s="12" t="s">
        <v>257</v>
      </c>
      <c r="D9" s="329" t="s">
        <v>285</v>
      </c>
      <c r="E9" s="26"/>
      <c r="F9" s="328"/>
      <c r="G9" s="328"/>
      <c r="H9" s="328"/>
      <c r="I9" s="328"/>
      <c r="J9" s="328"/>
      <c r="K9" s="328"/>
      <c r="L9" s="328"/>
      <c r="M9" s="328"/>
      <c r="N9" s="328"/>
      <c r="O9" s="328"/>
      <c r="P9" s="328">
        <v>0.25</v>
      </c>
      <c r="Q9" s="328">
        <v>0.25</v>
      </c>
      <c r="R9" s="328">
        <v>0.25</v>
      </c>
      <c r="S9" s="328">
        <v>0.25</v>
      </c>
      <c r="T9" s="328">
        <v>0.25</v>
      </c>
      <c r="U9" s="328">
        <v>0.25</v>
      </c>
      <c r="V9" s="328">
        <v>0.25</v>
      </c>
      <c r="W9" s="328">
        <v>0.25</v>
      </c>
      <c r="X9" s="328">
        <v>0.25</v>
      </c>
      <c r="Y9" s="328">
        <v>0.25</v>
      </c>
      <c r="Z9" s="328">
        <v>0.25</v>
      </c>
      <c r="AA9" s="328">
        <v>0.25</v>
      </c>
      <c r="AB9" s="328">
        <v>0.25</v>
      </c>
      <c r="AC9" s="328">
        <v>0.25</v>
      </c>
      <c r="AD9" s="328">
        <v>0.25</v>
      </c>
      <c r="AE9" s="328">
        <v>0.25</v>
      </c>
    </row>
    <row r="10" spans="1:31" ht="15" customHeight="1">
      <c r="B10" s="16" t="s">
        <v>96</v>
      </c>
      <c r="C10" s="12" t="s">
        <v>257</v>
      </c>
      <c r="D10" s="329" t="s">
        <v>286</v>
      </c>
      <c r="E10" s="26"/>
      <c r="F10" s="328"/>
      <c r="G10" s="328"/>
      <c r="H10" s="328"/>
      <c r="I10" s="328"/>
      <c r="J10" s="328"/>
      <c r="K10" s="328"/>
      <c r="L10" s="328"/>
      <c r="M10" s="328"/>
      <c r="N10" s="328"/>
      <c r="O10" s="328"/>
      <c r="P10" s="328">
        <v>0.5</v>
      </c>
      <c r="Q10" s="328">
        <v>0.5</v>
      </c>
      <c r="R10" s="328">
        <v>0.5</v>
      </c>
      <c r="S10" s="328">
        <v>0.5</v>
      </c>
      <c r="T10" s="328">
        <v>0.5</v>
      </c>
      <c r="U10" s="328">
        <v>0.5</v>
      </c>
      <c r="V10" s="328">
        <v>0.5</v>
      </c>
      <c r="W10" s="328">
        <v>0.5</v>
      </c>
      <c r="X10" s="328">
        <v>0.5</v>
      </c>
      <c r="Y10" s="328">
        <v>0.5</v>
      </c>
      <c r="Z10" s="328">
        <v>0.5</v>
      </c>
      <c r="AA10" s="328">
        <v>0.5</v>
      </c>
      <c r="AB10" s="328">
        <v>0.5</v>
      </c>
      <c r="AC10" s="328">
        <v>0.5</v>
      </c>
      <c r="AD10" s="328">
        <v>0.5</v>
      </c>
      <c r="AE10" s="328">
        <v>0.5</v>
      </c>
    </row>
    <row r="11" spans="1:31" ht="15" customHeight="1">
      <c r="B11" s="16" t="s">
        <v>99</v>
      </c>
      <c r="C11" s="12" t="s">
        <v>257</v>
      </c>
      <c r="D11" s="329" t="s">
        <v>287</v>
      </c>
      <c r="E11" s="26"/>
      <c r="F11" s="328"/>
      <c r="G11" s="328"/>
      <c r="H11" s="328"/>
      <c r="I11" s="328"/>
      <c r="J11" s="328"/>
      <c r="K11" s="328"/>
      <c r="L11" s="328"/>
      <c r="M11" s="328"/>
      <c r="N11" s="328"/>
      <c r="O11" s="328"/>
      <c r="P11" s="328">
        <v>0.75</v>
      </c>
      <c r="Q11" s="328">
        <v>0.75</v>
      </c>
      <c r="R11" s="328">
        <v>0.75</v>
      </c>
      <c r="S11" s="328">
        <v>0.75</v>
      </c>
      <c r="T11" s="328">
        <v>0.75</v>
      </c>
      <c r="U11" s="328">
        <v>0.75</v>
      </c>
      <c r="V11" s="328">
        <v>0.75</v>
      </c>
      <c r="W11" s="328">
        <v>0.75</v>
      </c>
      <c r="X11" s="328">
        <v>0.75</v>
      </c>
      <c r="Y11" s="328">
        <v>0.75</v>
      </c>
      <c r="Z11" s="328">
        <v>0.75</v>
      </c>
      <c r="AA11" s="328">
        <v>0.75</v>
      </c>
      <c r="AB11" s="328">
        <v>0.75</v>
      </c>
      <c r="AC11" s="328">
        <v>0.75</v>
      </c>
      <c r="AD11" s="328">
        <v>0.75</v>
      </c>
      <c r="AE11" s="328">
        <v>0.75</v>
      </c>
    </row>
    <row r="12" spans="1:31" ht="15" customHeight="1">
      <c r="B12" s="16" t="s">
        <v>263</v>
      </c>
      <c r="C12" s="12" t="s">
        <v>257</v>
      </c>
      <c r="D12" s="329" t="s">
        <v>288</v>
      </c>
      <c r="E12" s="26"/>
      <c r="F12" s="328"/>
      <c r="G12" s="328"/>
      <c r="H12" s="328"/>
      <c r="I12" s="328"/>
      <c r="J12" s="328"/>
      <c r="K12" s="328"/>
      <c r="L12" s="328"/>
      <c r="M12" s="328"/>
      <c r="N12" s="328"/>
      <c r="O12" s="328"/>
      <c r="P12" s="328">
        <v>1</v>
      </c>
      <c r="Q12" s="328">
        <v>1</v>
      </c>
      <c r="R12" s="328">
        <v>1</v>
      </c>
      <c r="S12" s="328">
        <v>1</v>
      </c>
      <c r="T12" s="328">
        <v>1</v>
      </c>
      <c r="U12" s="328">
        <v>1</v>
      </c>
      <c r="V12" s="328">
        <v>1</v>
      </c>
      <c r="W12" s="328">
        <v>1</v>
      </c>
      <c r="X12" s="328">
        <v>1</v>
      </c>
      <c r="Y12" s="328">
        <v>1</v>
      </c>
      <c r="Z12" s="328">
        <v>1</v>
      </c>
      <c r="AA12" s="328">
        <v>1</v>
      </c>
      <c r="AB12" s="328">
        <v>1</v>
      </c>
      <c r="AC12" s="328">
        <v>1</v>
      </c>
      <c r="AD12" s="328">
        <v>1</v>
      </c>
      <c r="AE12" s="328">
        <v>1</v>
      </c>
    </row>
    <row r="13" spans="1:31" s="470" customFormat="1" ht="15" customHeight="1">
      <c r="B13" s="183"/>
      <c r="C13" s="186"/>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557" customFormat="1" ht="15" customHeight="1">
      <c r="B14" s="183"/>
      <c r="C14" s="1133"/>
      <c r="D14" s="1136"/>
      <c r="E14" s="1211"/>
      <c r="F14" s="1088"/>
      <c r="G14" s="1088"/>
      <c r="H14" s="1088"/>
      <c r="I14" s="1088"/>
      <c r="J14" s="1088"/>
      <c r="K14" s="1088"/>
      <c r="L14" s="1088"/>
      <c r="M14" s="1088"/>
      <c r="N14" s="1088"/>
      <c r="O14" s="1088"/>
      <c r="P14" s="1088"/>
      <c r="Q14" s="1088"/>
      <c r="R14" s="1088"/>
      <c r="S14" s="1088"/>
      <c r="T14" s="1088"/>
      <c r="U14" s="1088"/>
      <c r="V14" s="1088"/>
      <c r="W14" s="1088"/>
      <c r="X14" s="1088"/>
      <c r="Y14" s="1088"/>
      <c r="Z14" s="1088"/>
      <c r="AA14" s="1088"/>
      <c r="AB14" s="1088"/>
      <c r="AC14" s="1088"/>
      <c r="AD14" s="1088"/>
      <c r="AE14" s="1088"/>
    </row>
    <row r="15" spans="1:31" s="470" customFormat="1">
      <c r="B15" s="183"/>
      <c r="C15" s="186"/>
      <c r="D15" s="525"/>
      <c r="E15" s="545"/>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dTI++JGgziHo3rtUHF/QaSChZxAqXJBsFvTEy5W8KXb23HH4Ohxf2V+KSEy4eJ3MAKrquma32aQD+6Vfvl2SBw==" saltValue="sU/bovmZ7sJLkvRKi20ikQ==" spinCount="100000" sheet="1" objects="1" scenarios="1"/>
  <hyperlinks>
    <hyperlink ref="A1" location="'Start-Experte'!A1" display="zurück" xr:uid="{00000000-0004-0000-1B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AA41431A-7DE4-4E11-A8B5-EF996C8A1A37}">
            <xm:f>ControlPanel!$D$59-1</xm:f>
            <x14:dxf>
              <font>
                <color rgb="FF9C6500"/>
              </font>
              <fill>
                <patternFill>
                  <fgColor indexed="64"/>
                  <bgColor rgb="FFFFEB9C"/>
                </patternFill>
              </fill>
            </x14:dxf>
          </x14:cfRule>
          <x14:cfRule type="cellIs" priority="2" operator="lessThan" id="{2DE937C7-0E09-44B1-A28C-8BABBC1E531A}">
            <xm:f>ControlPanel!$D$59</xm:f>
            <x14:dxf>
              <font>
                <color rgb="FF006100"/>
              </font>
              <fill>
                <patternFill>
                  <fgColor indexed="64"/>
                  <bgColor rgb="FFC6EFCE"/>
                </patternFill>
              </fill>
            </x14:dxf>
          </x14:cfRule>
          <xm:sqref>F4:AE4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tabColor rgb="FFFF0000"/>
  </sheetPr>
  <dimension ref="A1:X101"/>
  <sheetViews>
    <sheetView workbookViewId="0"/>
  </sheetViews>
  <sheetFormatPr baseColWidth="10" defaultColWidth="11.42578125" defaultRowHeight="15" customHeight="1" outlineLevelRow="1"/>
  <cols>
    <col min="1" max="2" width="3.7109375" style="128" customWidth="1"/>
    <col min="3" max="3" width="34.42578125" style="128" customWidth="1"/>
    <col min="4" max="4" width="17.7109375" style="128" bestFit="1" customWidth="1"/>
    <col min="5" max="5" width="10.7109375" style="128" customWidth="1"/>
    <col min="6" max="6" width="40.7109375" style="143" customWidth="1"/>
    <col min="7" max="7" width="5.85546875" style="143" customWidth="1"/>
    <col min="8" max="8" width="6.85546875" style="143" customWidth="1"/>
    <col min="9" max="9" width="25.85546875" style="143" customWidth="1"/>
    <col min="10" max="10" width="17.7109375" style="143" bestFit="1" customWidth="1"/>
    <col min="11" max="11" width="7.5703125" style="143" customWidth="1"/>
    <col min="12" max="12" width="15.85546875" style="143" customWidth="1"/>
    <col min="13" max="13" width="39.140625" style="143" customWidth="1"/>
    <col min="14" max="14" width="2.140625" style="143" customWidth="1"/>
    <col min="15" max="15" width="3.7109375" style="143" customWidth="1"/>
    <col min="16" max="16" width="3.85546875" style="143" customWidth="1"/>
    <col min="17" max="17" width="28.5703125" style="143" customWidth="1"/>
    <col min="18" max="18" width="72" style="143" customWidth="1"/>
    <col min="19" max="22" width="12.7109375" style="128" customWidth="1"/>
    <col min="23" max="23" width="4.42578125" style="128" customWidth="1"/>
    <col min="24" max="16384" width="11.42578125" style="128"/>
  </cols>
  <sheetData>
    <row r="1" spans="1:23" ht="15" customHeight="1">
      <c r="A1" s="127"/>
      <c r="B1" s="127"/>
      <c r="C1" s="127"/>
      <c r="D1" s="127"/>
      <c r="E1" s="127"/>
      <c r="F1" s="127"/>
      <c r="G1" s="127"/>
      <c r="H1" s="127"/>
      <c r="I1" s="127"/>
      <c r="J1" s="127"/>
      <c r="K1" s="127"/>
      <c r="L1" s="127"/>
      <c r="M1" s="127"/>
      <c r="N1" s="127"/>
      <c r="O1" s="127"/>
      <c r="P1" s="127"/>
      <c r="Q1" s="127"/>
      <c r="R1" s="127"/>
      <c r="S1" s="127"/>
      <c r="T1" s="127"/>
      <c r="U1" s="127"/>
      <c r="V1" s="127"/>
    </row>
    <row r="2" spans="1:23" ht="15" customHeight="1">
      <c r="A2" s="127"/>
      <c r="B2" s="144"/>
      <c r="C2" s="1420" t="s">
        <v>101</v>
      </c>
      <c r="D2" s="145" t="s">
        <v>143</v>
      </c>
      <c r="E2" s="145"/>
      <c r="F2" s="145"/>
      <c r="G2" s="145"/>
      <c r="H2" s="145"/>
      <c r="I2" s="145"/>
      <c r="J2" s="145"/>
      <c r="K2" s="145"/>
      <c r="L2" s="145"/>
      <c r="M2" s="145"/>
      <c r="N2" s="145"/>
      <c r="O2" s="145"/>
      <c r="P2" s="145"/>
      <c r="Q2" s="145"/>
      <c r="R2" s="145"/>
      <c r="S2" s="145"/>
      <c r="T2" s="1434"/>
      <c r="U2" s="1434"/>
      <c r="V2" s="476"/>
      <c r="W2" s="146"/>
    </row>
    <row r="3" spans="1:23" ht="15" customHeight="1">
      <c r="A3" s="127"/>
      <c r="B3" s="147"/>
      <c r="C3" s="1421"/>
      <c r="D3" s="148"/>
      <c r="E3" s="148"/>
      <c r="F3" s="148"/>
      <c r="G3" s="148"/>
      <c r="H3" s="148"/>
      <c r="I3" s="148"/>
      <c r="J3" s="148"/>
      <c r="K3" s="148"/>
      <c r="L3" s="148"/>
      <c r="M3" s="148"/>
      <c r="N3" s="148"/>
      <c r="O3" s="148"/>
      <c r="P3" s="148"/>
      <c r="Q3" s="148"/>
      <c r="R3" s="148"/>
      <c r="S3" s="148"/>
      <c r="T3" s="1435"/>
      <c r="U3" s="1435"/>
      <c r="V3" s="477"/>
      <c r="W3" s="149"/>
    </row>
    <row r="4" spans="1:23" ht="17.100000000000001" customHeight="1">
      <c r="A4" s="127"/>
      <c r="B4" s="486"/>
      <c r="C4" s="485" t="s">
        <v>143</v>
      </c>
      <c r="D4" s="487"/>
      <c r="E4" s="487"/>
      <c r="F4" s="487"/>
      <c r="G4" s="487"/>
      <c r="H4" s="487"/>
      <c r="I4" s="487"/>
      <c r="J4" s="487"/>
      <c r="K4" s="487"/>
      <c r="L4" s="487"/>
      <c r="M4" s="487"/>
      <c r="N4" s="487"/>
      <c r="O4" s="487"/>
      <c r="P4" s="487"/>
      <c r="Q4" s="487"/>
      <c r="R4" s="487"/>
      <c r="S4" s="487"/>
      <c r="T4" s="487"/>
      <c r="U4" s="487"/>
      <c r="V4" s="487"/>
      <c r="W4" s="488"/>
    </row>
    <row r="5" spans="1:23" ht="15" customHeight="1" outlineLevel="1" thickBot="1">
      <c r="A5" s="127"/>
      <c r="B5" s="158"/>
      <c r="C5" s="159"/>
      <c r="D5" s="130"/>
      <c r="E5" s="130"/>
      <c r="F5" s="130"/>
      <c r="G5" s="130"/>
      <c r="H5" s="130"/>
      <c r="I5" s="130"/>
      <c r="J5" s="130"/>
      <c r="K5" s="130"/>
      <c r="L5" s="130"/>
      <c r="M5" s="130"/>
      <c r="N5" s="130"/>
      <c r="O5" s="130"/>
      <c r="P5" s="130"/>
      <c r="Q5" s="130"/>
      <c r="R5" s="130"/>
      <c r="S5" s="130"/>
      <c r="T5" s="130"/>
      <c r="U5" s="130"/>
      <c r="V5" s="130"/>
      <c r="W5" s="160"/>
    </row>
    <row r="6" spans="1:23" ht="15" customHeight="1" outlineLevel="1" thickBot="1">
      <c r="A6" s="127"/>
      <c r="B6" s="158"/>
      <c r="C6" s="385"/>
      <c r="D6" s="1422" t="s">
        <v>335</v>
      </c>
      <c r="E6" s="1423"/>
      <c r="F6" s="1424"/>
      <c r="G6" s="130"/>
      <c r="H6" s="130"/>
      <c r="I6" s="130"/>
      <c r="J6" s="1422" t="s">
        <v>334</v>
      </c>
      <c r="K6" s="1423"/>
      <c r="L6" s="1423"/>
      <c r="M6" s="1424"/>
      <c r="N6" s="110"/>
      <c r="O6" s="130"/>
      <c r="P6" s="130"/>
      <c r="Q6" s="130"/>
      <c r="R6" s="130"/>
      <c r="S6" s="130"/>
      <c r="T6" s="130"/>
      <c r="U6" s="130"/>
      <c r="V6" s="130"/>
      <c r="W6" s="160"/>
    </row>
    <row r="7" spans="1:23" ht="15" customHeight="1" outlineLevel="1" thickBot="1">
      <c r="A7" s="127"/>
      <c r="B7" s="158"/>
      <c r="C7" s="410" t="s">
        <v>145</v>
      </c>
      <c r="D7" s="411" t="s">
        <v>140</v>
      </c>
      <c r="E7" s="1416" t="s">
        <v>141</v>
      </c>
      <c r="F7" s="1417"/>
      <c r="G7" s="130"/>
      <c r="H7" s="130"/>
      <c r="I7" s="410" t="s">
        <v>145</v>
      </c>
      <c r="J7" s="1428" t="s">
        <v>140</v>
      </c>
      <c r="K7" s="1429"/>
      <c r="L7" s="1416" t="s">
        <v>141</v>
      </c>
      <c r="M7" s="1417"/>
      <c r="N7" s="110"/>
      <c r="O7" s="130"/>
      <c r="P7" s="130"/>
      <c r="Q7" s="130"/>
      <c r="R7" s="130"/>
      <c r="S7" s="130"/>
      <c r="T7" s="130"/>
      <c r="U7" s="130"/>
      <c r="V7" s="130"/>
      <c r="W7" s="160"/>
    </row>
    <row r="8" spans="1:23" ht="15" customHeight="1" outlineLevel="1">
      <c r="A8" s="127"/>
      <c r="B8" s="158"/>
      <c r="C8" s="136" t="s">
        <v>24</v>
      </c>
      <c r="D8" s="478"/>
      <c r="E8" s="439" t="str">
        <f>Start!E8</f>
        <v>Referenz</v>
      </c>
      <c r="F8" s="419"/>
      <c r="G8" s="130"/>
      <c r="H8" s="130"/>
      <c r="I8" s="136" t="s">
        <v>24</v>
      </c>
      <c r="J8" s="1430"/>
      <c r="K8" s="1431"/>
      <c r="L8" s="439" t="str">
        <f>Start!L8</f>
        <v>Referenz</v>
      </c>
      <c r="M8" s="420"/>
      <c r="N8" s="110"/>
      <c r="O8" s="130"/>
      <c r="P8" s="130"/>
      <c r="Q8" s="130"/>
      <c r="R8" s="130"/>
      <c r="S8" s="130"/>
      <c r="T8" s="130"/>
      <c r="U8" s="130"/>
      <c r="V8" s="130"/>
      <c r="W8" s="160"/>
    </row>
    <row r="9" spans="1:23" ht="15" customHeight="1" outlineLevel="1">
      <c r="A9" s="127"/>
      <c r="B9" s="158"/>
      <c r="C9" s="137" t="s">
        <v>26</v>
      </c>
      <c r="D9" s="479"/>
      <c r="E9" s="131" t="str">
        <f>Start!E9</f>
        <v>Referenz</v>
      </c>
      <c r="F9" s="253"/>
      <c r="G9" s="130"/>
      <c r="H9" s="130"/>
      <c r="I9" s="137" t="s">
        <v>26</v>
      </c>
      <c r="J9" s="1432"/>
      <c r="K9" s="1433"/>
      <c r="L9" s="131" t="str">
        <f>Start!L9</f>
        <v>Referenz</v>
      </c>
      <c r="M9" s="388"/>
      <c r="N9" s="110"/>
      <c r="O9" s="130"/>
      <c r="P9" s="130"/>
      <c r="Q9" s="130"/>
      <c r="R9" s="130"/>
      <c r="S9" s="130"/>
      <c r="T9" s="130"/>
      <c r="U9" s="130"/>
      <c r="V9" s="130"/>
      <c r="W9" s="160"/>
    </row>
    <row r="10" spans="1:23" ht="15" customHeight="1" outlineLevel="1">
      <c r="A10" s="127"/>
      <c r="B10" s="158"/>
      <c r="C10" s="393" t="s">
        <v>14</v>
      </c>
      <c r="D10" s="479"/>
      <c r="E10" s="131" t="str">
        <f>Start!E10</f>
        <v>Referenz</v>
      </c>
      <c r="F10" s="408"/>
      <c r="G10" s="130"/>
      <c r="H10" s="130"/>
      <c r="I10" s="393" t="s">
        <v>74</v>
      </c>
      <c r="J10" s="1432"/>
      <c r="K10" s="1433"/>
      <c r="L10" s="131" t="str">
        <f>Start!L10</f>
        <v>Referenz</v>
      </c>
      <c r="M10" s="408"/>
      <c r="N10" s="110"/>
      <c r="O10" s="130"/>
      <c r="P10" s="130"/>
      <c r="Q10" s="130"/>
      <c r="R10" s="130"/>
      <c r="S10" s="130"/>
      <c r="T10" s="130"/>
      <c r="U10" s="130"/>
      <c r="V10" s="130"/>
      <c r="W10" s="160"/>
    </row>
    <row r="11" spans="1:23" ht="15" customHeight="1" outlineLevel="1" thickBot="1">
      <c r="A11" s="127"/>
      <c r="B11" s="158"/>
      <c r="C11" s="137" t="s">
        <v>13</v>
      </c>
      <c r="D11" s="479"/>
      <c r="E11" s="131" t="str">
        <f>Start!E11</f>
        <v>Referenz</v>
      </c>
      <c r="F11" s="253"/>
      <c r="G11" s="130"/>
      <c r="H11" s="130"/>
      <c r="I11" s="137" t="s">
        <v>13</v>
      </c>
      <c r="J11" s="1432"/>
      <c r="K11" s="1433"/>
      <c r="L11" s="131" t="str">
        <f>Start!L11</f>
        <v>Referenz</v>
      </c>
      <c r="M11" s="388"/>
      <c r="N11" s="110"/>
      <c r="O11" s="130"/>
      <c r="P11" s="130"/>
      <c r="Q11" s="130"/>
      <c r="R11" s="130"/>
      <c r="S11" s="130"/>
      <c r="T11" s="130"/>
      <c r="U11" s="130"/>
      <c r="V11" s="130"/>
      <c r="W11" s="160"/>
    </row>
    <row r="12" spans="1:23" ht="15" customHeight="1" outlineLevel="1" thickBot="1">
      <c r="A12" s="127"/>
      <c r="B12" s="158"/>
      <c r="C12" s="137" t="s">
        <v>12</v>
      </c>
      <c r="D12" s="479"/>
      <c r="E12" s="440" t="s">
        <v>138</v>
      </c>
      <c r="F12" s="253"/>
      <c r="G12" s="130"/>
      <c r="H12" s="130"/>
      <c r="I12" s="137" t="s">
        <v>12</v>
      </c>
      <c r="J12" s="1432"/>
      <c r="K12" s="1433"/>
      <c r="L12" s="440" t="s">
        <v>138</v>
      </c>
      <c r="M12" s="388"/>
      <c r="N12" s="110"/>
      <c r="O12" s="130"/>
      <c r="P12" s="130"/>
      <c r="Q12" s="130"/>
      <c r="R12" s="1073" t="s">
        <v>707</v>
      </c>
      <c r="S12" s="130"/>
      <c r="T12" s="130"/>
      <c r="U12" s="130"/>
      <c r="V12" s="130"/>
      <c r="W12" s="160"/>
    </row>
    <row r="13" spans="1:23" ht="13.5" outlineLevel="1" thickBot="1">
      <c r="A13" s="127"/>
      <c r="B13" s="158"/>
      <c r="C13" s="137" t="s">
        <v>25</v>
      </c>
      <c r="D13" s="479"/>
      <c r="E13" s="440" t="s">
        <v>138</v>
      </c>
      <c r="F13" s="253"/>
      <c r="G13" s="130"/>
      <c r="H13" s="130"/>
      <c r="I13" s="137" t="s">
        <v>25</v>
      </c>
      <c r="J13" s="1432"/>
      <c r="K13" s="1433"/>
      <c r="L13" s="440" t="s">
        <v>138</v>
      </c>
      <c r="M13" s="388"/>
      <c r="N13" s="110"/>
      <c r="O13" s="130"/>
      <c r="P13" s="130"/>
      <c r="Q13" s="130"/>
      <c r="R13" s="1072" t="s">
        <v>708</v>
      </c>
      <c r="S13" s="130"/>
      <c r="T13" s="130"/>
      <c r="U13" s="130"/>
      <c r="V13" s="130"/>
      <c r="W13" s="160"/>
    </row>
    <row r="14" spans="1:23" ht="26.25" outlineLevel="1" thickBot="1">
      <c r="A14" s="127"/>
      <c r="B14" s="158"/>
      <c r="C14" s="138" t="s">
        <v>27</v>
      </c>
      <c r="D14" s="479"/>
      <c r="E14" s="441" t="s">
        <v>138</v>
      </c>
      <c r="F14" s="409"/>
      <c r="G14" s="130"/>
      <c r="H14" s="130"/>
      <c r="I14" s="138" t="s">
        <v>27</v>
      </c>
      <c r="J14" s="1418"/>
      <c r="K14" s="1419"/>
      <c r="L14" s="441" t="s">
        <v>138</v>
      </c>
      <c r="M14" s="409"/>
      <c r="N14" s="110"/>
      <c r="O14" s="130"/>
      <c r="P14" s="130"/>
      <c r="Q14" s="130"/>
      <c r="R14" s="1071" t="s">
        <v>709</v>
      </c>
      <c r="S14" s="130"/>
      <c r="T14" s="130"/>
      <c r="U14" s="130"/>
      <c r="V14" s="130"/>
      <c r="W14" s="160"/>
    </row>
    <row r="15" spans="1:23" ht="15" customHeight="1" outlineLevel="1">
      <c r="A15" s="127"/>
      <c r="B15" s="158"/>
      <c r="C15" s="130"/>
      <c r="D15" s="130"/>
      <c r="E15" s="130"/>
      <c r="F15" s="110"/>
      <c r="G15" s="130"/>
      <c r="H15" s="130"/>
      <c r="I15" s="130"/>
      <c r="J15" s="130"/>
      <c r="K15" s="130"/>
      <c r="L15" s="130"/>
      <c r="M15" s="111"/>
      <c r="N15" s="130"/>
      <c r="O15" s="130"/>
      <c r="P15" s="130"/>
      <c r="Q15" s="130"/>
      <c r="R15" s="130"/>
      <c r="S15" s="130"/>
      <c r="T15" s="130"/>
      <c r="U15" s="130"/>
      <c r="V15" s="130"/>
      <c r="W15" s="160"/>
    </row>
    <row r="16" spans="1:23" ht="15" customHeight="1" outlineLevel="1" thickBot="1">
      <c r="A16" s="127"/>
      <c r="B16" s="158"/>
      <c r="C16" s="130"/>
      <c r="D16" s="130"/>
      <c r="E16" s="130"/>
      <c r="F16" s="130"/>
      <c r="G16" s="130"/>
      <c r="H16" s="130"/>
      <c r="I16" s="130"/>
      <c r="J16" s="130"/>
      <c r="K16" s="130"/>
      <c r="L16" s="130"/>
      <c r="M16" s="130"/>
      <c r="N16" s="130"/>
      <c r="O16" s="130"/>
      <c r="P16" s="130"/>
      <c r="Q16" s="130"/>
      <c r="R16" s="130"/>
      <c r="S16" s="130"/>
      <c r="T16" s="130"/>
      <c r="U16" s="130"/>
      <c r="V16" s="130"/>
      <c r="W16" s="160"/>
    </row>
    <row r="17" spans="1:23" ht="35.25" customHeight="1" outlineLevel="1" thickBot="1">
      <c r="A17" s="127"/>
      <c r="B17" s="158"/>
      <c r="C17" s="130"/>
      <c r="D17" s="1422" t="s">
        <v>336</v>
      </c>
      <c r="E17" s="1423"/>
      <c r="F17" s="1424"/>
      <c r="G17" s="130"/>
      <c r="H17" s="130"/>
      <c r="I17" s="130"/>
      <c r="J17" s="1422" t="s">
        <v>337</v>
      </c>
      <c r="K17" s="1423"/>
      <c r="L17" s="1423"/>
      <c r="M17" s="1424"/>
      <c r="N17" s="130"/>
      <c r="O17" s="130"/>
      <c r="P17" s="130"/>
      <c r="Q17" s="130"/>
      <c r="R17" s="130"/>
      <c r="S17" s="130"/>
      <c r="T17" s="130"/>
      <c r="U17" s="130"/>
      <c r="V17" s="130"/>
      <c r="W17" s="160"/>
    </row>
    <row r="18" spans="1:23" ht="15" customHeight="1" outlineLevel="1" thickBot="1">
      <c r="A18" s="127"/>
      <c r="B18" s="158"/>
      <c r="C18" s="130"/>
      <c r="D18" s="411" t="s">
        <v>140</v>
      </c>
      <c r="E18" s="1416" t="s">
        <v>141</v>
      </c>
      <c r="F18" s="1417"/>
      <c r="G18" s="130"/>
      <c r="H18" s="130"/>
      <c r="I18" s="130"/>
      <c r="J18" s="1428" t="s">
        <v>140</v>
      </c>
      <c r="K18" s="1429"/>
      <c r="L18" s="1416" t="s">
        <v>141</v>
      </c>
      <c r="M18" s="1417"/>
      <c r="N18" s="130"/>
      <c r="O18" s="130"/>
      <c r="P18" s="130"/>
      <c r="Q18" s="130"/>
      <c r="R18" s="130"/>
      <c r="S18" s="130"/>
      <c r="T18" s="130"/>
      <c r="U18" s="130"/>
      <c r="V18" s="130"/>
      <c r="W18" s="160"/>
    </row>
    <row r="19" spans="1:23" ht="36.75" customHeight="1" outlineLevel="1">
      <c r="A19" s="127"/>
      <c r="B19" s="158"/>
      <c r="C19" s="413" t="s">
        <v>142</v>
      </c>
      <c r="D19" s="414"/>
      <c r="E19" s="439" t="str">
        <f>Start!E19</f>
        <v>Referenz</v>
      </c>
      <c r="F19" s="391"/>
      <c r="G19" s="130"/>
      <c r="H19" s="108"/>
      <c r="I19" s="435" t="s">
        <v>182</v>
      </c>
      <c r="J19" s="1430"/>
      <c r="K19" s="1431"/>
      <c r="L19" s="439" t="str">
        <f>Start!L19</f>
        <v>Referenz</v>
      </c>
      <c r="M19" s="391"/>
      <c r="N19" s="130"/>
      <c r="O19" s="108"/>
      <c r="P19" s="130"/>
      <c r="Q19" s="130"/>
      <c r="R19" s="130"/>
      <c r="S19" s="130"/>
      <c r="T19" s="130"/>
      <c r="U19" s="130"/>
      <c r="V19" s="130"/>
      <c r="W19" s="160"/>
    </row>
    <row r="20" spans="1:23" ht="36" customHeight="1" outlineLevel="1" thickBot="1">
      <c r="A20" s="127"/>
      <c r="B20" s="158"/>
      <c r="C20" s="416" t="s">
        <v>265</v>
      </c>
      <c r="D20" s="417"/>
      <c r="E20" s="442" t="str">
        <f>Start!E20</f>
        <v>Referenz</v>
      </c>
      <c r="F20" s="429"/>
      <c r="G20" s="130"/>
      <c r="H20" s="108"/>
      <c r="I20" s="392" t="s">
        <v>75</v>
      </c>
      <c r="J20" s="1432"/>
      <c r="K20" s="1433"/>
      <c r="L20" s="440" t="s">
        <v>138</v>
      </c>
      <c r="M20" s="389"/>
      <c r="N20" s="130"/>
      <c r="O20" s="108"/>
      <c r="P20" s="130"/>
      <c r="Q20" s="130"/>
      <c r="R20" s="130"/>
      <c r="S20" s="130"/>
      <c r="T20" s="130"/>
      <c r="U20" s="130"/>
      <c r="V20" s="130"/>
      <c r="W20" s="160"/>
    </row>
    <row r="21" spans="1:23" ht="38.25" customHeight="1" outlineLevel="1" thickBot="1">
      <c r="A21" s="127"/>
      <c r="B21" s="158"/>
      <c r="C21" s="416" t="s">
        <v>368</v>
      </c>
      <c r="D21" s="417"/>
      <c r="E21" s="442" t="str">
        <f>Start!E21</f>
        <v>Referenz</v>
      </c>
      <c r="F21" s="429"/>
      <c r="G21" s="130"/>
      <c r="H21" s="130"/>
      <c r="I21" s="137" t="str">
        <f>CONCATENATE("Kontostand am 30.9.",ControlPanel!$D$59-1)</f>
        <v>Kontostand am 30.9.2022</v>
      </c>
      <c r="J21" s="1432"/>
      <c r="K21" s="1433"/>
      <c r="L21" s="440" t="s">
        <v>245</v>
      </c>
      <c r="M21" s="132"/>
      <c r="N21" s="130"/>
      <c r="O21" s="108"/>
      <c r="P21" s="130"/>
      <c r="Q21" s="130"/>
      <c r="R21" s="130"/>
      <c r="S21" s="130"/>
      <c r="T21" s="130"/>
      <c r="U21" s="130"/>
      <c r="V21" s="130"/>
      <c r="W21" s="160"/>
    </row>
    <row r="22" spans="1:23" ht="39" outlineLevel="1" thickBot="1">
      <c r="A22" s="127"/>
      <c r="B22" s="158"/>
      <c r="C22" s="130"/>
      <c r="D22" s="130"/>
      <c r="E22" s="130"/>
      <c r="F22" s="130"/>
      <c r="G22" s="130"/>
      <c r="H22" s="130"/>
      <c r="I22" s="140" t="str">
        <f>CONCATENATE("Alternativ: Prognosefehler für Kontostand am 30.9.",ControlPanel!$D$59-1)</f>
        <v>Alternativ: Prognosefehler für Kontostand am 30.9.2022</v>
      </c>
      <c r="J22" s="1418"/>
      <c r="K22" s="1419"/>
      <c r="L22" s="444" t="str">
        <f>Start!L20</f>
        <v>keine Abweichung</v>
      </c>
      <c r="M22" s="133"/>
      <c r="N22" s="130"/>
      <c r="O22" s="108"/>
      <c r="P22" s="130"/>
      <c r="Q22" s="130"/>
      <c r="R22" s="130"/>
      <c r="S22" s="130"/>
      <c r="T22" s="130"/>
      <c r="U22" s="130"/>
      <c r="V22" s="130"/>
      <c r="W22" s="160"/>
    </row>
    <row r="23" spans="1:23" ht="29.25" customHeight="1" outlineLevel="1" thickBot="1">
      <c r="A23" s="127"/>
      <c r="B23" s="158"/>
      <c r="C23" s="130"/>
      <c r="D23" s="130"/>
      <c r="E23" s="130"/>
      <c r="F23" s="130"/>
      <c r="G23" s="130"/>
      <c r="H23" s="130"/>
      <c r="I23" s="134"/>
      <c r="J23" s="134"/>
      <c r="K23" s="134"/>
      <c r="L23" s="130"/>
      <c r="M23" s="134"/>
      <c r="N23" s="130"/>
      <c r="O23" s="130"/>
      <c r="P23" s="130"/>
      <c r="Q23" s="130"/>
      <c r="R23" s="130"/>
      <c r="S23" s="130"/>
      <c r="T23" s="130"/>
      <c r="U23" s="130"/>
      <c r="V23" s="130"/>
      <c r="W23" s="160"/>
    </row>
    <row r="24" spans="1:23" ht="28.5" customHeight="1" outlineLevel="1" thickBot="1">
      <c r="A24" s="127"/>
      <c r="B24" s="158"/>
      <c r="C24" s="130"/>
      <c r="D24" s="1422" t="s">
        <v>345</v>
      </c>
      <c r="E24" s="1423"/>
      <c r="F24" s="1424"/>
      <c r="G24" s="130"/>
      <c r="H24" s="130"/>
      <c r="I24" s="139"/>
      <c r="J24" s="1425" t="s">
        <v>338</v>
      </c>
      <c r="K24" s="1426"/>
      <c r="L24" s="1426"/>
      <c r="M24" s="1427"/>
      <c r="N24" s="139"/>
      <c r="O24" s="139"/>
      <c r="P24" s="130"/>
      <c r="Q24" s="130"/>
      <c r="R24" s="130"/>
      <c r="S24" s="130"/>
      <c r="T24" s="130"/>
      <c r="U24" s="130"/>
      <c r="V24" s="130"/>
      <c r="W24" s="160"/>
    </row>
    <row r="25" spans="1:23" ht="30" customHeight="1" outlineLevel="1" thickBot="1">
      <c r="A25" s="127"/>
      <c r="B25" s="158"/>
      <c r="C25" s="430" t="s">
        <v>346</v>
      </c>
      <c r="D25" s="411" t="s">
        <v>140</v>
      </c>
      <c r="E25" s="1416" t="s">
        <v>141</v>
      </c>
      <c r="F25" s="1417"/>
      <c r="G25" s="130"/>
      <c r="H25" s="130"/>
      <c r="I25" s="139"/>
      <c r="J25" s="1428" t="s">
        <v>140</v>
      </c>
      <c r="K25" s="1429"/>
      <c r="L25" s="1416" t="s">
        <v>141</v>
      </c>
      <c r="M25" s="1417"/>
      <c r="N25" s="139"/>
      <c r="O25" s="139"/>
      <c r="P25" s="130"/>
      <c r="Q25" s="130"/>
      <c r="R25" s="130"/>
      <c r="S25" s="130"/>
      <c r="T25" s="130"/>
      <c r="U25" s="130"/>
      <c r="V25" s="130"/>
      <c r="W25" s="160"/>
    </row>
    <row r="26" spans="1:23" ht="28.5" customHeight="1" outlineLevel="1">
      <c r="A26" s="127"/>
      <c r="B26" s="158"/>
      <c r="C26" s="435" t="s">
        <v>358</v>
      </c>
      <c r="D26" s="478"/>
      <c r="E26" s="439" t="str">
        <f>Start!E26</f>
        <v>Referenz</v>
      </c>
      <c r="F26" s="391"/>
      <c r="G26" s="130"/>
      <c r="H26" s="108"/>
      <c r="I26" s="136" t="s">
        <v>493</v>
      </c>
      <c r="J26" s="1430"/>
      <c r="K26" s="1431"/>
      <c r="L26" s="439" t="str">
        <f>Start!E34</f>
        <v>Referenz</v>
      </c>
      <c r="M26" s="432"/>
      <c r="N26" s="130"/>
      <c r="O26" s="108"/>
      <c r="P26" s="130"/>
      <c r="Q26" s="130"/>
      <c r="R26" s="130"/>
      <c r="S26" s="130"/>
      <c r="T26" s="130"/>
      <c r="U26" s="130"/>
      <c r="V26" s="130"/>
      <c r="W26" s="160"/>
    </row>
    <row r="27" spans="1:23" ht="30" customHeight="1" outlineLevel="1">
      <c r="A27" s="127"/>
      <c r="B27" s="161"/>
      <c r="C27" s="393" t="s">
        <v>359</v>
      </c>
      <c r="D27" s="479"/>
      <c r="E27" s="131" t="str">
        <f>Start!E27</f>
        <v>Referenz</v>
      </c>
      <c r="F27" s="132"/>
      <c r="G27" s="130"/>
      <c r="H27" s="108"/>
      <c r="I27" s="393" t="s">
        <v>20</v>
      </c>
      <c r="J27" s="1432"/>
      <c r="K27" s="1433"/>
      <c r="L27" s="440" t="s">
        <v>138</v>
      </c>
      <c r="M27" s="433"/>
      <c r="N27" s="130"/>
      <c r="O27" s="108"/>
      <c r="P27" s="130"/>
      <c r="Q27" s="130"/>
      <c r="R27" s="130"/>
      <c r="S27" s="130"/>
      <c r="T27" s="130"/>
      <c r="U27" s="130"/>
      <c r="V27" s="130"/>
      <c r="W27" s="160"/>
    </row>
    <row r="28" spans="1:23" ht="34.5" customHeight="1" outlineLevel="1" thickBot="1">
      <c r="A28" s="127"/>
      <c r="B28" s="158"/>
      <c r="C28" s="140" t="s">
        <v>360</v>
      </c>
      <c r="D28" s="480"/>
      <c r="E28" s="442" t="str">
        <f>Start!E28</f>
        <v>Referenz</v>
      </c>
      <c r="F28" s="390"/>
      <c r="G28" s="130"/>
      <c r="H28" s="108"/>
      <c r="I28" s="137" t="s">
        <v>149</v>
      </c>
      <c r="J28" s="1432"/>
      <c r="K28" s="1433"/>
      <c r="L28" s="440" t="s">
        <v>138</v>
      </c>
      <c r="M28" s="433"/>
      <c r="N28" s="130"/>
      <c r="O28" s="108"/>
      <c r="P28" s="130"/>
      <c r="Q28" s="130"/>
      <c r="R28" s="130"/>
      <c r="S28" s="130"/>
      <c r="T28" s="130"/>
      <c r="U28" s="130"/>
      <c r="V28" s="130"/>
      <c r="W28" s="160"/>
    </row>
    <row r="29" spans="1:23" ht="33.75" customHeight="1" thickBot="1">
      <c r="A29" s="127"/>
      <c r="B29" s="158"/>
      <c r="C29" s="438" t="s">
        <v>284</v>
      </c>
      <c r="D29" s="437"/>
      <c r="E29" s="444" t="str">
        <f>Start!E29</f>
        <v>Referenz</v>
      </c>
      <c r="F29" s="431"/>
      <c r="G29" s="130"/>
      <c r="H29" s="108"/>
      <c r="I29" s="138" t="s">
        <v>69</v>
      </c>
      <c r="J29" s="1418"/>
      <c r="K29" s="1419"/>
      <c r="L29" s="440" t="s">
        <v>138</v>
      </c>
      <c r="M29" s="433"/>
      <c r="N29" s="130"/>
      <c r="O29" s="108"/>
      <c r="P29" s="130"/>
      <c r="Q29" s="130"/>
      <c r="R29" s="130"/>
      <c r="S29" s="130"/>
      <c r="T29" s="130"/>
      <c r="U29" s="130"/>
      <c r="V29" s="130"/>
      <c r="W29" s="160"/>
    </row>
    <row r="30" spans="1:23" ht="40.5" customHeight="1" thickBot="1">
      <c r="A30" s="127"/>
      <c r="B30" s="158"/>
      <c r="C30" s="135"/>
      <c r="D30" s="135"/>
      <c r="E30" s="135"/>
      <c r="F30" s="135"/>
      <c r="G30" s="135"/>
      <c r="H30" s="130"/>
      <c r="I30" s="138" t="s">
        <v>69</v>
      </c>
      <c r="J30" s="1418"/>
      <c r="K30" s="1419"/>
      <c r="L30" s="440" t="s">
        <v>138</v>
      </c>
      <c r="M30" s="433"/>
      <c r="N30" s="130"/>
      <c r="O30" s="130"/>
      <c r="P30" s="130"/>
      <c r="Q30" s="130"/>
      <c r="R30" s="130"/>
      <c r="S30" s="130"/>
      <c r="T30" s="130"/>
      <c r="U30" s="130"/>
      <c r="V30" s="130"/>
      <c r="W30" s="160"/>
    </row>
    <row r="31" spans="1:23" ht="15" customHeight="1" outlineLevel="1" thickBot="1">
      <c r="A31" s="127"/>
      <c r="B31" s="158"/>
      <c r="C31" s="135"/>
      <c r="D31" s="135"/>
      <c r="E31" s="135"/>
      <c r="F31" s="135"/>
      <c r="G31" s="135"/>
      <c r="H31" s="130"/>
      <c r="I31" s="135"/>
      <c r="J31" s="135"/>
      <c r="K31" s="135"/>
      <c r="L31" s="130"/>
      <c r="M31" s="135"/>
      <c r="N31" s="130"/>
      <c r="O31" s="130"/>
      <c r="P31" s="130"/>
      <c r="Q31" s="130"/>
      <c r="R31" s="130"/>
      <c r="S31" s="130"/>
      <c r="T31" s="130"/>
      <c r="U31" s="130"/>
      <c r="V31" s="130"/>
      <c r="W31" s="160"/>
    </row>
    <row r="32" spans="1:23" ht="30" customHeight="1" outlineLevel="1" thickBot="1">
      <c r="A32" s="127"/>
      <c r="B32" s="158"/>
      <c r="C32" s="134"/>
      <c r="D32" s="134"/>
      <c r="E32" s="1422" t="s">
        <v>339</v>
      </c>
      <c r="F32" s="1424"/>
      <c r="G32" s="134"/>
      <c r="H32" s="130"/>
      <c r="I32" s="1422" t="s">
        <v>340</v>
      </c>
      <c r="J32" s="1424"/>
      <c r="K32" s="134"/>
      <c r="L32" s="1422" t="s">
        <v>341</v>
      </c>
      <c r="M32" s="1424"/>
      <c r="N32" s="130"/>
      <c r="O32" s="130"/>
      <c r="P32" s="130"/>
      <c r="Q32" s="130"/>
      <c r="R32" s="130"/>
      <c r="S32" s="130"/>
      <c r="T32" s="130"/>
      <c r="U32" s="130"/>
      <c r="V32" s="130"/>
      <c r="W32" s="160"/>
    </row>
    <row r="33" spans="1:23" ht="30" customHeight="1" outlineLevel="1" thickBot="1">
      <c r="A33" s="127"/>
      <c r="B33" s="158"/>
      <c r="C33" s="410" t="s">
        <v>145</v>
      </c>
      <c r="D33" s="483" t="s">
        <v>140</v>
      </c>
      <c r="E33" s="1428" t="s">
        <v>141</v>
      </c>
      <c r="F33" s="1417"/>
      <c r="G33" s="130"/>
      <c r="H33" s="130"/>
      <c r="I33" s="1428" t="s">
        <v>141</v>
      </c>
      <c r="J33" s="1417"/>
      <c r="K33" s="139"/>
      <c r="L33" s="1428" t="s">
        <v>141</v>
      </c>
      <c r="M33" s="1417"/>
      <c r="N33" s="130"/>
      <c r="O33" s="130"/>
      <c r="P33" s="130"/>
      <c r="Q33" s="130"/>
      <c r="R33" s="130"/>
      <c r="S33" s="130"/>
      <c r="T33" s="130"/>
      <c r="U33" s="130"/>
      <c r="V33" s="130"/>
      <c r="W33" s="160"/>
    </row>
    <row r="34" spans="1:23" ht="30" customHeight="1" outlineLevel="1">
      <c r="A34" s="127"/>
      <c r="B34" s="158"/>
      <c r="C34" s="413" t="s">
        <v>24</v>
      </c>
      <c r="D34" s="489"/>
      <c r="E34" s="440" t="s">
        <v>138</v>
      </c>
      <c r="F34" s="432"/>
      <c r="G34" s="130"/>
      <c r="H34" s="130"/>
      <c r="I34" s="440" t="s">
        <v>138</v>
      </c>
      <c r="J34" s="432"/>
      <c r="K34" s="139"/>
      <c r="L34" s="440" t="s">
        <v>138</v>
      </c>
      <c r="M34" s="432"/>
      <c r="N34" s="130"/>
      <c r="O34" s="130"/>
      <c r="P34" s="130"/>
      <c r="Q34" s="130"/>
      <c r="R34" s="130"/>
      <c r="S34" s="130"/>
      <c r="T34" s="130"/>
      <c r="U34" s="130"/>
      <c r="V34" s="130"/>
      <c r="W34" s="160"/>
    </row>
    <row r="35" spans="1:23" ht="30" customHeight="1" outlineLevel="1">
      <c r="A35" s="127"/>
      <c r="B35" s="158"/>
      <c r="C35" s="436" t="s">
        <v>26</v>
      </c>
      <c r="D35" s="490"/>
      <c r="E35" s="440" t="s">
        <v>138</v>
      </c>
      <c r="F35" s="433"/>
      <c r="G35" s="130"/>
      <c r="H35" s="130"/>
      <c r="I35" s="440" t="s">
        <v>138</v>
      </c>
      <c r="J35" s="433"/>
      <c r="K35" s="139"/>
      <c r="L35" s="440" t="s">
        <v>138</v>
      </c>
      <c r="M35" s="433"/>
      <c r="N35" s="358"/>
      <c r="O35" s="130"/>
      <c r="P35" s="130"/>
      <c r="Q35" s="130"/>
      <c r="R35" s="130"/>
      <c r="S35" s="130"/>
      <c r="T35" s="130"/>
      <c r="U35" s="130"/>
      <c r="V35" s="130"/>
      <c r="W35" s="160"/>
    </row>
    <row r="36" spans="1:23" ht="30" customHeight="1" outlineLevel="1">
      <c r="A36" s="127"/>
      <c r="B36" s="158"/>
      <c r="C36" s="415" t="s">
        <v>14</v>
      </c>
      <c r="D36" s="490"/>
      <c r="E36" s="440" t="s">
        <v>138</v>
      </c>
      <c r="F36" s="433"/>
      <c r="G36" s="130"/>
      <c r="H36" s="130"/>
      <c r="I36" s="440" t="s">
        <v>138</v>
      </c>
      <c r="J36" s="433"/>
      <c r="K36" s="358"/>
      <c r="L36" s="440" t="s">
        <v>138</v>
      </c>
      <c r="M36" s="433"/>
      <c r="N36" s="358"/>
      <c r="O36" s="130"/>
      <c r="P36" s="130"/>
      <c r="Q36" s="130"/>
      <c r="R36" s="130"/>
      <c r="S36" s="130"/>
      <c r="T36" s="130"/>
      <c r="U36" s="130"/>
      <c r="V36" s="130"/>
      <c r="W36" s="160"/>
    </row>
    <row r="37" spans="1:23" ht="15" customHeight="1" outlineLevel="1">
      <c r="A37" s="127"/>
      <c r="B37" s="158"/>
      <c r="C37" s="436" t="s">
        <v>13</v>
      </c>
      <c r="D37" s="490"/>
      <c r="E37" s="440" t="s">
        <v>138</v>
      </c>
      <c r="F37" s="433"/>
      <c r="G37" s="130"/>
      <c r="H37" s="130"/>
      <c r="I37" s="440" t="s">
        <v>138</v>
      </c>
      <c r="J37" s="433"/>
      <c r="K37" s="139"/>
      <c r="L37" s="440" t="s">
        <v>138</v>
      </c>
      <c r="M37" s="433"/>
      <c r="N37" s="358"/>
      <c r="O37" s="130"/>
      <c r="P37" s="130"/>
      <c r="Q37" s="130"/>
      <c r="R37" s="130"/>
      <c r="S37" s="130"/>
      <c r="T37" s="130"/>
      <c r="U37" s="130"/>
      <c r="V37" s="130"/>
      <c r="W37" s="160"/>
    </row>
    <row r="38" spans="1:23" ht="15" customHeight="1" outlineLevel="1">
      <c r="A38" s="127"/>
      <c r="B38" s="158"/>
      <c r="C38" s="436" t="s">
        <v>12</v>
      </c>
      <c r="D38" s="490"/>
      <c r="E38" s="440" t="s">
        <v>138</v>
      </c>
      <c r="F38" s="433"/>
      <c r="G38" s="130"/>
      <c r="H38" s="130"/>
      <c r="I38" s="440" t="s">
        <v>138</v>
      </c>
      <c r="J38" s="433"/>
      <c r="K38" s="139"/>
      <c r="L38" s="440" t="s">
        <v>138</v>
      </c>
      <c r="M38" s="433"/>
      <c r="N38" s="358"/>
      <c r="O38" s="139"/>
      <c r="P38" s="130"/>
      <c r="Q38" s="130"/>
      <c r="R38" s="130"/>
      <c r="S38" s="130"/>
      <c r="T38" s="130"/>
      <c r="U38" s="130"/>
      <c r="V38" s="130"/>
      <c r="W38" s="160"/>
    </row>
    <row r="39" spans="1:23" ht="15" customHeight="1" outlineLevel="1">
      <c r="A39" s="127"/>
      <c r="B39" s="158"/>
      <c r="C39" s="436" t="s">
        <v>25</v>
      </c>
      <c r="D39" s="490"/>
      <c r="E39" s="440" t="s">
        <v>138</v>
      </c>
      <c r="F39" s="433"/>
      <c r="G39" s="130"/>
      <c r="H39" s="130"/>
      <c r="I39" s="440" t="s">
        <v>138</v>
      </c>
      <c r="J39" s="433"/>
      <c r="K39" s="139"/>
      <c r="L39" s="440" t="s">
        <v>138</v>
      </c>
      <c r="M39" s="433"/>
      <c r="N39" s="358"/>
      <c r="O39" s="358"/>
      <c r="P39" s="130"/>
      <c r="Q39" s="130"/>
      <c r="R39" s="130"/>
      <c r="S39" s="130"/>
      <c r="T39" s="130"/>
      <c r="U39" s="130"/>
      <c r="V39" s="130"/>
      <c r="W39" s="160"/>
    </row>
    <row r="40" spans="1:23" ht="30" customHeight="1" outlineLevel="1" thickBot="1">
      <c r="A40" s="127"/>
      <c r="B40" s="158"/>
      <c r="C40" s="418" t="s">
        <v>27</v>
      </c>
      <c r="D40" s="491"/>
      <c r="E40" s="440" t="s">
        <v>138</v>
      </c>
      <c r="F40" s="434"/>
      <c r="G40" s="130"/>
      <c r="H40" s="130"/>
      <c r="I40" s="440" t="s">
        <v>138</v>
      </c>
      <c r="J40" s="434"/>
      <c r="K40" s="139"/>
      <c r="L40" s="440" t="s">
        <v>138</v>
      </c>
      <c r="M40" s="434"/>
      <c r="N40" s="358"/>
      <c r="O40" s="358"/>
      <c r="P40" s="130"/>
      <c r="Q40" s="130"/>
      <c r="R40" s="130"/>
      <c r="S40" s="130"/>
      <c r="T40" s="130"/>
      <c r="U40" s="130"/>
      <c r="V40" s="130"/>
      <c r="W40" s="160"/>
    </row>
    <row r="41" spans="1:23" ht="30" customHeight="1" outlineLevel="1">
      <c r="A41" s="127"/>
      <c r="B41" s="158"/>
      <c r="C41" s="358"/>
      <c r="D41" s="358"/>
      <c r="E41" s="130"/>
      <c r="F41" s="110"/>
      <c r="G41" s="130"/>
      <c r="H41" s="130"/>
      <c r="I41" s="130"/>
      <c r="J41" s="110"/>
      <c r="K41" s="358"/>
      <c r="L41" s="130"/>
      <c r="M41" s="110"/>
      <c r="N41" s="358"/>
      <c r="O41" s="358"/>
      <c r="P41" s="130"/>
      <c r="Q41" s="130"/>
      <c r="R41" s="130"/>
      <c r="S41" s="130"/>
      <c r="T41" s="130"/>
      <c r="U41" s="130"/>
      <c r="V41" s="130"/>
      <c r="W41" s="160"/>
    </row>
    <row r="42" spans="1:23" ht="30" customHeight="1" outlineLevel="1" thickBot="1">
      <c r="A42" s="127"/>
      <c r="B42" s="158"/>
      <c r="C42" s="130"/>
      <c r="D42" s="130"/>
      <c r="E42" s="130"/>
      <c r="F42" s="130"/>
      <c r="G42" s="130"/>
      <c r="H42" s="130"/>
      <c r="I42" s="130"/>
      <c r="J42" s="130"/>
      <c r="K42" s="130"/>
      <c r="L42" s="130"/>
      <c r="M42" s="130"/>
      <c r="N42" s="358"/>
      <c r="O42" s="358"/>
      <c r="P42" s="130"/>
      <c r="Q42" s="130"/>
      <c r="R42" s="130"/>
      <c r="S42" s="130"/>
      <c r="T42" s="130"/>
      <c r="U42" s="130"/>
      <c r="V42" s="130"/>
      <c r="W42" s="160"/>
    </row>
    <row r="43" spans="1:23" ht="30" customHeight="1" outlineLevel="1" thickBot="1">
      <c r="A43" s="127"/>
      <c r="B43" s="158"/>
      <c r="C43" s="134"/>
      <c r="D43" s="134"/>
      <c r="E43" s="1422" t="s">
        <v>568</v>
      </c>
      <c r="F43" s="1424"/>
      <c r="G43" s="130"/>
      <c r="H43" s="130"/>
      <c r="I43" s="1383" t="s">
        <v>867</v>
      </c>
      <c r="J43" s="1384"/>
      <c r="K43" s="130"/>
      <c r="L43" s="130"/>
      <c r="M43" s="130"/>
      <c r="N43" s="358"/>
      <c r="O43" s="358"/>
      <c r="P43" s="130"/>
      <c r="Q43" s="130"/>
      <c r="R43" s="130"/>
      <c r="S43" s="130"/>
      <c r="T43" s="130"/>
      <c r="U43" s="130"/>
      <c r="V43" s="130"/>
      <c r="W43" s="160"/>
    </row>
    <row r="44" spans="1:23" ht="30" customHeight="1" outlineLevel="1" thickBot="1">
      <c r="A44" s="127"/>
      <c r="B44" s="158"/>
      <c r="C44" s="410" t="s">
        <v>145</v>
      </c>
      <c r="D44" s="641" t="s">
        <v>140</v>
      </c>
      <c r="E44" s="1428" t="s">
        <v>141</v>
      </c>
      <c r="F44" s="1417"/>
      <c r="G44" s="130"/>
      <c r="H44" s="130"/>
      <c r="I44" s="1225" t="s">
        <v>141</v>
      </c>
      <c r="J44" s="822"/>
      <c r="K44" s="130"/>
      <c r="L44" s="130"/>
      <c r="M44" s="130"/>
      <c r="N44" s="358"/>
      <c r="O44" s="358"/>
      <c r="P44" s="130"/>
      <c r="Q44" s="130"/>
      <c r="R44" s="130"/>
      <c r="S44" s="130"/>
      <c r="T44" s="130"/>
      <c r="U44" s="130"/>
      <c r="V44" s="130"/>
      <c r="W44" s="160"/>
    </row>
    <row r="45" spans="1:23" ht="30" customHeight="1" outlineLevel="1" thickBot="1">
      <c r="A45" s="127"/>
      <c r="B45" s="158"/>
      <c r="C45" s="413" t="s">
        <v>24</v>
      </c>
      <c r="D45" s="489"/>
      <c r="E45" s="440" t="s">
        <v>138</v>
      </c>
      <c r="F45" s="432"/>
      <c r="G45" s="358"/>
      <c r="H45" s="358"/>
      <c r="I45" s="439" t="str">
        <f>Start!L21</f>
        <v>Referenz</v>
      </c>
      <c r="J45" s="502"/>
      <c r="K45" s="358"/>
      <c r="L45" s="358"/>
      <c r="M45" s="358"/>
      <c r="N45" s="358"/>
      <c r="O45" s="358"/>
      <c r="P45" s="358"/>
      <c r="Q45" s="130"/>
      <c r="R45" s="130"/>
      <c r="S45" s="130"/>
      <c r="T45" s="130"/>
      <c r="U45" s="130"/>
      <c r="V45" s="130"/>
      <c r="W45" s="160"/>
    </row>
    <row r="46" spans="1:23" ht="30" customHeight="1" outlineLevel="1" thickBot="1">
      <c r="A46" s="127"/>
      <c r="B46" s="158"/>
      <c r="C46" s="436" t="s">
        <v>26</v>
      </c>
      <c r="D46" s="490"/>
      <c r="E46" s="440" t="s">
        <v>138</v>
      </c>
      <c r="F46" s="433"/>
      <c r="G46" s="358"/>
      <c r="H46" s="358"/>
      <c r="I46" s="358"/>
      <c r="J46" s="358"/>
      <c r="K46" s="358"/>
      <c r="L46" s="358"/>
      <c r="M46" s="358"/>
      <c r="N46" s="358"/>
      <c r="O46" s="358"/>
      <c r="P46" s="130"/>
      <c r="Q46" s="1439"/>
      <c r="R46" s="1440"/>
      <c r="S46" s="1440"/>
      <c r="T46" s="1440"/>
      <c r="U46" s="1440"/>
      <c r="V46" s="1441"/>
      <c r="W46" s="160"/>
    </row>
    <row r="47" spans="1:23" ht="15" customHeight="1" outlineLevel="1" thickBot="1">
      <c r="A47" s="127"/>
      <c r="B47" s="158"/>
      <c r="C47" s="415" t="s">
        <v>14</v>
      </c>
      <c r="D47" s="490"/>
      <c r="E47" s="440" t="s">
        <v>138</v>
      </c>
      <c r="F47" s="433"/>
      <c r="G47" s="358"/>
      <c r="H47" s="358"/>
      <c r="I47" s="358"/>
      <c r="J47" s="358"/>
      <c r="K47" s="358"/>
      <c r="L47" s="358"/>
      <c r="M47" s="358"/>
      <c r="N47" s="358"/>
      <c r="O47" s="358"/>
      <c r="P47" s="130"/>
      <c r="Q47" s="1428"/>
      <c r="R47" s="1429"/>
      <c r="S47" s="386"/>
      <c r="T47" s="386"/>
      <c r="U47" s="387"/>
      <c r="V47" s="387"/>
      <c r="W47" s="160"/>
    </row>
    <row r="48" spans="1:23" ht="15" customHeight="1" outlineLevel="1" thickBot="1">
      <c r="A48" s="127"/>
      <c r="B48" s="158"/>
      <c r="C48" s="436" t="s">
        <v>13</v>
      </c>
      <c r="D48" s="490"/>
      <c r="E48" s="440" t="s">
        <v>138</v>
      </c>
      <c r="F48" s="433"/>
      <c r="G48" s="358"/>
      <c r="H48" s="358"/>
      <c r="I48" s="358"/>
      <c r="J48" s="358"/>
      <c r="K48" s="358"/>
      <c r="L48" s="358"/>
      <c r="M48" s="358"/>
      <c r="N48" s="358"/>
      <c r="O48" s="358"/>
      <c r="P48" s="130"/>
      <c r="Q48" s="1428"/>
      <c r="R48" s="1442"/>
      <c r="S48" s="1442"/>
      <c r="T48" s="1442"/>
      <c r="U48" s="1442"/>
      <c r="V48" s="1417"/>
      <c r="W48" s="160"/>
    </row>
    <row r="49" spans="1:23" ht="15" customHeight="1" outlineLevel="1">
      <c r="A49" s="127"/>
      <c r="B49" s="158"/>
      <c r="C49" s="436" t="s">
        <v>12</v>
      </c>
      <c r="D49" s="490"/>
      <c r="E49" s="440" t="s">
        <v>138</v>
      </c>
      <c r="F49" s="433"/>
      <c r="G49" s="358"/>
      <c r="H49" s="358"/>
      <c r="I49" s="358"/>
      <c r="J49" s="358"/>
      <c r="K49" s="358"/>
      <c r="L49" s="358"/>
      <c r="M49" s="358"/>
      <c r="N49" s="358"/>
      <c r="O49" s="358"/>
      <c r="P49" s="130"/>
      <c r="Q49" s="1443"/>
      <c r="R49" s="275"/>
      <c r="S49" s="272"/>
      <c r="T49" s="267"/>
      <c r="U49" s="267"/>
      <c r="V49" s="268"/>
      <c r="W49" s="160"/>
    </row>
    <row r="50" spans="1:23" ht="30" customHeight="1" outlineLevel="1">
      <c r="A50" s="127"/>
      <c r="B50" s="158"/>
      <c r="C50" s="436" t="s">
        <v>25</v>
      </c>
      <c r="D50" s="490"/>
      <c r="E50" s="440" t="s">
        <v>138</v>
      </c>
      <c r="F50" s="433"/>
      <c r="G50" s="358"/>
      <c r="H50" s="358"/>
      <c r="I50" s="358"/>
      <c r="J50" s="358"/>
      <c r="K50" s="358"/>
      <c r="L50" s="358"/>
      <c r="M50" s="358"/>
      <c r="N50" s="358"/>
      <c r="O50" s="358"/>
      <c r="P50" s="130"/>
      <c r="Q50" s="1444"/>
      <c r="R50" s="276"/>
      <c r="S50" s="273"/>
      <c r="T50" s="269"/>
      <c r="U50" s="269"/>
      <c r="V50" s="270"/>
      <c r="W50" s="160"/>
    </row>
    <row r="51" spans="1:23" ht="30" customHeight="1" outlineLevel="1" thickBot="1">
      <c r="A51" s="127"/>
      <c r="B51" s="158"/>
      <c r="C51" s="418" t="s">
        <v>27</v>
      </c>
      <c r="D51" s="491"/>
      <c r="E51" s="440" t="s">
        <v>138</v>
      </c>
      <c r="F51" s="434"/>
      <c r="G51" s="358"/>
      <c r="H51" s="358"/>
      <c r="I51" s="358"/>
      <c r="J51" s="358"/>
      <c r="K51" s="358"/>
      <c r="L51" s="358"/>
      <c r="M51" s="358"/>
      <c r="N51" s="358"/>
      <c r="O51" s="358"/>
      <c r="P51" s="130"/>
      <c r="Q51" s="1444"/>
      <c r="R51" s="276"/>
      <c r="S51" s="273"/>
      <c r="T51" s="269"/>
      <c r="U51" s="269"/>
      <c r="V51" s="270"/>
      <c r="W51" s="160"/>
    </row>
    <row r="52" spans="1:23" ht="30" customHeight="1" outlineLevel="1">
      <c r="A52" s="127"/>
      <c r="B52" s="158"/>
      <c r="C52" s="358"/>
      <c r="D52" s="358"/>
      <c r="E52" s="358"/>
      <c r="F52" s="358"/>
      <c r="G52" s="358"/>
      <c r="H52" s="358"/>
      <c r="I52" s="358"/>
      <c r="J52" s="358"/>
      <c r="K52" s="358"/>
      <c r="L52" s="358"/>
      <c r="M52" s="358"/>
      <c r="N52" s="358"/>
      <c r="O52" s="358"/>
      <c r="P52" s="130"/>
      <c r="Q52" s="1444"/>
      <c r="R52" s="276"/>
      <c r="S52" s="273"/>
      <c r="T52" s="269"/>
      <c r="U52" s="269"/>
      <c r="V52" s="270"/>
      <c r="W52" s="160"/>
    </row>
    <row r="53" spans="1:23" ht="30" customHeight="1" outlineLevel="1">
      <c r="A53" s="127"/>
      <c r="B53" s="158"/>
      <c r="C53" s="358"/>
      <c r="D53" s="358"/>
      <c r="E53" s="358"/>
      <c r="F53" s="358"/>
      <c r="G53" s="358"/>
      <c r="H53" s="358"/>
      <c r="I53" s="358"/>
      <c r="J53" s="358"/>
      <c r="K53" s="358"/>
      <c r="L53" s="358"/>
      <c r="M53" s="358"/>
      <c r="N53" s="358"/>
      <c r="O53" s="358"/>
      <c r="P53" s="130"/>
      <c r="Q53" s="1444"/>
      <c r="R53" s="276"/>
      <c r="S53" s="273"/>
      <c r="T53" s="269"/>
      <c r="U53" s="269"/>
      <c r="V53" s="270"/>
      <c r="W53" s="160"/>
    </row>
    <row r="54" spans="1:23" ht="30" customHeight="1" outlineLevel="1">
      <c r="A54" s="127"/>
      <c r="B54" s="158"/>
      <c r="C54" s="358"/>
      <c r="D54" s="358"/>
      <c r="E54" s="358"/>
      <c r="F54" s="358"/>
      <c r="G54" s="358"/>
      <c r="H54" s="358"/>
      <c r="I54" s="358"/>
      <c r="J54" s="358"/>
      <c r="K54" s="358"/>
      <c r="L54" s="358"/>
      <c r="M54" s="358"/>
      <c r="N54" s="358"/>
      <c r="O54" s="358"/>
      <c r="P54" s="130"/>
      <c r="Q54" s="1444"/>
      <c r="R54" s="276"/>
      <c r="S54" s="273"/>
      <c r="T54" s="269"/>
      <c r="U54" s="269"/>
      <c r="V54" s="270"/>
      <c r="W54" s="160"/>
    </row>
    <row r="55" spans="1:23" ht="30" customHeight="1" outlineLevel="1" thickBot="1">
      <c r="A55" s="127"/>
      <c r="B55" s="158"/>
      <c r="C55" s="358"/>
      <c r="D55" s="358"/>
      <c r="E55" s="358"/>
      <c r="F55" s="358"/>
      <c r="G55" s="358"/>
      <c r="H55" s="358"/>
      <c r="I55" s="358"/>
      <c r="J55" s="358"/>
      <c r="K55" s="358"/>
      <c r="L55" s="358"/>
      <c r="M55" s="358"/>
      <c r="N55" s="358"/>
      <c r="O55" s="358"/>
      <c r="P55" s="130"/>
      <c r="Q55" s="1445"/>
      <c r="R55" s="277"/>
      <c r="S55" s="274"/>
      <c r="T55" s="154"/>
      <c r="U55" s="154"/>
      <c r="V55" s="155"/>
      <c r="W55" s="160"/>
    </row>
    <row r="56" spans="1:23" ht="30" customHeight="1" outlineLevel="1">
      <c r="A56" s="127"/>
      <c r="B56" s="158"/>
      <c r="C56" s="358"/>
      <c r="D56" s="358"/>
      <c r="E56" s="358"/>
      <c r="F56" s="358"/>
      <c r="G56" s="358"/>
      <c r="H56" s="358"/>
      <c r="I56" s="358"/>
      <c r="J56" s="358"/>
      <c r="K56" s="358"/>
      <c r="L56" s="358"/>
      <c r="M56" s="358"/>
      <c r="N56" s="358"/>
      <c r="O56" s="358"/>
      <c r="P56" s="130"/>
      <c r="Q56" s="1443"/>
      <c r="R56" s="276"/>
      <c r="S56" s="273"/>
      <c r="T56" s="269"/>
      <c r="U56" s="269"/>
      <c r="V56" s="270"/>
      <c r="W56" s="160"/>
    </row>
    <row r="57" spans="1:23" s="142" customFormat="1" ht="15" customHeight="1" outlineLevel="1">
      <c r="A57" s="127"/>
      <c r="B57" s="158"/>
      <c r="C57" s="358"/>
      <c r="D57" s="358"/>
      <c r="E57" s="358"/>
      <c r="F57" s="358"/>
      <c r="G57" s="358"/>
      <c r="H57" s="358"/>
      <c r="I57" s="358"/>
      <c r="J57" s="358"/>
      <c r="K57" s="358"/>
      <c r="L57" s="358"/>
      <c r="M57" s="358"/>
      <c r="N57" s="358"/>
      <c r="O57" s="358"/>
      <c r="P57" s="130"/>
      <c r="Q57" s="1444"/>
      <c r="R57" s="276"/>
      <c r="S57" s="273"/>
      <c r="T57" s="269"/>
      <c r="U57" s="269"/>
      <c r="V57" s="270"/>
      <c r="W57" s="160"/>
    </row>
    <row r="58" spans="1:23" s="142" customFormat="1" ht="15" customHeight="1" outlineLevel="1" thickBot="1">
      <c r="A58" s="127"/>
      <c r="B58" s="158"/>
      <c r="C58" s="358"/>
      <c r="D58" s="358"/>
      <c r="E58" s="358"/>
      <c r="F58" s="358"/>
      <c r="G58" s="358"/>
      <c r="H58" s="358"/>
      <c r="I58" s="358"/>
      <c r="J58" s="358"/>
      <c r="K58" s="358"/>
      <c r="L58" s="358"/>
      <c r="M58" s="358"/>
      <c r="N58" s="358"/>
      <c r="O58" s="358"/>
      <c r="P58" s="130"/>
      <c r="Q58" s="1445"/>
      <c r="R58" s="277"/>
      <c r="S58" s="274"/>
      <c r="T58" s="154"/>
      <c r="U58" s="154"/>
      <c r="V58" s="155"/>
      <c r="W58" s="160"/>
    </row>
    <row r="59" spans="1:23" s="142" customFormat="1" ht="15" customHeight="1" outlineLevel="1" thickBot="1">
      <c r="A59" s="127"/>
      <c r="B59" s="158"/>
      <c r="C59" s="358"/>
      <c r="D59" s="358"/>
      <c r="E59" s="358"/>
      <c r="F59" s="358"/>
      <c r="G59" s="358"/>
      <c r="H59" s="358"/>
      <c r="I59" s="358"/>
      <c r="J59" s="358"/>
      <c r="K59" s="358"/>
      <c r="L59" s="358"/>
      <c r="M59" s="358"/>
      <c r="N59" s="358"/>
      <c r="O59" s="358"/>
      <c r="P59" s="130"/>
      <c r="Q59" s="1428"/>
      <c r="R59" s="1442"/>
      <c r="S59" s="1442"/>
      <c r="T59" s="1442"/>
      <c r="U59" s="1442"/>
      <c r="V59" s="1417"/>
      <c r="W59" s="160"/>
    </row>
    <row r="60" spans="1:23" s="142" customFormat="1" ht="15" customHeight="1" outlineLevel="1">
      <c r="A60" s="127"/>
      <c r="B60" s="158"/>
      <c r="C60" s="130"/>
      <c r="D60" s="130"/>
      <c r="E60" s="130"/>
      <c r="F60" s="130"/>
      <c r="G60" s="130"/>
      <c r="H60" s="130"/>
      <c r="I60" s="130"/>
      <c r="J60" s="130"/>
      <c r="K60" s="130"/>
      <c r="L60" s="130"/>
      <c r="M60" s="130"/>
      <c r="N60" s="130"/>
      <c r="O60" s="130"/>
      <c r="P60" s="130"/>
      <c r="Q60" s="1443"/>
      <c r="R60" s="275"/>
      <c r="S60" s="422"/>
      <c r="T60" s="278"/>
      <c r="U60" s="278"/>
      <c r="V60" s="423"/>
      <c r="W60" s="160"/>
    </row>
    <row r="61" spans="1:23" s="142" customFormat="1" ht="15" customHeight="1">
      <c r="A61" s="127"/>
      <c r="B61" s="158"/>
      <c r="C61" s="130"/>
      <c r="D61" s="130"/>
      <c r="E61" s="130"/>
      <c r="F61" s="130"/>
      <c r="G61" s="130"/>
      <c r="H61" s="130"/>
      <c r="I61" s="130"/>
      <c r="J61" s="130"/>
      <c r="K61" s="130"/>
      <c r="L61" s="130"/>
      <c r="M61" s="130"/>
      <c r="N61" s="130"/>
      <c r="O61" s="130"/>
      <c r="P61" s="130"/>
      <c r="Q61" s="1444"/>
      <c r="R61" s="276"/>
      <c r="S61" s="421"/>
      <c r="T61" s="279"/>
      <c r="U61" s="279"/>
      <c r="V61" s="424"/>
      <c r="W61" s="160"/>
    </row>
    <row r="62" spans="1:23" ht="15" customHeight="1">
      <c r="A62" s="127"/>
      <c r="B62" s="158"/>
      <c r="C62" s="130"/>
      <c r="D62" s="130"/>
      <c r="E62" s="130"/>
      <c r="F62" s="130"/>
      <c r="G62" s="130"/>
      <c r="H62" s="130"/>
      <c r="I62" s="130"/>
      <c r="J62" s="130"/>
      <c r="K62" s="130"/>
      <c r="L62" s="130"/>
      <c r="M62" s="130"/>
      <c r="N62" s="130"/>
      <c r="O62" s="130"/>
      <c r="P62" s="358"/>
      <c r="Q62" s="1444"/>
      <c r="R62" s="276"/>
      <c r="S62" s="421"/>
      <c r="T62" s="279"/>
      <c r="U62" s="279"/>
      <c r="V62" s="424"/>
      <c r="W62" s="160"/>
    </row>
    <row r="63" spans="1:23" ht="15" customHeight="1">
      <c r="A63" s="127"/>
      <c r="B63" s="158"/>
      <c r="C63" s="130"/>
      <c r="D63" s="130"/>
      <c r="E63" s="130"/>
      <c r="F63" s="130"/>
      <c r="G63" s="130"/>
      <c r="H63" s="130"/>
      <c r="I63" s="130"/>
      <c r="J63" s="130"/>
      <c r="K63" s="130"/>
      <c r="L63" s="130"/>
      <c r="M63" s="130"/>
      <c r="N63" s="130"/>
      <c r="O63" s="130"/>
      <c r="P63" s="358"/>
      <c r="Q63" s="1444"/>
      <c r="R63" s="276"/>
      <c r="S63" s="421"/>
      <c r="T63" s="279"/>
      <c r="U63" s="279"/>
      <c r="V63" s="424"/>
      <c r="W63" s="160"/>
    </row>
    <row r="64" spans="1:23" ht="15" customHeight="1">
      <c r="A64" s="127"/>
      <c r="B64" s="158"/>
      <c r="C64" s="130"/>
      <c r="D64" s="130"/>
      <c r="E64" s="130"/>
      <c r="F64" s="130"/>
      <c r="G64" s="130"/>
      <c r="H64" s="130"/>
      <c r="I64" s="130"/>
      <c r="J64" s="130"/>
      <c r="K64" s="130"/>
      <c r="L64" s="130"/>
      <c r="M64" s="130"/>
      <c r="N64" s="130"/>
      <c r="O64" s="130"/>
      <c r="P64" s="358"/>
      <c r="Q64" s="1444"/>
      <c r="R64" s="276"/>
      <c r="S64" s="421"/>
      <c r="T64" s="279"/>
      <c r="U64" s="279"/>
      <c r="V64" s="424"/>
      <c r="W64" s="160"/>
    </row>
    <row r="65" spans="1:24" ht="17.100000000000001" customHeight="1">
      <c r="A65" s="127"/>
      <c r="B65" s="158"/>
      <c r="C65" s="130"/>
      <c r="D65" s="130"/>
      <c r="E65" s="130"/>
      <c r="F65" s="130"/>
      <c r="G65" s="130"/>
      <c r="H65" s="130"/>
      <c r="I65" s="130"/>
      <c r="J65" s="130"/>
      <c r="K65" s="130"/>
      <c r="L65" s="130"/>
      <c r="M65" s="130"/>
      <c r="N65" s="130"/>
      <c r="O65" s="130"/>
      <c r="P65" s="358"/>
      <c r="Q65" s="1444"/>
      <c r="R65" s="276"/>
      <c r="S65" s="421"/>
      <c r="T65" s="279"/>
      <c r="U65" s="279"/>
      <c r="V65" s="424"/>
      <c r="W65" s="160"/>
    </row>
    <row r="66" spans="1:24" ht="17.100000000000001" customHeight="1" thickBot="1">
      <c r="A66" s="127"/>
      <c r="B66" s="158"/>
      <c r="C66" s="130"/>
      <c r="D66" s="130"/>
      <c r="E66" s="130"/>
      <c r="F66" s="130"/>
      <c r="G66" s="130"/>
      <c r="H66" s="130"/>
      <c r="I66" s="130"/>
      <c r="J66" s="130"/>
      <c r="K66" s="130"/>
      <c r="L66" s="130"/>
      <c r="M66" s="130"/>
      <c r="N66" s="130"/>
      <c r="O66" s="130"/>
      <c r="P66" s="358"/>
      <c r="Q66" s="1445"/>
      <c r="R66" s="277"/>
      <c r="S66" s="425"/>
      <c r="T66" s="281"/>
      <c r="U66" s="281"/>
      <c r="V66" s="426"/>
      <c r="W66" s="160"/>
    </row>
    <row r="67" spans="1:24" ht="17.100000000000001" customHeight="1">
      <c r="A67" s="127"/>
      <c r="B67" s="158"/>
      <c r="C67" s="130"/>
      <c r="D67" s="130"/>
      <c r="E67" s="130"/>
      <c r="F67" s="130"/>
      <c r="G67" s="130"/>
      <c r="H67" s="130"/>
      <c r="I67" s="130"/>
      <c r="J67" s="130"/>
      <c r="K67" s="130"/>
      <c r="L67" s="130"/>
      <c r="M67" s="130"/>
      <c r="N67" s="130"/>
      <c r="O67" s="130"/>
      <c r="P67" s="358"/>
      <c r="Q67" s="1443"/>
      <c r="R67" s="276"/>
      <c r="S67" s="283"/>
      <c r="T67" s="279"/>
      <c r="U67" s="279"/>
      <c r="V67" s="280"/>
      <c r="W67" s="160"/>
    </row>
    <row r="68" spans="1:24" ht="17.100000000000001" customHeight="1">
      <c r="A68" s="127"/>
      <c r="B68" s="158"/>
      <c r="C68" s="130"/>
      <c r="D68" s="130"/>
      <c r="E68" s="130"/>
      <c r="F68" s="130"/>
      <c r="G68" s="130"/>
      <c r="H68" s="130"/>
      <c r="I68" s="130"/>
      <c r="J68" s="130"/>
      <c r="K68" s="130"/>
      <c r="L68" s="130"/>
      <c r="M68" s="130"/>
      <c r="N68" s="130"/>
      <c r="O68" s="130"/>
      <c r="P68" s="358"/>
      <c r="Q68" s="1444"/>
      <c r="R68" s="276"/>
      <c r="S68" s="283"/>
      <c r="T68" s="279"/>
      <c r="U68" s="279"/>
      <c r="V68" s="280"/>
      <c r="W68" s="160"/>
    </row>
    <row r="69" spans="1:24" ht="17.100000000000001" customHeight="1" thickBot="1">
      <c r="A69" s="127"/>
      <c r="B69" s="158"/>
      <c r="C69" s="130"/>
      <c r="D69" s="130"/>
      <c r="E69" s="130"/>
      <c r="F69" s="130"/>
      <c r="G69" s="130"/>
      <c r="H69" s="130"/>
      <c r="I69" s="130"/>
      <c r="J69" s="130"/>
      <c r="K69" s="130"/>
      <c r="L69" s="130"/>
      <c r="M69" s="130"/>
      <c r="N69" s="130"/>
      <c r="O69" s="130"/>
      <c r="P69" s="358"/>
      <c r="Q69" s="1445"/>
      <c r="R69" s="277"/>
      <c r="S69" s="284"/>
      <c r="T69" s="281"/>
      <c r="U69" s="281"/>
      <c r="V69" s="282"/>
      <c r="W69" s="160"/>
    </row>
    <row r="70" spans="1:24" ht="17.100000000000001" customHeight="1" thickBot="1">
      <c r="A70" s="127"/>
      <c r="B70" s="158"/>
      <c r="C70" s="130"/>
      <c r="D70" s="130"/>
      <c r="E70" s="130"/>
      <c r="F70" s="130"/>
      <c r="G70" s="130"/>
      <c r="H70" s="130"/>
      <c r="I70" s="130"/>
      <c r="J70" s="130"/>
      <c r="K70" s="130"/>
      <c r="L70" s="130"/>
      <c r="M70" s="130"/>
      <c r="N70" s="130"/>
      <c r="O70" s="130"/>
      <c r="P70" s="358"/>
      <c r="Q70" s="130"/>
      <c r="R70" s="130"/>
      <c r="S70" s="130"/>
      <c r="T70" s="130"/>
      <c r="U70" s="130"/>
      <c r="V70" s="130"/>
      <c r="W70" s="160"/>
    </row>
    <row r="71" spans="1:24" ht="13.5" customHeight="1" thickBot="1">
      <c r="A71" s="127"/>
      <c r="B71" s="158"/>
      <c r="C71" s="130"/>
      <c r="D71" s="130"/>
      <c r="E71" s="130"/>
      <c r="F71" s="130"/>
      <c r="G71" s="130"/>
      <c r="H71" s="130"/>
      <c r="I71" s="130"/>
      <c r="J71" s="130"/>
      <c r="K71" s="130"/>
      <c r="L71" s="130"/>
      <c r="M71" s="130"/>
      <c r="N71" s="130"/>
      <c r="O71" s="130"/>
      <c r="P71" s="358"/>
      <c r="Q71" s="130"/>
      <c r="R71" s="1436"/>
      <c r="S71" s="1437"/>
      <c r="T71" s="1437"/>
      <c r="U71" s="1437"/>
      <c r="V71" s="1438"/>
      <c r="W71" s="160"/>
    </row>
    <row r="72" spans="1:24" ht="17.100000000000001" customHeight="1" thickBot="1">
      <c r="A72" s="127"/>
      <c r="B72" s="158"/>
      <c r="C72" s="130"/>
      <c r="D72" s="130"/>
      <c r="E72" s="130"/>
      <c r="F72" s="130"/>
      <c r="G72" s="130"/>
      <c r="H72" s="130"/>
      <c r="I72" s="130"/>
      <c r="J72" s="130"/>
      <c r="K72" s="130"/>
      <c r="L72" s="130"/>
      <c r="M72" s="130"/>
      <c r="N72" s="130"/>
      <c r="O72" s="130"/>
      <c r="P72" s="130"/>
      <c r="Q72" s="130"/>
      <c r="R72" s="289"/>
      <c r="S72" s="271"/>
      <c r="T72" s="265"/>
      <c r="U72" s="265"/>
      <c r="V72" s="266"/>
      <c r="W72" s="160"/>
    </row>
    <row r="73" spans="1:24" ht="17.100000000000001" customHeight="1">
      <c r="A73" s="127"/>
      <c r="B73" s="158"/>
      <c r="C73" s="130"/>
      <c r="D73" s="130"/>
      <c r="E73" s="130"/>
      <c r="F73" s="130"/>
      <c r="G73" s="130"/>
      <c r="H73" s="130"/>
      <c r="I73" s="130"/>
      <c r="J73" s="130"/>
      <c r="K73" s="130"/>
      <c r="L73" s="130"/>
      <c r="M73" s="130"/>
      <c r="N73" s="130"/>
      <c r="O73" s="130"/>
      <c r="P73" s="130"/>
      <c r="Q73" s="130"/>
      <c r="R73" s="287"/>
      <c r="S73" s="285"/>
      <c r="T73" s="150"/>
      <c r="U73" s="150"/>
      <c r="V73" s="151"/>
      <c r="W73" s="160"/>
    </row>
    <row r="74" spans="1:24" ht="17.100000000000001" customHeight="1" thickBot="1">
      <c r="A74" s="127"/>
      <c r="B74" s="158"/>
      <c r="C74" s="130"/>
      <c r="D74" s="130"/>
      <c r="E74" s="130"/>
      <c r="F74" s="130"/>
      <c r="G74" s="130"/>
      <c r="H74" s="130"/>
      <c r="I74" s="130"/>
      <c r="J74" s="130"/>
      <c r="K74" s="130"/>
      <c r="L74" s="130"/>
      <c r="M74" s="130"/>
      <c r="N74" s="130"/>
      <c r="O74" s="130"/>
      <c r="P74" s="130"/>
      <c r="Q74" s="130"/>
      <c r="R74" s="288"/>
      <c r="S74" s="286"/>
      <c r="T74" s="152"/>
      <c r="U74" s="152"/>
      <c r="V74" s="153"/>
      <c r="W74" s="160"/>
    </row>
    <row r="75" spans="1:24" ht="17.100000000000001" customHeight="1">
      <c r="A75" s="127"/>
      <c r="B75" s="158"/>
      <c r="C75" s="130"/>
      <c r="D75" s="130"/>
      <c r="E75" s="130"/>
      <c r="F75" s="130"/>
      <c r="G75" s="130"/>
      <c r="H75" s="130"/>
      <c r="I75" s="130"/>
      <c r="J75" s="130"/>
      <c r="K75" s="130"/>
      <c r="L75" s="130"/>
      <c r="M75" s="130"/>
      <c r="N75" s="130"/>
      <c r="O75" s="130"/>
      <c r="P75" s="130"/>
      <c r="Q75" s="130"/>
      <c r="R75" s="130"/>
      <c r="S75" s="130"/>
      <c r="T75" s="130"/>
      <c r="U75" s="130"/>
      <c r="V75" s="130"/>
      <c r="W75" s="160"/>
    </row>
    <row r="76" spans="1:24" ht="17.100000000000001" customHeight="1">
      <c r="A76" s="127"/>
      <c r="B76" s="158"/>
      <c r="C76" s="130"/>
      <c r="D76" s="130"/>
      <c r="E76" s="130"/>
      <c r="F76" s="130"/>
      <c r="G76" s="130"/>
      <c r="H76" s="130"/>
      <c r="I76" s="130"/>
      <c r="J76" s="130"/>
      <c r="K76" s="130"/>
      <c r="L76" s="130"/>
      <c r="M76" s="130"/>
      <c r="N76" s="130"/>
      <c r="O76" s="130"/>
      <c r="P76" s="130"/>
      <c r="Q76" s="130"/>
      <c r="R76" s="130"/>
      <c r="S76" s="130"/>
      <c r="T76" s="130"/>
      <c r="U76" s="130"/>
      <c r="V76" s="130"/>
      <c r="W76" s="160"/>
    </row>
    <row r="77" spans="1:24" ht="17.100000000000001" customHeight="1">
      <c r="A77" s="127"/>
      <c r="B77" s="158"/>
      <c r="C77" s="130"/>
      <c r="D77" s="130"/>
      <c r="E77" s="130"/>
      <c r="F77" s="130"/>
      <c r="G77" s="130"/>
      <c r="H77" s="130"/>
      <c r="I77" s="130"/>
      <c r="J77" s="130"/>
      <c r="K77" s="130"/>
      <c r="L77" s="130"/>
      <c r="M77" s="130"/>
      <c r="N77" s="130"/>
      <c r="O77" s="130"/>
      <c r="P77" s="130"/>
      <c r="Q77" s="130"/>
      <c r="R77" s="130"/>
      <c r="S77" s="130"/>
      <c r="T77" s="130"/>
      <c r="U77" s="130"/>
      <c r="V77" s="130"/>
      <c r="W77" s="160"/>
    </row>
    <row r="78" spans="1:24" ht="17.100000000000001" customHeight="1">
      <c r="A78" s="127"/>
      <c r="B78" s="162"/>
      <c r="C78" s="163"/>
      <c r="D78" s="163"/>
      <c r="E78" s="163"/>
      <c r="F78" s="163"/>
      <c r="G78" s="163"/>
      <c r="H78" s="163"/>
      <c r="I78" s="163"/>
      <c r="J78" s="163"/>
      <c r="K78" s="163"/>
      <c r="L78" s="163"/>
      <c r="M78" s="163"/>
      <c r="N78" s="163"/>
      <c r="O78" s="163"/>
      <c r="P78" s="163"/>
      <c r="Q78" s="163"/>
      <c r="R78" s="163"/>
      <c r="S78" s="163"/>
      <c r="T78" s="163"/>
      <c r="U78" s="163"/>
      <c r="V78" s="163"/>
      <c r="W78" s="164"/>
    </row>
    <row r="79" spans="1:24" ht="17.100000000000001" customHeight="1">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row>
    <row r="80" spans="1:24" ht="17.100000000000001" customHeight="1">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row>
    <row r="81" spans="1:24" ht="17.100000000000001" customHeight="1">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row>
    <row r="82" spans="1:24" ht="17.100000000000001" customHeight="1">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row>
    <row r="83" spans="1:24" ht="17.100000000000001" customHeight="1">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row>
    <row r="84" spans="1:24" ht="17.100000000000001" customHeight="1">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row>
    <row r="85" spans="1:24" ht="17.100000000000001" customHeight="1">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row>
    <row r="86" spans="1:24" ht="17.100000000000001" customHeight="1">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row>
    <row r="87" spans="1:24" ht="17.100000000000001" customHeight="1">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row>
    <row r="88" spans="1:24" ht="17.100000000000001" customHeight="1">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row>
    <row r="89" spans="1:24" ht="17.100000000000001" customHeight="1">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row>
    <row r="90" spans="1:24" ht="17.100000000000001" customHeight="1">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row>
    <row r="91" spans="1:24" ht="17.100000000000001"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row>
    <row r="92" spans="1:24" ht="17.100000000000001"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row>
    <row r="93" spans="1:24" ht="17.100000000000001"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row>
    <row r="94" spans="1:24" ht="17.100000000000001"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row>
    <row r="95" spans="1:24" ht="17.100000000000001"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row>
    <row r="96" spans="1:24" ht="17.100000000000001"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row>
    <row r="97" spans="1:24" ht="15"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row>
    <row r="98" spans="1:24" ht="15" customHeight="1">
      <c r="A98" s="143"/>
      <c r="B98" s="143"/>
      <c r="C98" s="143"/>
      <c r="D98" s="143"/>
      <c r="E98" s="143"/>
      <c r="S98" s="143"/>
      <c r="T98" s="143"/>
      <c r="U98" s="143"/>
      <c r="V98" s="143"/>
      <c r="W98" s="143"/>
    </row>
    <row r="99" spans="1:24" ht="15" customHeight="1">
      <c r="A99" s="143"/>
      <c r="B99" s="143"/>
      <c r="C99" s="143"/>
      <c r="D99" s="143"/>
      <c r="E99" s="143"/>
      <c r="S99" s="143"/>
      <c r="T99" s="143"/>
      <c r="U99" s="143"/>
      <c r="V99" s="143"/>
      <c r="W99" s="143"/>
    </row>
    <row r="100" spans="1:24" ht="15" customHeight="1">
      <c r="A100" s="143"/>
      <c r="B100" s="143"/>
      <c r="C100" s="143"/>
      <c r="D100" s="143"/>
      <c r="E100" s="143"/>
      <c r="S100" s="143"/>
      <c r="T100" s="143"/>
      <c r="U100" s="143"/>
      <c r="V100" s="143"/>
      <c r="W100" s="143"/>
    </row>
    <row r="101" spans="1:24" ht="15" customHeight="1">
      <c r="A101" s="143"/>
      <c r="B101" s="143"/>
      <c r="S101" s="143"/>
      <c r="T101" s="143"/>
      <c r="U101" s="143"/>
      <c r="V101" s="143"/>
      <c r="W101" s="143"/>
    </row>
  </sheetData>
  <sheetProtection algorithmName="SHA-512" hashValue="c1EU+shPO/KawMe1WWW7iq4YGygkfRFkFDmbhxC6WHAMTHXEEgnW+rk/9Pi5j4EZiuAOLI5/zfNSEwLc21QCtw==" saltValue="TfxwNEKmJoHX3tzBg+UdoQ==" spinCount="100000" sheet="1" objects="1" scenarios="1"/>
  <mergeCells count="51">
    <mergeCell ref="R71:V71"/>
    <mergeCell ref="I33:J33"/>
    <mergeCell ref="Q46:V46"/>
    <mergeCell ref="Q47:R47"/>
    <mergeCell ref="Q48:V48"/>
    <mergeCell ref="Q49:Q55"/>
    <mergeCell ref="Q56:Q58"/>
    <mergeCell ref="Q67:Q69"/>
    <mergeCell ref="Q60:Q66"/>
    <mergeCell ref="Q59:V59"/>
    <mergeCell ref="I43:J43"/>
    <mergeCell ref="L32:M32"/>
    <mergeCell ref="E33:F33"/>
    <mergeCell ref="L33:M33"/>
    <mergeCell ref="J30:K30"/>
    <mergeCell ref="J26:K26"/>
    <mergeCell ref="J27:K27"/>
    <mergeCell ref="J28:K28"/>
    <mergeCell ref="J29:K29"/>
    <mergeCell ref="C2:C3"/>
    <mergeCell ref="T2:U3"/>
    <mergeCell ref="J8:K8"/>
    <mergeCell ref="D24:F24"/>
    <mergeCell ref="E25:F25"/>
    <mergeCell ref="J6:M6"/>
    <mergeCell ref="J7:K7"/>
    <mergeCell ref="J17:M17"/>
    <mergeCell ref="J18:K18"/>
    <mergeCell ref="L18:M18"/>
    <mergeCell ref="J24:M24"/>
    <mergeCell ref="J25:K25"/>
    <mergeCell ref="L25:M25"/>
    <mergeCell ref="J9:K9"/>
    <mergeCell ref="J10:K10"/>
    <mergeCell ref="J11:K11"/>
    <mergeCell ref="D6:F6"/>
    <mergeCell ref="E7:F7"/>
    <mergeCell ref="L7:M7"/>
    <mergeCell ref="D17:F17"/>
    <mergeCell ref="E18:F18"/>
    <mergeCell ref="J12:K12"/>
    <mergeCell ref="J13:K13"/>
    <mergeCell ref="J14:K14"/>
    <mergeCell ref="E43:F43"/>
    <mergeCell ref="E44:F44"/>
    <mergeCell ref="J19:K19"/>
    <mergeCell ref="J20:K20"/>
    <mergeCell ref="J21:K21"/>
    <mergeCell ref="J22:K22"/>
    <mergeCell ref="E32:F32"/>
    <mergeCell ref="I32:J32"/>
  </mergeCells>
  <conditionalFormatting sqref="S60:V69">
    <cfRule type="cellIs" dxfId="257" priority="7" operator="lessThan">
      <formula>0</formula>
    </cfRule>
    <cfRule type="cellIs" dxfId="256" priority="8" operator="greaterThan">
      <formula>0</formula>
    </cfRule>
  </conditionalFormatting>
  <conditionalFormatting sqref="S74 V74">
    <cfRule type="cellIs" dxfId="255" priority="5" operator="lessThan">
      <formula>$S$73</formula>
    </cfRule>
    <cfRule type="cellIs" dxfId="254" priority="6" operator="greaterThan">
      <formula>$S$73</formula>
    </cfRule>
  </conditionalFormatting>
  <conditionalFormatting sqref="T74">
    <cfRule type="cellIs" dxfId="253" priority="2" operator="greaterThan">
      <formula>$T$73</formula>
    </cfRule>
    <cfRule type="cellIs" dxfId="252" priority="4" operator="lessThan">
      <formula>$T$73</formula>
    </cfRule>
  </conditionalFormatting>
  <conditionalFormatting sqref="U74">
    <cfRule type="cellIs" dxfId="251" priority="1" operator="greaterThan">
      <formula>$U$73</formula>
    </cfRule>
    <cfRule type="cellIs" dxfId="250" priority="3" operator="lessThan">
      <formula>$U$73</formula>
    </cfRule>
  </conditionalFormatting>
  <dataValidations count="1">
    <dataValidation type="whole" allowBlank="1" showInputMessage="1" showErrorMessage="1" sqref="D59" xr:uid="{00000000-0002-0000-0200-000000000000}">
      <formula1>2006</formula1>
      <formula2>2030</formula2>
    </dataValidation>
  </dataValidation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5">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4" width="8.7109375" style="9" customWidth="1"/>
    <col min="15" max="31" width="8.7109375" style="9" customWidth="1" outlineLevel="1"/>
    <col min="32" max="16384" width="11.5703125" style="9"/>
  </cols>
  <sheetData>
    <row r="1" spans="1:31">
      <c r="A1" s="41" t="s">
        <v>183</v>
      </c>
      <c r="B1" s="20" t="s">
        <v>842</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137</v>
      </c>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row>
    <row r="6" spans="1:31" ht="15" customHeight="1" thickBot="1">
      <c r="B6" s="176" t="str">
        <f>ControlPanel!E26</f>
        <v>Referenz</v>
      </c>
      <c r="C6" s="15" t="str">
        <f>VLOOKUP($B$6,$B$7:$AE$25,2,FALSE)</f>
        <v>fh</v>
      </c>
      <c r="D6" s="15" t="str">
        <f>VLOOKUP($B$6,$B$7:$AE$25,3,FALSE)</f>
        <v>2021: ÜNB-Umlageberechnungen bis 2025, danach konstant</v>
      </c>
      <c r="E6" s="15" t="str">
        <f>VLOOKUP($B$6,$B$7:$AE$25,4,FALSE)</f>
        <v>2022-2026 gemäß ÜNB-Letztverbrauchsprognose Referenzszenario (Strommenge laut §61(1) S.1 Nr. 1). Ab 2027 konstante Strommenge.</v>
      </c>
      <c r="F6" s="14">
        <f>IF(F$4&lt;ControlPanel!$D$59,VLOOKUP("Referenz",$B$7:$AE$25,F$4-$F$4+5,FALSE),VLOOKUP($B$6,$B$7:$AE$25,F$4-$F$4+5,FALSE))</f>
        <v>0</v>
      </c>
      <c r="G6" s="14">
        <f>IF(G$4&lt;ControlPanel!$D$59,VLOOKUP("Referenz",$B$7:$AE$25,G$4-$F$4+5,FALSE),VLOOKUP($B$6,$B$7:$AE$25,G$4-$F$4+5,FALSE))</f>
        <v>0</v>
      </c>
      <c r="H6" s="14">
        <f>IF(H$4&lt;ControlPanel!$D$59,VLOOKUP("Referenz",$B$7:$AE$25,H$4-$F$4+5,FALSE),VLOOKUP($B$6,$B$7:$AE$25,H$4-$F$4+5,FALSE))</f>
        <v>0</v>
      </c>
      <c r="I6" s="14">
        <f>IF(I$4&lt;ControlPanel!$D$59,VLOOKUP("Referenz",$B$7:$AE$25,I$4-$F$4+5,FALSE),VLOOKUP($B$6,$B$7:$AE$25,I$4-$F$4+5,FALSE))</f>
        <v>0</v>
      </c>
      <c r="J6" s="14">
        <f>IF(J$4&lt;ControlPanel!$D$59,VLOOKUP("Referenz",$B$7:$AE$25,J$4-$F$4+5,FALSE),VLOOKUP($B$6,$B$7:$AE$25,J$4-$F$4+5,FALSE))</f>
        <v>0</v>
      </c>
      <c r="K6" s="14">
        <f>IF(K$4&lt;ControlPanel!$D$59,VLOOKUP("Referenz",$B$7:$AE$25,K$4-$F$4+5,FALSE),VLOOKUP($B$6,$B$7:$AE$25,K$4-$F$4+5,FALSE))</f>
        <v>0.2</v>
      </c>
      <c r="L6" s="14">
        <f>IF(L$4&lt;ControlPanel!$D$59,VLOOKUP("Referenz",$B$7:$AE$25,L$4-$F$4+5,FALSE),VLOOKUP($B$6,$B$7:$AE$25,L$4-$F$4+5,FALSE))</f>
        <v>0.52702499999999997</v>
      </c>
      <c r="M6" s="14">
        <f>IF(M$4&lt;ControlPanel!$D$59,VLOOKUP("Referenz",$B$7:$AE$25,M$4-$F$4+5,FALSE),VLOOKUP($B$6,$B$7:$AE$25,M$4-$F$4+5,FALSE))</f>
        <v>0.79537799999999992</v>
      </c>
      <c r="N6" s="14">
        <f>IF(N$4&lt;ControlPanel!$D$59,VLOOKUP("Referenz",$B$7:$AE$25,N$4-$F$4+5,FALSE),VLOOKUP($B$6,$B$7:$AE$25,N$4-$F$4+5,FALSE))</f>
        <v>1.2451939999999999</v>
      </c>
      <c r="O6" s="14">
        <f>IF(O$4&lt;ControlPanel!$D$59,VLOOKUP("Referenz",$B$7:$AE$25,O$4-$F$4+5,FALSE),VLOOKUP($B$6,$B$7:$AE$25,O$4-$F$4+5,FALSE))</f>
        <v>2.9838139999999997</v>
      </c>
      <c r="P6" s="14">
        <f>IF(P$4&lt;ControlPanel!$D$59,VLOOKUP("Referenz",$B$7:$AE$25,P$4-$F$4+5,FALSE),VLOOKUP($B$6,$B$7:$AE$25,P$4-$F$4+5,FALSE))</f>
        <v>3.2852449999999997</v>
      </c>
      <c r="Q6" s="14">
        <f>IF(Q$4&lt;ControlPanel!$D$59,VLOOKUP("Referenz",$B$7:$AE$25,Q$4-$F$4+5,FALSE),VLOOKUP($B$6,$B$7:$AE$25,Q$4-$F$4+5,FALSE))</f>
        <v>5.1942199999999996</v>
      </c>
      <c r="R6" s="14">
        <f>IF(R$4&lt;ControlPanel!$D$59,VLOOKUP("Referenz",$B$7:$AE$25,R$4-$F$4+5,FALSE),VLOOKUP($B$6,$B$7:$AE$25,R$4-$F$4+5,FALSE))</f>
        <v>6.1048070000000001</v>
      </c>
      <c r="S6" s="14">
        <f>IF(S$4&lt;ControlPanel!$D$59,VLOOKUP("Referenz",$B$7:$AE$25,S$4-$F$4+5,FALSE),VLOOKUP($B$6,$B$7:$AE$25,S$4-$F$4+5,FALSE))</f>
        <v>6.5</v>
      </c>
      <c r="T6" s="14">
        <f>IF(T$4&lt;ControlPanel!$D$59,VLOOKUP("Referenz",$B$7:$AE$25,T$4-$F$4+5,FALSE),VLOOKUP($B$6,$B$7:$AE$25,T$4-$F$4+5,FALSE))</f>
        <v>6.9</v>
      </c>
      <c r="U6" s="14">
        <f>IF(U$4&lt;ControlPanel!$D$59,VLOOKUP("Referenz",$B$7:$AE$25,U$4-$F$4+5,FALSE),VLOOKUP($B$6,$B$7:$AE$25,U$4-$F$4+5,FALSE))</f>
        <v>7.31</v>
      </c>
      <c r="V6" s="14">
        <f>IF(V$4&lt;ControlPanel!$D$59,VLOOKUP("Referenz",$B$7:$AE$25,V$4-$F$4+5,FALSE),VLOOKUP($B$6,$B$7:$AE$25,V$4-$F$4+5,FALSE))</f>
        <v>7.71</v>
      </c>
      <c r="W6" s="14">
        <f>IF(W$4&lt;ControlPanel!$D$59,VLOOKUP("Referenz",$B$7:$AE$25,W$4-$F$4+5,FALSE),VLOOKUP($B$6,$B$7:$AE$25,W$4-$F$4+5,FALSE))</f>
        <v>7.71</v>
      </c>
      <c r="X6" s="14">
        <f>IF(X$4&lt;ControlPanel!$D$59,VLOOKUP("Referenz",$B$7:$AE$25,X$4-$F$4+5,FALSE),VLOOKUP($B$6,$B$7:$AE$25,X$4-$F$4+5,FALSE))</f>
        <v>7.71</v>
      </c>
      <c r="Y6" s="14">
        <f>IF(Y$4&lt;ControlPanel!$D$59,VLOOKUP("Referenz",$B$7:$AE$25,Y$4-$F$4+5,FALSE),VLOOKUP($B$6,$B$7:$AE$25,Y$4-$F$4+5,FALSE))</f>
        <v>7.71</v>
      </c>
      <c r="Z6" s="14">
        <f>IF(Z$4&lt;ControlPanel!$D$59,VLOOKUP("Referenz",$B$7:$AE$25,Z$4-$F$4+5,FALSE),VLOOKUP($B$6,$B$7:$AE$25,Z$4-$F$4+5,FALSE))</f>
        <v>7.71</v>
      </c>
      <c r="AA6" s="14">
        <f>IF(AA$4&lt;ControlPanel!$D$59,VLOOKUP("Referenz",$B$7:$AE$25,AA$4-$F$4+5,FALSE),VLOOKUP($B$6,$B$7:$AE$25,AA$4-$F$4+5,FALSE))</f>
        <v>7.71</v>
      </c>
      <c r="AB6" s="14">
        <f>IF(AB$4&lt;ControlPanel!$D$59,VLOOKUP("Referenz",$B$7:$AE$25,AB$4-$F$4+5,FALSE),VLOOKUP($B$6,$B$7:$AE$25,AB$4-$F$4+5,FALSE))</f>
        <v>7.71</v>
      </c>
      <c r="AC6" s="14">
        <f>IF(AC$4&lt;ControlPanel!$D$59,VLOOKUP("Referenz",$B$7:$AE$25,AC$4-$F$4+5,FALSE),VLOOKUP($B$6,$B$7:$AE$25,AC$4-$F$4+5,FALSE))</f>
        <v>7.71</v>
      </c>
      <c r="AD6" s="14">
        <f>IF(AD$4&lt;ControlPanel!$D$59,VLOOKUP("Referenz",$B$7:$AE$25,AD$4-$F$4+5,FALSE),VLOOKUP($B$6,$B$7:$AE$25,AD$4-$F$4+5,FALSE))</f>
        <v>7.71</v>
      </c>
      <c r="AE6" s="14">
        <f>IF(AE$4&lt;ControlPanel!$D$59,VLOOKUP("Referenz",$B$7:$AE$25,AE$4-$F$4+5,FALSE),VLOOKUP($B$6,$B$7:$AE$25,AE$4-$F$4+5,FALSE))</f>
        <v>7.71</v>
      </c>
    </row>
    <row r="7" spans="1:31" ht="116.25" customHeight="1">
      <c r="B7" s="16" t="s">
        <v>138</v>
      </c>
      <c r="C7" s="12" t="s">
        <v>845</v>
      </c>
      <c r="D7" s="1026" t="s">
        <v>883</v>
      </c>
      <c r="E7" s="1024" t="s">
        <v>1042</v>
      </c>
      <c r="F7" s="328">
        <v>0</v>
      </c>
      <c r="G7" s="328">
        <v>0</v>
      </c>
      <c r="H7" s="328">
        <v>0</v>
      </c>
      <c r="I7" s="328">
        <v>0</v>
      </c>
      <c r="J7" s="328">
        <v>0</v>
      </c>
      <c r="K7" s="53">
        <v>0.2</v>
      </c>
      <c r="L7" s="53">
        <v>0.52702499999999997</v>
      </c>
      <c r="M7" s="53">
        <v>0.79537799999999992</v>
      </c>
      <c r="N7" s="53">
        <v>1.2451939999999999</v>
      </c>
      <c r="O7" s="53">
        <v>2.9838139999999997</v>
      </c>
      <c r="P7" s="53">
        <v>3.2852449999999997</v>
      </c>
      <c r="Q7" s="53">
        <v>5.1942199999999996</v>
      </c>
      <c r="R7" s="53">
        <v>6.1048070000000001</v>
      </c>
      <c r="S7" s="53">
        <v>6.5</v>
      </c>
      <c r="T7" s="53">
        <v>6.9</v>
      </c>
      <c r="U7" s="53">
        <v>7.31</v>
      </c>
      <c r="V7" s="53">
        <v>7.71</v>
      </c>
      <c r="W7" s="53">
        <f t="shared" ref="W7:AE7" si="0">V7</f>
        <v>7.71</v>
      </c>
      <c r="X7" s="53">
        <f t="shared" si="0"/>
        <v>7.71</v>
      </c>
      <c r="Y7" s="53">
        <f t="shared" si="0"/>
        <v>7.71</v>
      </c>
      <c r="Z7" s="53">
        <f t="shared" si="0"/>
        <v>7.71</v>
      </c>
      <c r="AA7" s="53">
        <f t="shared" si="0"/>
        <v>7.71</v>
      </c>
      <c r="AB7" s="53">
        <f t="shared" si="0"/>
        <v>7.71</v>
      </c>
      <c r="AC7" s="53">
        <f t="shared" si="0"/>
        <v>7.71</v>
      </c>
      <c r="AD7" s="53">
        <f t="shared" si="0"/>
        <v>7.71</v>
      </c>
      <c r="AE7" s="53">
        <f t="shared" si="0"/>
        <v>7.71</v>
      </c>
    </row>
    <row r="8" spans="1:31" ht="15" customHeight="1">
      <c r="B8" s="16" t="s">
        <v>595</v>
      </c>
      <c r="C8" s="12" t="s">
        <v>65</v>
      </c>
      <c r="D8" s="1026" t="s">
        <v>596</v>
      </c>
      <c r="E8" s="1024"/>
      <c r="F8" s="328"/>
      <c r="G8" s="328"/>
      <c r="H8" s="328"/>
      <c r="I8" s="328"/>
      <c r="J8" s="328"/>
      <c r="K8" s="497"/>
      <c r="L8" s="497"/>
      <c r="M8" s="497"/>
      <c r="N8" s="497"/>
      <c r="O8" s="497"/>
      <c r="P8" s="497"/>
      <c r="Q8" s="497"/>
      <c r="R8" s="497">
        <v>0</v>
      </c>
      <c r="S8" s="497">
        <v>0</v>
      </c>
      <c r="T8" s="497">
        <v>0</v>
      </c>
      <c r="U8" s="497">
        <v>0</v>
      </c>
      <c r="V8" s="497">
        <v>0</v>
      </c>
      <c r="W8" s="497">
        <v>0</v>
      </c>
      <c r="X8" s="497">
        <v>0</v>
      </c>
      <c r="Y8" s="497">
        <v>0</v>
      </c>
      <c r="Z8" s="497">
        <v>0</v>
      </c>
      <c r="AA8" s="497">
        <v>0</v>
      </c>
      <c r="AB8" s="497">
        <v>0</v>
      </c>
      <c r="AC8" s="497">
        <v>0</v>
      </c>
      <c r="AD8" s="497">
        <v>0</v>
      </c>
      <c r="AE8" s="497">
        <v>0</v>
      </c>
    </row>
    <row r="9" spans="1:31" ht="34.5" customHeight="1">
      <c r="B9" s="16" t="s">
        <v>98</v>
      </c>
      <c r="C9" s="12" t="s">
        <v>845</v>
      </c>
      <c r="D9" s="1026" t="s">
        <v>854</v>
      </c>
      <c r="E9" s="1024" t="s">
        <v>696</v>
      </c>
      <c r="F9" s="328"/>
      <c r="G9" s="328"/>
      <c r="H9" s="328"/>
      <c r="I9" s="328"/>
      <c r="J9" s="328"/>
      <c r="K9" s="53"/>
      <c r="L9" s="53"/>
      <c r="M9" s="53"/>
      <c r="N9" s="53"/>
      <c r="O9" s="53"/>
      <c r="P9" s="53"/>
      <c r="Q9" s="53"/>
      <c r="R9" s="53">
        <f t="shared" ref="R9:AE9" si="1">0.5*R10</f>
        <v>3.0524035</v>
      </c>
      <c r="S9" s="53">
        <f t="shared" si="1"/>
        <v>3.25</v>
      </c>
      <c r="T9" s="53">
        <f t="shared" si="1"/>
        <v>3.45</v>
      </c>
      <c r="U9" s="53">
        <f t="shared" si="1"/>
        <v>3.6549999999999998</v>
      </c>
      <c r="V9" s="53">
        <f t="shared" si="1"/>
        <v>3.855</v>
      </c>
      <c r="W9" s="53">
        <f t="shared" si="1"/>
        <v>3.855</v>
      </c>
      <c r="X9" s="53">
        <f t="shared" si="1"/>
        <v>3.855</v>
      </c>
      <c r="Y9" s="53">
        <f t="shared" si="1"/>
        <v>3.855</v>
      </c>
      <c r="Z9" s="53">
        <f t="shared" si="1"/>
        <v>3.855</v>
      </c>
      <c r="AA9" s="53">
        <f t="shared" si="1"/>
        <v>3.855</v>
      </c>
      <c r="AB9" s="53">
        <f t="shared" si="1"/>
        <v>3.855</v>
      </c>
      <c r="AC9" s="53">
        <f t="shared" si="1"/>
        <v>3.855</v>
      </c>
      <c r="AD9" s="53">
        <f t="shared" si="1"/>
        <v>3.855</v>
      </c>
      <c r="AE9" s="53">
        <f t="shared" si="1"/>
        <v>3.855</v>
      </c>
    </row>
    <row r="10" spans="1:31" ht="62.25" customHeight="1">
      <c r="B10" s="16" t="s">
        <v>96</v>
      </c>
      <c r="C10" s="12" t="s">
        <v>845</v>
      </c>
      <c r="D10" s="1026" t="s">
        <v>884</v>
      </c>
      <c r="E10" s="1024" t="s">
        <v>697</v>
      </c>
      <c r="F10" s="328"/>
      <c r="G10" s="328"/>
      <c r="H10" s="328"/>
      <c r="I10" s="328"/>
      <c r="J10" s="328"/>
      <c r="K10" s="53"/>
      <c r="L10" s="53"/>
      <c r="M10" s="53"/>
      <c r="N10" s="53"/>
      <c r="O10" s="53"/>
      <c r="P10" s="53"/>
      <c r="Q10" s="53"/>
      <c r="R10" s="53">
        <f t="shared" ref="R10:AE10" si="2">R7</f>
        <v>6.1048070000000001</v>
      </c>
      <c r="S10" s="53">
        <f t="shared" si="2"/>
        <v>6.5</v>
      </c>
      <c r="T10" s="53">
        <f t="shared" si="2"/>
        <v>6.9</v>
      </c>
      <c r="U10" s="53">
        <f t="shared" si="2"/>
        <v>7.31</v>
      </c>
      <c r="V10" s="53">
        <f t="shared" si="2"/>
        <v>7.71</v>
      </c>
      <c r="W10" s="53">
        <f t="shared" si="2"/>
        <v>7.71</v>
      </c>
      <c r="X10" s="53">
        <f t="shared" si="2"/>
        <v>7.71</v>
      </c>
      <c r="Y10" s="53">
        <f t="shared" si="2"/>
        <v>7.71</v>
      </c>
      <c r="Z10" s="53">
        <f t="shared" si="2"/>
        <v>7.71</v>
      </c>
      <c r="AA10" s="53">
        <f t="shared" si="2"/>
        <v>7.71</v>
      </c>
      <c r="AB10" s="53">
        <f t="shared" si="2"/>
        <v>7.71</v>
      </c>
      <c r="AC10" s="53">
        <f t="shared" si="2"/>
        <v>7.71</v>
      </c>
      <c r="AD10" s="53">
        <f t="shared" si="2"/>
        <v>7.71</v>
      </c>
      <c r="AE10" s="53">
        <f t="shared" si="2"/>
        <v>7.71</v>
      </c>
    </row>
    <row r="11" spans="1:31" ht="42.75" customHeight="1">
      <c r="B11" s="16" t="s">
        <v>99</v>
      </c>
      <c r="C11" s="12" t="s">
        <v>845</v>
      </c>
      <c r="D11" s="1026" t="s">
        <v>885</v>
      </c>
      <c r="E11" s="1024" t="s">
        <v>698</v>
      </c>
      <c r="F11" s="328"/>
      <c r="G11" s="328"/>
      <c r="H11" s="328"/>
      <c r="I11" s="328"/>
      <c r="J11" s="328"/>
      <c r="K11" s="53"/>
      <c r="L11" s="53"/>
      <c r="M11" s="53"/>
      <c r="N11" s="53"/>
      <c r="O11" s="53"/>
      <c r="P11" s="53"/>
      <c r="Q11" s="53"/>
      <c r="R11" s="53">
        <f t="shared" ref="R11:AE11" si="3">R10*1.5</f>
        <v>9.1572104999999997</v>
      </c>
      <c r="S11" s="53">
        <f t="shared" si="3"/>
        <v>9.75</v>
      </c>
      <c r="T11" s="53">
        <f t="shared" si="3"/>
        <v>10.350000000000001</v>
      </c>
      <c r="U11" s="53">
        <f t="shared" si="3"/>
        <v>10.965</v>
      </c>
      <c r="V11" s="53">
        <f t="shared" si="3"/>
        <v>11.565</v>
      </c>
      <c r="W11" s="53">
        <f t="shared" si="3"/>
        <v>11.565</v>
      </c>
      <c r="X11" s="53">
        <f t="shared" si="3"/>
        <v>11.565</v>
      </c>
      <c r="Y11" s="53">
        <f t="shared" si="3"/>
        <v>11.565</v>
      </c>
      <c r="Z11" s="53">
        <f t="shared" si="3"/>
        <v>11.565</v>
      </c>
      <c r="AA11" s="53">
        <f t="shared" si="3"/>
        <v>11.565</v>
      </c>
      <c r="AB11" s="53">
        <f t="shared" si="3"/>
        <v>11.565</v>
      </c>
      <c r="AC11" s="53">
        <f t="shared" si="3"/>
        <v>11.565</v>
      </c>
      <c r="AD11" s="53">
        <f t="shared" si="3"/>
        <v>11.565</v>
      </c>
      <c r="AE11" s="53">
        <f t="shared" si="3"/>
        <v>11.565</v>
      </c>
    </row>
    <row r="12" spans="1:31" ht="50.25" customHeight="1">
      <c r="B12" s="16" t="s">
        <v>100</v>
      </c>
      <c r="C12" s="12" t="s">
        <v>845</v>
      </c>
      <c r="D12" s="1026" t="s">
        <v>886</v>
      </c>
      <c r="E12" s="1024" t="s">
        <v>699</v>
      </c>
      <c r="F12" s="328"/>
      <c r="G12" s="328"/>
      <c r="H12" s="328"/>
      <c r="I12" s="328"/>
      <c r="J12" s="328"/>
      <c r="K12" s="53"/>
      <c r="L12" s="53"/>
      <c r="M12" s="53"/>
      <c r="N12" s="53"/>
      <c r="O12" s="53"/>
      <c r="P12" s="53"/>
      <c r="Q12" s="53"/>
      <c r="R12" s="53">
        <f t="shared" ref="R12:AE12" si="4">R10*2</f>
        <v>12.209614</v>
      </c>
      <c r="S12" s="53">
        <f t="shared" si="4"/>
        <v>13</v>
      </c>
      <c r="T12" s="53">
        <f t="shared" si="4"/>
        <v>13.8</v>
      </c>
      <c r="U12" s="53">
        <f t="shared" si="4"/>
        <v>14.62</v>
      </c>
      <c r="V12" s="53">
        <f t="shared" si="4"/>
        <v>15.42</v>
      </c>
      <c r="W12" s="53">
        <f t="shared" si="4"/>
        <v>15.42</v>
      </c>
      <c r="X12" s="53">
        <f t="shared" si="4"/>
        <v>15.42</v>
      </c>
      <c r="Y12" s="53">
        <f t="shared" si="4"/>
        <v>15.42</v>
      </c>
      <c r="Z12" s="53">
        <f t="shared" si="4"/>
        <v>15.42</v>
      </c>
      <c r="AA12" s="53">
        <f t="shared" si="4"/>
        <v>15.42</v>
      </c>
      <c r="AB12" s="53">
        <f t="shared" si="4"/>
        <v>15.42</v>
      </c>
      <c r="AC12" s="53">
        <f t="shared" si="4"/>
        <v>15.42</v>
      </c>
      <c r="AD12" s="53">
        <f t="shared" si="4"/>
        <v>15.42</v>
      </c>
      <c r="AE12" s="53">
        <f t="shared" si="4"/>
        <v>15.42</v>
      </c>
    </row>
    <row r="13" spans="1:31" s="470" customFormat="1" ht="15" customHeight="1">
      <c r="B13" s="290"/>
      <c r="C13" s="291"/>
      <c r="D13" s="292"/>
      <c r="E13" s="1025"/>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row>
    <row r="14" spans="1:31" s="1087" customFormat="1" ht="15" customHeight="1">
      <c r="B14" s="1132"/>
      <c r="C14" s="1136"/>
      <c r="D14" s="1137"/>
      <c r="E14" s="1138"/>
      <c r="F14" s="1088"/>
      <c r="G14" s="1088"/>
      <c r="H14" s="1088"/>
      <c r="I14" s="1088"/>
      <c r="J14" s="1088"/>
      <c r="K14" s="1088"/>
      <c r="L14" s="1088"/>
      <c r="M14" s="1088"/>
      <c r="N14" s="1088"/>
      <c r="O14" s="1088"/>
      <c r="P14" s="1088"/>
      <c r="Q14" s="1088"/>
      <c r="R14" s="1088"/>
      <c r="S14" s="1088"/>
      <c r="T14" s="1088"/>
      <c r="U14" s="1088"/>
      <c r="V14" s="1088"/>
      <c r="W14" s="1088"/>
      <c r="X14" s="1088"/>
      <c r="Y14" s="1088"/>
      <c r="Z14" s="1088"/>
      <c r="AA14" s="1088"/>
      <c r="AB14" s="1088"/>
      <c r="AC14" s="1088"/>
      <c r="AD14" s="1088"/>
      <c r="AE14" s="1088"/>
    </row>
    <row r="15" spans="1:31" s="470" customFormat="1" ht="15" customHeight="1">
      <c r="B15" s="290"/>
      <c r="C15" s="291"/>
      <c r="D15" s="292"/>
      <c r="E15" s="552"/>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c r="K29" s="45"/>
      <c r="L29" s="45"/>
      <c r="M29" s="45"/>
      <c r="N29" s="45"/>
    </row>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tW7ieJr6kQBpiEqyvZfHAAZJLz8W5/nGrjNkqG4n3BX+TEZ8PnmaqBnA9fLED3jjDkhrAihejRTqOQ4+L/3qYA==" saltValue="cICkmWl++wg+K/O4DJSG2Q==" spinCount="100000" sheet="1" objects="1" scenarios="1"/>
  <hyperlinks>
    <hyperlink ref="A1" location="'Start-Experte'!A1" display="zurück" xr:uid="{00000000-0004-0000-1C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86B2C012-5C1D-4C24-B2CE-510B7287A3E8}">
            <xm:f>ControlPanel!$D$59-1</xm:f>
            <x14:dxf>
              <font>
                <color rgb="FF9C6500"/>
              </font>
              <fill>
                <patternFill>
                  <fgColor indexed="64"/>
                  <bgColor rgb="FFFFEB9C"/>
                </patternFill>
              </fill>
            </x14:dxf>
          </x14:cfRule>
          <x14:cfRule type="cellIs" priority="2" operator="lessThan" id="{EE9CC87D-FB07-4F4F-A15A-C512E06A812C}">
            <xm:f>ControlPanel!$D$59</xm:f>
            <x14:dxf>
              <font>
                <color rgb="FF006100"/>
              </font>
              <fill>
                <patternFill>
                  <fgColor indexed="64"/>
                  <bgColor rgb="FFC6EFCE"/>
                </patternFill>
              </fill>
            </x14:dxf>
          </x14:cfRule>
          <xm:sqref>F4:AE4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8">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261</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15" customHeight="1" thickBot="1">
      <c r="B6" s="176" t="str">
        <f>ControlPanel!E28</f>
        <v>Referenz</v>
      </c>
      <c r="C6" s="15" t="str">
        <f>VLOOKUP($B$6,$B$7:$AE$25,2,FALSE)</f>
        <v>mh</v>
      </c>
      <c r="D6" s="15" t="str">
        <f>VLOOKUP($B$6,$B$7:$AE$25,3,FALSE)</f>
        <v>gem. EEG 2017, ab 2020 konstant 38%</v>
      </c>
      <c r="E6" s="15" t="str">
        <f>VLOOKUP($B$6,$B$7:$AE$25,4,FALSE)</f>
        <v>im Okt 2021 angepasst für 2022</v>
      </c>
      <c r="F6" s="14">
        <f>IF(F$4&lt;ControlPanel!$D$59,VLOOKUP("Referenz",$B$7:$AE$25,F$4-$F$4+5,FALSE),VLOOKUP($B$6,$B$7:$AE$25,F$4-$F$4+5,FALSE))</f>
        <v>0</v>
      </c>
      <c r="G6" s="14">
        <f>IF(G$4&lt;ControlPanel!$D$59,VLOOKUP("Referenz",$B$7:$AE$25,G$4-$F$4+5,FALSE),VLOOKUP($B$6,$B$7:$AE$25,G$4-$F$4+5,FALSE))</f>
        <v>0</v>
      </c>
      <c r="H6" s="14">
        <f>IF(H$4&lt;ControlPanel!$D$59,VLOOKUP("Referenz",$B$7:$AE$25,H$4-$F$4+5,FALSE),VLOOKUP($B$6,$B$7:$AE$25,H$4-$F$4+5,FALSE))</f>
        <v>0</v>
      </c>
      <c r="I6" s="14">
        <f>IF(I$4&lt;ControlPanel!$D$59,VLOOKUP("Referenz",$B$7:$AE$25,I$4-$F$4+5,FALSE),VLOOKUP($B$6,$B$7:$AE$25,I$4-$F$4+5,FALSE))</f>
        <v>0</v>
      </c>
      <c r="J6" s="14">
        <f>IF(J$4&lt;ControlPanel!$D$59,VLOOKUP("Referenz",$B$7:$AE$25,J$4-$F$4+5,FALSE),VLOOKUP($B$6,$B$7:$AE$25,J$4-$F$4+5,FALSE))</f>
        <v>0</v>
      </c>
      <c r="K6" s="14">
        <f>IF(K$4&lt;ControlPanel!$D$59,VLOOKUP("Referenz",$B$7:$AE$25,K$4-$F$4+5,FALSE),VLOOKUP($B$6,$B$7:$AE$25,K$4-$F$4+5,FALSE))</f>
        <v>0.3</v>
      </c>
      <c r="L6" s="14">
        <f>IF(L$4&lt;ControlPanel!$D$59,VLOOKUP("Referenz",$B$7:$AE$25,L$4-$F$4+5,FALSE),VLOOKUP($B$6,$B$7:$AE$25,L$4-$F$4+5,FALSE))</f>
        <v>0.35</v>
      </c>
      <c r="M6" s="14">
        <f>IF(M$4&lt;ControlPanel!$D$59,VLOOKUP("Referenz",$B$7:$AE$25,M$4-$F$4+5,FALSE),VLOOKUP($B$6,$B$7:$AE$25,M$4-$F$4+5,FALSE))</f>
        <v>0.40000062775558548</v>
      </c>
      <c r="N6" s="14">
        <f>IF(N$4&lt;ControlPanel!$D$59,VLOOKUP("Referenz",$B$7:$AE$25,N$4-$F$4+5,FALSE),VLOOKUP($B$6,$B$7:$AE$25,N$4-$F$4+5,FALSE))</f>
        <v>0.33640703685486462</v>
      </c>
      <c r="O6" s="14">
        <f>IF(O$4&lt;ControlPanel!$D$59,VLOOKUP("Referenz",$B$7:$AE$25,O$4-$F$4+5,FALSE),VLOOKUP($B$6,$B$7:$AE$25,O$4-$F$4+5,FALSE))</f>
        <v>0.36296708149217022</v>
      </c>
      <c r="P6" s="14">
        <f>IF(P$4&lt;ControlPanel!$D$59,VLOOKUP("Referenz",$B$7:$AE$25,P$4-$F$4+5,FALSE),VLOOKUP($B$6,$B$7:$AE$25,P$4-$F$4+5,FALSE))</f>
        <v>0.37707011244336597</v>
      </c>
      <c r="Q6" s="14">
        <f>IF(Q$4&lt;ControlPanel!$D$59,VLOOKUP("Referenz",$B$7:$AE$25,Q$4-$F$4+5,FALSE),VLOOKUP($B$6,$B$7:$AE$25,Q$4-$F$4+5,FALSE))</f>
        <v>0.37707011244336597</v>
      </c>
      <c r="R6" s="14">
        <f>IF(R$4&lt;ControlPanel!$D$59,VLOOKUP("Referenz",$B$7:$AE$25,R$4-$F$4+5,FALSE),VLOOKUP($B$6,$B$7:$AE$25,R$4-$F$4+5,FALSE))</f>
        <v>0.51337757596926303</v>
      </c>
      <c r="S6" s="14">
        <f>IF(S$4&lt;ControlPanel!$D$59,VLOOKUP("Referenz",$B$7:$AE$25,S$4-$F$4+5,FALSE),VLOOKUP($B$6,$B$7:$AE$25,S$4-$F$4+5,FALSE))</f>
        <v>0.51337757596926303</v>
      </c>
      <c r="T6" s="14">
        <f>IF(T$4&lt;ControlPanel!$D$59,VLOOKUP("Referenz",$B$7:$AE$25,T$4-$F$4+5,FALSE),VLOOKUP($B$6,$B$7:$AE$25,T$4-$F$4+5,FALSE))</f>
        <v>0.51337757596926303</v>
      </c>
      <c r="U6" s="14">
        <f>IF(U$4&lt;ControlPanel!$D$59,VLOOKUP("Referenz",$B$7:$AE$25,U$4-$F$4+5,FALSE),VLOOKUP($B$6,$B$7:$AE$25,U$4-$F$4+5,FALSE))</f>
        <v>0.51337757596926303</v>
      </c>
      <c r="V6" s="14">
        <f>IF(V$4&lt;ControlPanel!$D$59,VLOOKUP("Referenz",$B$7:$AE$25,V$4-$F$4+5,FALSE),VLOOKUP($B$6,$B$7:$AE$25,V$4-$F$4+5,FALSE))</f>
        <v>0.51337757596926303</v>
      </c>
      <c r="W6" s="14">
        <f>IF(W$4&lt;ControlPanel!$D$59,VLOOKUP("Referenz",$B$7:$AE$25,W$4-$F$4+5,FALSE),VLOOKUP($B$6,$B$7:$AE$25,W$4-$F$4+5,FALSE))</f>
        <v>0.51337757596926303</v>
      </c>
      <c r="X6" s="14">
        <f>IF(X$4&lt;ControlPanel!$D$59,VLOOKUP("Referenz",$B$7:$AE$25,X$4-$F$4+5,FALSE),VLOOKUP($B$6,$B$7:$AE$25,X$4-$F$4+5,FALSE))</f>
        <v>0.51337757596926303</v>
      </c>
      <c r="Y6" s="14">
        <f>IF(Y$4&lt;ControlPanel!$D$59,VLOOKUP("Referenz",$B$7:$AE$25,Y$4-$F$4+5,FALSE),VLOOKUP($B$6,$B$7:$AE$25,Y$4-$F$4+5,FALSE))</f>
        <v>0.51337757596926303</v>
      </c>
      <c r="Z6" s="14">
        <f>IF(Z$4&lt;ControlPanel!$D$59,VLOOKUP("Referenz",$B$7:$AE$25,Z$4-$F$4+5,FALSE),VLOOKUP($B$6,$B$7:$AE$25,Z$4-$F$4+5,FALSE))</f>
        <v>0.51337757596926303</v>
      </c>
      <c r="AA6" s="14">
        <f>IF(AA$4&lt;ControlPanel!$D$59,VLOOKUP("Referenz",$B$7:$AE$25,AA$4-$F$4+5,FALSE),VLOOKUP($B$6,$B$7:$AE$25,AA$4-$F$4+5,FALSE))</f>
        <v>0.51337757596926303</v>
      </c>
      <c r="AB6" s="14">
        <f>IF(AB$4&lt;ControlPanel!$D$59,VLOOKUP("Referenz",$B$7:$AE$25,AB$4-$F$4+5,FALSE),VLOOKUP($B$6,$B$7:$AE$25,AB$4-$F$4+5,FALSE))</f>
        <v>0.51337757596926303</v>
      </c>
      <c r="AC6" s="14">
        <f>IF(AC$4&lt;ControlPanel!$D$59,VLOOKUP("Referenz",$B$7:$AE$25,AC$4-$F$4+5,FALSE),VLOOKUP($B$6,$B$7:$AE$25,AC$4-$F$4+5,FALSE))</f>
        <v>0.51337757596926303</v>
      </c>
      <c r="AD6" s="14">
        <f>IF(AD$4&lt;ControlPanel!$D$59,VLOOKUP("Referenz",$B$7:$AE$25,AD$4-$F$4+5,FALSE),VLOOKUP($B$6,$B$7:$AE$25,AD$4-$F$4+5,FALSE))</f>
        <v>0.51337757596926303</v>
      </c>
      <c r="AE6" s="14">
        <f>IF(AE$4&lt;ControlPanel!$D$59,VLOOKUP("Referenz",$B$7:$AE$25,AE$4-$F$4+5,FALSE),VLOOKUP($B$6,$B$7:$AE$25,AE$4-$F$4+5,FALSE))</f>
        <v>0.51337757596926303</v>
      </c>
    </row>
    <row r="7" spans="1:31" ht="15" customHeight="1">
      <c r="B7" s="180" t="s">
        <v>138</v>
      </c>
      <c r="C7" s="12" t="s">
        <v>65</v>
      </c>
      <c r="D7" s="11" t="s">
        <v>855</v>
      </c>
      <c r="E7" s="222" t="s">
        <v>1043</v>
      </c>
      <c r="F7" s="328">
        <v>0</v>
      </c>
      <c r="G7" s="328">
        <v>0</v>
      </c>
      <c r="H7" s="328">
        <v>0</v>
      </c>
      <c r="I7" s="328">
        <v>0</v>
      </c>
      <c r="J7" s="328">
        <v>0</v>
      </c>
      <c r="K7" s="328">
        <v>0.3</v>
      </c>
      <c r="L7" s="328">
        <v>0.35</v>
      </c>
      <c r="M7" s="328">
        <v>0.40000062775558548</v>
      </c>
      <c r="N7" s="328">
        <v>0.33640703685486462</v>
      </c>
      <c r="O7" s="328">
        <v>0.36296708149217022</v>
      </c>
      <c r="P7" s="328">
        <v>0.37707011244336597</v>
      </c>
      <c r="Q7" s="328">
        <f t="shared" ref="Q7:AE7" si="0">P7</f>
        <v>0.37707011244336597</v>
      </c>
      <c r="R7" s="328">
        <v>0.51337757596926303</v>
      </c>
      <c r="S7" s="328">
        <f t="shared" si="0"/>
        <v>0.51337757596926303</v>
      </c>
      <c r="T7" s="328">
        <f t="shared" si="0"/>
        <v>0.51337757596926303</v>
      </c>
      <c r="U7" s="328">
        <f t="shared" si="0"/>
        <v>0.51337757596926303</v>
      </c>
      <c r="V7" s="328">
        <f t="shared" si="0"/>
        <v>0.51337757596926303</v>
      </c>
      <c r="W7" s="328">
        <f t="shared" si="0"/>
        <v>0.51337757596926303</v>
      </c>
      <c r="X7" s="328">
        <f t="shared" si="0"/>
        <v>0.51337757596926303</v>
      </c>
      <c r="Y7" s="328">
        <f t="shared" si="0"/>
        <v>0.51337757596926303</v>
      </c>
      <c r="Z7" s="328">
        <f t="shared" si="0"/>
        <v>0.51337757596926303</v>
      </c>
      <c r="AA7" s="328">
        <f t="shared" si="0"/>
        <v>0.51337757596926303</v>
      </c>
      <c r="AB7" s="328">
        <f t="shared" si="0"/>
        <v>0.51337757596926303</v>
      </c>
      <c r="AC7" s="328">
        <f t="shared" si="0"/>
        <v>0.51337757596926303</v>
      </c>
      <c r="AD7" s="328">
        <f t="shared" si="0"/>
        <v>0.51337757596926303</v>
      </c>
      <c r="AE7" s="328">
        <f t="shared" si="0"/>
        <v>0.51337757596926303</v>
      </c>
    </row>
    <row r="8" spans="1:31" ht="15" customHeight="1">
      <c r="B8" s="16" t="s">
        <v>262</v>
      </c>
      <c r="C8" s="12" t="s">
        <v>65</v>
      </c>
      <c r="D8" s="341" t="s">
        <v>135</v>
      </c>
      <c r="E8" s="553"/>
      <c r="F8" s="328"/>
      <c r="G8" s="328"/>
      <c r="H8" s="328"/>
      <c r="I8" s="328"/>
      <c r="J8" s="328"/>
      <c r="K8" s="328"/>
      <c r="L8" s="328"/>
      <c r="M8" s="328"/>
      <c r="N8" s="328"/>
      <c r="O8" s="328"/>
      <c r="P8" s="328">
        <v>0</v>
      </c>
      <c r="Q8" s="328">
        <v>0</v>
      </c>
      <c r="R8" s="328">
        <v>0</v>
      </c>
      <c r="S8" s="328">
        <v>0</v>
      </c>
      <c r="T8" s="328">
        <v>0</v>
      </c>
      <c r="U8" s="328">
        <v>0</v>
      </c>
      <c r="V8" s="328">
        <v>0</v>
      </c>
      <c r="W8" s="328">
        <v>0</v>
      </c>
      <c r="X8" s="328">
        <v>0</v>
      </c>
      <c r="Y8" s="328">
        <v>0</v>
      </c>
      <c r="Z8" s="328">
        <v>0</v>
      </c>
      <c r="AA8" s="328">
        <v>0</v>
      </c>
      <c r="AB8" s="328">
        <v>0</v>
      </c>
      <c r="AC8" s="328">
        <v>0</v>
      </c>
      <c r="AD8" s="328">
        <v>0</v>
      </c>
      <c r="AE8" s="328">
        <v>0</v>
      </c>
    </row>
    <row r="9" spans="1:31" ht="15" customHeight="1">
      <c r="B9" s="16" t="s">
        <v>98</v>
      </c>
      <c r="C9" s="12" t="s">
        <v>65</v>
      </c>
      <c r="D9" s="341" t="s">
        <v>285</v>
      </c>
      <c r="E9" s="553"/>
      <c r="F9" s="328"/>
      <c r="G9" s="328"/>
      <c r="H9" s="328"/>
      <c r="I9" s="328"/>
      <c r="J9" s="328"/>
      <c r="K9" s="328"/>
      <c r="L9" s="328"/>
      <c r="M9" s="328"/>
      <c r="N9" s="328"/>
      <c r="O9" s="328"/>
      <c r="P9" s="328">
        <v>0.25</v>
      </c>
      <c r="Q9" s="328">
        <v>0.25</v>
      </c>
      <c r="R9" s="328">
        <v>0.25</v>
      </c>
      <c r="S9" s="328">
        <v>0.25</v>
      </c>
      <c r="T9" s="328">
        <v>0.25</v>
      </c>
      <c r="U9" s="328">
        <v>0.25</v>
      </c>
      <c r="V9" s="328">
        <v>0.25</v>
      </c>
      <c r="W9" s="328">
        <v>0.25</v>
      </c>
      <c r="X9" s="328">
        <v>0.25</v>
      </c>
      <c r="Y9" s="328">
        <v>0.25</v>
      </c>
      <c r="Z9" s="328">
        <v>0.25</v>
      </c>
      <c r="AA9" s="328">
        <v>0.25</v>
      </c>
      <c r="AB9" s="328">
        <v>0.25</v>
      </c>
      <c r="AC9" s="328">
        <v>0.25</v>
      </c>
      <c r="AD9" s="328">
        <v>0.25</v>
      </c>
      <c r="AE9" s="328">
        <v>0.25</v>
      </c>
    </row>
    <row r="10" spans="1:31" ht="15" customHeight="1">
      <c r="B10" s="16" t="s">
        <v>96</v>
      </c>
      <c r="C10" s="12" t="s">
        <v>65</v>
      </c>
      <c r="D10" s="341" t="s">
        <v>286</v>
      </c>
      <c r="E10" s="553"/>
      <c r="F10" s="328"/>
      <c r="G10" s="328"/>
      <c r="H10" s="328"/>
      <c r="I10" s="328"/>
      <c r="J10" s="328"/>
      <c r="K10" s="328"/>
      <c r="L10" s="328"/>
      <c r="M10" s="328"/>
      <c r="N10" s="328"/>
      <c r="O10" s="328"/>
      <c r="P10" s="328">
        <v>0.5</v>
      </c>
      <c r="Q10" s="328">
        <v>0.5</v>
      </c>
      <c r="R10" s="328">
        <v>0.5</v>
      </c>
      <c r="S10" s="328">
        <v>0.5</v>
      </c>
      <c r="T10" s="328">
        <v>0.5</v>
      </c>
      <c r="U10" s="328">
        <v>0.5</v>
      </c>
      <c r="V10" s="328">
        <v>0.5</v>
      </c>
      <c r="W10" s="328">
        <v>0.5</v>
      </c>
      <c r="X10" s="328">
        <v>0.5</v>
      </c>
      <c r="Y10" s="328">
        <v>0.5</v>
      </c>
      <c r="Z10" s="328">
        <v>0.5</v>
      </c>
      <c r="AA10" s="328">
        <v>0.5</v>
      </c>
      <c r="AB10" s="328">
        <v>0.5</v>
      </c>
      <c r="AC10" s="328">
        <v>0.5</v>
      </c>
      <c r="AD10" s="328">
        <v>0.5</v>
      </c>
      <c r="AE10" s="328">
        <v>0.5</v>
      </c>
    </row>
    <row r="11" spans="1:31" ht="15" customHeight="1">
      <c r="B11" s="16" t="s">
        <v>99</v>
      </c>
      <c r="C11" s="12" t="s">
        <v>65</v>
      </c>
      <c r="D11" s="341" t="s">
        <v>287</v>
      </c>
      <c r="E11" s="553"/>
      <c r="F11" s="328"/>
      <c r="G11" s="328"/>
      <c r="H11" s="328"/>
      <c r="I11" s="328"/>
      <c r="J11" s="328"/>
      <c r="K11" s="328"/>
      <c r="L11" s="328"/>
      <c r="M11" s="328"/>
      <c r="N11" s="328"/>
      <c r="O11" s="328"/>
      <c r="P11" s="328">
        <v>0.75</v>
      </c>
      <c r="Q11" s="328">
        <v>0.75</v>
      </c>
      <c r="R11" s="328">
        <v>0.75</v>
      </c>
      <c r="S11" s="328">
        <v>0.75</v>
      </c>
      <c r="T11" s="328">
        <v>0.75</v>
      </c>
      <c r="U11" s="328">
        <v>0.75</v>
      </c>
      <c r="V11" s="328">
        <v>0.75</v>
      </c>
      <c r="W11" s="328">
        <v>0.75</v>
      </c>
      <c r="X11" s="328">
        <v>0.75</v>
      </c>
      <c r="Y11" s="328">
        <v>0.75</v>
      </c>
      <c r="Z11" s="328">
        <v>0.75</v>
      </c>
      <c r="AA11" s="328">
        <v>0.75</v>
      </c>
      <c r="AB11" s="328">
        <v>0.75</v>
      </c>
      <c r="AC11" s="328">
        <v>0.75</v>
      </c>
      <c r="AD11" s="328">
        <v>0.75</v>
      </c>
      <c r="AE11" s="328">
        <v>0.75</v>
      </c>
    </row>
    <row r="12" spans="1:31" ht="15" customHeight="1">
      <c r="B12" s="16" t="s">
        <v>263</v>
      </c>
      <c r="C12" s="12" t="s">
        <v>65</v>
      </c>
      <c r="D12" s="341" t="s">
        <v>288</v>
      </c>
      <c r="E12" s="553"/>
      <c r="F12" s="328"/>
      <c r="G12" s="328"/>
      <c r="H12" s="328"/>
      <c r="I12" s="328"/>
      <c r="J12" s="328"/>
      <c r="K12" s="328"/>
      <c r="L12" s="328"/>
      <c r="M12" s="328"/>
      <c r="N12" s="328"/>
      <c r="O12" s="328"/>
      <c r="P12" s="328">
        <v>1</v>
      </c>
      <c r="Q12" s="328">
        <v>1</v>
      </c>
      <c r="R12" s="328">
        <v>1</v>
      </c>
      <c r="S12" s="328">
        <v>1</v>
      </c>
      <c r="T12" s="328">
        <v>1</v>
      </c>
      <c r="U12" s="328">
        <v>1</v>
      </c>
      <c r="V12" s="328">
        <v>1</v>
      </c>
      <c r="W12" s="328">
        <v>1</v>
      </c>
      <c r="X12" s="328">
        <v>1</v>
      </c>
      <c r="Y12" s="328">
        <v>1</v>
      </c>
      <c r="Z12" s="328">
        <v>1</v>
      </c>
      <c r="AA12" s="328">
        <v>1</v>
      </c>
      <c r="AB12" s="328">
        <v>1</v>
      </c>
      <c r="AC12" s="328">
        <v>1</v>
      </c>
      <c r="AD12" s="328">
        <v>1</v>
      </c>
      <c r="AE12" s="328">
        <v>1</v>
      </c>
    </row>
    <row r="13" spans="1:31" s="470" customFormat="1" ht="15" customHeight="1">
      <c r="B13" s="183"/>
      <c r="C13" s="186"/>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1087" customFormat="1" ht="15" customHeight="1">
      <c r="B14" s="1132"/>
      <c r="C14" s="1133"/>
      <c r="D14" s="1134"/>
      <c r="E14" s="1135"/>
      <c r="F14" s="1088"/>
      <c r="G14" s="1088"/>
      <c r="H14" s="1088"/>
      <c r="I14" s="1088"/>
      <c r="J14" s="1088"/>
      <c r="K14" s="1088"/>
      <c r="L14" s="1088"/>
      <c r="M14" s="1088"/>
      <c r="N14" s="1088"/>
      <c r="O14" s="1088"/>
      <c r="P14" s="1088"/>
      <c r="Q14" s="1088"/>
      <c r="R14" s="1088"/>
      <c r="S14" s="1088"/>
      <c r="T14" s="1088"/>
      <c r="U14" s="1088"/>
      <c r="V14" s="1088"/>
      <c r="W14" s="1088"/>
      <c r="X14" s="1088"/>
      <c r="Y14" s="1088"/>
      <c r="Z14" s="1088"/>
      <c r="AA14" s="1088"/>
      <c r="AB14" s="1088"/>
      <c r="AC14" s="1088"/>
      <c r="AD14" s="1088"/>
      <c r="AE14" s="1088"/>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2UG4z9qVc0ebiA3lPPtF+LFs9deXbv8nkIIxww+V1PjMMUaOuo76eCIbY7JjagExpEZpYeb1N+N15Moj0t7RKw==" saltValue="2Wb92hRVMxai+upVI4PhVg==" spinCount="100000" sheet="1" objects="1" scenarios="1"/>
  <hyperlinks>
    <hyperlink ref="A1" location="'Start-Experte'!A1" display="zurück" xr:uid="{00000000-0004-0000-1D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6DB894A6-FA27-4B5E-A1BD-2B8B9AE39F59}">
            <xm:f>ControlPanel!$D$59-1</xm:f>
            <x14:dxf>
              <font>
                <color rgb="FF9C6500"/>
              </font>
              <fill>
                <patternFill>
                  <fgColor indexed="64"/>
                  <bgColor rgb="FFFFEB9C"/>
                </patternFill>
              </fill>
            </x14:dxf>
          </x14:cfRule>
          <x14:cfRule type="cellIs" priority="2" operator="lessThan" id="{A14F682E-C598-4306-AAAC-517131DCA0AD}">
            <xm:f>ControlPanel!$D$59</xm:f>
            <x14:dxf>
              <font>
                <color rgb="FF006100"/>
              </font>
              <fill>
                <patternFill>
                  <fgColor indexed="64"/>
                  <bgColor rgb="FFC6EFCE"/>
                </patternFill>
              </fill>
            </x14:dxf>
          </x14:cfRule>
          <xm:sqref>F4:AE4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45">
    <tabColor theme="9" tint="0.39997558519241921"/>
    <pageSetUpPr fitToPage="1"/>
  </sheetPr>
  <dimension ref="A1:AE1365"/>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779</v>
      </c>
      <c r="C1" s="19"/>
      <c r="D1" s="19"/>
      <c r="E1" s="19"/>
    </row>
    <row r="3" spans="1:31" ht="15" customHeight="1">
      <c r="B3" s="66" t="s">
        <v>18</v>
      </c>
      <c r="C3" s="18" t="s">
        <v>64</v>
      </c>
      <c r="D3" s="321" t="s">
        <v>16</v>
      </c>
      <c r="E3" s="18" t="s">
        <v>378</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39" thickBot="1">
      <c r="B6" s="176" t="str">
        <f>ControlPanel!L28</f>
        <v>Referenz</v>
      </c>
      <c r="C6" s="15" t="str">
        <f>VLOOKUP($B$6,$B$7:$AE$25,2,FALSE)</f>
        <v>fh</v>
      </c>
      <c r="D6" s="494" t="str">
        <f>VLOOKUP($B$6,$B$7:$AE$25,3,FALSE)</f>
        <v>7.17€/MWh</v>
      </c>
      <c r="E6" s="494" t="str">
        <f>VLOOKUP($B$6,$B$7:$AE$25,4,FALSE)</f>
        <v>Steigung in 2022 gemäß ÜNB-Prognose, danach konstant (vgl. §120 Absatz 4, Satz 1 EnWG)</v>
      </c>
      <c r="F6" s="14">
        <f>IF(F$4&lt;ControlPanel!$D$59,VLOOKUP("Referenz",$B$7:$AE$25,F$4-$F$4+5,FALSE),VLOOKUP($B$6,$B$7:$AE$25,F$4-$F$4+5,FALSE))</f>
        <v>3.6986274118651017</v>
      </c>
      <c r="G6" s="14">
        <f>IF(G$4&lt;ControlPanel!$D$59,VLOOKUP("Referenz",$B$7:$AE$25,G$4-$F$4+5,FALSE),VLOOKUP($B$6,$B$7:$AE$25,G$4-$F$4+5,FALSE))</f>
        <v>3.67623039746714</v>
      </c>
      <c r="H6" s="14">
        <f>IF(H$4&lt;ControlPanel!$D$59,VLOOKUP("Referenz",$B$7:$AE$25,H$4-$F$4+5,FALSE),VLOOKUP($B$6,$B$7:$AE$25,H$4-$F$4+5,FALSE))</f>
        <v>3.8466309856018386</v>
      </c>
      <c r="I6" s="14">
        <f>IF(I$4&lt;ControlPanel!$D$59,VLOOKUP("Referenz",$B$7:$AE$25,I$4-$F$4+5,FALSE),VLOOKUP($B$6,$B$7:$AE$25,I$4-$F$4+5,FALSE))</f>
        <v>3.7273122127772123</v>
      </c>
      <c r="J6" s="14">
        <f>IF(J$4&lt;ControlPanel!$D$59,VLOOKUP("Referenz",$B$7:$AE$25,J$4-$F$4+5,FALSE),VLOOKUP($B$6,$B$7:$AE$25,J$4-$F$4+5,FALSE))</f>
        <v>4.6460245701332967</v>
      </c>
      <c r="K6" s="14">
        <f>IF(K$4&lt;ControlPanel!$D$59,VLOOKUP("Referenz",$B$7:$AE$25,K$4-$F$4+5,FALSE),VLOOKUP($B$6,$B$7:$AE$25,K$4-$F$4+5,FALSE))</f>
        <v>4.6631872317218352</v>
      </c>
      <c r="L6" s="14">
        <f>IF(L$4&lt;ControlPanel!$D$59,VLOOKUP("Referenz",$B$7:$AE$25,L$4-$F$4+5,FALSE),VLOOKUP($B$6,$B$7:$AE$25,L$4-$F$4+5,FALSE))</f>
        <v>4.8191604494594991</v>
      </c>
      <c r="M6" s="14">
        <f>IF(M$4&lt;ControlPanel!$D$59,VLOOKUP("Referenz",$B$7:$AE$25,M$4-$F$4+5,FALSE),VLOOKUP($B$6,$B$7:$AE$25,M$4-$F$4+5,FALSE))</f>
        <v>7.7231242789896131</v>
      </c>
      <c r="N6" s="14">
        <f>IF(N$4&lt;ControlPanel!$D$59,VLOOKUP("Referenz",$B$7:$AE$25,N$4-$F$4+5,FALSE),VLOOKUP($B$6,$B$7:$AE$25,N$4-$F$4+5,FALSE))</f>
        <v>6.3391841590858826</v>
      </c>
      <c r="O6" s="14">
        <f>IF(O$4&lt;ControlPanel!$D$59,VLOOKUP("Referenz",$B$7:$AE$25,O$4-$F$4+5,FALSE),VLOOKUP($B$6,$B$7:$AE$25,O$4-$F$4+5,FALSE))</f>
        <v>7.3821193026159877</v>
      </c>
      <c r="P6" s="14">
        <f>IF(P$4&lt;ControlPanel!$D$59,VLOOKUP("Referenz",$B$7:$AE$25,P$4-$F$4+5,FALSE),VLOOKUP($B$6,$B$7:$AE$25,P$4-$F$4+5,FALSE))</f>
        <v>7.0575324728422038</v>
      </c>
      <c r="Q6" s="14">
        <f>IF(Q$4&lt;ControlPanel!$D$59,VLOOKUP("Referenz",$B$7:$AE$25,Q$4-$F$4+5,FALSE),VLOOKUP($B$6,$B$7:$AE$25,Q$4-$F$4+5,FALSE))</f>
        <v>7.1727090185728217</v>
      </c>
      <c r="R6" s="14">
        <f>IF(R$4&lt;ControlPanel!$D$59,VLOOKUP("Referenz",$B$7:$AE$25,R$4-$F$4+5,FALSE),VLOOKUP($B$6,$B$7:$AE$25,R$4-$F$4+5,FALSE))</f>
        <v>6.2705314571955393</v>
      </c>
      <c r="S6" s="14">
        <f>IF(S$4&lt;ControlPanel!$D$59,VLOOKUP("Referenz",$B$7:$AE$25,S$4-$F$4+5,FALSE),VLOOKUP($B$6,$B$7:$AE$25,S$4-$F$4+5,FALSE))</f>
        <v>6.2705314571955393</v>
      </c>
      <c r="T6" s="14">
        <f>IF(T$4&lt;ControlPanel!$D$59,VLOOKUP("Referenz",$B$7:$AE$25,T$4-$F$4+5,FALSE),VLOOKUP($B$6,$B$7:$AE$25,T$4-$F$4+5,FALSE))</f>
        <v>6.2705314571955393</v>
      </c>
      <c r="U6" s="14">
        <f>IF(U$4&lt;ControlPanel!$D$59,VLOOKUP("Referenz",$B$7:$AE$25,U$4-$F$4+5,FALSE),VLOOKUP($B$6,$B$7:$AE$25,U$4-$F$4+5,FALSE))</f>
        <v>6.2705314571955393</v>
      </c>
      <c r="V6" s="14">
        <f>IF(V$4&lt;ControlPanel!$D$59,VLOOKUP("Referenz",$B$7:$AE$25,V$4-$F$4+5,FALSE),VLOOKUP($B$6,$B$7:$AE$25,V$4-$F$4+5,FALSE))</f>
        <v>6.2705314571955393</v>
      </c>
      <c r="W6" s="14">
        <f>IF(W$4&lt;ControlPanel!$D$59,VLOOKUP("Referenz",$B$7:$AE$25,W$4-$F$4+5,FALSE),VLOOKUP($B$6,$B$7:$AE$25,W$4-$F$4+5,FALSE))</f>
        <v>6.2705314571955393</v>
      </c>
      <c r="X6" s="14">
        <f>IF(X$4&lt;ControlPanel!$D$59,VLOOKUP("Referenz",$B$7:$AE$25,X$4-$F$4+5,FALSE),VLOOKUP($B$6,$B$7:$AE$25,X$4-$F$4+5,FALSE))</f>
        <v>6.2705314571955393</v>
      </c>
      <c r="Y6" s="14">
        <f>IF(Y$4&lt;ControlPanel!$D$59,VLOOKUP("Referenz",$B$7:$AE$25,Y$4-$F$4+5,FALSE),VLOOKUP($B$6,$B$7:$AE$25,Y$4-$F$4+5,FALSE))</f>
        <v>6.2705314571955393</v>
      </c>
      <c r="Z6" s="14">
        <f>IF(Z$4&lt;ControlPanel!$D$59,VLOOKUP("Referenz",$B$7:$AE$25,Z$4-$F$4+5,FALSE),VLOOKUP($B$6,$B$7:$AE$25,Z$4-$F$4+5,FALSE))</f>
        <v>6.2705314571955393</v>
      </c>
      <c r="AA6" s="14">
        <f>IF(AA$4&lt;ControlPanel!$D$59,VLOOKUP("Referenz",$B$7:$AE$25,AA$4-$F$4+5,FALSE),VLOOKUP($B$6,$B$7:$AE$25,AA$4-$F$4+5,FALSE))</f>
        <v>6.2705314571955393</v>
      </c>
      <c r="AB6" s="14">
        <f>IF(AB$4&lt;ControlPanel!$D$59,VLOOKUP("Referenz",$B$7:$AE$25,AB$4-$F$4+5,FALSE),VLOOKUP($B$6,$B$7:$AE$25,AB$4-$F$4+5,FALSE))</f>
        <v>6.2705314571955393</v>
      </c>
      <c r="AC6" s="14">
        <f>IF(AC$4&lt;ControlPanel!$D$59,VLOOKUP("Referenz",$B$7:$AE$25,AC$4-$F$4+5,FALSE),VLOOKUP($B$6,$B$7:$AE$25,AC$4-$F$4+5,FALSE))</f>
        <v>6.2705314571955393</v>
      </c>
      <c r="AD6" s="14">
        <f>IF(AD$4&lt;ControlPanel!$D$59,VLOOKUP("Referenz",$B$7:$AE$25,AD$4-$F$4+5,FALSE),VLOOKUP($B$6,$B$7:$AE$25,AD$4-$F$4+5,FALSE))</f>
        <v>6.2705314571955393</v>
      </c>
      <c r="AE6" s="14">
        <f>IF(AE$4&lt;ControlPanel!$D$59,VLOOKUP("Referenz",$B$7:$AE$25,AE$4-$F$4+5,FALSE),VLOOKUP($B$6,$B$7:$AE$25,AE$4-$F$4+5,FALSE))</f>
        <v>6.2705314571955393</v>
      </c>
    </row>
    <row r="7" spans="1:31" ht="38.25">
      <c r="B7" s="16" t="s">
        <v>138</v>
      </c>
      <c r="C7" s="12" t="s">
        <v>845</v>
      </c>
      <c r="D7" s="547" t="s">
        <v>887</v>
      </c>
      <c r="E7" s="589" t="s">
        <v>1044</v>
      </c>
      <c r="F7" s="328">
        <v>3.6986274118651017</v>
      </c>
      <c r="G7" s="328">
        <v>3.67623039746714</v>
      </c>
      <c r="H7" s="328">
        <v>3.8466309856018386</v>
      </c>
      <c r="I7" s="328">
        <v>3.7273122127772123</v>
      </c>
      <c r="J7" s="328">
        <v>4.6460245701332967</v>
      </c>
      <c r="K7" s="328">
        <v>4.6631872317218352</v>
      </c>
      <c r="L7" s="328">
        <v>4.8191604494594991</v>
      </c>
      <c r="M7" s="328">
        <v>7.7231242789896131</v>
      </c>
      <c r="N7" s="328">
        <v>6.3391841590858826</v>
      </c>
      <c r="O7" s="328">
        <v>7.3821193026159877</v>
      </c>
      <c r="P7" s="328">
        <v>7.0575324728422038</v>
      </c>
      <c r="Q7" s="328">
        <v>7.1727090185728217</v>
      </c>
      <c r="R7" s="328">
        <v>6.2705314571955393</v>
      </c>
      <c r="S7" s="328">
        <f t="shared" ref="S7:AE7" si="0">R7</f>
        <v>6.2705314571955393</v>
      </c>
      <c r="T7" s="328">
        <f t="shared" si="0"/>
        <v>6.2705314571955393</v>
      </c>
      <c r="U7" s="328">
        <f t="shared" si="0"/>
        <v>6.2705314571955393</v>
      </c>
      <c r="V7" s="328">
        <f t="shared" si="0"/>
        <v>6.2705314571955393</v>
      </c>
      <c r="W7" s="328">
        <f t="shared" si="0"/>
        <v>6.2705314571955393</v>
      </c>
      <c r="X7" s="328">
        <f t="shared" si="0"/>
        <v>6.2705314571955393</v>
      </c>
      <c r="Y7" s="328">
        <f t="shared" si="0"/>
        <v>6.2705314571955393</v>
      </c>
      <c r="Z7" s="328">
        <f t="shared" si="0"/>
        <v>6.2705314571955393</v>
      </c>
      <c r="AA7" s="328">
        <f t="shared" si="0"/>
        <v>6.2705314571955393</v>
      </c>
      <c r="AB7" s="328">
        <f t="shared" si="0"/>
        <v>6.2705314571955393</v>
      </c>
      <c r="AC7" s="328">
        <f t="shared" si="0"/>
        <v>6.2705314571955393</v>
      </c>
      <c r="AD7" s="328">
        <f t="shared" si="0"/>
        <v>6.2705314571955393</v>
      </c>
      <c r="AE7" s="328">
        <f t="shared" si="0"/>
        <v>6.2705314571955393</v>
      </c>
    </row>
    <row r="8" spans="1:31" ht="15" customHeight="1">
      <c r="A8" s="470"/>
      <c r="B8" s="183"/>
      <c r="C8" s="1169"/>
      <c r="D8" s="169"/>
      <c r="E8" s="540"/>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s="470" customFormat="1" ht="15" customHeight="1">
      <c r="B9" s="183"/>
      <c r="C9" s="186"/>
      <c r="D9" s="169"/>
      <c r="E9" s="540"/>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s="470" customFormat="1" ht="15" customHeight="1">
      <c r="B10" s="183"/>
      <c r="C10" s="168"/>
      <c r="D10" s="169"/>
      <c r="E10" s="540"/>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s="470" customFormat="1" ht="15" customHeight="1">
      <c r="B11" s="183"/>
      <c r="C11" s="168"/>
      <c r="D11" s="169"/>
      <c r="E11" s="540"/>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1: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1: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1: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1: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1: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1: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1: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1: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1: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1: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1:31">
      <c r="A27" s="41"/>
      <c r="B27" s="20" t="s">
        <v>778</v>
      </c>
      <c r="C27" s="19"/>
      <c r="D27" s="19"/>
      <c r="E27" s="19"/>
    </row>
    <row r="29" spans="1:31" ht="15" customHeight="1">
      <c r="B29" s="66" t="s">
        <v>18</v>
      </c>
      <c r="C29" s="18" t="s">
        <v>64</v>
      </c>
      <c r="D29" s="321" t="s">
        <v>16</v>
      </c>
      <c r="E29" s="18" t="s">
        <v>378</v>
      </c>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row>
    <row r="30" spans="1:31" ht="15" customHeight="1">
      <c r="B30" s="67"/>
      <c r="D30" s="16"/>
      <c r="F30" s="61">
        <v>2010</v>
      </c>
      <c r="G30" s="61">
        <v>2011</v>
      </c>
      <c r="H30" s="61">
        <v>2012</v>
      </c>
      <c r="I30" s="61">
        <v>2013</v>
      </c>
      <c r="J30" s="61">
        <v>2014</v>
      </c>
      <c r="K30" s="61">
        <v>2015</v>
      </c>
      <c r="L30" s="61">
        <v>2016</v>
      </c>
      <c r="M30" s="61">
        <v>2017</v>
      </c>
      <c r="N30" s="61">
        <v>2018</v>
      </c>
      <c r="O30" s="61">
        <v>2019</v>
      </c>
      <c r="P30" s="61">
        <v>2020</v>
      </c>
      <c r="Q30" s="61">
        <v>2021</v>
      </c>
      <c r="R30" s="61">
        <v>2022</v>
      </c>
      <c r="S30" s="61">
        <v>2023</v>
      </c>
      <c r="T30" s="61">
        <v>2024</v>
      </c>
      <c r="U30" s="61">
        <v>2025</v>
      </c>
      <c r="V30" s="61">
        <v>2026</v>
      </c>
      <c r="W30" s="61">
        <v>2027</v>
      </c>
      <c r="X30" s="61">
        <v>2028</v>
      </c>
      <c r="Y30" s="61">
        <v>2029</v>
      </c>
      <c r="Z30" s="61">
        <v>2030</v>
      </c>
      <c r="AA30" s="61">
        <v>2031</v>
      </c>
      <c r="AB30" s="61">
        <v>2032</v>
      </c>
      <c r="AC30" s="61">
        <v>2033</v>
      </c>
      <c r="AD30" s="61">
        <v>2034</v>
      </c>
      <c r="AE30" s="61">
        <v>2035</v>
      </c>
    </row>
    <row r="31" spans="1:31" ht="15" customHeight="1" thickBot="1">
      <c r="B31" s="67"/>
      <c r="D31" s="16"/>
      <c r="F31" s="330" t="s">
        <v>67</v>
      </c>
      <c r="G31" s="330" t="s">
        <v>67</v>
      </c>
      <c r="H31" s="330" t="s">
        <v>67</v>
      </c>
      <c r="I31" s="330" t="s">
        <v>67</v>
      </c>
      <c r="J31" s="330" t="s">
        <v>67</v>
      </c>
      <c r="K31" s="330" t="s">
        <v>67</v>
      </c>
      <c r="L31" s="330" t="s">
        <v>67</v>
      </c>
      <c r="M31" s="330" t="s">
        <v>67</v>
      </c>
      <c r="N31" s="330" t="s">
        <v>67</v>
      </c>
      <c r="O31" s="330" t="s">
        <v>67</v>
      </c>
      <c r="P31" s="330" t="s">
        <v>67</v>
      </c>
      <c r="Q31" s="330" t="s">
        <v>67</v>
      </c>
      <c r="R31" s="330" t="s">
        <v>67</v>
      </c>
      <c r="S31" s="330" t="s">
        <v>67</v>
      </c>
      <c r="T31" s="330" t="s">
        <v>67</v>
      </c>
      <c r="U31" s="330" t="s">
        <v>67</v>
      </c>
      <c r="V31" s="330" t="s">
        <v>67</v>
      </c>
      <c r="W31" s="330" t="s">
        <v>67</v>
      </c>
      <c r="X31" s="330" t="s">
        <v>67</v>
      </c>
      <c r="Y31" s="330" t="s">
        <v>67</v>
      </c>
      <c r="Z31" s="330" t="s">
        <v>67</v>
      </c>
      <c r="AA31" s="330" t="s">
        <v>67</v>
      </c>
      <c r="AB31" s="330" t="s">
        <v>67</v>
      </c>
      <c r="AC31" s="330" t="s">
        <v>67</v>
      </c>
      <c r="AD31" s="330" t="s">
        <v>67</v>
      </c>
      <c r="AE31" s="330" t="s">
        <v>67</v>
      </c>
    </row>
    <row r="32" spans="1:31" ht="39" thickBot="1">
      <c r="B32" s="176" t="s">
        <v>138</v>
      </c>
      <c r="C32" s="15" t="s">
        <v>757</v>
      </c>
      <c r="D32" s="494" t="s">
        <v>759</v>
      </c>
      <c r="E32" s="494" t="s">
        <v>758</v>
      </c>
      <c r="F32" s="1099">
        <v>1</v>
      </c>
      <c r="G32" s="1099">
        <v>1</v>
      </c>
      <c r="H32" s="1099">
        <v>1</v>
      </c>
      <c r="I32" s="1099">
        <v>1</v>
      </c>
      <c r="J32" s="1099">
        <v>1</v>
      </c>
      <c r="K32" s="1099">
        <v>1</v>
      </c>
      <c r="L32" s="1099">
        <v>1</v>
      </c>
      <c r="M32" s="1099">
        <v>0.54572012421639449</v>
      </c>
      <c r="N32" s="1099">
        <v>0.43362051792281486</v>
      </c>
      <c r="O32" s="1099">
        <v>0.17143660748488035</v>
      </c>
      <c r="P32" s="1099">
        <v>0</v>
      </c>
      <c r="Q32" s="1099">
        <v>0</v>
      </c>
      <c r="R32" s="1099">
        <v>0</v>
      </c>
      <c r="S32" s="1099">
        <v>0</v>
      </c>
      <c r="T32" s="1099">
        <v>0</v>
      </c>
      <c r="U32" s="1099">
        <v>0</v>
      </c>
      <c r="V32" s="1099">
        <v>0</v>
      </c>
      <c r="W32" s="1099">
        <v>0</v>
      </c>
      <c r="X32" s="1099">
        <v>0</v>
      </c>
      <c r="Y32" s="1099">
        <v>0</v>
      </c>
      <c r="Z32" s="1099">
        <v>0</v>
      </c>
      <c r="AA32" s="1099">
        <v>0</v>
      </c>
      <c r="AB32" s="1099">
        <v>0</v>
      </c>
      <c r="AC32" s="1099">
        <v>0</v>
      </c>
      <c r="AD32" s="1099">
        <v>0</v>
      </c>
      <c r="AE32" s="1099">
        <v>0</v>
      </c>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sheetData>
  <sheetProtection algorithmName="SHA-512" hashValue="x7u8nenIX5MYYvR+asmOLwA8QtDa3xKCW29aEcuIj02VmaZ1AX1+E1mgYpzeKVeTxEIPOeBjq70jdBqGQKLl/w==" saltValue="BStKWzSv6P/LcB8IaDFbUA==" spinCount="100000" sheet="1" objects="1" scenarios="1"/>
  <hyperlinks>
    <hyperlink ref="A1" location="'Start-Experte'!A1" display="zurück" xr:uid="{00000000-0004-0000-1E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27" operator="greaterThan" id="{00000000-0000-0000-0000-000000000000}">
            <xm:f>ControlPanel!$D$59-1</xm:f>
            <x14:dxf>
              <font>
                <color rgb="FF9C6500"/>
              </font>
              <fill>
                <patternFill>
                  <fgColor indexed="64"/>
                  <bgColor rgb="FFFFEB9C"/>
                </patternFill>
              </fill>
            </x14:dxf>
          </x14:cfRule>
          <x14:cfRule type="cellIs" priority="728" operator="lessThan" id="{00000000-0000-0000-0000-000000000000}">
            <xm:f>ControlPanel!$D$59</xm:f>
            <x14:dxf>
              <font>
                <color rgb="FF006100"/>
              </font>
              <fill>
                <patternFill>
                  <fgColor indexed="64"/>
                  <bgColor rgb="FFC6EFCE"/>
                </patternFill>
              </fill>
            </x14:dxf>
          </x14:cfRule>
          <xm:sqref>F4:AE4</xm:sqref>
        </x14:conditionalFormatting>
        <x14:conditionalFormatting xmlns:xm="http://schemas.microsoft.com/office/excel/2006/main">
          <x14:cfRule type="cellIs" priority="1" operator="greaterThan" id="{311B779E-0E09-46D2-80AA-E0763EFDA3D6}">
            <xm:f>ControlPanel!$D$59-1</xm:f>
            <x14:dxf>
              <font>
                <color rgb="FF9C6500"/>
              </font>
              <fill>
                <patternFill>
                  <fgColor indexed="64"/>
                  <bgColor rgb="FFFFEB9C"/>
                </patternFill>
              </fill>
            </x14:dxf>
          </x14:cfRule>
          <x14:cfRule type="cellIs" priority="2" operator="lessThan" id="{1F8AE8B1-EAC2-438A-A8A4-B7170F649143}">
            <xm:f>ControlPanel!$D$59</xm:f>
            <x14:dxf>
              <font>
                <color rgb="FF006100"/>
              </font>
              <fill>
                <patternFill>
                  <fgColor indexed="64"/>
                  <bgColor rgb="FFC6EFCE"/>
                </patternFill>
              </fill>
            </x14:dxf>
          </x14:cfRule>
          <xm:sqref>F30:AE30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47">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70</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60</v>
      </c>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row>
    <row r="6" spans="1:31" ht="26.25" thickBot="1">
      <c r="B6" s="176" t="str">
        <f>ControlPanel!L29</f>
        <v>Referenz</v>
      </c>
      <c r="C6" s="15" t="str">
        <f>VLOOKUP($B$6,$B$7:$AE$25,2,FALSE)</f>
        <v>fh</v>
      </c>
      <c r="D6" s="494" t="str">
        <f>VLOOKUP($B$6,$B$7:$AE$25,3,FALSE)</f>
        <v>0,06Mrd. €</v>
      </c>
      <c r="E6" s="494" t="str">
        <f>VLOOKUP($B$6,$B$7:$AE$25,4,FALSE)</f>
        <v>0,10 Mrd. € (Wert abgeleitet aus ÜNB-Jahresprognose für 2022)</v>
      </c>
      <c r="F6" s="14">
        <f>IF(F$4&lt;ControlPanel!$D$59,VLOOKUP("Referenz",$B$7:$AE$25,F$4-$F$4+5,FALSE),VLOOKUP($B$6,$B$7:$AE$25,F$4-$F$4+5,FALSE))</f>
        <v>0.38450000000000001</v>
      </c>
      <c r="G6" s="14">
        <f>IF(G$4&lt;ControlPanel!$D$59,VLOOKUP("Referenz",$B$7:$AE$25,G$4-$F$4+5,FALSE),VLOOKUP($B$6,$B$7:$AE$25,G$4-$F$4+5,FALSE))</f>
        <v>0.42218865985000004</v>
      </c>
      <c r="H6" s="14">
        <f>IF(H$4&lt;ControlPanel!$D$59,VLOOKUP("Referenz",$B$7:$AE$25,H$4-$F$4+5,FALSE),VLOOKUP($B$6,$B$7:$AE$25,H$4-$F$4+5,FALSE))</f>
        <v>0.23028867101000003</v>
      </c>
      <c r="I6" s="14">
        <f>IF(I$4&lt;ControlPanel!$D$59,VLOOKUP("Referenz",$B$7:$AE$25,I$4-$F$4+5,FALSE),VLOOKUP($B$6,$B$7:$AE$25,I$4-$F$4+5,FALSE))</f>
        <v>0.15466122681000002</v>
      </c>
      <c r="J6" s="14">
        <f>IF(J$4&lt;ControlPanel!$D$59,VLOOKUP("Referenz",$B$7:$AE$25,J$4-$F$4+5,FALSE),VLOOKUP($B$6,$B$7:$AE$25,J$4-$F$4+5,FALSE))</f>
        <v>0.29887697133000007</v>
      </c>
      <c r="K6" s="14">
        <f>IF(K$4&lt;ControlPanel!$D$59,VLOOKUP("Referenz",$B$7:$AE$25,K$4-$F$4+5,FALSE),VLOOKUP($B$6,$B$7:$AE$25,K$4-$F$4+5,FALSE))</f>
        <v>0.19595140036000003</v>
      </c>
      <c r="L6" s="14">
        <f>IF(L$4&lt;ControlPanel!$D$59,VLOOKUP("Referenz",$B$7:$AE$25,L$4-$F$4+5,FALSE),VLOOKUP($B$6,$B$7:$AE$25,L$4-$F$4+5,FALSE))</f>
        <v>0.13908307713999998</v>
      </c>
      <c r="M6" s="14">
        <f>IF(M$4&lt;ControlPanel!$D$59,VLOOKUP("Referenz",$B$7:$AE$25,M$4-$F$4+5,FALSE),VLOOKUP($B$6,$B$7:$AE$25,M$4-$F$4+5,FALSE))</f>
        <v>0.14340741743000002</v>
      </c>
      <c r="N6" s="14">
        <f>IF(N$4&lt;ControlPanel!$D$59,VLOOKUP("Referenz",$B$7:$AE$25,N$4-$F$4+5,FALSE),VLOOKUP($B$6,$B$7:$AE$25,N$4-$F$4+5,FALSE))</f>
        <v>6.8122188890000004E-2</v>
      </c>
      <c r="O6" s="14">
        <f>IF(O$4&lt;ControlPanel!$D$59,VLOOKUP("Referenz",$B$7:$AE$25,O$4-$F$4+5,FALSE),VLOOKUP($B$6,$B$7:$AE$25,O$4-$F$4+5,FALSE))</f>
        <v>7.0404653730000002E-2</v>
      </c>
      <c r="P6" s="14">
        <f>IF(P$4&lt;ControlPanel!$D$59,VLOOKUP("Referenz",$B$7:$AE$25,P$4-$F$4+5,FALSE),VLOOKUP($B$6,$B$7:$AE$25,P$4-$F$4+5,FALSE))</f>
        <v>6.4167895450000012E-2</v>
      </c>
      <c r="Q6" s="14">
        <f>IF(Q$4&lt;ControlPanel!$D$59,VLOOKUP("Referenz",$B$7:$AE$25,Q$4-$F$4+5,FALSE),VLOOKUP($B$6,$B$7:$AE$25,Q$4-$F$4+5,FALSE))</f>
        <v>5.9920528000000001E-2</v>
      </c>
      <c r="R6" s="14">
        <f>IF(R$4&lt;ControlPanel!$D$59,VLOOKUP("Referenz",$B$7:$AE$25,R$4-$F$4+5,FALSE),VLOOKUP($B$6,$B$7:$AE$25,R$4-$F$4+5,FALSE))</f>
        <v>0.10050276386000001</v>
      </c>
      <c r="S6" s="14">
        <f>IF(S$4&lt;ControlPanel!$D$59,VLOOKUP("Referenz",$B$7:$AE$25,S$4-$F$4+5,FALSE),VLOOKUP($B$6,$B$7:$AE$25,S$4-$F$4+5,FALSE))</f>
        <v>0.10050276386000001</v>
      </c>
      <c r="T6" s="14">
        <f>IF(T$4&lt;ControlPanel!$D$59,VLOOKUP("Referenz",$B$7:$AE$25,T$4-$F$4+5,FALSE),VLOOKUP($B$6,$B$7:$AE$25,T$4-$F$4+5,FALSE))</f>
        <v>0.10050276386000001</v>
      </c>
      <c r="U6" s="14">
        <f>IF(U$4&lt;ControlPanel!$D$59,VLOOKUP("Referenz",$B$7:$AE$25,U$4-$F$4+5,FALSE),VLOOKUP($B$6,$B$7:$AE$25,U$4-$F$4+5,FALSE))</f>
        <v>0.10050276386000001</v>
      </c>
      <c r="V6" s="14">
        <f>IF(V$4&lt;ControlPanel!$D$59,VLOOKUP("Referenz",$B$7:$AE$25,V$4-$F$4+5,FALSE),VLOOKUP($B$6,$B$7:$AE$25,V$4-$F$4+5,FALSE))</f>
        <v>0.10050276386000001</v>
      </c>
      <c r="W6" s="14">
        <f>IF(W$4&lt;ControlPanel!$D$59,VLOOKUP("Referenz",$B$7:$AE$25,W$4-$F$4+5,FALSE),VLOOKUP($B$6,$B$7:$AE$25,W$4-$F$4+5,FALSE))</f>
        <v>0.10050276386000001</v>
      </c>
      <c r="X6" s="14">
        <f>IF(X$4&lt;ControlPanel!$D$59,VLOOKUP("Referenz",$B$7:$AE$25,X$4-$F$4+5,FALSE),VLOOKUP($B$6,$B$7:$AE$25,X$4-$F$4+5,FALSE))</f>
        <v>0.10050276386000001</v>
      </c>
      <c r="Y6" s="14">
        <f>IF(Y$4&lt;ControlPanel!$D$59,VLOOKUP("Referenz",$B$7:$AE$25,Y$4-$F$4+5,FALSE),VLOOKUP($B$6,$B$7:$AE$25,Y$4-$F$4+5,FALSE))</f>
        <v>0.10050276386000001</v>
      </c>
      <c r="Z6" s="14">
        <f>IF(Z$4&lt;ControlPanel!$D$59,VLOOKUP("Referenz",$B$7:$AE$25,Z$4-$F$4+5,FALSE),VLOOKUP($B$6,$B$7:$AE$25,Z$4-$F$4+5,FALSE))</f>
        <v>0.10050276386000001</v>
      </c>
      <c r="AA6" s="14">
        <f>IF(AA$4&lt;ControlPanel!$D$59,VLOOKUP("Referenz",$B$7:$AE$25,AA$4-$F$4+5,FALSE),VLOOKUP($B$6,$B$7:$AE$25,AA$4-$F$4+5,FALSE))</f>
        <v>0.10050276386000001</v>
      </c>
      <c r="AB6" s="14">
        <f>IF(AB$4&lt;ControlPanel!$D$59,VLOOKUP("Referenz",$B$7:$AE$25,AB$4-$F$4+5,FALSE),VLOOKUP($B$6,$B$7:$AE$25,AB$4-$F$4+5,FALSE))</f>
        <v>0.10050276386000001</v>
      </c>
      <c r="AC6" s="14">
        <f>IF(AC$4&lt;ControlPanel!$D$59,VLOOKUP("Referenz",$B$7:$AE$25,AC$4-$F$4+5,FALSE),VLOOKUP($B$6,$B$7:$AE$25,AC$4-$F$4+5,FALSE))</f>
        <v>0.10050276386000001</v>
      </c>
      <c r="AD6" s="14">
        <f>IF(AD$4&lt;ControlPanel!$D$59,VLOOKUP("Referenz",$B$7:$AE$25,AD$4-$F$4+5,FALSE),VLOOKUP($B$6,$B$7:$AE$25,AD$4-$F$4+5,FALSE))</f>
        <v>0.10050276386000001</v>
      </c>
      <c r="AE6" s="14">
        <f>IF(AE$4&lt;ControlPanel!$D$59,VLOOKUP("Referenz",$B$7:$AE$25,AE$4-$F$4+5,FALSE),VLOOKUP($B$6,$B$7:$AE$25,AE$4-$F$4+5,FALSE))</f>
        <v>0.10050276386000001</v>
      </c>
    </row>
    <row r="7" spans="1:31" ht="25.5">
      <c r="B7" s="16" t="s">
        <v>138</v>
      </c>
      <c r="C7" s="12" t="s">
        <v>845</v>
      </c>
      <c r="D7" s="496" t="s">
        <v>851</v>
      </c>
      <c r="E7" s="547" t="s">
        <v>1045</v>
      </c>
      <c r="F7" s="232">
        <v>0.38450000000000001</v>
      </c>
      <c r="G7" s="232">
        <v>0.42218865985000004</v>
      </c>
      <c r="H7" s="232">
        <v>0.23028867101000003</v>
      </c>
      <c r="I7" s="232">
        <v>0.15466122681000002</v>
      </c>
      <c r="J7" s="232">
        <v>0.29887697133000007</v>
      </c>
      <c r="K7" s="232">
        <v>0.19595140036000003</v>
      </c>
      <c r="L7" s="249">
        <v>0.13908307713999998</v>
      </c>
      <c r="M7" s="249">
        <v>0.14340741743000002</v>
      </c>
      <c r="N7" s="249">
        <v>6.8122188890000004E-2</v>
      </c>
      <c r="O7" s="249">
        <v>7.0404653730000002E-2</v>
      </c>
      <c r="P7" s="249">
        <v>6.4167895450000012E-2</v>
      </c>
      <c r="Q7" s="249">
        <v>5.9920528000000001E-2</v>
      </c>
      <c r="R7" s="249">
        <v>0.10050276386000001</v>
      </c>
      <c r="S7" s="249">
        <f t="shared" ref="S7:AE7" si="0">R7</f>
        <v>0.10050276386000001</v>
      </c>
      <c r="T7" s="249">
        <f t="shared" si="0"/>
        <v>0.10050276386000001</v>
      </c>
      <c r="U7" s="249">
        <f t="shared" si="0"/>
        <v>0.10050276386000001</v>
      </c>
      <c r="V7" s="249">
        <f t="shared" si="0"/>
        <v>0.10050276386000001</v>
      </c>
      <c r="W7" s="249">
        <f t="shared" si="0"/>
        <v>0.10050276386000001</v>
      </c>
      <c r="X7" s="249">
        <f t="shared" si="0"/>
        <v>0.10050276386000001</v>
      </c>
      <c r="Y7" s="249">
        <f t="shared" si="0"/>
        <v>0.10050276386000001</v>
      </c>
      <c r="Z7" s="249">
        <f t="shared" si="0"/>
        <v>0.10050276386000001</v>
      </c>
      <c r="AA7" s="249">
        <f t="shared" si="0"/>
        <v>0.10050276386000001</v>
      </c>
      <c r="AB7" s="249">
        <f t="shared" si="0"/>
        <v>0.10050276386000001</v>
      </c>
      <c r="AC7" s="249">
        <f t="shared" si="0"/>
        <v>0.10050276386000001</v>
      </c>
      <c r="AD7" s="249">
        <f t="shared" si="0"/>
        <v>0.10050276386000001</v>
      </c>
      <c r="AE7" s="249">
        <f t="shared" si="0"/>
        <v>0.10050276386000001</v>
      </c>
    </row>
    <row r="8" spans="1:31" s="470" customFormat="1" ht="15" customHeight="1">
      <c r="B8" s="183"/>
      <c r="C8" s="186"/>
      <c r="D8" s="169"/>
      <c r="E8" s="540"/>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s="470" customFormat="1" ht="15" customHeight="1">
      <c r="B9" s="183"/>
      <c r="C9" s="186"/>
      <c r="D9" s="169"/>
      <c r="E9" s="540"/>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s="470" customFormat="1" ht="15" customHeight="1">
      <c r="B10" s="183"/>
      <c r="C10" s="168"/>
      <c r="D10" s="169"/>
      <c r="E10" s="540"/>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s="470" customFormat="1" ht="15" customHeight="1">
      <c r="B11" s="183"/>
      <c r="C11" s="168"/>
      <c r="D11" s="169"/>
      <c r="E11" s="540"/>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IRzFbjyE1H6BZoxqPtV1+l/45uocLDSlq+/URnuDd6hLfeY19/dW3Eyz32ODmetQlTPynWDBfs13iqmJXAZzHg==" saltValue="UKbbzycurcpiqR7U0uC3Bw==" spinCount="100000" sheet="1" objects="1" scenarios="1"/>
  <hyperlinks>
    <hyperlink ref="A1" location="'Start-Experte'!A1" display="zurück" xr:uid="{00000000-0004-0000-1F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727" operator="greaterThan" id="{00000000-0000-0000-0000-000000000000}">
            <xm:f>ControlPanel!$D$59-1</xm:f>
            <x14:dxf>
              <font>
                <color rgb="FF9C6500"/>
              </font>
              <fill>
                <patternFill>
                  <fgColor indexed="64"/>
                  <bgColor rgb="FFFFEB9C"/>
                </patternFill>
              </fill>
            </x14:dxf>
          </x14:cfRule>
          <x14:cfRule type="cellIs" priority="728"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66">
    <tabColor theme="9" tint="0.39997558519241921"/>
    <pageSetUpPr fitToPage="1"/>
  </sheetPr>
  <dimension ref="A1:AF1359"/>
  <sheetViews>
    <sheetView workbookViewId="0">
      <selection activeCell="Q7" sqref="Q7"/>
    </sheetView>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2">
      <c r="A1" s="41" t="s">
        <v>183</v>
      </c>
      <c r="B1" s="20" t="s">
        <v>541</v>
      </c>
      <c r="C1" s="19"/>
      <c r="D1" s="19"/>
      <c r="E1" s="19"/>
    </row>
    <row r="3" spans="1:32"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2"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2" ht="15" customHeight="1" thickBot="1">
      <c r="B5" s="67"/>
      <c r="D5" s="16"/>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row>
    <row r="6" spans="1:32" ht="64.5" thickBot="1">
      <c r="B6" s="176" t="str">
        <f>ControlPanel!L30</f>
        <v>Referenz</v>
      </c>
      <c r="C6" s="15" t="str">
        <f>VLOOKUP($B$6,$B$7:$AE$25,2,FALSE)</f>
        <v>tl</v>
      </c>
      <c r="D6" s="494" t="str">
        <f>VLOOKUP($B$6,$B$7:$AE$25,3,FALSE)</f>
        <v>1,5% pro Jahr</v>
      </c>
      <c r="E6" s="494" t="str">
        <f>VLOOKUP($B$6,$B$7:$AE$25,4,FALSE)</f>
        <v>Bis 2020 jährlicher Zuwachs der Verbraucherpreisindizes des statistitschen Bundesamts; Schätzung aus monatlichen Indizes für 2021 (Fortschreibung ab Oktober). Ab 2022: 1,5% pro Jahr.</v>
      </c>
      <c r="F6" s="38">
        <f>IF(F$4&lt;ControlPanel!$D$59,VLOOKUP("Referenz",$B$7:$AE$25,F$4-$F$4+5,FALSE),VLOOKUP($B$6,$B$7:$AE$25,F$4-$F$4+5,FALSE))</f>
        <v>1.0999999999999999E-2</v>
      </c>
      <c r="G6" s="38">
        <f>IF(G$4&lt;ControlPanel!$D$59,VLOOKUP("Referenz",$B$7:$AE$25,G$4-$F$4+5,FALSE),VLOOKUP($B$6,$B$7:$AE$25,G$4-$F$4+5,FALSE))</f>
        <v>2.1000000000000001E-2</v>
      </c>
      <c r="H6" s="38">
        <f>IF(H$4&lt;ControlPanel!$D$59,VLOOKUP("Referenz",$B$7:$AE$25,H$4-$F$4+5,FALSE),VLOOKUP($B$6,$B$7:$AE$25,H$4-$F$4+5,FALSE))</f>
        <v>0.02</v>
      </c>
      <c r="I6" s="38">
        <f>IF(I$4&lt;ControlPanel!$D$59,VLOOKUP("Referenz",$B$7:$AE$25,I$4-$F$4+5,FALSE),VLOOKUP($B$6,$B$7:$AE$25,I$4-$F$4+5,FALSE))</f>
        <v>1.4E-2</v>
      </c>
      <c r="J6" s="38">
        <f>IF(J$4&lt;ControlPanel!$D$59,VLOOKUP("Referenz",$B$7:$AE$25,J$4-$F$4+5,FALSE),VLOOKUP($B$6,$B$7:$AE$25,J$4-$F$4+5,FALSE))</f>
        <v>0.01</v>
      </c>
      <c r="K6" s="38">
        <f>IF(K$4&lt;ControlPanel!$D$59,VLOOKUP("Referenz",$B$7:$AE$25,K$4-$F$4+5,FALSE),VLOOKUP($B$6,$B$7:$AE$25,K$4-$F$4+5,FALSE))</f>
        <v>5.0000000000000001E-3</v>
      </c>
      <c r="L6" s="38">
        <f>IF(L$4&lt;ControlPanel!$D$59,VLOOKUP("Referenz",$B$7:$AE$25,L$4-$F$4+5,FALSE),VLOOKUP($B$6,$B$7:$AE$25,L$4-$F$4+5,FALSE))</f>
        <v>5.0000000000000001E-3</v>
      </c>
      <c r="M6" s="38">
        <f>IF(M$4&lt;ControlPanel!$D$59,VLOOKUP("Referenz",$B$7:$AE$25,M$4-$F$4+5,FALSE),VLOOKUP($B$6,$B$7:$AE$25,M$4-$F$4+5,FALSE))</f>
        <v>1.4999999999999999E-2</v>
      </c>
      <c r="N6" s="38">
        <f>IF(N$4&lt;ControlPanel!$D$59,VLOOKUP("Referenz",$B$7:$AE$25,N$4-$F$4+5,FALSE),VLOOKUP($B$6,$B$7:$AE$25,N$4-$F$4+5,FALSE))</f>
        <v>1.7999999999999999E-2</v>
      </c>
      <c r="O6" s="38">
        <f>IF(O$4&lt;ControlPanel!$D$59,VLOOKUP("Referenz",$B$7:$AE$25,O$4-$F$4+5,FALSE),VLOOKUP($B$6,$B$7:$AE$25,O$4-$F$4+5,FALSE))</f>
        <v>1.4E-2</v>
      </c>
      <c r="P6" s="38">
        <f>IF(P$4&lt;ControlPanel!$D$59,VLOOKUP("Referenz",$B$7:$AE$25,P$4-$F$4+5,FALSE),VLOOKUP($B$6,$B$7:$AE$25,P$4-$F$4+5,FALSE))</f>
        <v>5.0000000000000001E-3</v>
      </c>
      <c r="Q6" s="38">
        <f>IF(Q$4&lt;ControlPanel!$D$59,VLOOKUP("Referenz",$B$7:$AE$25,Q$4-$F$4+5,FALSE),VLOOKUP($B$6,$B$7:$AE$25,Q$4-$F$4+5,FALSE))</f>
        <v>2.9000000000000001E-2</v>
      </c>
      <c r="R6" s="38">
        <f>IF(R$4&lt;ControlPanel!$D$59,VLOOKUP("Referenz",$B$7:$AE$25,R$4-$F$4+5,FALSE),VLOOKUP($B$6,$B$7:$AE$25,R$4-$F$4+5,FALSE))</f>
        <v>1.4999999999999999E-2</v>
      </c>
      <c r="S6" s="38">
        <f>IF(S$4&lt;ControlPanel!$D$59,VLOOKUP("Referenz",$B$7:$AE$25,S$4-$F$4+5,FALSE),VLOOKUP($B$6,$B$7:$AE$25,S$4-$F$4+5,FALSE))</f>
        <v>1.4999999999999999E-2</v>
      </c>
      <c r="T6" s="38">
        <f>IF(T$4&lt;ControlPanel!$D$59,VLOOKUP("Referenz",$B$7:$AE$25,T$4-$F$4+5,FALSE),VLOOKUP($B$6,$B$7:$AE$25,T$4-$F$4+5,FALSE))</f>
        <v>1.4999999999999999E-2</v>
      </c>
      <c r="U6" s="38">
        <f>IF(U$4&lt;ControlPanel!$D$59,VLOOKUP("Referenz",$B$7:$AE$25,U$4-$F$4+5,FALSE),VLOOKUP($B$6,$B$7:$AE$25,U$4-$F$4+5,FALSE))</f>
        <v>1.4999999999999999E-2</v>
      </c>
      <c r="V6" s="38">
        <f>IF(V$4&lt;ControlPanel!$D$59,VLOOKUP("Referenz",$B$7:$AE$25,V$4-$F$4+5,FALSE),VLOOKUP($B$6,$B$7:$AE$25,V$4-$F$4+5,FALSE))</f>
        <v>1.4999999999999999E-2</v>
      </c>
      <c r="W6" s="38">
        <f>IF(W$4&lt;ControlPanel!$D$59,VLOOKUP("Referenz",$B$7:$AE$25,W$4-$F$4+5,FALSE),VLOOKUP($B$6,$B$7:$AE$25,W$4-$F$4+5,FALSE))</f>
        <v>1.4999999999999999E-2</v>
      </c>
      <c r="X6" s="38">
        <f>IF(X$4&lt;ControlPanel!$D$59,VLOOKUP("Referenz",$B$7:$AE$25,X$4-$F$4+5,FALSE),VLOOKUP($B$6,$B$7:$AE$25,X$4-$F$4+5,FALSE))</f>
        <v>1.4999999999999999E-2</v>
      </c>
      <c r="Y6" s="38">
        <f>IF(Y$4&lt;ControlPanel!$D$59,VLOOKUP("Referenz",$B$7:$AE$25,Y$4-$F$4+5,FALSE),VLOOKUP($B$6,$B$7:$AE$25,Y$4-$F$4+5,FALSE))</f>
        <v>1.4999999999999999E-2</v>
      </c>
      <c r="Z6" s="38">
        <f>IF(Z$4&lt;ControlPanel!$D$59,VLOOKUP("Referenz",$B$7:$AE$25,Z$4-$F$4+5,FALSE),VLOOKUP($B$6,$B$7:$AE$25,Z$4-$F$4+5,FALSE))</f>
        <v>1.4999999999999999E-2</v>
      </c>
      <c r="AA6" s="38">
        <f>IF(AA$4&lt;ControlPanel!$D$59,VLOOKUP("Referenz",$B$7:$AE$25,AA$4-$F$4+5,FALSE),VLOOKUP($B$6,$B$7:$AE$25,AA$4-$F$4+5,FALSE))</f>
        <v>1.4999999999999999E-2</v>
      </c>
      <c r="AB6" s="38">
        <f>IF(AB$4&lt;ControlPanel!$D$59,VLOOKUP("Referenz",$B$7:$AE$25,AB$4-$F$4+5,FALSE),VLOOKUP($B$6,$B$7:$AE$25,AB$4-$F$4+5,FALSE))</f>
        <v>1.4999999999999999E-2</v>
      </c>
      <c r="AC6" s="38">
        <f>IF(AC$4&lt;ControlPanel!$D$59,VLOOKUP("Referenz",$B$7:$AE$25,AC$4-$F$4+5,FALSE),VLOOKUP($B$6,$B$7:$AE$25,AC$4-$F$4+5,FALSE))</f>
        <v>1.4999999999999999E-2</v>
      </c>
      <c r="AD6" s="38">
        <f>IF(AD$4&lt;ControlPanel!$D$59,VLOOKUP("Referenz",$B$7:$AE$25,AD$4-$F$4+5,FALSE),VLOOKUP($B$6,$B$7:$AE$25,AD$4-$F$4+5,FALSE))</f>
        <v>1.4999999999999999E-2</v>
      </c>
      <c r="AE6" s="38">
        <f>IF(AE$4&lt;ControlPanel!$D$59,VLOOKUP("Referenz",$B$7:$AE$25,AE$4-$F$4+5,FALSE),VLOOKUP($B$6,$B$7:$AE$25,AE$4-$F$4+5,FALSE))</f>
        <v>1.4999999999999999E-2</v>
      </c>
    </row>
    <row r="7" spans="1:32" ht="63.75">
      <c r="B7" s="16" t="s">
        <v>138</v>
      </c>
      <c r="C7" s="12" t="s">
        <v>965</v>
      </c>
      <c r="D7" s="496" t="s">
        <v>389</v>
      </c>
      <c r="E7" s="547" t="s">
        <v>1050</v>
      </c>
      <c r="F7" s="232">
        <v>1.0999999999999999E-2</v>
      </c>
      <c r="G7" s="232">
        <v>2.1000000000000001E-2</v>
      </c>
      <c r="H7" s="232">
        <v>0.02</v>
      </c>
      <c r="I7" s="232">
        <v>1.4E-2</v>
      </c>
      <c r="J7" s="232">
        <v>0.01</v>
      </c>
      <c r="K7" s="232">
        <v>5.0000000000000001E-3</v>
      </c>
      <c r="L7" s="232">
        <v>5.0000000000000001E-3</v>
      </c>
      <c r="M7" s="232">
        <v>1.4999999999999999E-2</v>
      </c>
      <c r="N7" s="232">
        <v>1.7999999999999999E-2</v>
      </c>
      <c r="O7" s="232">
        <v>1.4E-2</v>
      </c>
      <c r="P7" s="232">
        <v>5.0000000000000001E-3</v>
      </c>
      <c r="Q7" s="232">
        <v>2.9000000000000001E-2</v>
      </c>
      <c r="R7" s="232">
        <v>1.4999999999999999E-2</v>
      </c>
      <c r="S7" s="232">
        <v>1.4999999999999999E-2</v>
      </c>
      <c r="T7" s="232">
        <v>1.4999999999999999E-2</v>
      </c>
      <c r="U7" s="232">
        <v>1.4999999999999999E-2</v>
      </c>
      <c r="V7" s="232">
        <v>1.4999999999999999E-2</v>
      </c>
      <c r="W7" s="232">
        <v>1.4999999999999999E-2</v>
      </c>
      <c r="X7" s="232">
        <v>1.4999999999999999E-2</v>
      </c>
      <c r="Y7" s="232">
        <v>1.4999999999999999E-2</v>
      </c>
      <c r="Z7" s="232">
        <v>1.4999999999999999E-2</v>
      </c>
      <c r="AA7" s="232">
        <v>1.4999999999999999E-2</v>
      </c>
      <c r="AB7" s="232">
        <v>1.4999999999999999E-2</v>
      </c>
      <c r="AC7" s="232">
        <v>1.4999999999999999E-2</v>
      </c>
      <c r="AD7" s="232">
        <v>1.4999999999999999E-2</v>
      </c>
      <c r="AE7" s="232">
        <v>1.4999999999999999E-2</v>
      </c>
      <c r="AF7" s="41" t="s">
        <v>1049</v>
      </c>
    </row>
    <row r="8" spans="1:32" s="470" customFormat="1" ht="15" customHeight="1">
      <c r="A8" s="9"/>
      <c r="B8" s="174" t="s">
        <v>526</v>
      </c>
      <c r="C8" s="12" t="s">
        <v>65</v>
      </c>
      <c r="D8" s="11" t="s">
        <v>390</v>
      </c>
      <c r="E8" s="222"/>
      <c r="F8" s="232"/>
      <c r="G8" s="232"/>
      <c r="H8" s="232"/>
      <c r="I8" s="232"/>
      <c r="J8" s="232"/>
      <c r="K8" s="232"/>
      <c r="L8" s="232"/>
      <c r="M8" s="232"/>
      <c r="N8" s="232"/>
      <c r="O8" s="232"/>
      <c r="P8" s="232">
        <v>0.02</v>
      </c>
      <c r="Q8" s="232">
        <v>0.02</v>
      </c>
      <c r="R8" s="232">
        <v>0.02</v>
      </c>
      <c r="S8" s="232">
        <v>0.02</v>
      </c>
      <c r="T8" s="232">
        <v>0.02</v>
      </c>
      <c r="U8" s="232">
        <v>0.02</v>
      </c>
      <c r="V8" s="232">
        <v>0.02</v>
      </c>
      <c r="W8" s="232">
        <v>0.02</v>
      </c>
      <c r="X8" s="232">
        <v>0.02</v>
      </c>
      <c r="Y8" s="232">
        <v>0.02</v>
      </c>
      <c r="Z8" s="232">
        <v>0.02</v>
      </c>
      <c r="AA8" s="232">
        <v>0.02</v>
      </c>
      <c r="AB8" s="232">
        <v>0.02</v>
      </c>
      <c r="AC8" s="232">
        <v>0.02</v>
      </c>
      <c r="AD8" s="232">
        <v>0.02</v>
      </c>
      <c r="AE8" s="232">
        <v>0.02</v>
      </c>
    </row>
    <row r="9" spans="1:32" s="470" customFormat="1" ht="15" customHeight="1">
      <c r="A9" s="9"/>
      <c r="B9" s="174" t="s">
        <v>524</v>
      </c>
      <c r="C9" s="12" t="s">
        <v>65</v>
      </c>
      <c r="D9" s="11" t="s">
        <v>389</v>
      </c>
      <c r="E9" s="222"/>
      <c r="F9" s="328"/>
      <c r="G9" s="328"/>
      <c r="H9" s="328"/>
      <c r="I9" s="328"/>
      <c r="J9" s="328"/>
      <c r="K9" s="232"/>
      <c r="L9" s="232"/>
      <c r="M9" s="232"/>
      <c r="N9" s="232"/>
      <c r="O9" s="232"/>
      <c r="P9" s="232">
        <v>1.4999999999999999E-2</v>
      </c>
      <c r="Q9" s="232">
        <v>1.4999999999999999E-2</v>
      </c>
      <c r="R9" s="232">
        <v>1.4999999999999999E-2</v>
      </c>
      <c r="S9" s="232">
        <v>1.4999999999999999E-2</v>
      </c>
      <c r="T9" s="232">
        <v>1.4999999999999999E-2</v>
      </c>
      <c r="U9" s="232">
        <v>1.4999999999999999E-2</v>
      </c>
      <c r="V9" s="232">
        <v>1.4999999999999999E-2</v>
      </c>
      <c r="W9" s="232">
        <v>1.4999999999999999E-2</v>
      </c>
      <c r="X9" s="232">
        <v>1.4999999999999999E-2</v>
      </c>
      <c r="Y9" s="232">
        <v>1.4999999999999999E-2</v>
      </c>
      <c r="Z9" s="232">
        <v>1.4999999999999999E-2</v>
      </c>
      <c r="AA9" s="232">
        <v>1.4999999999999999E-2</v>
      </c>
      <c r="AB9" s="232">
        <v>1.4999999999999999E-2</v>
      </c>
      <c r="AC9" s="232">
        <v>1.4999999999999999E-2</v>
      </c>
      <c r="AD9" s="232">
        <v>1.4999999999999999E-2</v>
      </c>
      <c r="AE9" s="232">
        <v>1.4999999999999999E-2</v>
      </c>
    </row>
    <row r="10" spans="1:32" s="470" customFormat="1" ht="15" customHeight="1">
      <c r="A10" s="9"/>
      <c r="B10" s="174" t="s">
        <v>525</v>
      </c>
      <c r="C10" s="12" t="s">
        <v>65</v>
      </c>
      <c r="D10" s="11" t="s">
        <v>523</v>
      </c>
      <c r="E10" s="222"/>
      <c r="F10" s="328"/>
      <c r="G10" s="328"/>
      <c r="H10" s="328"/>
      <c r="I10" s="328"/>
      <c r="J10" s="328"/>
      <c r="K10" s="232"/>
      <c r="L10" s="232"/>
      <c r="M10" s="232"/>
      <c r="N10" s="232"/>
      <c r="O10" s="232"/>
      <c r="P10" s="232">
        <v>0.01</v>
      </c>
      <c r="Q10" s="232">
        <v>0.01</v>
      </c>
      <c r="R10" s="232">
        <v>0.01</v>
      </c>
      <c r="S10" s="232">
        <v>0.01</v>
      </c>
      <c r="T10" s="232">
        <v>0.01</v>
      </c>
      <c r="U10" s="232">
        <v>0.01</v>
      </c>
      <c r="V10" s="232">
        <v>0.01</v>
      </c>
      <c r="W10" s="232">
        <v>0.01</v>
      </c>
      <c r="X10" s="232">
        <v>0.01</v>
      </c>
      <c r="Y10" s="232">
        <v>0.01</v>
      </c>
      <c r="Z10" s="232">
        <v>0.01</v>
      </c>
      <c r="AA10" s="232">
        <v>0.01</v>
      </c>
      <c r="AB10" s="232">
        <v>0.01</v>
      </c>
      <c r="AC10" s="232">
        <v>0.01</v>
      </c>
      <c r="AD10" s="232">
        <v>0.01</v>
      </c>
      <c r="AE10" s="232">
        <v>0.01</v>
      </c>
    </row>
    <row r="11" spans="1:32" s="470" customFormat="1" ht="15" customHeight="1">
      <c r="B11" s="183"/>
      <c r="C11" s="168"/>
      <c r="D11" s="169"/>
      <c r="E11" s="540"/>
      <c r="F11" s="531"/>
      <c r="G11" s="531"/>
      <c r="H11" s="531"/>
      <c r="I11" s="531"/>
      <c r="J11" s="531"/>
      <c r="K11" s="531"/>
      <c r="L11" s="531"/>
      <c r="M11" s="531"/>
      <c r="N11" s="531"/>
      <c r="O11" s="531"/>
      <c r="P11" s="531"/>
      <c r="Q11" s="187"/>
      <c r="R11" s="187"/>
      <c r="S11" s="187"/>
      <c r="T11" s="187"/>
      <c r="U11" s="187"/>
      <c r="V11" s="187"/>
      <c r="W11" s="187"/>
      <c r="X11" s="187"/>
      <c r="Y11" s="187"/>
      <c r="Z11" s="187"/>
      <c r="AA11" s="187"/>
      <c r="AB11" s="187"/>
      <c r="AC11" s="187"/>
      <c r="AD11" s="187"/>
      <c r="AE11" s="187"/>
    </row>
    <row r="12" spans="1:32" s="470" customFormat="1" ht="15" customHeight="1">
      <c r="B12" s="183"/>
      <c r="C12" s="168"/>
      <c r="D12" s="169"/>
      <c r="E12" s="540"/>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2" s="470" customFormat="1" ht="15" customHeight="1">
      <c r="B13" s="183"/>
      <c r="C13" s="168"/>
      <c r="D13" s="169"/>
      <c r="E13" s="540"/>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2" s="470" customFormat="1" ht="15" customHeight="1">
      <c r="B14" s="183"/>
      <c r="C14" s="168"/>
      <c r="D14" s="169"/>
      <c r="E14" s="540"/>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2" s="470" customFormat="1" ht="15" customHeight="1">
      <c r="B15" s="183"/>
      <c r="C15" s="186"/>
      <c r="D15" s="169"/>
      <c r="E15" s="540"/>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2" s="470" customFormat="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etzrxfOKF9LoaAAeaKUvtzVA512uClw8Xt8GPu7/fVnnz9RaRM+33o3CwwwtI03BtW75XiozBIs/YNO6mM5d1g==" saltValue="VBk2KBalZ/S+0B+Wht8NoA==" spinCount="100000" sheet="1" objects="1" scenarios="1"/>
  <hyperlinks>
    <hyperlink ref="A1" location="'Start-Experte'!A1" display="zurück" xr:uid="{00000000-0004-0000-2000-000000000000}"/>
    <hyperlink ref="AF7" r:id="rId1" location="abreadcrumb, Statistisches Bundesamt (Destatis), 2021 | Stand: 19.10.2021 / 12:00:21" xr:uid="{3E9BDBCB-ECF7-4E3E-8296-C325284CA00D}"/>
  </hyperlinks>
  <pageMargins left="0.78740157480314965" right="0.78740157480314965" top="0.98425196850393704" bottom="0.98425196850393704" header="0.59055118110236227" footer="0.59055118110236227"/>
  <pageSetup paperSize="9" scale="66" orientation="landscape" horizontalDpi="4294967293" verticalDpi="1200" r:id="rId2"/>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D9D24C53-AF9F-4FFB-B88F-C9F5BD40DB95}">
            <xm:f>ControlPanel!$D$59-1</xm:f>
            <x14:dxf>
              <font>
                <color rgb="FF9C6500"/>
              </font>
              <fill>
                <patternFill>
                  <fgColor indexed="64"/>
                  <bgColor rgb="FFFFEB9C"/>
                </patternFill>
              </fill>
            </x14:dxf>
          </x14:cfRule>
          <x14:cfRule type="cellIs" priority="2" operator="lessThan" id="{AAD7FE45-FADD-4A9B-AA18-ECADB3B7AAB3}">
            <xm:f>ControlPanel!$D$59</xm:f>
            <x14:dxf>
              <font>
                <color rgb="FF006100"/>
              </font>
              <fill>
                <patternFill>
                  <fgColor indexed="64"/>
                  <bgColor rgb="FFC6EFCE"/>
                </patternFill>
              </fill>
            </x14:dxf>
          </x14:cfRule>
          <xm:sqref>F4:AE4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53">
    <tabColor theme="9" tint="0.39997558519241921"/>
    <pageSetUpPr fitToPage="1"/>
  </sheetPr>
  <dimension ref="A1:F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6" width="30.5703125" style="9" customWidth="1"/>
    <col min="7" max="16384" width="11.5703125" style="9"/>
  </cols>
  <sheetData>
    <row r="1" spans="1:6">
      <c r="A1" s="41" t="s">
        <v>183</v>
      </c>
      <c r="B1" s="20" t="s">
        <v>251</v>
      </c>
      <c r="C1" s="19"/>
      <c r="D1" s="19"/>
      <c r="E1" s="19"/>
    </row>
    <row r="3" spans="1:6" ht="15" customHeight="1">
      <c r="B3" s="66" t="s">
        <v>18</v>
      </c>
      <c r="C3" s="18" t="s">
        <v>64</v>
      </c>
      <c r="D3" s="321" t="s">
        <v>16</v>
      </c>
      <c r="E3" s="321" t="s">
        <v>377</v>
      </c>
      <c r="F3" s="321" t="s">
        <v>247</v>
      </c>
    </row>
    <row r="4" spans="1:6" ht="15" customHeight="1">
      <c r="B4" s="67"/>
      <c r="D4" s="16"/>
      <c r="E4" s="16"/>
      <c r="F4" s="16"/>
    </row>
    <row r="5" spans="1:6" ht="15" customHeight="1" thickBot="1">
      <c r="B5" s="67"/>
      <c r="D5" s="16"/>
      <c r="E5" s="16"/>
      <c r="F5" s="67" t="s">
        <v>60</v>
      </c>
    </row>
    <row r="6" spans="1:6" ht="15" customHeight="1" thickBot="1">
      <c r="B6" s="176" t="str">
        <f>ControlPanel!L22</f>
        <v>keine Abweichung</v>
      </c>
      <c r="C6" s="15" t="str">
        <f>VLOOKUP($B$6,$B$7:$F$25,2,FALSE)</f>
        <v>mh</v>
      </c>
      <c r="D6" s="15" t="str">
        <f>VLOOKUP($B$6,$B$7:$F$25,3,FALSE)</f>
        <v>keine Abweichung</v>
      </c>
      <c r="E6" s="15">
        <f>VLOOKUP($B$6,$B$7:$F$25,4,FALSE)</f>
        <v>0</v>
      </c>
      <c r="F6" s="256">
        <f>VLOOKUP($B$6,$B$7:$F$25,5,FALSE)</f>
        <v>0</v>
      </c>
    </row>
    <row r="7" spans="1:6" ht="15" customHeight="1">
      <c r="B7" s="338" t="s">
        <v>249</v>
      </c>
      <c r="C7" s="12" t="s">
        <v>65</v>
      </c>
      <c r="D7" s="338" t="s">
        <v>249</v>
      </c>
      <c r="E7" s="338"/>
      <c r="F7" s="475">
        <v>-2</v>
      </c>
    </row>
    <row r="8" spans="1:6" ht="15" customHeight="1">
      <c r="B8" s="338" t="s">
        <v>250</v>
      </c>
      <c r="C8" s="12" t="s">
        <v>65</v>
      </c>
      <c r="D8" s="338" t="s">
        <v>250</v>
      </c>
      <c r="E8" s="338"/>
      <c r="F8" s="475">
        <v>-1</v>
      </c>
    </row>
    <row r="9" spans="1:6" ht="15" customHeight="1">
      <c r="B9" s="338" t="s">
        <v>255</v>
      </c>
      <c r="C9" s="12" t="s">
        <v>65</v>
      </c>
      <c r="D9" s="338" t="s">
        <v>255</v>
      </c>
      <c r="E9" s="338"/>
      <c r="F9" s="475">
        <v>0</v>
      </c>
    </row>
    <row r="10" spans="1:6" ht="15" customHeight="1">
      <c r="B10" s="338" t="s">
        <v>252</v>
      </c>
      <c r="C10" s="12" t="s">
        <v>65</v>
      </c>
      <c r="D10" s="338" t="s">
        <v>252</v>
      </c>
      <c r="E10" s="338"/>
      <c r="F10" s="475">
        <v>1</v>
      </c>
    </row>
    <row r="11" spans="1:6" ht="15" customHeight="1">
      <c r="B11" s="338" t="s">
        <v>253</v>
      </c>
      <c r="C11" s="12" t="s">
        <v>65</v>
      </c>
      <c r="D11" s="338" t="s">
        <v>253</v>
      </c>
      <c r="E11" s="338"/>
      <c r="F11" s="475">
        <v>2</v>
      </c>
    </row>
    <row r="12" spans="1:6" ht="15" customHeight="1">
      <c r="B12" s="193"/>
      <c r="C12" s="186"/>
      <c r="D12" s="193"/>
      <c r="E12" s="193"/>
      <c r="F12" s="254"/>
    </row>
    <row r="13" spans="1:6" ht="15" customHeight="1">
      <c r="B13" s="183"/>
      <c r="C13" s="168"/>
      <c r="D13" s="169"/>
      <c r="E13" s="169"/>
      <c r="F13" s="254"/>
    </row>
    <row r="14" spans="1:6" ht="15" customHeight="1">
      <c r="B14" s="183"/>
      <c r="C14" s="168"/>
      <c r="D14" s="169"/>
      <c r="E14" s="169"/>
      <c r="F14" s="254"/>
    </row>
    <row r="15" spans="1:6" ht="15" customHeight="1">
      <c r="B15" s="183"/>
      <c r="C15" s="186"/>
      <c r="D15" s="169"/>
      <c r="E15" s="169"/>
      <c r="F15" s="254"/>
    </row>
    <row r="16" spans="1:6" ht="15" customHeight="1">
      <c r="B16" s="183"/>
      <c r="C16" s="186"/>
      <c r="D16" s="169"/>
      <c r="E16" s="169"/>
      <c r="F16" s="254"/>
    </row>
    <row r="17" spans="2:6" ht="15" customHeight="1">
      <c r="B17" s="183"/>
      <c r="C17" s="186"/>
      <c r="D17" s="169"/>
      <c r="E17" s="169"/>
      <c r="F17" s="254"/>
    </row>
    <row r="18" spans="2:6" ht="15" customHeight="1">
      <c r="B18" s="183"/>
      <c r="C18" s="186"/>
      <c r="D18" s="169"/>
      <c r="E18" s="169"/>
      <c r="F18" s="254"/>
    </row>
    <row r="19" spans="2:6" ht="15" customHeight="1">
      <c r="B19" s="183"/>
      <c r="C19" s="186"/>
      <c r="D19" s="169"/>
      <c r="E19" s="169"/>
      <c r="F19" s="254"/>
    </row>
    <row r="20" spans="2:6" ht="15" customHeight="1">
      <c r="B20" s="183"/>
      <c r="C20" s="186"/>
      <c r="D20" s="169"/>
      <c r="E20" s="169"/>
      <c r="F20" s="254"/>
    </row>
    <row r="21" spans="2:6" ht="15" customHeight="1">
      <c r="B21" s="183"/>
      <c r="C21" s="186"/>
      <c r="D21" s="169"/>
      <c r="E21" s="169"/>
      <c r="F21" s="254"/>
    </row>
    <row r="22" spans="2:6" ht="15" customHeight="1">
      <c r="B22" s="183"/>
      <c r="C22" s="186"/>
      <c r="D22" s="169"/>
      <c r="E22" s="169"/>
      <c r="F22" s="254"/>
    </row>
    <row r="23" spans="2:6" ht="15" customHeight="1">
      <c r="B23" s="183"/>
      <c r="C23" s="186"/>
      <c r="D23" s="169"/>
      <c r="E23" s="169"/>
      <c r="F23" s="254"/>
    </row>
    <row r="24" spans="2:6" ht="15" customHeight="1">
      <c r="B24" s="183"/>
      <c r="C24" s="186"/>
      <c r="D24" s="169"/>
      <c r="E24" s="169"/>
      <c r="F24" s="254"/>
    </row>
    <row r="25" spans="2:6" ht="15" customHeight="1">
      <c r="B25" s="185"/>
      <c r="C25" s="188"/>
      <c r="D25" s="189"/>
      <c r="E25" s="189"/>
      <c r="F25" s="255"/>
    </row>
    <row r="26" spans="2:6" ht="15" customHeight="1">
      <c r="B26" s="68"/>
      <c r="C26" s="18"/>
      <c r="D26" s="18"/>
      <c r="E26" s="18"/>
      <c r="F26" s="17"/>
    </row>
    <row r="27" spans="2:6" ht="15" customHeight="1"/>
    <row r="28" spans="2:6" ht="15" customHeight="1"/>
    <row r="29" spans="2:6" ht="15" customHeight="1"/>
    <row r="30" spans="2:6" ht="15" customHeight="1"/>
    <row r="31" spans="2:6" ht="15" customHeight="1"/>
    <row r="32" spans="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AKCoWG8W2EkVxCeLG/ENh0jz257wPjmcm35NCOX4Xe88n9QTvL9/OJmgdFkpAfOyRTcmr166lOwlE6apevDHxA==" saltValue="xUs/q3CrUNeZemy3SBr0KA==" spinCount="100000" sheet="1" objects="1" scenarios="1"/>
  <hyperlinks>
    <hyperlink ref="A1" location="'Start-Experte'!A1" display="zurück" xr:uid="{00000000-0004-0000-2100-000000000000}"/>
  </hyperlinks>
  <pageMargins left="0.78740157480314965" right="0.78740157480314965" top="0.98425196850393704" bottom="0.98425196850393704" header="0.59055118110236227" footer="0.59055118110236227"/>
  <pageSetup paperSize="9" scale="82" orientation="landscape" horizontalDpi="4294967293" verticalDpi="1200" r:id="rId1"/>
  <headerFooter scaleWithDoc="0">
    <oddHeader>&amp;C&amp;"Arial,Fett"&amp;18EEG Calculator</oddHeader>
    <oddFooter>&amp;LDatendokumentation&amp;C&amp;F  &amp;A  Seite &amp;P/&amp;N&amp;R&amp;D  &amp;T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52">
    <tabColor theme="9" tint="0.39997558519241921"/>
    <pageSetUpPr fitToPage="1"/>
  </sheetPr>
  <dimension ref="A1:F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6" width="30.5703125" style="9" customWidth="1"/>
    <col min="7" max="16384" width="11.5703125" style="9"/>
  </cols>
  <sheetData>
    <row r="1" spans="1:6">
      <c r="A1" s="41" t="s">
        <v>183</v>
      </c>
      <c r="B1" s="20" t="s">
        <v>248</v>
      </c>
      <c r="C1" s="19"/>
      <c r="D1" s="19"/>
      <c r="E1" s="19"/>
    </row>
    <row r="3" spans="1:6" ht="15" customHeight="1">
      <c r="B3" s="66" t="s">
        <v>18</v>
      </c>
      <c r="C3" s="18" t="s">
        <v>64</v>
      </c>
      <c r="D3" s="321" t="s">
        <v>16</v>
      </c>
      <c r="E3" s="321" t="s">
        <v>377</v>
      </c>
      <c r="F3" s="321" t="s">
        <v>247</v>
      </c>
    </row>
    <row r="4" spans="1:6" ht="15" customHeight="1">
      <c r="B4" s="67"/>
      <c r="D4" s="16"/>
      <c r="E4" s="16"/>
      <c r="F4" s="16"/>
    </row>
    <row r="5" spans="1:6" ht="15" customHeight="1" thickBot="1">
      <c r="B5" s="67"/>
      <c r="D5" s="16"/>
      <c r="E5" s="16"/>
      <c r="F5" s="67" t="s">
        <v>60</v>
      </c>
    </row>
    <row r="6" spans="1:6" ht="15" customHeight="1" thickBot="1">
      <c r="B6" s="176" t="str">
        <f>ControlPanel!L21</f>
        <v>endogen</v>
      </c>
      <c r="C6" s="15" t="str">
        <f>VLOOKUP($B$6,$B$7:$F$25,2,FALSE)</f>
        <v>mh</v>
      </c>
      <c r="D6" s="15" t="str">
        <f>VLOOKUP($B$6,$B$7:$F$25,3,FALSE)</f>
        <v>wird endogen berechnet</v>
      </c>
      <c r="E6" s="15">
        <f>VLOOKUP($B$6,$B$7:$F$25,4,FALSE)</f>
        <v>0</v>
      </c>
      <c r="F6" s="259">
        <f>VLOOKUP($B$6,$B$7:$F$25,5,FALSE)</f>
        <v>0</v>
      </c>
    </row>
    <row r="7" spans="1:6" ht="15" customHeight="1">
      <c r="B7" s="16" t="s">
        <v>245</v>
      </c>
      <c r="C7" s="12" t="s">
        <v>65</v>
      </c>
      <c r="D7" s="11" t="s">
        <v>246</v>
      </c>
      <c r="E7" s="11"/>
      <c r="F7" s="260">
        <v>0</v>
      </c>
    </row>
    <row r="8" spans="1:6" ht="15" customHeight="1">
      <c r="B8" s="338" t="s">
        <v>249</v>
      </c>
      <c r="C8" s="12" t="s">
        <v>65</v>
      </c>
      <c r="D8" s="338" t="s">
        <v>249</v>
      </c>
      <c r="E8" s="338"/>
      <c r="F8" s="260">
        <v>-2</v>
      </c>
    </row>
    <row r="9" spans="1:6" ht="15" customHeight="1">
      <c r="B9" s="338" t="s">
        <v>527</v>
      </c>
      <c r="C9" s="12" t="s">
        <v>65</v>
      </c>
      <c r="D9" s="338" t="s">
        <v>527</v>
      </c>
      <c r="E9" s="338"/>
      <c r="F9" s="260">
        <v>0</v>
      </c>
    </row>
    <row r="10" spans="1:6" ht="15" customHeight="1">
      <c r="B10" s="338" t="s">
        <v>528</v>
      </c>
      <c r="C10" s="12" t="s">
        <v>65</v>
      </c>
      <c r="D10" s="338" t="s">
        <v>528</v>
      </c>
      <c r="E10" s="338"/>
      <c r="F10" s="260">
        <v>2</v>
      </c>
    </row>
    <row r="11" spans="1:6" ht="15" customHeight="1">
      <c r="B11" s="338" t="s">
        <v>529</v>
      </c>
      <c r="C11" s="12" t="s">
        <v>65</v>
      </c>
      <c r="D11" s="338" t="s">
        <v>529</v>
      </c>
      <c r="E11" s="338"/>
      <c r="F11" s="260">
        <v>4</v>
      </c>
    </row>
    <row r="12" spans="1:6" ht="15" customHeight="1">
      <c r="B12" s="338" t="s">
        <v>530</v>
      </c>
      <c r="C12" s="12" t="s">
        <v>65</v>
      </c>
      <c r="D12" s="338" t="s">
        <v>530</v>
      </c>
      <c r="E12" s="338"/>
      <c r="F12" s="260">
        <v>6</v>
      </c>
    </row>
    <row r="13" spans="1:6" ht="15" customHeight="1">
      <c r="B13" s="183"/>
      <c r="C13" s="168"/>
      <c r="D13" s="169"/>
      <c r="E13" s="169"/>
      <c r="F13" s="261"/>
    </row>
    <row r="14" spans="1:6" ht="15" customHeight="1">
      <c r="B14" s="183"/>
      <c r="C14" s="186"/>
      <c r="D14" s="183"/>
      <c r="E14" s="183"/>
      <c r="F14" s="261"/>
    </row>
    <row r="15" spans="1:6" ht="15" customHeight="1">
      <c r="B15" s="183"/>
      <c r="C15" s="186"/>
      <c r="D15" s="193"/>
      <c r="E15" s="193"/>
      <c r="F15" s="261"/>
    </row>
    <row r="16" spans="1:6" ht="15" customHeight="1">
      <c r="B16" s="183"/>
      <c r="C16" s="186"/>
      <c r="D16" s="193"/>
      <c r="E16" s="193"/>
      <c r="F16" s="261"/>
    </row>
    <row r="17" spans="2:6" ht="15" customHeight="1">
      <c r="B17" s="191"/>
      <c r="C17" s="186"/>
      <c r="D17" s="169"/>
      <c r="E17" s="169"/>
      <c r="F17" s="261"/>
    </row>
    <row r="18" spans="2:6" ht="15" customHeight="1">
      <c r="B18" s="183"/>
      <c r="C18" s="186"/>
      <c r="D18" s="169"/>
      <c r="E18" s="169"/>
      <c r="F18" s="261"/>
    </row>
    <row r="19" spans="2:6" ht="15" customHeight="1">
      <c r="B19" s="183"/>
      <c r="C19" s="186"/>
      <c r="D19" s="169"/>
      <c r="E19" s="169"/>
      <c r="F19" s="261"/>
    </row>
    <row r="20" spans="2:6" ht="15" customHeight="1">
      <c r="B20" s="183"/>
      <c r="C20" s="186"/>
      <c r="D20" s="169"/>
      <c r="E20" s="169"/>
      <c r="F20" s="261"/>
    </row>
    <row r="21" spans="2:6" ht="15" customHeight="1">
      <c r="B21" s="183"/>
      <c r="C21" s="186"/>
      <c r="D21" s="169"/>
      <c r="E21" s="169"/>
      <c r="F21" s="261"/>
    </row>
    <row r="22" spans="2:6" ht="15" customHeight="1">
      <c r="B22" s="183"/>
      <c r="C22" s="186"/>
      <c r="D22" s="169"/>
      <c r="E22" s="169"/>
      <c r="F22" s="261"/>
    </row>
    <row r="23" spans="2:6" ht="15" customHeight="1">
      <c r="B23" s="183"/>
      <c r="C23" s="186"/>
      <c r="D23" s="169"/>
      <c r="E23" s="169"/>
      <c r="F23" s="261"/>
    </row>
    <row r="24" spans="2:6" ht="15" customHeight="1">
      <c r="B24" s="183"/>
      <c r="C24" s="186"/>
      <c r="D24" s="169"/>
      <c r="E24" s="169"/>
      <c r="F24" s="261"/>
    </row>
    <row r="25" spans="2:6" ht="15" customHeight="1">
      <c r="B25" s="185"/>
      <c r="C25" s="188"/>
      <c r="D25" s="189"/>
      <c r="E25" s="189"/>
      <c r="F25" s="262"/>
    </row>
    <row r="26" spans="2:6" ht="15" customHeight="1">
      <c r="B26" s="68"/>
      <c r="C26" s="18"/>
      <c r="D26" s="18"/>
      <c r="E26" s="18"/>
      <c r="F26" s="17"/>
    </row>
    <row r="27" spans="2:6" ht="15" customHeight="1"/>
    <row r="28" spans="2:6" ht="15" customHeight="1"/>
    <row r="29" spans="2:6" ht="15" customHeight="1"/>
    <row r="30" spans="2:6" ht="15" customHeight="1"/>
    <row r="31" spans="2:6" ht="15" customHeight="1"/>
    <row r="32" spans="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5pzapzHtCDuTCIYZ09k3T9kvg7YNApTmWw7BOKHrmKJ4/rMa9WDwjimvlmNbwR2TpwWYgj58Tsdrn10+HT7Lfw==" saltValue="2po5gf/1BXING2dYM/eD4Q==" spinCount="100000" sheet="1" objects="1" scenarios="1"/>
  <hyperlinks>
    <hyperlink ref="A1" location="'Start-Experte'!A1" display="zurück" xr:uid="{00000000-0004-0000-2200-000000000000}"/>
  </hyperlinks>
  <pageMargins left="0.78740157480314965" right="0.78740157480314965" top="0.98425196850393704" bottom="0.98425196850393704" header="0.59055118110236227" footer="0.59055118110236227"/>
  <pageSetup paperSize="9" scale="82" orientation="landscape" horizontalDpi="4294967293" verticalDpi="1200" r:id="rId1"/>
  <headerFooter scaleWithDoc="0">
    <oddHeader>&amp;C&amp;"Arial,Fett"&amp;18EEG Calculator</oddHeader>
    <oddFooter>&amp;LDatendokumentation&amp;C&amp;F  &amp;A  Seite &amp;P/&amp;N&amp;R&amp;D  &amp;T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4">
    <tabColor theme="9" tint="0.39997558519241921"/>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183</v>
      </c>
      <c r="B1" s="62" t="s">
        <v>953</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c r="AF5" s="330" t="s">
        <v>28</v>
      </c>
    </row>
    <row r="6" spans="1:32" s="395" customFormat="1" ht="15" customHeight="1" thickBot="1">
      <c r="B6" s="396" t="s">
        <v>25</v>
      </c>
      <c r="C6" s="397" t="s">
        <v>138</v>
      </c>
      <c r="D6" s="398" t="s">
        <v>256</v>
      </c>
      <c r="E6" s="398">
        <v>0</v>
      </c>
      <c r="F6" s="1028">
        <v>0</v>
      </c>
      <c r="G6" s="399">
        <v>0</v>
      </c>
      <c r="H6" s="399">
        <v>0</v>
      </c>
      <c r="I6" s="399">
        <v>0</v>
      </c>
      <c r="J6" s="399">
        <v>0</v>
      </c>
      <c r="K6" s="399">
        <v>0</v>
      </c>
      <c r="L6" s="399">
        <v>0</v>
      </c>
      <c r="M6" s="399">
        <v>0</v>
      </c>
      <c r="N6" s="399">
        <v>0</v>
      </c>
      <c r="O6" s="399">
        <v>0</v>
      </c>
      <c r="P6" s="399">
        <v>0</v>
      </c>
      <c r="Q6" s="399">
        <v>0</v>
      </c>
      <c r="R6" s="399">
        <v>0</v>
      </c>
      <c r="S6" s="399">
        <v>0</v>
      </c>
      <c r="T6" s="399">
        <v>0</v>
      </c>
      <c r="U6" s="399">
        <v>0</v>
      </c>
      <c r="V6" s="399">
        <v>0</v>
      </c>
      <c r="W6" s="399">
        <v>0</v>
      </c>
      <c r="X6" s="399">
        <v>0</v>
      </c>
      <c r="Y6" s="399">
        <v>0</v>
      </c>
      <c r="Z6" s="399">
        <v>0</v>
      </c>
      <c r="AA6" s="399">
        <v>0</v>
      </c>
      <c r="AB6" s="399">
        <v>0</v>
      </c>
      <c r="AC6" s="399">
        <v>0</v>
      </c>
      <c r="AD6" s="399">
        <v>0</v>
      </c>
      <c r="AE6" s="399">
        <v>0</v>
      </c>
      <c r="AF6" s="399">
        <v>0</v>
      </c>
    </row>
    <row r="7" spans="1:32" s="395" customFormat="1" ht="15" customHeight="1" thickBot="1">
      <c r="B7" s="400" t="s">
        <v>27</v>
      </c>
      <c r="C7" s="397" t="s">
        <v>138</v>
      </c>
      <c r="D7" s="398" t="s">
        <v>256</v>
      </c>
      <c r="E7" s="398">
        <v>0</v>
      </c>
      <c r="F7" s="1028">
        <v>0</v>
      </c>
      <c r="G7" s="399">
        <v>0</v>
      </c>
      <c r="H7" s="399">
        <v>0</v>
      </c>
      <c r="I7" s="399">
        <v>0</v>
      </c>
      <c r="J7" s="399">
        <v>0</v>
      </c>
      <c r="K7" s="399">
        <v>0</v>
      </c>
      <c r="L7" s="399">
        <v>0</v>
      </c>
      <c r="M7" s="399">
        <v>0</v>
      </c>
      <c r="N7" s="399">
        <v>0</v>
      </c>
      <c r="O7" s="399">
        <v>0</v>
      </c>
      <c r="P7" s="399">
        <v>0</v>
      </c>
      <c r="Q7" s="399">
        <v>0</v>
      </c>
      <c r="R7" s="399">
        <v>0</v>
      </c>
      <c r="S7" s="399">
        <v>0</v>
      </c>
      <c r="T7" s="399">
        <v>0</v>
      </c>
      <c r="U7" s="399">
        <v>0</v>
      </c>
      <c r="V7" s="399">
        <v>0</v>
      </c>
      <c r="W7" s="399">
        <v>0</v>
      </c>
      <c r="X7" s="399">
        <v>0</v>
      </c>
      <c r="Y7" s="399">
        <v>0</v>
      </c>
      <c r="Z7" s="399">
        <v>0</v>
      </c>
      <c r="AA7" s="399">
        <v>0</v>
      </c>
      <c r="AB7" s="399">
        <v>0</v>
      </c>
      <c r="AC7" s="399">
        <v>0</v>
      </c>
      <c r="AD7" s="399">
        <v>0</v>
      </c>
      <c r="AE7" s="399">
        <v>0</v>
      </c>
      <c r="AF7" s="399">
        <v>0</v>
      </c>
    </row>
    <row r="8" spans="1:32" s="395" customFormat="1" ht="15" customHeight="1" thickBot="1">
      <c r="B8" s="400" t="s">
        <v>13</v>
      </c>
      <c r="C8" s="397" t="s">
        <v>138</v>
      </c>
      <c r="D8" s="398" t="s">
        <v>256</v>
      </c>
      <c r="E8" s="398">
        <v>0</v>
      </c>
      <c r="F8" s="1028">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row>
    <row r="9" spans="1:32" s="395" customFormat="1" ht="15" customHeight="1" thickBot="1">
      <c r="B9" s="400" t="s">
        <v>12</v>
      </c>
      <c r="C9" s="397" t="s">
        <v>138</v>
      </c>
      <c r="D9" s="398" t="s">
        <v>256</v>
      </c>
      <c r="E9" s="398">
        <v>0</v>
      </c>
      <c r="F9" s="1028">
        <v>0</v>
      </c>
      <c r="G9" s="399">
        <v>0</v>
      </c>
      <c r="H9" s="399">
        <v>0</v>
      </c>
      <c r="I9" s="399">
        <v>0</v>
      </c>
      <c r="J9" s="399">
        <v>0</v>
      </c>
      <c r="K9" s="399">
        <v>0</v>
      </c>
      <c r="L9" s="399">
        <v>0</v>
      </c>
      <c r="M9" s="399">
        <v>0</v>
      </c>
      <c r="N9" s="399">
        <v>0</v>
      </c>
      <c r="O9" s="399">
        <v>0</v>
      </c>
      <c r="P9" s="399">
        <v>0</v>
      </c>
      <c r="Q9" s="399">
        <v>0</v>
      </c>
      <c r="R9" s="399">
        <v>0</v>
      </c>
      <c r="S9" s="399">
        <v>0</v>
      </c>
      <c r="T9" s="399">
        <v>0</v>
      </c>
      <c r="U9" s="399">
        <v>0</v>
      </c>
      <c r="V9" s="399">
        <v>0</v>
      </c>
      <c r="W9" s="399">
        <v>0</v>
      </c>
      <c r="X9" s="399">
        <v>0</v>
      </c>
      <c r="Y9" s="399">
        <v>0</v>
      </c>
      <c r="Z9" s="399">
        <v>0</v>
      </c>
      <c r="AA9" s="399">
        <v>0</v>
      </c>
      <c r="AB9" s="399">
        <v>0</v>
      </c>
      <c r="AC9" s="399">
        <v>0</v>
      </c>
      <c r="AD9" s="399">
        <v>0</v>
      </c>
      <c r="AE9" s="399">
        <v>0</v>
      </c>
      <c r="AF9" s="399">
        <v>0</v>
      </c>
    </row>
    <row r="10" spans="1:32" s="395" customFormat="1" ht="15" customHeight="1" thickBot="1">
      <c r="B10" s="400" t="s">
        <v>325</v>
      </c>
      <c r="C10" s="397" t="s">
        <v>138</v>
      </c>
      <c r="D10" s="398" t="s">
        <v>256</v>
      </c>
      <c r="E10" s="398">
        <v>0</v>
      </c>
      <c r="F10" s="1028">
        <v>0</v>
      </c>
      <c r="G10" s="399">
        <v>0</v>
      </c>
      <c r="H10" s="399">
        <v>0</v>
      </c>
      <c r="I10" s="399">
        <v>0</v>
      </c>
      <c r="J10" s="399">
        <v>0</v>
      </c>
      <c r="K10" s="399">
        <v>0</v>
      </c>
      <c r="L10" s="399">
        <v>0</v>
      </c>
      <c r="M10" s="399">
        <v>0</v>
      </c>
      <c r="N10" s="399">
        <v>0</v>
      </c>
      <c r="O10" s="399">
        <v>0</v>
      </c>
      <c r="P10" s="399">
        <v>0</v>
      </c>
      <c r="Q10" s="399">
        <v>0</v>
      </c>
      <c r="R10" s="399">
        <v>0</v>
      </c>
      <c r="S10" s="399">
        <v>0</v>
      </c>
      <c r="T10" s="399">
        <v>0</v>
      </c>
      <c r="U10" s="399">
        <v>0</v>
      </c>
      <c r="V10" s="399">
        <v>0</v>
      </c>
      <c r="W10" s="399">
        <v>0</v>
      </c>
      <c r="X10" s="399">
        <v>0</v>
      </c>
      <c r="Y10" s="399">
        <v>0</v>
      </c>
      <c r="Z10" s="399">
        <v>0</v>
      </c>
      <c r="AA10" s="399">
        <v>0</v>
      </c>
      <c r="AB10" s="399">
        <v>0</v>
      </c>
      <c r="AC10" s="399">
        <v>0</v>
      </c>
      <c r="AD10" s="399">
        <v>0</v>
      </c>
      <c r="AE10" s="399">
        <v>0</v>
      </c>
      <c r="AF10" s="399">
        <v>0</v>
      </c>
    </row>
    <row r="11" spans="1:32" s="395" customFormat="1" ht="15" customHeight="1" thickBot="1">
      <c r="B11" s="400" t="s">
        <v>326</v>
      </c>
      <c r="C11" s="397" t="s">
        <v>138</v>
      </c>
      <c r="D11" s="398" t="s">
        <v>256</v>
      </c>
      <c r="E11" s="398">
        <v>0</v>
      </c>
      <c r="F11" s="1028">
        <v>0</v>
      </c>
      <c r="G11" s="399">
        <v>0</v>
      </c>
      <c r="H11" s="399">
        <v>0</v>
      </c>
      <c r="I11" s="399">
        <v>0</v>
      </c>
      <c r="J11" s="399">
        <v>0</v>
      </c>
      <c r="K11" s="399">
        <v>0</v>
      </c>
      <c r="L11" s="399">
        <v>0</v>
      </c>
      <c r="M11" s="399">
        <v>0</v>
      </c>
      <c r="N11" s="399">
        <v>0</v>
      </c>
      <c r="O11" s="399">
        <v>0</v>
      </c>
      <c r="P11" s="399">
        <v>0</v>
      </c>
      <c r="Q11" s="399">
        <v>0</v>
      </c>
      <c r="R11" s="399">
        <v>0</v>
      </c>
      <c r="S11" s="399">
        <v>0</v>
      </c>
      <c r="T11" s="399">
        <v>0</v>
      </c>
      <c r="U11" s="399">
        <v>0</v>
      </c>
      <c r="V11" s="399">
        <v>0</v>
      </c>
      <c r="W11" s="399">
        <v>0</v>
      </c>
      <c r="X11" s="399">
        <v>0</v>
      </c>
      <c r="Y11" s="399">
        <v>0</v>
      </c>
      <c r="Z11" s="399">
        <v>0</v>
      </c>
      <c r="AA11" s="399">
        <v>0</v>
      </c>
      <c r="AB11" s="399">
        <v>0</v>
      </c>
      <c r="AC11" s="399">
        <v>0</v>
      </c>
      <c r="AD11" s="399">
        <v>0</v>
      </c>
      <c r="AE11" s="399">
        <v>0</v>
      </c>
      <c r="AF11" s="399">
        <v>0</v>
      </c>
    </row>
    <row r="12" spans="1:32" ht="13.5" thickBot="1">
      <c r="B12" s="171" t="s">
        <v>14</v>
      </c>
      <c r="C12" s="181" t="str">
        <f>ControlPanel!E27</f>
        <v>Referenz</v>
      </c>
      <c r="D12" s="15" t="str">
        <f>VLOOKUP($C$12,$C$13:$AF$37,2,FALSE)</f>
        <v>dr</v>
      </c>
      <c r="E12" s="15" t="str">
        <f>VLOOKUP($C$12,$C$13:$AF$37,3,FALSE)</f>
        <v>9%</v>
      </c>
      <c r="F12" s="494" t="str">
        <f>VLOOKUP($C$12,$C$13:$AF$37,4,FALSE)</f>
        <v>ÜNB Jahresprognose danach MFP Trend</v>
      </c>
      <c r="G12" s="14">
        <f>IF(G$4&lt;ControlPanel!$D$59,VLOOKUP("Referenz",$C$13:$AF$37,G$4-$G$4+5,FALSE),VLOOKUP($C$12,$C$13:$AF$37,G$4-$G$4+5,FALSE))</f>
        <v>0</v>
      </c>
      <c r="H12" s="14">
        <f>IF(H$4&lt;ControlPanel!$D$59,VLOOKUP("Referenz",$C$13:$AF$37,H$4-$G$4+5,FALSE),VLOOKUP($C$12,$C$13:$AF$37,H$4-$G$4+5,FALSE))</f>
        <v>0</v>
      </c>
      <c r="I12" s="14">
        <f>IF(I$4&lt;ControlPanel!$D$59,VLOOKUP("Referenz",$C$13:$AF$37,I$4-$G$4+5,FALSE),VLOOKUP($C$12,$C$13:$AF$37,I$4-$G$4+5,FALSE))</f>
        <v>0</v>
      </c>
      <c r="J12" s="14">
        <f>IF(J$4&lt;ControlPanel!$D$59,VLOOKUP("Referenz",$C$13:$AF$37,J$4-$G$4+5,FALSE),VLOOKUP($C$12,$C$13:$AF$37,J$4-$G$4+5,FALSE))</f>
        <v>0</v>
      </c>
      <c r="K12" s="14">
        <f>IF(K$4&lt;ControlPanel!$D$59,VLOOKUP("Referenz",$C$13:$AF$37,K$4-$G$4+5,FALSE),VLOOKUP($C$12,$C$13:$AF$37,K$4-$G$4+5,FALSE))</f>
        <v>0</v>
      </c>
      <c r="L12" s="14">
        <f>IF(L$4&lt;ControlPanel!$D$59,VLOOKUP("Referenz",$C$13:$AF$37,L$4-$G$4+5,FALSE),VLOOKUP($C$12,$C$13:$AF$37,L$4-$G$4+5,FALSE))</f>
        <v>0.20025000000000001</v>
      </c>
      <c r="M12" s="14">
        <f>IF(M$4&lt;ControlPanel!$D$59,VLOOKUP("Referenz",$C$13:$AF$37,M$4-$G$4+5,FALSE),VLOOKUP($C$12,$C$13:$AF$37,M$4-$G$4+5,FALSE))</f>
        <v>0.26</v>
      </c>
      <c r="N12" s="14">
        <f>IF(N$4&lt;ControlPanel!$D$59,VLOOKUP("Referenz",$C$13:$AF$37,N$4-$G$4+5,FALSE),VLOOKUP($C$12,$C$13:$AF$37,N$4-$G$4+5,FALSE))</f>
        <v>0.123</v>
      </c>
      <c r="O12" s="14">
        <f>IF(O$4&lt;ControlPanel!$D$59,VLOOKUP("Referenz",$C$13:$AF$37,O$4-$G$4+5,FALSE),VLOOKUP($C$12,$C$13:$AF$37,O$4-$G$4+5,FALSE))</f>
        <v>0.123</v>
      </c>
      <c r="P12" s="14">
        <f>IF(P$4&lt;ControlPanel!$D$59,VLOOKUP("Referenz",$C$13:$AF$37,P$4-$G$4+5,FALSE),VLOOKUP($C$12,$C$13:$AF$37,P$4-$G$4+5,FALSE))</f>
        <v>8.6282704209457411E-2</v>
      </c>
      <c r="Q12" s="14">
        <f>IF(Q$4&lt;ControlPanel!$D$59,VLOOKUP("Referenz",$C$13:$AF$37,Q$4-$G$4+5,FALSE),VLOOKUP($C$12,$C$13:$AF$37,Q$4-$G$4+5,FALSE))</f>
        <v>5.896218016593225E-2</v>
      </c>
      <c r="R12" s="14">
        <f>IF(R$4&lt;ControlPanel!$D$59,VLOOKUP("Referenz",$C$13:$AF$37,R$4-$G$4+5,FALSE),VLOOKUP($C$12,$C$13:$AF$37,R$4-$G$4+5,FALSE))</f>
        <v>6.7386075190170966E-2</v>
      </c>
      <c r="S12" s="14">
        <f>IF(S$4&lt;ControlPanel!$D$59,VLOOKUP("Referenz",$C$13:$AF$37,S$4-$G$4+5,FALSE),VLOOKUP($C$12,$C$13:$AF$37,S$4-$G$4+5,FALSE))</f>
        <v>0.09</v>
      </c>
      <c r="T12" s="14">
        <f>IF(T$4&lt;ControlPanel!$D$59,VLOOKUP("Referenz",$C$13:$AF$37,T$4-$G$4+5,FALSE),VLOOKUP($C$12,$C$13:$AF$37,T$4-$G$4+5,FALSE))</f>
        <v>0.09</v>
      </c>
      <c r="U12" s="14">
        <f>IF(U$4&lt;ControlPanel!$D$59,VLOOKUP("Referenz",$C$13:$AF$37,U$4-$G$4+5,FALSE),VLOOKUP($C$12,$C$13:$AF$37,U$4-$G$4+5,FALSE))</f>
        <v>0.09</v>
      </c>
      <c r="V12" s="14">
        <f>IF(V$4&lt;ControlPanel!$D$59,VLOOKUP("Referenz",$C$13:$AF$37,V$4-$G$4+5,FALSE),VLOOKUP($C$12,$C$13:$AF$37,V$4-$G$4+5,FALSE))</f>
        <v>0.09</v>
      </c>
      <c r="W12" s="14">
        <f>IF(W$4&lt;ControlPanel!$D$59,VLOOKUP("Referenz",$C$13:$AF$37,W$4-$G$4+5,FALSE),VLOOKUP($C$12,$C$13:$AF$37,W$4-$G$4+5,FALSE))</f>
        <v>0.09</v>
      </c>
      <c r="X12" s="14">
        <f>IF(X$4&lt;ControlPanel!$D$59,VLOOKUP("Referenz",$C$13:$AF$37,X$4-$G$4+5,FALSE),VLOOKUP($C$12,$C$13:$AF$37,X$4-$G$4+5,FALSE))</f>
        <v>0.09</v>
      </c>
      <c r="Y12" s="14">
        <f>IF(Y$4&lt;ControlPanel!$D$59,VLOOKUP("Referenz",$C$13:$AF$37,Y$4-$G$4+5,FALSE),VLOOKUP($C$12,$C$13:$AF$37,Y$4-$G$4+5,FALSE))</f>
        <v>0.09</v>
      </c>
      <c r="Z12" s="14">
        <f>IF(Z$4&lt;ControlPanel!$D$59,VLOOKUP("Referenz",$C$13:$AF$37,Z$4-$G$4+5,FALSE),VLOOKUP($C$12,$C$13:$AF$37,Z$4-$G$4+5,FALSE))</f>
        <v>0.09</v>
      </c>
      <c r="AA12" s="14">
        <f>IF(AA$4&lt;ControlPanel!$D$59,VLOOKUP("Referenz",$C$13:$AF$37,AA$4-$G$4+5,FALSE),VLOOKUP($C$12,$C$13:$AF$37,AA$4-$G$4+5,FALSE))</f>
        <v>0.09</v>
      </c>
      <c r="AB12" s="14">
        <f>IF(AB$4&lt;ControlPanel!$D$59,VLOOKUP("Referenz",$C$13:$AF$37,AB$4-$G$4+5,FALSE),VLOOKUP($C$12,$C$13:$AF$37,AB$4-$G$4+5,FALSE))</f>
        <v>0.09</v>
      </c>
      <c r="AC12" s="14">
        <f>IF(AC$4&lt;ControlPanel!$D$59,VLOOKUP("Referenz",$C$13:$AF$37,AC$4-$G$4+5,FALSE),VLOOKUP($C$12,$C$13:$AF$37,AC$4-$G$4+5,FALSE))</f>
        <v>0.09</v>
      </c>
      <c r="AD12" s="14">
        <f>IF(AD$4&lt;ControlPanel!$D$59,VLOOKUP("Referenz",$C$13:$AF$37,AD$4-$G$4+5,FALSE),VLOOKUP($C$12,$C$13:$AF$37,AD$4-$G$4+5,FALSE))</f>
        <v>0.09</v>
      </c>
      <c r="AE12" s="14">
        <f>IF(AE$4&lt;ControlPanel!$D$59,VLOOKUP("Referenz",$C$13:$AF$37,AE$4-$G$4+5,FALSE),VLOOKUP($C$12,$C$13:$AF$37,AE$4-$G$4+5,FALSE))</f>
        <v>0.09</v>
      </c>
      <c r="AF12" s="14">
        <f>IF(AF$4&lt;ControlPanel!$D$59,VLOOKUP("Referenz",$C$13:$AF$37,AF$4-$G$4+5,FALSE),VLOOKUP($C$12,$C$13:$AF$37,AF$4-$G$4+5,FALSE))</f>
        <v>0.09</v>
      </c>
    </row>
    <row r="13" spans="1:32" ht="127.5" customHeight="1">
      <c r="B13" s="172" t="s">
        <v>14</v>
      </c>
      <c r="C13" s="180" t="s">
        <v>138</v>
      </c>
      <c r="D13" s="22" t="s">
        <v>257</v>
      </c>
      <c r="E13" s="174" t="s">
        <v>954</v>
      </c>
      <c r="F13" s="617" t="s">
        <v>955</v>
      </c>
      <c r="G13" s="328"/>
      <c r="H13" s="328"/>
      <c r="I13" s="328"/>
      <c r="J13" s="328"/>
      <c r="K13" s="328"/>
      <c r="L13" s="328">
        <v>0.20025000000000001</v>
      </c>
      <c r="M13" s="328">
        <v>0.26</v>
      </c>
      <c r="N13" s="187">
        <v>0.123</v>
      </c>
      <c r="O13" s="187">
        <v>0.123</v>
      </c>
      <c r="P13" s="187">
        <v>8.6282704209457411E-2</v>
      </c>
      <c r="Q13" s="187">
        <v>5.896218016593225E-2</v>
      </c>
      <c r="R13" s="187">
        <v>6.7386075190170966E-2</v>
      </c>
      <c r="S13" s="187">
        <v>0.09</v>
      </c>
      <c r="T13" s="187">
        <v>0.09</v>
      </c>
      <c r="U13" s="187">
        <v>0.09</v>
      </c>
      <c r="V13" s="187">
        <v>0.09</v>
      </c>
      <c r="W13" s="187">
        <v>0.09</v>
      </c>
      <c r="X13" s="187">
        <v>0.09</v>
      </c>
      <c r="Y13" s="187">
        <v>0.09</v>
      </c>
      <c r="Z13" s="187">
        <v>0.09</v>
      </c>
      <c r="AA13" s="187">
        <v>0.09</v>
      </c>
      <c r="AB13" s="187">
        <v>0.09</v>
      </c>
      <c r="AC13" s="187">
        <v>0.09</v>
      </c>
      <c r="AD13" s="187">
        <v>0.09</v>
      </c>
      <c r="AE13" s="187">
        <v>0.09</v>
      </c>
      <c r="AF13" s="187">
        <v>0.09</v>
      </c>
    </row>
    <row r="14" spans="1:32" s="470" customFormat="1" ht="72" customHeight="1">
      <c r="A14" s="9"/>
      <c r="B14" s="64"/>
      <c r="C14" s="16" t="s">
        <v>956</v>
      </c>
      <c r="D14" s="329" t="s">
        <v>845</v>
      </c>
      <c r="E14" s="174" t="s">
        <v>957</v>
      </c>
      <c r="F14" s="617" t="s">
        <v>958</v>
      </c>
      <c r="G14" s="328"/>
      <c r="H14" s="328"/>
      <c r="I14" s="328"/>
      <c r="J14" s="328"/>
      <c r="K14" s="328"/>
      <c r="L14" s="328"/>
      <c r="M14" s="328"/>
      <c r="N14" s="328"/>
      <c r="O14" s="328"/>
      <c r="P14" s="328"/>
      <c r="Q14" s="328"/>
      <c r="R14" s="328"/>
      <c r="S14" s="328">
        <v>2.7962810117617178E-2</v>
      </c>
      <c r="T14" s="232">
        <f>S14+($AF$14-$S$14)/13</f>
        <v>4.1196440108569703E-2</v>
      </c>
      <c r="U14" s="232">
        <f t="shared" ref="U14:AE14" si="0">T14+($AF$14-$S$14)/13</f>
        <v>5.4430070099522228E-2</v>
      </c>
      <c r="V14" s="232">
        <f t="shared" si="0"/>
        <v>6.766370009047476E-2</v>
      </c>
      <c r="W14" s="232">
        <f t="shared" si="0"/>
        <v>8.0897330081427285E-2</v>
      </c>
      <c r="X14" s="232">
        <f t="shared" si="0"/>
        <v>9.413096007237981E-2</v>
      </c>
      <c r="Y14" s="232">
        <f t="shared" si="0"/>
        <v>0.10736459006333234</v>
      </c>
      <c r="Z14" s="232">
        <f t="shared" si="0"/>
        <v>0.12059822005428486</v>
      </c>
      <c r="AA14" s="232">
        <f t="shared" si="0"/>
        <v>0.1338318500452374</v>
      </c>
      <c r="AB14" s="232">
        <f t="shared" si="0"/>
        <v>0.14706548003618994</v>
      </c>
      <c r="AC14" s="232">
        <f t="shared" si="0"/>
        <v>0.16029911002714248</v>
      </c>
      <c r="AD14" s="232">
        <f t="shared" si="0"/>
        <v>0.17353274001809502</v>
      </c>
      <c r="AE14" s="232">
        <f t="shared" si="0"/>
        <v>0.18676637000904756</v>
      </c>
      <c r="AF14" s="328">
        <v>0.2</v>
      </c>
    </row>
    <row r="15" spans="1:32" s="470" customFormat="1">
      <c r="A15" s="9"/>
      <c r="B15" s="64"/>
      <c r="C15" s="16"/>
      <c r="D15" s="329"/>
      <c r="E15" s="175"/>
      <c r="F15" s="546"/>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row>
    <row r="16" spans="1:32" s="470" customFormat="1">
      <c r="A16" s="9"/>
      <c r="B16" s="64"/>
      <c r="C16" s="16"/>
      <c r="D16" s="329"/>
      <c r="E16" s="174"/>
      <c r="F16" s="546"/>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row>
    <row r="17" spans="1:32" s="470" customFormat="1">
      <c r="A17" s="9"/>
      <c r="B17" s="64"/>
      <c r="C17" s="16"/>
      <c r="D17" s="329"/>
      <c r="E17" s="174"/>
      <c r="F17" s="546"/>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row>
    <row r="18" spans="1:32" s="470" customFormat="1">
      <c r="A18" s="9"/>
      <c r="B18" s="64"/>
      <c r="C18" s="16"/>
      <c r="D18" s="329"/>
      <c r="E18" s="174"/>
      <c r="F18" s="546"/>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row>
    <row r="19" spans="1:32" s="470" customFormat="1" ht="15" customHeight="1">
      <c r="B19" s="471"/>
      <c r="C19" s="168"/>
      <c r="D19" s="186"/>
      <c r="E19" s="191"/>
      <c r="F19" s="61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row>
    <row r="20" spans="1:32" s="470" customFormat="1" ht="15" customHeight="1">
      <c r="B20" s="471"/>
      <c r="C20" s="183"/>
      <c r="D20" s="168"/>
      <c r="E20" s="191"/>
      <c r="F20" s="61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row>
    <row r="21" spans="1:32" s="470" customFormat="1" ht="15" customHeight="1">
      <c r="B21" s="471"/>
      <c r="C21" s="183"/>
      <c r="D21" s="168"/>
      <c r="E21" s="191"/>
      <c r="F21" s="61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row>
    <row r="22" spans="1:32" s="470" customFormat="1" ht="15" customHeight="1">
      <c r="B22" s="471"/>
      <c r="C22" s="183"/>
      <c r="D22" s="168"/>
      <c r="E22" s="191"/>
      <c r="F22" s="546"/>
      <c r="G22" s="328"/>
      <c r="H22" s="328"/>
      <c r="I22" s="328"/>
      <c r="J22" s="328"/>
      <c r="K22" s="328"/>
      <c r="L22" s="328"/>
      <c r="M22" s="328"/>
      <c r="N22" s="187"/>
      <c r="O22" s="187"/>
      <c r="P22" s="187"/>
      <c r="Q22" s="187"/>
      <c r="R22" s="187"/>
      <c r="S22" s="187"/>
      <c r="T22" s="187"/>
      <c r="U22" s="187"/>
      <c r="V22" s="187"/>
      <c r="W22" s="187"/>
      <c r="X22" s="187"/>
      <c r="Y22" s="187"/>
      <c r="Z22" s="187"/>
      <c r="AA22" s="187"/>
      <c r="AB22" s="187"/>
      <c r="AC22" s="187"/>
      <c r="AD22" s="187"/>
      <c r="AE22" s="187"/>
      <c r="AF22" s="187"/>
    </row>
    <row r="23" spans="1:32" s="470" customFormat="1" ht="15" customHeight="1">
      <c r="B23" s="471"/>
      <c r="C23" s="183"/>
      <c r="D23" s="186"/>
      <c r="E23" s="169"/>
      <c r="F23" s="545"/>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row>
    <row r="24" spans="1:32" s="470" customFormat="1" ht="15" customHeight="1">
      <c r="B24" s="471"/>
      <c r="C24" s="183"/>
      <c r="D24" s="186"/>
      <c r="E24" s="169"/>
      <c r="F24" s="545"/>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row>
    <row r="25" spans="1:32" s="470" customFormat="1" ht="15" customHeight="1">
      <c r="B25" s="471"/>
      <c r="C25" s="183"/>
      <c r="D25" s="186"/>
      <c r="E25" s="169"/>
      <c r="F25" s="545"/>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row>
    <row r="26" spans="1:32" s="470" customFormat="1" ht="15" customHeight="1">
      <c r="B26" s="471"/>
      <c r="C26" s="183"/>
      <c r="D26" s="186"/>
      <c r="E26" s="169"/>
      <c r="F26" s="545"/>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c r="AF26" s="187"/>
    </row>
    <row r="27" spans="1:32" s="470" customFormat="1" ht="15" customHeight="1">
      <c r="B27" s="471"/>
      <c r="C27" s="183"/>
      <c r="D27" s="186"/>
      <c r="E27" s="169"/>
      <c r="F27" s="545"/>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row>
    <row r="28" spans="1:32" s="470" customFormat="1" ht="15" customHeight="1">
      <c r="B28" s="471"/>
      <c r="C28" s="183"/>
      <c r="D28" s="186"/>
      <c r="E28" s="169"/>
      <c r="F28" s="545"/>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row>
    <row r="29" spans="1:32" s="470" customFormat="1" ht="15" customHeight="1">
      <c r="B29" s="471"/>
      <c r="C29" s="183"/>
      <c r="D29" s="186"/>
      <c r="E29" s="169"/>
      <c r="F29" s="545"/>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row>
    <row r="30" spans="1:32" s="470" customFormat="1" ht="15" customHeight="1">
      <c r="B30" s="471"/>
      <c r="C30" s="183"/>
      <c r="D30" s="186"/>
      <c r="E30" s="169"/>
      <c r="F30" s="545"/>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row>
    <row r="31" spans="1:32" s="470" customFormat="1" ht="15" customHeight="1">
      <c r="B31" s="471"/>
      <c r="C31" s="183"/>
      <c r="D31" s="186"/>
      <c r="E31" s="169"/>
      <c r="F31" s="545"/>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row>
    <row r="32" spans="1:32" s="470" customFormat="1" ht="15" customHeight="1">
      <c r="B32" s="471"/>
      <c r="C32" s="183"/>
      <c r="D32" s="186"/>
      <c r="E32" s="169"/>
      <c r="F32" s="545"/>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row>
    <row r="33" spans="2:32" s="470" customFormat="1" ht="15" customHeight="1">
      <c r="B33" s="471"/>
      <c r="C33" s="183"/>
      <c r="D33" s="186"/>
      <c r="E33" s="169"/>
      <c r="F33" s="545"/>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row>
    <row r="34" spans="2:32" s="470" customFormat="1" ht="15" customHeight="1">
      <c r="B34" s="471"/>
      <c r="C34" s="183"/>
      <c r="D34" s="186"/>
      <c r="E34" s="169"/>
      <c r="F34" s="545"/>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row>
    <row r="35" spans="2:32" s="470" customFormat="1" ht="15" customHeight="1">
      <c r="B35" s="471"/>
      <c r="C35" s="183"/>
      <c r="D35" s="186"/>
      <c r="E35" s="169"/>
      <c r="F35" s="545"/>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row>
    <row r="36" spans="2:32" s="470" customFormat="1" ht="15" customHeight="1">
      <c r="B36" s="471"/>
      <c r="C36" s="183"/>
      <c r="D36" s="186"/>
      <c r="E36" s="169"/>
      <c r="F36" s="545"/>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row>
    <row r="37" spans="2:32" s="470" customFormat="1" ht="15" customHeight="1">
      <c r="B37" s="472"/>
      <c r="C37" s="185"/>
      <c r="D37" s="188"/>
      <c r="E37" s="189"/>
      <c r="F37" s="1027"/>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3: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3: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3: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3: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3: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3: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3: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3:32" ht="15" customHeight="1">
      <c r="C168" s="10"/>
    </row>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l9MAH7N0KNVoKOf5qpjHd088Hr1K2vElbBTXozPtEHmJuz3PduUeFZsGlpDRZ4WGZusQS7W62g2maJqjQeW7WQ==" saltValue="7ZZp3HsShlbyvcyXV97Xog==" spinCount="100000" sheet="1" objects="1" scenarios="1"/>
  <hyperlinks>
    <hyperlink ref="A1" location="'Start-Experte'!A1" display="zurück" xr:uid="{00000000-0004-0000-23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legacyDrawing r:id="rId2"/>
  <extLst>
    <ext xmlns:x14="http://schemas.microsoft.com/office/spreadsheetml/2009/9/main" uri="{78C0D931-6437-407d-A8EE-F0AAD7539E65}">
      <x14:conditionalFormattings>
        <x14:conditionalFormatting xmlns:xm="http://schemas.microsoft.com/office/excel/2006/main">
          <x14:cfRule type="cellIs" priority="689" operator="greaterThan" id="{00000000-0000-0000-0000-000000000000}">
            <xm:f>ControlPanel!$D$59-1</xm:f>
            <x14:dxf>
              <font>
                <color rgb="FF9C6500"/>
              </font>
              <fill>
                <patternFill>
                  <fgColor indexed="64"/>
                  <bgColor rgb="FFFFEB9C"/>
                </patternFill>
              </fill>
            </x14:dxf>
          </x14:cfRule>
          <x14:cfRule type="cellIs" priority="690" operator="lessThan" id="{00000000-0000-0000-0000-000000000000}">
            <xm:f>ControlPanel!$D$59</xm:f>
            <x14:dxf>
              <font>
                <color rgb="FF006100"/>
              </font>
              <fill>
                <patternFill>
                  <fgColor indexed="64"/>
                  <bgColor rgb="FFC6EFCE"/>
                </patternFill>
              </fill>
            </x14:dxf>
          </x14:cfRule>
          <x14:cfRule type="cellIs" priority="691"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C2C9-F62E-4264-9773-E6C4B1674371}">
  <sheetPr codeName="Tabelle71">
    <tabColor theme="9" tint="0.39997558519241921"/>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864</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661</v>
      </c>
      <c r="G5" s="330" t="s">
        <v>661</v>
      </c>
      <c r="H5" s="330" t="s">
        <v>661</v>
      </c>
      <c r="I5" s="330" t="s">
        <v>661</v>
      </c>
      <c r="J5" s="330" t="s">
        <v>661</v>
      </c>
      <c r="K5" s="330" t="s">
        <v>661</v>
      </c>
      <c r="L5" s="330" t="s">
        <v>661</v>
      </c>
      <c r="M5" s="330" t="s">
        <v>661</v>
      </c>
      <c r="N5" s="330" t="s">
        <v>661</v>
      </c>
      <c r="O5" s="330" t="s">
        <v>661</v>
      </c>
      <c r="P5" s="330" t="s">
        <v>661</v>
      </c>
      <c r="Q5" s="330" t="s">
        <v>661</v>
      </c>
      <c r="R5" s="330" t="s">
        <v>661</v>
      </c>
      <c r="S5" s="330" t="s">
        <v>661</v>
      </c>
      <c r="T5" s="330" t="s">
        <v>661</v>
      </c>
      <c r="U5" s="330" t="s">
        <v>661</v>
      </c>
      <c r="V5" s="330" t="s">
        <v>661</v>
      </c>
      <c r="W5" s="330" t="s">
        <v>661</v>
      </c>
      <c r="X5" s="330" t="s">
        <v>661</v>
      </c>
      <c r="Y5" s="330" t="s">
        <v>661</v>
      </c>
      <c r="Z5" s="330" t="s">
        <v>661</v>
      </c>
      <c r="AA5" s="330" t="s">
        <v>661</v>
      </c>
      <c r="AB5" s="330" t="s">
        <v>661</v>
      </c>
      <c r="AC5" s="330" t="s">
        <v>661</v>
      </c>
      <c r="AD5" s="330" t="s">
        <v>661</v>
      </c>
      <c r="AE5" s="330" t="s">
        <v>661</v>
      </c>
    </row>
    <row r="6" spans="1:31" ht="51.75" thickBot="1">
      <c r="B6" s="176" t="str">
        <f>ControlPanel!I45</f>
        <v>Referenz</v>
      </c>
      <c r="C6" s="15" t="str">
        <f>VLOOKUP($B$6,$B$7:$AE$25,2,FALSE)</f>
        <v>tl</v>
      </c>
      <c r="D6" s="494" t="str">
        <f>VLOOKUP($B$6,$B$7:$AE$25,3,FALSE)</f>
        <v>Politisch zugesagte Bundeszuschüsse</v>
      </c>
      <c r="E6" s="494" t="str">
        <f>VLOOKUP($B$6,$B$7:$AE$25,4,FALSE)</f>
        <v xml:space="preserve">2023-2025 geschätzte Mehrerlöse aus der BEHG-CO2-Preiserhöhung (Dez. 2019); ohne Mittel aus Corona-Konjunkturprogramm. Ab 2026 6 Mrd. €/a; </v>
      </c>
      <c r="F6" s="38">
        <f>IF(F$4&lt;ControlPanel!$D$59,VLOOKUP("Referenz",$B$7:$AE$25,F$4-$F$4+5,FALSE),VLOOKUP($B$6,$B$7:$AE$25,F$4-$F$4+5,FALSE))</f>
        <v>0</v>
      </c>
      <c r="G6" s="38">
        <f>IF(G$4&lt;ControlPanel!$D$59,VLOOKUP("Referenz",$B$7:$AE$25,G$4-$F$4+5,FALSE),VLOOKUP($B$6,$B$7:$AE$25,G$4-$F$4+5,FALSE))</f>
        <v>0</v>
      </c>
      <c r="H6" s="38">
        <f>IF(H$4&lt;ControlPanel!$D$59,VLOOKUP("Referenz",$B$7:$AE$25,H$4-$F$4+5,FALSE),VLOOKUP($B$6,$B$7:$AE$25,H$4-$F$4+5,FALSE))</f>
        <v>0</v>
      </c>
      <c r="I6" s="38">
        <f>IF(I$4&lt;ControlPanel!$D$59,VLOOKUP("Referenz",$B$7:$AE$25,I$4-$F$4+5,FALSE),VLOOKUP($B$6,$B$7:$AE$25,I$4-$F$4+5,FALSE))</f>
        <v>0</v>
      </c>
      <c r="J6" s="38">
        <f>IF(J$4&lt;ControlPanel!$D$59,VLOOKUP("Referenz",$B$7:$AE$25,J$4-$F$4+5,FALSE),VLOOKUP($B$6,$B$7:$AE$25,J$4-$F$4+5,FALSE))</f>
        <v>0</v>
      </c>
      <c r="K6" s="38">
        <f>IF(K$4&lt;ControlPanel!$D$59,VLOOKUP("Referenz",$B$7:$AE$25,K$4-$F$4+5,FALSE),VLOOKUP($B$6,$B$7:$AE$25,K$4-$F$4+5,FALSE))</f>
        <v>0</v>
      </c>
      <c r="L6" s="38">
        <f>IF(L$4&lt;ControlPanel!$D$59,VLOOKUP("Referenz",$B$7:$AE$25,L$4-$F$4+5,FALSE),VLOOKUP($B$6,$B$7:$AE$25,L$4-$F$4+5,FALSE))</f>
        <v>0</v>
      </c>
      <c r="M6" s="38">
        <f>IF(M$4&lt;ControlPanel!$D$59,VLOOKUP("Referenz",$B$7:$AE$25,M$4-$F$4+5,FALSE),VLOOKUP($B$6,$B$7:$AE$25,M$4-$F$4+5,FALSE))</f>
        <v>0</v>
      </c>
      <c r="N6" s="38">
        <f>IF(N$4&lt;ControlPanel!$D$59,VLOOKUP("Referenz",$B$7:$AE$25,N$4-$F$4+5,FALSE),VLOOKUP($B$6,$B$7:$AE$25,N$4-$F$4+5,FALSE))</f>
        <v>0</v>
      </c>
      <c r="O6" s="38">
        <f>IF(O$4&lt;ControlPanel!$D$59,VLOOKUP("Referenz",$B$7:$AE$25,O$4-$F$4+5,FALSE),VLOOKUP($B$6,$B$7:$AE$25,O$4-$F$4+5,FALSE))</f>
        <v>0</v>
      </c>
      <c r="P6" s="38">
        <f>IF(P$4&lt;ControlPanel!$D$59,VLOOKUP("Referenz",$B$7:$AE$25,P$4-$F$4+5,FALSE),VLOOKUP($B$6,$B$7:$AE$25,P$4-$F$4+5,FALSE))</f>
        <v>0</v>
      </c>
      <c r="Q6" s="38">
        <f>IF(Q$4&lt;ControlPanel!$D$59,VLOOKUP("Referenz",$B$7:$AE$25,Q$4-$F$4+5,FALSE),VLOOKUP($B$6,$B$7:$AE$25,Q$4-$F$4+5,FALSE))</f>
        <v>10.8</v>
      </c>
      <c r="R6" s="38">
        <f>IF(R$4&lt;ControlPanel!$D$59,VLOOKUP("Referenz",$B$7:$AE$25,R$4-$F$4+5,FALSE),VLOOKUP($B$6,$B$7:$AE$25,R$4-$F$4+5,FALSE))</f>
        <v>3.25</v>
      </c>
      <c r="S6" s="38">
        <f>IF(S$4&lt;ControlPanel!$D$59,VLOOKUP("Referenz",$B$7:$AE$25,S$4-$F$4+5,FALSE),VLOOKUP($B$6,$B$7:$AE$25,S$4-$F$4+5,FALSE))</f>
        <v>3.1</v>
      </c>
      <c r="T6" s="38">
        <f>IF(T$4&lt;ControlPanel!$D$59,VLOOKUP("Referenz",$B$7:$AE$25,T$4-$F$4+5,FALSE),VLOOKUP($B$6,$B$7:$AE$25,T$4-$F$4+5,FALSE))</f>
        <v>4.8</v>
      </c>
      <c r="U6" s="38">
        <f>IF(U$4&lt;ControlPanel!$D$59,VLOOKUP("Referenz",$B$7:$AE$25,U$4-$F$4+5,FALSE),VLOOKUP($B$6,$B$7:$AE$25,U$4-$F$4+5,FALSE))</f>
        <v>6.5</v>
      </c>
      <c r="V6" s="38">
        <f>IF(V$4&lt;ControlPanel!$D$59,VLOOKUP("Referenz",$B$7:$AE$25,V$4-$F$4+5,FALSE),VLOOKUP($B$6,$B$7:$AE$25,V$4-$F$4+5,FALSE))</f>
        <v>6</v>
      </c>
      <c r="W6" s="38">
        <f>IF(W$4&lt;ControlPanel!$D$59,VLOOKUP("Referenz",$B$7:$AE$25,W$4-$F$4+5,FALSE),VLOOKUP($B$6,$B$7:$AE$25,W$4-$F$4+5,FALSE))</f>
        <v>6</v>
      </c>
      <c r="X6" s="38">
        <f>IF(X$4&lt;ControlPanel!$D$59,VLOOKUP("Referenz",$B$7:$AE$25,X$4-$F$4+5,FALSE),VLOOKUP($B$6,$B$7:$AE$25,X$4-$F$4+5,FALSE))</f>
        <v>6</v>
      </c>
      <c r="Y6" s="38">
        <f>IF(Y$4&lt;ControlPanel!$D$59,VLOOKUP("Referenz",$B$7:$AE$25,Y$4-$F$4+5,FALSE),VLOOKUP($B$6,$B$7:$AE$25,Y$4-$F$4+5,FALSE))</f>
        <v>6</v>
      </c>
      <c r="Z6" s="38">
        <f>IF(Z$4&lt;ControlPanel!$D$59,VLOOKUP("Referenz",$B$7:$AE$25,Z$4-$F$4+5,FALSE),VLOOKUP($B$6,$B$7:$AE$25,Z$4-$F$4+5,FALSE))</f>
        <v>6</v>
      </c>
      <c r="AA6" s="38">
        <f>IF(AA$4&lt;ControlPanel!$D$59,VLOOKUP("Referenz",$B$7:$AE$25,AA$4-$F$4+5,FALSE),VLOOKUP($B$6,$B$7:$AE$25,AA$4-$F$4+5,FALSE))</f>
        <v>6</v>
      </c>
      <c r="AB6" s="38">
        <f>IF(AB$4&lt;ControlPanel!$D$59,VLOOKUP("Referenz",$B$7:$AE$25,AB$4-$F$4+5,FALSE),VLOOKUP($B$6,$B$7:$AE$25,AB$4-$F$4+5,FALSE))</f>
        <v>6</v>
      </c>
      <c r="AC6" s="38">
        <f>IF(AC$4&lt;ControlPanel!$D$59,VLOOKUP("Referenz",$B$7:$AE$25,AC$4-$F$4+5,FALSE),VLOOKUP($B$6,$B$7:$AE$25,AC$4-$F$4+5,FALSE))</f>
        <v>6</v>
      </c>
      <c r="AD6" s="38">
        <f>IF(AD$4&lt;ControlPanel!$D$59,VLOOKUP("Referenz",$B$7:$AE$25,AD$4-$F$4+5,FALSE),VLOOKUP($B$6,$B$7:$AE$25,AD$4-$F$4+5,FALSE))</f>
        <v>6</v>
      </c>
      <c r="AE6" s="38">
        <f>IF(AE$4&lt;ControlPanel!$D$59,VLOOKUP("Referenz",$B$7:$AE$25,AE$4-$F$4+5,FALSE),VLOOKUP($B$6,$B$7:$AE$25,AE$4-$F$4+5,FALSE))</f>
        <v>6</v>
      </c>
    </row>
    <row r="7" spans="1:31" ht="51">
      <c r="B7" s="16" t="s">
        <v>138</v>
      </c>
      <c r="C7" s="12" t="s">
        <v>965</v>
      </c>
      <c r="D7" s="496" t="s">
        <v>1047</v>
      </c>
      <c r="E7" s="547" t="s">
        <v>1048</v>
      </c>
      <c r="F7" s="232"/>
      <c r="G7" s="232"/>
      <c r="H7" s="232"/>
      <c r="I7" s="232"/>
      <c r="J7" s="232"/>
      <c r="K7" s="232"/>
      <c r="L7" s="232"/>
      <c r="M7" s="232"/>
      <c r="N7" s="232"/>
      <c r="O7" s="232"/>
      <c r="P7" s="232"/>
      <c r="Q7" s="232">
        <v>10.8</v>
      </c>
      <c r="R7" s="232">
        <f>3.25</f>
        <v>3.25</v>
      </c>
      <c r="S7" s="232">
        <v>3.1</v>
      </c>
      <c r="T7" s="232">
        <v>4.8</v>
      </c>
      <c r="U7" s="232">
        <v>6.5</v>
      </c>
      <c r="V7" s="232">
        <v>6</v>
      </c>
      <c r="W7" s="232">
        <v>6</v>
      </c>
      <c r="X7" s="232">
        <v>6</v>
      </c>
      <c r="Y7" s="232">
        <v>6</v>
      </c>
      <c r="Z7" s="232">
        <v>6</v>
      </c>
      <c r="AA7" s="232">
        <v>6</v>
      </c>
      <c r="AB7" s="232">
        <v>6</v>
      </c>
      <c r="AC7" s="232">
        <v>6</v>
      </c>
      <c r="AD7" s="232">
        <v>6</v>
      </c>
      <c r="AE7" s="232">
        <v>6</v>
      </c>
    </row>
    <row r="8" spans="1:31" s="470" customFormat="1" ht="15" customHeight="1">
      <c r="A8" s="9"/>
      <c r="B8" s="174" t="s">
        <v>865</v>
      </c>
      <c r="C8" s="12" t="s">
        <v>65</v>
      </c>
      <c r="D8" s="174" t="s">
        <v>865</v>
      </c>
      <c r="E8" s="547" t="s">
        <v>873</v>
      </c>
      <c r="F8" s="232"/>
      <c r="G8" s="232"/>
      <c r="H8" s="232"/>
      <c r="I8" s="232"/>
      <c r="J8" s="232"/>
      <c r="K8" s="232"/>
      <c r="L8" s="232"/>
      <c r="M8" s="232"/>
      <c r="N8" s="232"/>
      <c r="O8" s="232"/>
      <c r="P8" s="232"/>
      <c r="Q8" s="232"/>
      <c r="R8" s="232">
        <v>10</v>
      </c>
      <c r="S8" s="232">
        <v>10</v>
      </c>
      <c r="T8" s="232">
        <v>10</v>
      </c>
      <c r="U8" s="232">
        <v>10</v>
      </c>
      <c r="V8" s="232">
        <v>10</v>
      </c>
      <c r="W8" s="232">
        <v>10</v>
      </c>
      <c r="X8" s="232">
        <v>10</v>
      </c>
      <c r="Y8" s="232">
        <v>10</v>
      </c>
      <c r="Z8" s="232">
        <v>10</v>
      </c>
      <c r="AA8" s="232">
        <v>10</v>
      </c>
      <c r="AB8" s="232">
        <v>10</v>
      </c>
      <c r="AC8" s="232">
        <v>10</v>
      </c>
      <c r="AD8" s="232">
        <v>10</v>
      </c>
      <c r="AE8" s="232">
        <v>10</v>
      </c>
    </row>
    <row r="9" spans="1:31" s="470" customFormat="1" ht="15" customHeight="1">
      <c r="A9" s="9"/>
      <c r="B9" s="174" t="s">
        <v>866</v>
      </c>
      <c r="C9" s="12" t="s">
        <v>65</v>
      </c>
      <c r="D9" s="174" t="s">
        <v>866</v>
      </c>
      <c r="E9" s="547" t="s">
        <v>874</v>
      </c>
      <c r="F9" s="328"/>
      <c r="G9" s="328"/>
      <c r="H9" s="328"/>
      <c r="I9" s="328"/>
      <c r="J9" s="328"/>
      <c r="K9" s="328"/>
      <c r="L9" s="328"/>
      <c r="M9" s="328"/>
      <c r="N9" s="328"/>
      <c r="O9" s="328"/>
      <c r="P9" s="328"/>
      <c r="Q9" s="328"/>
      <c r="R9" s="328">
        <v>5</v>
      </c>
      <c r="S9" s="328">
        <v>5</v>
      </c>
      <c r="T9" s="328">
        <v>5</v>
      </c>
      <c r="U9" s="328">
        <v>5</v>
      </c>
      <c r="V9" s="328">
        <v>5</v>
      </c>
      <c r="W9" s="328">
        <v>5</v>
      </c>
      <c r="X9" s="328">
        <v>5</v>
      </c>
      <c r="Y9" s="328">
        <v>5</v>
      </c>
      <c r="Z9" s="328">
        <v>5</v>
      </c>
      <c r="AA9" s="328">
        <v>5</v>
      </c>
      <c r="AB9" s="328">
        <v>5</v>
      </c>
      <c r="AC9" s="328">
        <v>5</v>
      </c>
      <c r="AD9" s="328">
        <v>5</v>
      </c>
      <c r="AE9" s="328">
        <v>5</v>
      </c>
    </row>
    <row r="10" spans="1:31" s="470" customFormat="1" ht="15" customHeight="1">
      <c r="A10" s="9"/>
      <c r="B10" s="174" t="s">
        <v>558</v>
      </c>
      <c r="C10" s="12" t="s">
        <v>65</v>
      </c>
      <c r="D10" s="174" t="s">
        <v>558</v>
      </c>
      <c r="E10" s="547" t="s">
        <v>875</v>
      </c>
      <c r="F10" s="328"/>
      <c r="G10" s="328"/>
      <c r="H10" s="328"/>
      <c r="I10" s="328"/>
      <c r="J10" s="328"/>
      <c r="K10" s="328"/>
      <c r="L10" s="328"/>
      <c r="M10" s="328"/>
      <c r="N10" s="328"/>
      <c r="O10" s="328"/>
      <c r="P10" s="328"/>
      <c r="Q10" s="328"/>
      <c r="R10" s="328">
        <v>0</v>
      </c>
      <c r="S10" s="328">
        <v>0</v>
      </c>
      <c r="T10" s="328">
        <v>0</v>
      </c>
      <c r="U10" s="328">
        <v>0</v>
      </c>
      <c r="V10" s="328">
        <v>0</v>
      </c>
      <c r="W10" s="328">
        <v>0</v>
      </c>
      <c r="X10" s="328">
        <v>0</v>
      </c>
      <c r="Y10" s="328">
        <v>0</v>
      </c>
      <c r="Z10" s="328">
        <v>0</v>
      </c>
      <c r="AA10" s="328">
        <v>0</v>
      </c>
      <c r="AB10" s="328">
        <v>0</v>
      </c>
      <c r="AC10" s="328">
        <v>0</v>
      </c>
      <c r="AD10" s="328">
        <v>0</v>
      </c>
      <c r="AE10" s="328">
        <v>0</v>
      </c>
    </row>
    <row r="11" spans="1:31" s="470" customFormat="1" ht="38.25">
      <c r="B11" s="183" t="s">
        <v>876</v>
      </c>
      <c r="C11" s="168" t="s">
        <v>845</v>
      </c>
      <c r="D11" s="169" t="s">
        <v>877</v>
      </c>
      <c r="E11" s="547" t="s">
        <v>889</v>
      </c>
      <c r="F11" s="187"/>
      <c r="G11" s="187"/>
      <c r="H11" s="187"/>
      <c r="I11" s="187"/>
      <c r="J11" s="187"/>
      <c r="K11" s="187"/>
      <c r="L11" s="187"/>
      <c r="M11" s="187"/>
      <c r="N11" s="187"/>
      <c r="O11" s="187"/>
      <c r="P11" s="187"/>
      <c r="Q11" s="232"/>
      <c r="R11" s="232">
        <v>0</v>
      </c>
      <c r="S11" s="232">
        <v>5</v>
      </c>
      <c r="T11" s="232">
        <v>5</v>
      </c>
      <c r="U11" s="232">
        <v>5</v>
      </c>
      <c r="V11" s="232">
        <v>5</v>
      </c>
      <c r="W11" s="232">
        <v>5</v>
      </c>
      <c r="X11" s="232">
        <v>5</v>
      </c>
      <c r="Y11" s="232">
        <v>5</v>
      </c>
      <c r="Z11" s="232">
        <v>5</v>
      </c>
      <c r="AA11" s="232">
        <v>5</v>
      </c>
      <c r="AB11" s="232">
        <v>5</v>
      </c>
      <c r="AC11" s="232">
        <v>5</v>
      </c>
      <c r="AD11" s="232">
        <v>5</v>
      </c>
      <c r="AE11" s="232">
        <v>5</v>
      </c>
    </row>
    <row r="12" spans="1:31" s="470" customFormat="1" ht="15" customHeight="1">
      <c r="B12" s="183" t="s">
        <v>976</v>
      </c>
      <c r="C12" s="168" t="s">
        <v>965</v>
      </c>
      <c r="D12" s="169" t="s">
        <v>977</v>
      </c>
      <c r="E12" s="545" t="s">
        <v>978</v>
      </c>
      <c r="F12" s="187"/>
      <c r="G12" s="187"/>
      <c r="H12" s="187"/>
      <c r="I12" s="187"/>
      <c r="J12" s="187"/>
      <c r="K12" s="187"/>
      <c r="L12" s="187"/>
      <c r="M12" s="187"/>
      <c r="N12" s="187"/>
      <c r="O12" s="187"/>
      <c r="P12" s="187"/>
      <c r="Q12" s="187"/>
      <c r="R12" s="187">
        <v>9.3743700939227157</v>
      </c>
      <c r="S12" s="187">
        <v>10.689977442417019</v>
      </c>
      <c r="T12" s="187">
        <v>13.527389501374284</v>
      </c>
      <c r="U12" s="187">
        <v>16.210025217354673</v>
      </c>
      <c r="V12" s="187">
        <v>17.472688300799987</v>
      </c>
      <c r="W12" s="187">
        <v>16.686000093238931</v>
      </c>
      <c r="X12" s="187">
        <v>15.894336460975669</v>
      </c>
      <c r="Y12" s="187">
        <v>15.098774458786215</v>
      </c>
      <c r="Z12" s="187">
        <v>14.376406302478431</v>
      </c>
      <c r="AA12" s="187"/>
      <c r="AB12" s="187"/>
      <c r="AC12" s="187"/>
      <c r="AD12" s="187"/>
      <c r="AE12" s="187"/>
    </row>
    <row r="13" spans="1:31" s="470" customFormat="1" ht="15" customHeight="1">
      <c r="B13" s="183" t="s">
        <v>979</v>
      </c>
      <c r="C13" s="168" t="s">
        <v>965</v>
      </c>
      <c r="D13" s="169"/>
      <c r="E13" s="540"/>
      <c r="F13" s="187"/>
      <c r="G13" s="187"/>
      <c r="H13" s="187"/>
      <c r="I13" s="187"/>
      <c r="J13" s="187"/>
      <c r="K13" s="187"/>
      <c r="L13" s="187"/>
      <c r="M13" s="187"/>
      <c r="N13" s="187"/>
      <c r="O13" s="187"/>
      <c r="P13" s="187"/>
      <c r="Q13" s="232"/>
      <c r="R13" s="187">
        <v>5</v>
      </c>
      <c r="S13" s="187">
        <v>18.698532758429174</v>
      </c>
      <c r="T13" s="187">
        <v>18.210519335165714</v>
      </c>
      <c r="U13" s="187">
        <v>23.815491225243161</v>
      </c>
      <c r="V13" s="187">
        <v>23.296917734399983</v>
      </c>
      <c r="W13" s="187">
        <v>22.248000124318576</v>
      </c>
      <c r="X13" s="187">
        <v>21.192448614634227</v>
      </c>
      <c r="Y13" s="187">
        <v>20.131699278381621</v>
      </c>
      <c r="Z13" s="187">
        <v>19.168541736637916</v>
      </c>
      <c r="AA13" s="187"/>
      <c r="AB13" s="187"/>
      <c r="AC13" s="187"/>
      <c r="AD13" s="187"/>
      <c r="AE13" s="187"/>
    </row>
    <row r="14" spans="1:31" s="470" customFormat="1" ht="15" customHeight="1">
      <c r="B14" s="183" t="s">
        <v>980</v>
      </c>
      <c r="C14" s="168" t="s">
        <v>965</v>
      </c>
      <c r="D14" s="169"/>
      <c r="E14" s="540"/>
      <c r="F14" s="187"/>
      <c r="G14" s="187"/>
      <c r="H14" s="187"/>
      <c r="I14" s="187"/>
      <c r="J14" s="187"/>
      <c r="K14" s="187"/>
      <c r="L14" s="187"/>
      <c r="M14" s="187"/>
      <c r="N14" s="187"/>
      <c r="O14" s="187"/>
      <c r="P14" s="187"/>
      <c r="Q14" s="232"/>
      <c r="R14" s="187">
        <v>5</v>
      </c>
      <c r="S14" s="232">
        <v>18.698532758429174</v>
      </c>
      <c r="T14" s="187">
        <v>24.45469244688762</v>
      </c>
      <c r="U14" s="187">
        <v>29.899864031553953</v>
      </c>
      <c r="V14" s="187">
        <v>32.033261884799977</v>
      </c>
      <c r="W14" s="187">
        <v>33.372000186477862</v>
      </c>
      <c r="X14" s="187">
        <v>34.437728998780621</v>
      </c>
      <c r="Y14" s="187">
        <v>35.230473737167834</v>
      </c>
      <c r="Z14" s="187">
        <v>35.94101575619608</v>
      </c>
      <c r="AA14" s="187"/>
      <c r="AB14" s="187"/>
      <c r="AC14" s="187"/>
      <c r="AD14" s="187"/>
      <c r="AE14" s="187"/>
    </row>
    <row r="15" spans="1:31" s="470" customFormat="1" ht="15" customHeight="1">
      <c r="B15" s="183"/>
      <c r="C15" s="186"/>
      <c r="D15" s="169"/>
      <c r="E15" s="540"/>
      <c r="F15" s="187"/>
      <c r="G15" s="187"/>
      <c r="H15" s="187"/>
      <c r="I15" s="187"/>
      <c r="J15" s="187"/>
      <c r="K15" s="187"/>
      <c r="L15" s="187"/>
      <c r="M15" s="187"/>
      <c r="N15" s="187"/>
      <c r="O15" s="187"/>
      <c r="P15" s="187"/>
      <c r="Q15" s="232"/>
      <c r="R15" s="187"/>
      <c r="S15" s="187"/>
      <c r="T15" s="187"/>
      <c r="U15" s="187"/>
      <c r="V15" s="187"/>
      <c r="W15" s="187"/>
      <c r="X15" s="187"/>
      <c r="Y15" s="187"/>
      <c r="Z15" s="187"/>
      <c r="AA15" s="187"/>
      <c r="AB15" s="187"/>
      <c r="AC15" s="187"/>
      <c r="AD15" s="187"/>
      <c r="AE15" s="187"/>
    </row>
    <row r="16" spans="1:31" s="470" customFormat="1" ht="15" customHeight="1">
      <c r="B16" s="183"/>
      <c r="C16" s="186"/>
      <c r="D16" s="169"/>
      <c r="E16" s="540"/>
      <c r="F16" s="187"/>
      <c r="G16" s="187"/>
      <c r="H16" s="187"/>
      <c r="I16" s="187"/>
      <c r="J16" s="187"/>
      <c r="K16" s="187"/>
      <c r="L16" s="187"/>
      <c r="M16" s="187"/>
      <c r="N16" s="187"/>
      <c r="O16" s="187"/>
      <c r="P16" s="187"/>
      <c r="Q16" s="232"/>
      <c r="R16" s="187"/>
      <c r="S16" s="187"/>
      <c r="T16" s="187"/>
      <c r="U16" s="187"/>
      <c r="V16" s="187"/>
      <c r="W16" s="187"/>
      <c r="X16" s="187"/>
      <c r="Y16" s="187"/>
      <c r="Z16" s="187"/>
      <c r="AA16" s="187"/>
      <c r="AB16" s="187"/>
      <c r="AC16" s="187"/>
      <c r="AD16" s="187"/>
      <c r="AE16" s="187"/>
    </row>
    <row r="17" spans="2:31" s="470" customFormat="1" ht="15" customHeight="1">
      <c r="B17" s="183"/>
      <c r="C17" s="186"/>
      <c r="D17" s="169"/>
      <c r="E17" s="540"/>
      <c r="F17" s="187"/>
      <c r="G17" s="187"/>
      <c r="H17" s="187"/>
      <c r="I17" s="187"/>
      <c r="J17" s="187"/>
      <c r="K17" s="187"/>
      <c r="L17" s="187"/>
      <c r="M17" s="187"/>
      <c r="N17" s="187"/>
      <c r="O17" s="187"/>
      <c r="P17" s="187"/>
      <c r="Q17" s="232"/>
      <c r="R17" s="187"/>
      <c r="S17" s="187"/>
      <c r="T17" s="187"/>
      <c r="U17" s="187"/>
      <c r="V17" s="187"/>
      <c r="W17" s="187"/>
      <c r="X17" s="187"/>
      <c r="Y17" s="187"/>
      <c r="Z17" s="187"/>
      <c r="AA17" s="187"/>
      <c r="AB17" s="187"/>
      <c r="AC17" s="187"/>
      <c r="AD17" s="187"/>
      <c r="AE17" s="187"/>
    </row>
    <row r="18" spans="2:31" s="470" customFormat="1" ht="15" customHeight="1">
      <c r="B18" s="183"/>
      <c r="C18" s="186"/>
      <c r="D18" s="169"/>
      <c r="E18" s="540"/>
      <c r="F18" s="187"/>
      <c r="G18" s="187"/>
      <c r="H18" s="187"/>
      <c r="I18" s="187"/>
      <c r="J18" s="187"/>
      <c r="K18" s="187"/>
      <c r="L18" s="187"/>
      <c r="M18" s="187"/>
      <c r="N18" s="187"/>
      <c r="O18" s="187"/>
      <c r="P18" s="187"/>
      <c r="Q18" s="232"/>
      <c r="R18" s="187"/>
      <c r="S18" s="187"/>
      <c r="T18" s="187"/>
      <c r="U18" s="187"/>
      <c r="V18" s="187"/>
      <c r="W18" s="187"/>
      <c r="X18" s="187"/>
      <c r="Y18" s="187"/>
      <c r="Z18" s="187"/>
      <c r="AA18" s="187"/>
      <c r="AB18" s="187"/>
      <c r="AC18" s="187"/>
      <c r="AD18" s="187"/>
      <c r="AE18" s="187"/>
    </row>
    <row r="19" spans="2:31" s="470" customFormat="1" ht="15" customHeight="1">
      <c r="B19" s="183"/>
      <c r="C19" s="186"/>
      <c r="D19" s="169"/>
      <c r="E19" s="540"/>
      <c r="F19" s="187"/>
      <c r="G19" s="187"/>
      <c r="H19" s="187"/>
      <c r="I19" s="187"/>
      <c r="J19" s="187"/>
      <c r="K19" s="187"/>
      <c r="L19" s="187"/>
      <c r="M19" s="187"/>
      <c r="N19" s="187"/>
      <c r="O19" s="187"/>
      <c r="P19" s="187"/>
      <c r="Q19" s="232"/>
      <c r="R19" s="187"/>
      <c r="S19" s="187"/>
      <c r="T19" s="187"/>
      <c r="U19" s="187"/>
      <c r="V19" s="187"/>
      <c r="W19" s="187"/>
      <c r="X19" s="187"/>
      <c r="Y19" s="187"/>
      <c r="Z19" s="187"/>
      <c r="AA19" s="187"/>
      <c r="AB19" s="187"/>
      <c r="AC19" s="187"/>
      <c r="AD19" s="187"/>
      <c r="AE19" s="187"/>
    </row>
    <row r="20" spans="2:31" s="470" customFormat="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s="470" customFormat="1" ht="15" customHeight="1">
      <c r="B21" s="183"/>
      <c r="C21" s="186"/>
      <c r="D21" s="169"/>
      <c r="E21" s="540"/>
      <c r="F21" s="187"/>
      <c r="G21" s="187"/>
      <c r="H21" s="187"/>
      <c r="I21" s="187"/>
      <c r="J21" s="187"/>
      <c r="K21" s="187"/>
      <c r="L21" s="187"/>
      <c r="M21" s="187"/>
      <c r="N21" s="187"/>
      <c r="O21" s="187"/>
      <c r="P21" s="187"/>
      <c r="Q21" s="232"/>
      <c r="R21" s="187"/>
      <c r="S21" s="187"/>
      <c r="T21" s="187"/>
      <c r="U21" s="187"/>
      <c r="V21" s="187"/>
      <c r="W21" s="187"/>
      <c r="X21" s="187"/>
      <c r="Y21" s="187"/>
      <c r="Z21" s="187"/>
      <c r="AA21" s="187"/>
      <c r="AB21" s="187"/>
      <c r="AC21" s="187"/>
      <c r="AD21" s="187"/>
      <c r="AE21" s="187"/>
    </row>
    <row r="22" spans="2:31" s="470" customFormat="1" ht="15" customHeight="1">
      <c r="B22" s="183"/>
      <c r="C22" s="186"/>
      <c r="D22" s="169"/>
      <c r="E22" s="540"/>
      <c r="F22" s="187"/>
      <c r="G22" s="187"/>
      <c r="H22" s="187"/>
      <c r="I22" s="187"/>
      <c r="J22" s="187"/>
      <c r="K22" s="187"/>
      <c r="L22" s="187"/>
      <c r="M22" s="187"/>
      <c r="N22" s="187"/>
      <c r="O22" s="187"/>
      <c r="P22" s="187"/>
      <c r="Q22" s="232"/>
      <c r="R22" s="187"/>
      <c r="S22" s="187"/>
      <c r="T22" s="187"/>
      <c r="U22" s="187"/>
      <c r="V22" s="187"/>
      <c r="W22" s="187"/>
      <c r="X22" s="187"/>
      <c r="Y22" s="187"/>
      <c r="Z22" s="187"/>
      <c r="AA22" s="187"/>
      <c r="AB22" s="187"/>
      <c r="AC22" s="187"/>
      <c r="AD22" s="187"/>
      <c r="AE22" s="187"/>
    </row>
    <row r="23" spans="2:31" s="470" customFormat="1" ht="15" customHeight="1">
      <c r="B23" s="183"/>
      <c r="C23" s="186"/>
      <c r="D23" s="169"/>
      <c r="E23" s="540"/>
      <c r="F23" s="187"/>
      <c r="G23" s="187"/>
      <c r="H23" s="187"/>
      <c r="I23" s="187"/>
      <c r="J23" s="187"/>
      <c r="K23" s="187"/>
      <c r="L23" s="187"/>
      <c r="M23" s="187"/>
      <c r="N23" s="187"/>
      <c r="O23" s="187"/>
      <c r="P23" s="187"/>
      <c r="Q23" s="232"/>
      <c r="R23" s="187"/>
      <c r="S23" s="187"/>
      <c r="T23" s="187"/>
      <c r="U23" s="187"/>
      <c r="V23" s="187"/>
      <c r="W23" s="187"/>
      <c r="X23" s="187"/>
      <c r="Y23" s="187"/>
      <c r="Z23" s="187"/>
      <c r="AA23" s="187"/>
      <c r="AB23" s="187"/>
      <c r="AC23" s="187"/>
      <c r="AD23" s="187"/>
      <c r="AE23" s="187"/>
    </row>
    <row r="24" spans="2:31" s="470" customFormat="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s="470" customFormat="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tx20ew4LdR3/f2p5OpecJy2bt36wJT8I2QwQGW2ZJkqxB+t/f3lzq0D1xXEwVTlMvXYaFPuLXQCgfypi3TMyKw==" saltValue="O1fLDm8amhkr/ZTcqvfr3w==" spinCount="100000" sheet="1" objects="1" scenarios="1"/>
  <hyperlinks>
    <hyperlink ref="A1" location="'Start-Experte'!A1" display="zurück" xr:uid="{8607C65C-476C-4EF4-8F3C-E70FE2CE5E83}"/>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674B4359-F706-4288-99AB-2475F05544D6}">
            <xm:f>ControlPanel!$D$59-1</xm:f>
            <x14:dxf>
              <font>
                <color rgb="FF9C6500"/>
              </font>
              <fill>
                <patternFill>
                  <fgColor indexed="64"/>
                  <bgColor rgb="FFFFEB9C"/>
                </patternFill>
              </fill>
            </x14:dxf>
          </x14:cfRule>
          <x14:cfRule type="cellIs" priority="2" operator="lessThan" id="{5717BFAE-9695-426A-9A59-AD7473FEE85A}">
            <xm:f>ControlPanel!$D$59</xm:f>
            <x14:dxf>
              <font>
                <color rgb="FF006100"/>
              </font>
              <fill>
                <patternFill>
                  <fgColor indexed="64"/>
                  <bgColor rgb="FFC6EFCE"/>
                </patternFill>
              </fill>
            </x14:dxf>
          </x14:cfRule>
          <xm:sqref>F4:AE4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3">
    <tabColor theme="9" tint="-0.499984740745262"/>
  </sheetPr>
  <dimension ref="A1:AF917"/>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183</v>
      </c>
      <c r="B1" s="62" t="s">
        <v>574</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c r="AF5" s="330" t="s">
        <v>35</v>
      </c>
    </row>
    <row r="6" spans="1:32" ht="15" customHeight="1" thickBot="1">
      <c r="B6" s="172" t="s">
        <v>25</v>
      </c>
      <c r="C6" s="181" t="s">
        <v>77</v>
      </c>
      <c r="D6" s="15" t="s">
        <v>845</v>
      </c>
      <c r="E6" s="15" t="s">
        <v>57</v>
      </c>
      <c r="F6" s="537"/>
      <c r="G6" s="14">
        <v>5.444</v>
      </c>
      <c r="H6" s="14">
        <v>6.0667459999999993</v>
      </c>
      <c r="I6" s="14">
        <v>5.8298559999999995</v>
      </c>
      <c r="J6" s="14">
        <v>6.2952879999999993</v>
      </c>
      <c r="K6" s="14">
        <v>6.154331</v>
      </c>
      <c r="L6" s="14">
        <v>6.0918529999999995</v>
      </c>
      <c r="M6" s="14">
        <v>6.2462140000000002</v>
      </c>
      <c r="N6" s="14">
        <v>6.2808169999999999</v>
      </c>
      <c r="O6" s="14">
        <v>5.9237959999999994</v>
      </c>
      <c r="P6" s="14">
        <v>6.5145869999999997</v>
      </c>
      <c r="Q6" s="14">
        <v>6.250337</v>
      </c>
      <c r="R6" s="14">
        <v>6.378431</v>
      </c>
      <c r="S6" s="14">
        <v>6.1744319999999995</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77</v>
      </c>
      <c r="D7" s="15" t="s">
        <v>845</v>
      </c>
      <c r="E7" s="15" t="s">
        <v>57</v>
      </c>
      <c r="F7" s="537"/>
      <c r="G7" s="14">
        <v>1.835</v>
      </c>
      <c r="H7" s="14">
        <v>1.993012</v>
      </c>
      <c r="I7" s="14">
        <v>1.667049</v>
      </c>
      <c r="J7" s="14">
        <v>1.9069669999999999</v>
      </c>
      <c r="K7" s="14">
        <v>1.824149</v>
      </c>
      <c r="L7" s="14">
        <v>1.6785699999999999</v>
      </c>
      <c r="M7" s="14">
        <v>1.607626</v>
      </c>
      <c r="N7" s="14">
        <v>1.3880729999999999</v>
      </c>
      <c r="O7" s="14">
        <v>1.6777449999999998</v>
      </c>
      <c r="P7" s="14">
        <v>1.7078559999999998</v>
      </c>
      <c r="Q7" s="14">
        <v>1.4397339999999998</v>
      </c>
      <c r="R7" s="14">
        <v>1.2507809999999999</v>
      </c>
      <c r="S7" s="14">
        <v>1.40089</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77</v>
      </c>
      <c r="D8" s="15" t="s">
        <v>845</v>
      </c>
      <c r="E8" s="15" t="s">
        <v>57</v>
      </c>
      <c r="F8" s="537"/>
      <c r="G8" s="38">
        <v>26.262</v>
      </c>
      <c r="H8" s="38">
        <v>27.776935999999999</v>
      </c>
      <c r="I8" s="38">
        <v>30.355590999999997</v>
      </c>
      <c r="J8" s="38">
        <v>33.165135999999997</v>
      </c>
      <c r="K8" s="38">
        <v>34.944730999999997</v>
      </c>
      <c r="L8" s="38">
        <v>38.357603999999995</v>
      </c>
      <c r="M8" s="38">
        <v>40.238844999999998</v>
      </c>
      <c r="N8" s="38">
        <v>40.770392999999999</v>
      </c>
      <c r="O8" s="38">
        <v>41.554488999999997</v>
      </c>
      <c r="P8" s="38">
        <v>41.351619999999997</v>
      </c>
      <c r="Q8" s="38">
        <v>41.746690000000001</v>
      </c>
      <c r="R8" s="38">
        <v>40.206693999999999</v>
      </c>
      <c r="S8" s="38">
        <v>37.78369</v>
      </c>
      <c r="T8" s="38">
        <v>0</v>
      </c>
      <c r="U8" s="38">
        <v>0</v>
      </c>
      <c r="V8" s="38">
        <v>0</v>
      </c>
      <c r="W8" s="38">
        <v>0</v>
      </c>
      <c r="X8" s="38">
        <v>0</v>
      </c>
      <c r="Y8" s="38">
        <v>0</v>
      </c>
      <c r="Z8" s="38">
        <v>0</v>
      </c>
      <c r="AA8" s="38">
        <v>0</v>
      </c>
      <c r="AB8" s="38">
        <v>0</v>
      </c>
      <c r="AC8" s="38">
        <v>0</v>
      </c>
      <c r="AD8" s="38">
        <v>0</v>
      </c>
      <c r="AE8" s="38">
        <v>0</v>
      </c>
      <c r="AF8" s="38">
        <v>0</v>
      </c>
    </row>
    <row r="9" spans="1:32" ht="15" customHeight="1" thickBot="1">
      <c r="B9" s="171" t="s">
        <v>12</v>
      </c>
      <c r="C9" s="181" t="s">
        <v>77</v>
      </c>
      <c r="D9" s="15" t="s">
        <v>845</v>
      </c>
      <c r="E9" s="15" t="s">
        <v>57</v>
      </c>
      <c r="F9" s="537"/>
      <c r="G9" s="14">
        <v>3.5999999999999997E-2</v>
      </c>
      <c r="H9" s="14">
        <v>6.1612E-2</v>
      </c>
      <c r="I9" s="14">
        <v>0.10724</v>
      </c>
      <c r="J9" s="14">
        <v>7.6874999999999999E-2</v>
      </c>
      <c r="K9" s="14">
        <v>0.130407</v>
      </c>
      <c r="L9" s="14">
        <v>0.15870499999999998</v>
      </c>
      <c r="M9" s="14">
        <v>0.18035599999999999</v>
      </c>
      <c r="N9" s="14">
        <v>0.189524</v>
      </c>
      <c r="O9" s="14">
        <v>0.25728000000000001</v>
      </c>
      <c r="P9" s="14">
        <v>0.28638599999999997</v>
      </c>
      <c r="Q9" s="14">
        <v>0.214729</v>
      </c>
      <c r="R9" s="14">
        <v>0.26771400000000001</v>
      </c>
      <c r="S9" s="14">
        <v>0.34750999999999999</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77</v>
      </c>
      <c r="D10" s="15" t="s">
        <v>845</v>
      </c>
      <c r="E10" s="15" t="s">
        <v>57</v>
      </c>
      <c r="F10" s="537"/>
      <c r="G10" s="14">
        <v>47.704000000000001</v>
      </c>
      <c r="H10" s="14">
        <v>53.882748999999997</v>
      </c>
      <c r="I10" s="14">
        <v>50.125189999999996</v>
      </c>
      <c r="J10" s="14">
        <v>55.830889999999997</v>
      </c>
      <c r="K10" s="14">
        <v>62.190390000000001</v>
      </c>
      <c r="L10" s="14">
        <v>66.872687999999997</v>
      </c>
      <c r="M10" s="14">
        <v>75.948886000000002</v>
      </c>
      <c r="N10" s="14">
        <v>82.001902999999999</v>
      </c>
      <c r="O10" s="14">
        <v>92.724075999999997</v>
      </c>
      <c r="P10" s="14">
        <v>98.799182999999999</v>
      </c>
      <c r="Q10" s="14">
        <v>102.08820399999999</v>
      </c>
      <c r="R10" s="14">
        <v>101.185739</v>
      </c>
      <c r="S10" s="14">
        <v>104.914812</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77</v>
      </c>
      <c r="D11" s="15" t="s">
        <v>845</v>
      </c>
      <c r="E11" s="15" t="s">
        <v>57</v>
      </c>
      <c r="F11" s="537"/>
      <c r="G11" s="14">
        <v>0.65400000000000003</v>
      </c>
      <c r="H11" s="14">
        <v>1.1467909999999999</v>
      </c>
      <c r="I11" s="14">
        <v>1.361415</v>
      </c>
      <c r="J11" s="14">
        <v>2.4940419999999999</v>
      </c>
      <c r="K11" s="14">
        <v>7.397958</v>
      </c>
      <c r="L11" s="14">
        <v>11.231204</v>
      </c>
      <c r="M11" s="14">
        <v>15.379543999999999</v>
      </c>
      <c r="N11" s="14">
        <v>20.033355</v>
      </c>
      <c r="O11" s="14">
        <v>22.564405999999998</v>
      </c>
      <c r="P11" s="14">
        <v>26.466161</v>
      </c>
      <c r="Q11" s="14">
        <v>29.940075999999998</v>
      </c>
      <c r="R11" s="14">
        <v>29.638939999999998</v>
      </c>
      <c r="S11" s="14">
        <v>30.205085999999998</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77</v>
      </c>
      <c r="D12" s="15" t="s">
        <v>845</v>
      </c>
      <c r="E12" s="15" t="s">
        <v>57</v>
      </c>
      <c r="F12" s="537"/>
      <c r="G12" s="14">
        <v>8.2959999999999994</v>
      </c>
      <c r="H12" s="14">
        <v>19.399286999999998</v>
      </c>
      <c r="I12" s="14">
        <v>24.072319</v>
      </c>
      <c r="J12" s="14">
        <v>34.673694999999995</v>
      </c>
      <c r="K12" s="14">
        <v>36.594586999999997</v>
      </c>
      <c r="L12" s="14">
        <v>36.096958000000001</v>
      </c>
      <c r="M12" s="14">
        <v>36.82555</v>
      </c>
      <c r="N12" s="14">
        <v>36.562143999999996</v>
      </c>
      <c r="O12" s="14">
        <v>39.173614999999998</v>
      </c>
      <c r="P12" s="14">
        <v>41.877699</v>
      </c>
      <c r="Q12" s="14">
        <v>43.939245999999997</v>
      </c>
      <c r="R12" s="14">
        <v>49.344335000000001</v>
      </c>
      <c r="S12" s="14">
        <v>58.103859999999997</v>
      </c>
      <c r="T12" s="14">
        <v>0</v>
      </c>
      <c r="U12" s="14">
        <v>0</v>
      </c>
      <c r="V12" s="14">
        <v>0</v>
      </c>
      <c r="W12" s="14">
        <v>0</v>
      </c>
      <c r="X12" s="14">
        <v>0</v>
      </c>
      <c r="Y12" s="14">
        <v>0</v>
      </c>
      <c r="Z12" s="14">
        <v>0</v>
      </c>
      <c r="AA12" s="14">
        <v>0</v>
      </c>
      <c r="AB12" s="14">
        <v>0</v>
      </c>
      <c r="AC12" s="14">
        <v>0</v>
      </c>
      <c r="AD12" s="14">
        <v>0</v>
      </c>
      <c r="AE12" s="14">
        <v>0</v>
      </c>
      <c r="AF12" s="14">
        <v>0</v>
      </c>
    </row>
    <row r="13" spans="1:32" ht="15" customHeight="1">
      <c r="D13" s="9"/>
      <c r="E13" s="9"/>
      <c r="F13" s="9"/>
      <c r="O13" s="557"/>
    </row>
    <row r="14" spans="1:32" ht="15" customHeight="1">
      <c r="D14" s="9"/>
      <c r="E14" s="9"/>
      <c r="F14" s="9"/>
    </row>
    <row r="15" spans="1:32" ht="15" customHeight="1">
      <c r="D15" s="9"/>
      <c r="E15" s="9"/>
      <c r="F15" s="9"/>
    </row>
    <row r="16" spans="1:32" ht="15" customHeight="1">
      <c r="D16" s="9"/>
      <c r="E16" s="9"/>
      <c r="F16" s="9"/>
    </row>
    <row r="17" s="9" customFormat="1" ht="15" customHeight="1"/>
    <row r="18" s="9" customFormat="1" ht="15" customHeight="1"/>
    <row r="19" s="9" customFormat="1" ht="15" customHeight="1"/>
    <row r="20" s="9" customFormat="1" ht="15" customHeight="1"/>
    <row r="21" s="9" customFormat="1" ht="15" customHeight="1"/>
    <row r="22" s="9" customFormat="1" ht="15" customHeight="1"/>
    <row r="23" s="9" customFormat="1" ht="15" customHeight="1"/>
    <row r="24" s="9" customFormat="1" ht="15" customHeight="1"/>
    <row r="25" s="9" customFormat="1" ht="15" customHeight="1"/>
    <row r="26" s="9" customFormat="1" ht="15" customHeight="1"/>
    <row r="27" s="9" customFormat="1" ht="15" customHeight="1"/>
    <row r="28" s="9" customFormat="1" ht="15" customHeight="1"/>
    <row r="29" s="9" customFormat="1" ht="15" customHeight="1"/>
    <row r="30" s="9" customFormat="1" ht="15" customHeight="1"/>
    <row r="31" s="9" customFormat="1" ht="15" customHeight="1"/>
    <row r="32" s="9" customFormat="1" ht="15" customHeight="1"/>
    <row r="33" s="9" customFormat="1" ht="15" customHeight="1"/>
    <row r="34" s="9" customFormat="1" ht="15" customHeight="1"/>
    <row r="35" s="9" customFormat="1" ht="15" customHeight="1"/>
    <row r="36" s="9" customFormat="1" ht="15" customHeight="1"/>
    <row r="37" s="9" customFormat="1" ht="15" customHeight="1"/>
    <row r="38" s="9" customFormat="1" ht="15" customHeight="1"/>
    <row r="39" s="9" customFormat="1" ht="15" customHeight="1"/>
    <row r="40" s="9" customFormat="1" ht="15" customHeight="1"/>
    <row r="41" s="9" customFormat="1" ht="15" customHeight="1"/>
    <row r="42" s="9" customFormat="1" ht="15" customHeight="1"/>
    <row r="43" s="9" customFormat="1" ht="15" customHeight="1"/>
    <row r="44" s="9" customFormat="1" ht="15" customHeight="1"/>
    <row r="45" s="9" customFormat="1" ht="15" customHeight="1"/>
    <row r="46" s="9" customFormat="1" ht="15" customHeight="1"/>
    <row r="47" s="9" customFormat="1" ht="15" customHeight="1"/>
    <row r="48" s="9" customFormat="1" ht="15" customHeight="1"/>
    <row r="49" s="9" customFormat="1" ht="15" customHeight="1"/>
    <row r="50" s="9" customFormat="1" ht="15" customHeight="1"/>
    <row r="51" s="9" customFormat="1" ht="15" customHeight="1"/>
    <row r="52" s="9" customFormat="1" ht="15" customHeight="1"/>
    <row r="53" s="9" customFormat="1" ht="15" customHeight="1"/>
    <row r="54" s="9" customFormat="1" ht="15" customHeight="1"/>
    <row r="55" s="9" customFormat="1" ht="15" customHeight="1"/>
    <row r="56" s="9" customFormat="1" ht="15" customHeight="1"/>
    <row r="57" s="9" customFormat="1" ht="15" customHeight="1"/>
    <row r="58" s="9" customFormat="1" ht="15" customHeight="1"/>
    <row r="59" s="9" customFormat="1" ht="15" customHeight="1"/>
    <row r="60" s="9" customFormat="1" ht="15" customHeight="1"/>
    <row r="61" s="9" customFormat="1" ht="15" customHeight="1"/>
    <row r="62" s="9" customFormat="1" ht="15" customHeight="1"/>
    <row r="63" s="9" customFormat="1" ht="15" customHeight="1"/>
    <row r="64" s="9" customFormat="1" ht="15" customHeight="1"/>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s="9" customFormat="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9" customFormat="1" ht="15" customHeight="1"/>
    <row r="194" s="9" customFormat="1" ht="15" customHeight="1"/>
    <row r="195" s="9" customFormat="1" ht="15" customHeight="1"/>
    <row r="196" s="9" customFormat="1" ht="15" customHeight="1"/>
    <row r="197" s="9" customFormat="1" ht="15" customHeight="1"/>
    <row r="198" s="9" customFormat="1" ht="15" customHeight="1"/>
    <row r="199" s="9" customFormat="1" ht="15" customHeight="1"/>
    <row r="200" s="9" customFormat="1" ht="15" customHeight="1"/>
    <row r="201" s="9" customFormat="1" ht="15" customHeight="1"/>
    <row r="202" s="9" customFormat="1" ht="15" customHeight="1"/>
    <row r="203" s="9" customFormat="1" ht="15" customHeight="1"/>
    <row r="204" s="9" customFormat="1" ht="15" customHeight="1"/>
    <row r="205" s="9" customFormat="1" ht="15" customHeight="1"/>
    <row r="206" s="9" customFormat="1" ht="15" customHeight="1"/>
    <row r="207" s="9" customFormat="1" ht="15" customHeight="1"/>
    <row r="208" s="9" customFormat="1" ht="15" customHeight="1"/>
    <row r="209" s="9" customFormat="1" ht="15" customHeight="1"/>
    <row r="210" s="9" customFormat="1" ht="15" customHeight="1"/>
    <row r="211" s="9" customFormat="1" ht="15" customHeight="1"/>
    <row r="212" s="9" customFormat="1" ht="15" customHeight="1"/>
    <row r="213" s="9" customFormat="1" ht="15" customHeight="1"/>
    <row r="214" s="9" customFormat="1" ht="15" customHeight="1"/>
    <row r="215" s="9" customFormat="1" ht="15" customHeight="1"/>
    <row r="216" s="9" customFormat="1" ht="15" customHeight="1"/>
    <row r="217" s="9" customFormat="1" ht="15" customHeight="1"/>
    <row r="218" s="9" customFormat="1" ht="15" customHeight="1"/>
    <row r="219" s="9" customFormat="1" ht="15" customHeight="1"/>
    <row r="220" s="9" customFormat="1" ht="15" customHeight="1"/>
    <row r="221" s="9" customFormat="1" ht="15" customHeight="1"/>
    <row r="222" s="9" customFormat="1" ht="15" customHeight="1"/>
    <row r="223" s="9" customFormat="1" ht="15" customHeight="1"/>
    <row r="224" s="9" customFormat="1" ht="15" customHeight="1"/>
    <row r="225" s="9" customFormat="1" ht="15" customHeight="1"/>
    <row r="226" s="9" customFormat="1" ht="15" customHeight="1"/>
    <row r="227" s="9" customFormat="1" ht="15" customHeight="1"/>
    <row r="228" s="9" customFormat="1" ht="15" customHeight="1"/>
    <row r="229" s="9" customFormat="1" ht="15" customHeight="1"/>
    <row r="230" s="9" customFormat="1" ht="15" customHeight="1"/>
    <row r="231" s="9" customFormat="1" ht="15" customHeight="1"/>
    <row r="232" s="9" customFormat="1" ht="15" customHeight="1"/>
    <row r="233" s="9" customFormat="1" ht="15" customHeight="1"/>
    <row r="234" s="9" customFormat="1" ht="15" customHeight="1"/>
    <row r="235" s="9" customFormat="1" ht="15" customHeight="1"/>
    <row r="236" s="9" customFormat="1" ht="15" customHeight="1"/>
    <row r="237" s="9" customFormat="1" ht="15" customHeight="1"/>
    <row r="238" s="9" customFormat="1" ht="15" customHeight="1"/>
    <row r="239" s="9" customFormat="1" ht="15" customHeight="1"/>
    <row r="240" s="9" customFormat="1" ht="15" customHeight="1"/>
    <row r="241" s="9" customFormat="1" ht="15" customHeight="1"/>
    <row r="242" s="9" customFormat="1" ht="15" customHeight="1"/>
    <row r="243" s="9" customFormat="1" ht="15" customHeight="1"/>
    <row r="244" s="9" customFormat="1" ht="15" customHeight="1"/>
    <row r="245" s="9" customFormat="1" ht="15" customHeight="1"/>
    <row r="246" s="9" customFormat="1" ht="15" customHeight="1"/>
    <row r="247" s="9" customFormat="1" ht="15" customHeight="1"/>
    <row r="248" s="9" customFormat="1" ht="15" customHeight="1"/>
    <row r="249" s="9" customFormat="1" ht="15" customHeight="1"/>
    <row r="250" s="9" customFormat="1" ht="15" customHeight="1"/>
    <row r="251" s="9" customFormat="1" ht="15" customHeight="1"/>
    <row r="252" s="9" customFormat="1" ht="15" customHeight="1"/>
    <row r="253" s="9" customFormat="1" ht="15" customHeight="1"/>
    <row r="254" s="9" customFormat="1" ht="15" customHeight="1"/>
    <row r="255" s="9" customFormat="1" ht="15" customHeight="1"/>
    <row r="256" s="9" customFormat="1" ht="15" customHeight="1"/>
    <row r="257" s="9" customFormat="1" ht="15" customHeight="1"/>
    <row r="258" s="9" customFormat="1" ht="15" customHeight="1"/>
    <row r="259" s="9" customFormat="1" ht="15" customHeight="1"/>
    <row r="260" s="9" customFormat="1" ht="15" customHeight="1"/>
    <row r="261" s="9" customFormat="1" ht="15" customHeight="1"/>
    <row r="262" s="9" customFormat="1" ht="15" customHeight="1"/>
    <row r="263" s="9" customFormat="1" ht="15" customHeight="1"/>
    <row r="264" s="9" customFormat="1" ht="15" customHeight="1"/>
    <row r="265" s="9" customFormat="1" ht="15" customHeight="1"/>
    <row r="266" s="9" customFormat="1" ht="15" customHeight="1"/>
    <row r="267" s="9" customFormat="1" ht="15" customHeight="1"/>
    <row r="268" s="9" customFormat="1" ht="15" customHeight="1"/>
    <row r="269" s="9" customFormat="1" ht="15" customHeight="1"/>
    <row r="270" s="9" customFormat="1" ht="15" customHeight="1"/>
    <row r="271" s="9" customFormat="1" ht="15" customHeight="1"/>
    <row r="272" s="9" customFormat="1" ht="15" customHeight="1"/>
    <row r="273" s="9" customFormat="1" ht="15" customHeight="1"/>
    <row r="274" s="9" customFormat="1" ht="15" customHeight="1"/>
    <row r="275" s="9" customFormat="1" ht="15" customHeight="1"/>
    <row r="276" s="9" customFormat="1" ht="15" customHeight="1"/>
    <row r="277" s="9" customFormat="1" ht="15" customHeight="1"/>
    <row r="278" s="9" customFormat="1" ht="15" customHeight="1"/>
    <row r="279" s="9" customFormat="1" ht="15" customHeight="1"/>
    <row r="280" s="9" customFormat="1" ht="15" customHeight="1"/>
    <row r="281" s="9" customFormat="1" ht="15" customHeight="1"/>
    <row r="282" s="9" customFormat="1" ht="15" customHeight="1"/>
    <row r="283" s="9" customFormat="1" ht="15" customHeight="1"/>
    <row r="284" s="9" customFormat="1" ht="15" customHeight="1"/>
    <row r="285" s="9" customFormat="1" ht="15" customHeight="1"/>
    <row r="286" s="9" customFormat="1" ht="15" customHeight="1"/>
    <row r="287" s="9" customFormat="1" ht="15" customHeight="1"/>
    <row r="288" s="9" customFormat="1" ht="15" customHeight="1"/>
    <row r="289" s="9" customFormat="1" ht="15" customHeight="1"/>
    <row r="290" s="9" customFormat="1" ht="15" customHeight="1"/>
    <row r="291" s="9" customFormat="1" ht="15" customHeight="1"/>
    <row r="292" s="9" customFormat="1" ht="15" customHeight="1"/>
    <row r="293" s="9" customFormat="1" ht="15" customHeight="1"/>
    <row r="294" s="9" customFormat="1" ht="15" customHeight="1"/>
    <row r="295" s="9" customFormat="1" ht="15" customHeight="1"/>
    <row r="296" s="9" customFormat="1" ht="15" customHeight="1"/>
    <row r="297" s="9" customFormat="1" ht="15" customHeight="1"/>
    <row r="298" s="9" customFormat="1" ht="15" customHeight="1"/>
    <row r="299" s="9" customFormat="1" ht="15" customHeight="1"/>
    <row r="300" s="9" customFormat="1" ht="15" customHeight="1"/>
    <row r="301" s="9" customFormat="1" ht="15" customHeight="1"/>
    <row r="302" s="9" customFormat="1" ht="15" customHeight="1"/>
    <row r="303" s="9" customFormat="1" ht="15" customHeight="1"/>
    <row r="304" s="9" customFormat="1" ht="15" customHeight="1"/>
    <row r="305" s="9" customFormat="1" ht="15" customHeight="1"/>
    <row r="306" s="9" customFormat="1" ht="15" customHeight="1"/>
    <row r="307" s="9" customFormat="1" ht="15" customHeight="1"/>
    <row r="308" s="9" customFormat="1" ht="15" customHeight="1"/>
    <row r="309" s="9" customFormat="1" ht="15" customHeight="1"/>
    <row r="310" s="9" customFormat="1" ht="15" customHeight="1"/>
    <row r="311" s="9" customFormat="1" ht="15" customHeight="1"/>
    <row r="312" s="9" customFormat="1" ht="15" customHeight="1"/>
    <row r="313" s="9" customFormat="1" ht="15" customHeight="1"/>
    <row r="314" s="9" customFormat="1" ht="15" customHeight="1"/>
    <row r="315" s="9" customFormat="1" ht="15" customHeight="1"/>
    <row r="316" s="9" customFormat="1" ht="15" customHeight="1"/>
    <row r="317" s="9" customFormat="1" ht="15" customHeight="1"/>
    <row r="318" s="9" customFormat="1" ht="15" customHeight="1"/>
    <row r="319" s="9" customFormat="1" ht="15" customHeight="1"/>
    <row r="320" s="9" customFormat="1" ht="15" customHeight="1"/>
    <row r="321" s="9" customFormat="1" ht="15" customHeight="1"/>
    <row r="322" s="9" customFormat="1" ht="15" customHeight="1"/>
    <row r="323" s="9" customFormat="1" ht="15" customHeight="1"/>
    <row r="324" s="9" customFormat="1" ht="15" customHeight="1"/>
    <row r="325" s="9" customFormat="1" ht="15" customHeight="1"/>
    <row r="326" s="9" customFormat="1" ht="15" customHeight="1"/>
    <row r="327" s="9" customFormat="1" ht="15" customHeight="1"/>
    <row r="328" s="9" customFormat="1" ht="15" customHeight="1"/>
    <row r="329" s="9" customFormat="1" ht="15" customHeight="1"/>
    <row r="330" s="9" customFormat="1" ht="15" customHeight="1"/>
    <row r="331" s="9" customFormat="1" ht="15" customHeight="1"/>
    <row r="332" s="9" customFormat="1" ht="15" customHeight="1"/>
    <row r="333" s="9" customFormat="1" ht="15" customHeight="1"/>
    <row r="334" s="9" customFormat="1" ht="15" customHeight="1"/>
    <row r="335" s="9" customFormat="1" ht="15" customHeight="1"/>
    <row r="336" s="9" customFormat="1" ht="15" customHeight="1"/>
    <row r="337" s="9" customFormat="1" ht="15" customHeight="1"/>
    <row r="338" s="9" customFormat="1" ht="15" customHeight="1"/>
    <row r="339" s="9" customFormat="1" ht="15" customHeight="1"/>
    <row r="340" s="9" customFormat="1" ht="15" customHeight="1"/>
    <row r="341" s="9" customFormat="1" ht="15" customHeight="1"/>
    <row r="342" s="9" customFormat="1" ht="15" customHeight="1"/>
    <row r="343" s="9" customFormat="1" ht="15" customHeight="1"/>
    <row r="344" s="9" customFormat="1" ht="15" customHeight="1"/>
    <row r="345" s="9" customFormat="1" ht="15" customHeight="1"/>
    <row r="346" s="9" customFormat="1" ht="15" customHeight="1"/>
    <row r="347" s="9" customFormat="1" ht="15" customHeight="1"/>
    <row r="348" s="9" customFormat="1" ht="15" customHeight="1"/>
    <row r="349" s="9" customFormat="1" ht="15" customHeight="1"/>
    <row r="350" s="9" customFormat="1" ht="15" customHeight="1"/>
    <row r="351" s="9" customFormat="1" ht="15" customHeight="1"/>
    <row r="352" s="9" customFormat="1" ht="15" customHeight="1"/>
    <row r="353" s="9" customFormat="1" ht="15" customHeight="1"/>
    <row r="354" s="9" customFormat="1" ht="15" customHeight="1"/>
    <row r="355" s="9" customFormat="1" ht="15" customHeight="1"/>
    <row r="356" s="9" customFormat="1" ht="15" customHeight="1"/>
    <row r="357" s="9" customFormat="1" ht="15" customHeight="1"/>
    <row r="358" s="9" customFormat="1" ht="15" customHeight="1"/>
    <row r="359" s="9" customFormat="1" ht="15" customHeight="1"/>
    <row r="360" s="9" customFormat="1" ht="15" customHeight="1"/>
    <row r="361" s="9" customFormat="1" ht="15" customHeight="1"/>
    <row r="362" s="9" customFormat="1" ht="15" customHeight="1"/>
    <row r="363" s="9" customFormat="1" ht="15" customHeight="1"/>
    <row r="364" s="9" customFormat="1" ht="15" customHeight="1"/>
    <row r="365" s="9" customFormat="1" ht="15" customHeight="1"/>
    <row r="366" s="9" customFormat="1" ht="15" customHeight="1"/>
    <row r="367" s="9" customFormat="1" ht="15" customHeight="1"/>
    <row r="368" s="9" customFormat="1" ht="15" customHeight="1"/>
    <row r="369" s="9" customFormat="1" ht="15" customHeight="1"/>
    <row r="370" s="9" customFormat="1" ht="15" customHeight="1"/>
    <row r="371" s="9" customFormat="1" ht="15" customHeight="1"/>
    <row r="372" s="9" customFormat="1" ht="15" customHeight="1"/>
    <row r="373" s="9" customFormat="1" ht="15" customHeight="1"/>
    <row r="374" s="9" customFormat="1" ht="15" customHeight="1"/>
    <row r="375" s="9" customFormat="1" ht="15" customHeight="1"/>
    <row r="376" s="9" customFormat="1" ht="15" customHeight="1"/>
    <row r="377" s="9" customFormat="1" ht="15" customHeight="1"/>
    <row r="378" s="9" customFormat="1" ht="15" customHeight="1"/>
    <row r="379" s="9" customFormat="1" ht="15" customHeight="1"/>
    <row r="380" s="9" customFormat="1" ht="15" customHeight="1"/>
    <row r="381" s="9" customFormat="1" ht="15" customHeight="1"/>
    <row r="382" s="9" customFormat="1" ht="15" customHeight="1"/>
    <row r="383" s="9" customFormat="1" ht="15" customHeight="1"/>
    <row r="384" s="9" customFormat="1" ht="15" customHeight="1"/>
    <row r="385" s="9" customFormat="1" ht="15" customHeight="1"/>
    <row r="386" s="9" customFormat="1" ht="15" customHeight="1"/>
    <row r="387" s="9" customFormat="1" ht="15" customHeight="1"/>
    <row r="388" s="9" customFormat="1" ht="15" customHeight="1"/>
    <row r="389" s="9" customFormat="1" ht="15" customHeight="1"/>
    <row r="390" s="9" customFormat="1" ht="15" customHeight="1"/>
    <row r="391" s="9" customFormat="1" ht="15" customHeight="1"/>
    <row r="392" s="9" customFormat="1" ht="15" customHeight="1"/>
    <row r="393" s="9" customFormat="1" ht="15" customHeight="1"/>
    <row r="394" s="9" customFormat="1" ht="15" customHeight="1"/>
    <row r="395" s="9" customFormat="1" ht="15" customHeight="1"/>
    <row r="396" s="9" customFormat="1" ht="15" customHeight="1"/>
    <row r="397" s="9" customFormat="1" ht="15" customHeight="1"/>
    <row r="398" s="9" customFormat="1" ht="15" customHeight="1"/>
    <row r="399" s="9" customFormat="1" ht="15" customHeight="1"/>
    <row r="400" s="9" customFormat="1" ht="15" customHeight="1"/>
    <row r="401" s="9" customFormat="1" ht="15" customHeight="1"/>
    <row r="402" s="9" customFormat="1" ht="15" customHeight="1"/>
    <row r="403" s="9" customFormat="1" ht="15" customHeight="1"/>
    <row r="404" s="9" customFormat="1" ht="15" customHeight="1"/>
    <row r="405" s="9" customFormat="1" ht="15" customHeight="1"/>
    <row r="406" s="9" customFormat="1" ht="15" customHeight="1"/>
    <row r="407" s="9" customFormat="1" ht="15" customHeight="1"/>
    <row r="408" s="9" customFormat="1" ht="15" customHeight="1"/>
    <row r="409" s="9" customFormat="1" ht="15" customHeight="1"/>
    <row r="410" s="9" customFormat="1" ht="15" customHeight="1"/>
    <row r="411" s="9" customFormat="1" ht="15" customHeight="1"/>
    <row r="412" s="9" customFormat="1" ht="15" customHeight="1"/>
    <row r="413" s="9" customFormat="1" ht="15" customHeight="1"/>
    <row r="414" s="9" customFormat="1" ht="15" customHeight="1"/>
    <row r="415" s="9" customFormat="1" ht="15" customHeight="1"/>
    <row r="416" s="9" customFormat="1" ht="15" customHeight="1"/>
    <row r="417" s="9" customFormat="1" ht="15" customHeight="1"/>
    <row r="418" s="9" customFormat="1" ht="15" customHeight="1"/>
    <row r="419" s="9" customFormat="1" ht="15" customHeight="1"/>
    <row r="420" s="9" customFormat="1" ht="15" customHeight="1"/>
    <row r="421" s="9" customFormat="1" ht="15" customHeight="1"/>
    <row r="422" s="9" customFormat="1" ht="15" customHeight="1"/>
    <row r="423" s="9" customFormat="1" ht="15" customHeight="1"/>
    <row r="424" s="9" customFormat="1" ht="15" customHeight="1"/>
    <row r="425" s="9" customFormat="1" ht="15" customHeight="1"/>
    <row r="426" s="9" customFormat="1" ht="15" customHeight="1"/>
    <row r="427" s="9" customFormat="1" ht="15" customHeight="1"/>
    <row r="428" s="9" customFormat="1" ht="15" customHeight="1"/>
    <row r="429" s="9" customFormat="1" ht="15" customHeight="1"/>
    <row r="430" s="9" customFormat="1" ht="15" customHeight="1"/>
    <row r="431" s="9" customFormat="1" ht="15" customHeight="1"/>
    <row r="432" s="9" customFormat="1" ht="15" customHeight="1"/>
    <row r="433" s="9" customFormat="1" ht="15" customHeight="1"/>
    <row r="434" s="9" customFormat="1" ht="15" customHeight="1"/>
    <row r="435" s="9" customFormat="1" ht="15" customHeight="1"/>
    <row r="436" s="9" customFormat="1" ht="15" customHeight="1"/>
    <row r="437" s="9" customFormat="1" ht="15" customHeight="1"/>
    <row r="438" s="9" customFormat="1" ht="15" customHeight="1"/>
    <row r="439" s="9" customFormat="1" ht="15" customHeight="1"/>
    <row r="440" s="9" customFormat="1" ht="15" customHeight="1"/>
    <row r="441" s="9" customFormat="1" ht="15" customHeight="1"/>
    <row r="442" s="9" customFormat="1" ht="15" customHeight="1"/>
    <row r="443" s="9" customFormat="1" ht="15" customHeight="1"/>
    <row r="444" s="9" customFormat="1" ht="15" customHeight="1"/>
    <row r="445" s="9" customFormat="1" ht="15" customHeight="1"/>
    <row r="446" s="9" customFormat="1" ht="15" customHeight="1"/>
    <row r="447" s="9" customFormat="1" ht="15" customHeight="1"/>
    <row r="448" s="9" customFormat="1" ht="15" customHeight="1"/>
    <row r="449" s="9" customFormat="1" ht="15" customHeight="1"/>
    <row r="450" s="9" customFormat="1" ht="15" customHeight="1"/>
    <row r="451" s="9" customFormat="1" ht="15" customHeight="1"/>
    <row r="452" s="9" customFormat="1" ht="15" customHeight="1"/>
    <row r="453" s="9" customFormat="1" ht="15" customHeight="1"/>
    <row r="454" s="9" customFormat="1" ht="15" customHeight="1"/>
    <row r="455" s="9" customFormat="1" ht="15" customHeight="1"/>
    <row r="456" s="9" customFormat="1" ht="15" customHeight="1"/>
    <row r="457" s="9" customFormat="1" ht="15" customHeight="1"/>
    <row r="458" s="9" customFormat="1" ht="15" customHeight="1"/>
    <row r="459" s="9" customFormat="1" ht="15" customHeight="1"/>
    <row r="460" s="9" customFormat="1" ht="15" customHeight="1"/>
    <row r="461" s="9" customFormat="1" ht="15" customHeight="1"/>
    <row r="462" s="9" customFormat="1" ht="15" customHeight="1"/>
    <row r="463" s="9" customFormat="1" ht="15" customHeight="1"/>
    <row r="464" s="9" customFormat="1" ht="15" customHeight="1"/>
    <row r="465" s="9" customFormat="1" ht="15" customHeight="1"/>
    <row r="466" s="9" customFormat="1" ht="15" customHeight="1"/>
    <row r="467" s="9" customFormat="1" ht="15" customHeight="1"/>
    <row r="468" s="9" customFormat="1" ht="15" customHeight="1"/>
    <row r="469" s="9" customFormat="1" ht="15" customHeight="1"/>
    <row r="470" s="9" customFormat="1" ht="15" customHeight="1"/>
    <row r="471" s="9" customFormat="1" ht="15" customHeight="1"/>
    <row r="472" s="9" customFormat="1" ht="15" customHeight="1"/>
    <row r="473" s="9" customFormat="1" ht="15" customHeight="1"/>
    <row r="474" s="9" customFormat="1" ht="15" customHeight="1"/>
    <row r="475" s="9" customFormat="1" ht="15" customHeight="1"/>
    <row r="476" s="9" customFormat="1" ht="15" customHeight="1"/>
    <row r="477" s="9" customFormat="1" ht="15" customHeight="1"/>
    <row r="478" s="9" customFormat="1" ht="15" customHeight="1"/>
    <row r="479" s="9" customFormat="1" ht="15" customHeight="1"/>
    <row r="480" s="9" customFormat="1" ht="15" customHeight="1"/>
    <row r="481" s="9" customFormat="1" ht="15" customHeight="1"/>
    <row r="482" s="9" customFormat="1" ht="15" customHeight="1"/>
    <row r="483" s="9" customFormat="1" ht="15" customHeight="1"/>
    <row r="484" s="9" customFormat="1" ht="15" customHeight="1"/>
    <row r="485" s="9" customFormat="1" ht="15" customHeight="1"/>
    <row r="486" s="9" customFormat="1" ht="15" customHeight="1"/>
    <row r="487" s="9" customFormat="1" ht="15" customHeight="1"/>
    <row r="488" s="9" customFormat="1" ht="15" customHeight="1"/>
    <row r="489" s="9" customFormat="1" ht="15" customHeight="1"/>
    <row r="490" s="9" customFormat="1" ht="15" customHeight="1"/>
    <row r="491" s="9" customFormat="1" ht="15" customHeight="1"/>
    <row r="492" s="9" customFormat="1" ht="15" customHeight="1"/>
    <row r="493" s="9" customFormat="1" ht="15" customHeight="1"/>
    <row r="494" s="9" customFormat="1" ht="15" customHeight="1"/>
    <row r="495" s="9" customFormat="1" ht="15" customHeight="1"/>
    <row r="496" s="9" customFormat="1" ht="15" customHeight="1"/>
    <row r="497" s="9" customFormat="1" ht="15" customHeight="1"/>
    <row r="498" s="9" customFormat="1" ht="15" customHeight="1"/>
    <row r="499" s="9" customFormat="1" ht="15" customHeight="1"/>
    <row r="500" s="9" customFormat="1" ht="15" customHeight="1"/>
    <row r="501" s="9" customFormat="1" ht="15" customHeight="1"/>
    <row r="502" s="9" customFormat="1" ht="15" customHeight="1"/>
    <row r="503" s="9" customFormat="1" ht="15" customHeight="1"/>
    <row r="504" s="9" customFormat="1" ht="15" customHeight="1"/>
    <row r="505" s="9" customFormat="1" ht="15" customHeight="1"/>
    <row r="506" s="9" customFormat="1" ht="15" customHeight="1"/>
    <row r="507" s="9" customFormat="1" ht="15" customHeight="1"/>
    <row r="508" s="9" customFormat="1" ht="15" customHeight="1"/>
    <row r="509" s="9" customFormat="1" ht="15" customHeight="1"/>
    <row r="510" s="9" customFormat="1" ht="15" customHeight="1"/>
    <row r="511" s="9" customFormat="1" ht="15" customHeight="1"/>
    <row r="512" s="9" customFormat="1" ht="15" customHeight="1"/>
    <row r="513" s="9" customFormat="1" ht="15" customHeight="1"/>
    <row r="514" s="9" customFormat="1" ht="15" customHeight="1"/>
    <row r="515" s="9" customFormat="1" ht="15" customHeight="1"/>
    <row r="516" s="9" customFormat="1" ht="15" customHeight="1"/>
    <row r="517" s="9" customFormat="1" ht="15" customHeight="1"/>
    <row r="518" s="9" customFormat="1" ht="15" customHeight="1"/>
    <row r="519" s="9" customFormat="1" ht="15" customHeight="1"/>
    <row r="520" s="9" customFormat="1" ht="15" customHeight="1"/>
    <row r="521" s="9" customFormat="1" ht="15" customHeight="1"/>
    <row r="522" s="9" customFormat="1" ht="15" customHeight="1"/>
    <row r="523" s="9" customFormat="1" ht="15" customHeight="1"/>
    <row r="524" s="9" customFormat="1" ht="15" customHeight="1"/>
    <row r="525" s="9" customFormat="1" ht="15" customHeight="1"/>
    <row r="526" s="9" customFormat="1" ht="15" customHeight="1"/>
    <row r="527" s="9" customFormat="1" ht="15" customHeight="1"/>
    <row r="528" s="9" customFormat="1" ht="15" customHeight="1"/>
    <row r="529" s="9" customFormat="1" ht="15" customHeight="1"/>
    <row r="530" s="9" customFormat="1" ht="15" customHeight="1"/>
    <row r="531" s="9" customFormat="1" ht="15" customHeight="1"/>
    <row r="532" s="9" customFormat="1" ht="15" customHeight="1"/>
    <row r="533" s="9" customFormat="1" ht="15" customHeight="1"/>
    <row r="534" s="9" customFormat="1" ht="15" customHeight="1"/>
    <row r="535" s="9" customFormat="1" ht="15" customHeight="1"/>
    <row r="536" s="9" customFormat="1" ht="15" customHeight="1"/>
    <row r="537" s="9" customFormat="1" ht="15" customHeight="1"/>
    <row r="538" s="9" customFormat="1" ht="15" customHeight="1"/>
    <row r="539" s="9" customFormat="1" ht="15" customHeight="1"/>
    <row r="540" s="9" customFormat="1" ht="15" customHeight="1"/>
    <row r="541" s="9" customFormat="1" ht="15" customHeight="1"/>
    <row r="542" s="9" customFormat="1" ht="15" customHeight="1"/>
    <row r="543" s="9" customFormat="1" ht="15" customHeight="1"/>
    <row r="544" s="9" customFormat="1" ht="15" customHeight="1"/>
    <row r="545" s="9" customFormat="1" ht="15" customHeight="1"/>
    <row r="546" s="9" customFormat="1" ht="15" customHeight="1"/>
    <row r="547" s="9" customFormat="1" ht="15" customHeight="1"/>
    <row r="548" s="9" customFormat="1" ht="15" customHeight="1"/>
    <row r="549" s="9" customFormat="1" ht="15" customHeight="1"/>
    <row r="550" s="9" customFormat="1" ht="15" customHeight="1"/>
    <row r="551" s="9" customFormat="1" ht="15" customHeight="1"/>
    <row r="552" s="9" customFormat="1" ht="15" customHeight="1"/>
    <row r="553" s="9" customFormat="1" ht="15" customHeight="1"/>
    <row r="554" s="9" customFormat="1" ht="15" customHeight="1"/>
    <row r="555" s="9" customFormat="1" ht="15" customHeight="1"/>
    <row r="556" s="9" customFormat="1" ht="15" customHeight="1"/>
    <row r="557" s="9" customFormat="1" ht="15" customHeight="1"/>
    <row r="558" s="9" customFormat="1" ht="15" customHeight="1"/>
    <row r="559" s="9" customFormat="1" ht="15" customHeight="1"/>
    <row r="560" s="9" customFormat="1" ht="15" customHeight="1"/>
    <row r="561" s="9" customFormat="1" ht="15" customHeight="1"/>
    <row r="562" s="9" customFormat="1" ht="15" customHeight="1"/>
    <row r="563" s="9" customFormat="1" ht="15" customHeight="1"/>
    <row r="564" s="9" customFormat="1" ht="15" customHeight="1"/>
    <row r="565" s="9" customFormat="1" ht="15" customHeight="1"/>
    <row r="566" s="9" customFormat="1" ht="15" customHeight="1"/>
    <row r="567" s="9" customFormat="1" ht="15" customHeight="1"/>
    <row r="568" s="9" customFormat="1" ht="15" customHeight="1"/>
    <row r="569" s="9" customFormat="1" ht="15" customHeight="1"/>
    <row r="570" s="9" customFormat="1" ht="15" customHeight="1"/>
    <row r="571" s="9" customFormat="1" ht="15" customHeight="1"/>
    <row r="572" s="9" customFormat="1" ht="15" customHeight="1"/>
    <row r="573" s="9" customFormat="1" ht="15" customHeight="1"/>
    <row r="574" s="9" customFormat="1" ht="15" customHeight="1"/>
    <row r="575" s="9" customFormat="1" ht="15" customHeight="1"/>
    <row r="576" s="9" customFormat="1" ht="15" customHeight="1"/>
    <row r="577" s="9" customFormat="1" ht="15" customHeight="1"/>
    <row r="578" s="9" customFormat="1" ht="15" customHeight="1"/>
    <row r="579" s="9" customFormat="1" ht="15" customHeight="1"/>
    <row r="580" s="9" customFormat="1" ht="15" customHeight="1"/>
    <row r="581" s="9" customFormat="1" ht="15" customHeight="1"/>
    <row r="582" s="9" customFormat="1" ht="15" customHeight="1"/>
    <row r="583" s="9" customFormat="1" ht="15" customHeight="1"/>
    <row r="584" s="9" customFormat="1" ht="15" customHeight="1"/>
    <row r="585" s="9" customFormat="1" ht="15" customHeight="1"/>
    <row r="586" s="9" customFormat="1" ht="15" customHeight="1"/>
    <row r="587" s="9" customFormat="1" ht="15" customHeight="1"/>
    <row r="588" s="9" customFormat="1" ht="15" customHeight="1"/>
    <row r="589" s="9" customFormat="1" ht="15" customHeight="1"/>
    <row r="590" s="9" customFormat="1" ht="15" customHeight="1"/>
    <row r="591" s="9" customFormat="1" ht="15" customHeight="1"/>
    <row r="592" s="9" customFormat="1" ht="15" customHeight="1"/>
    <row r="593" s="9" customFormat="1" ht="15" customHeight="1"/>
    <row r="594" s="9" customFormat="1" ht="15" customHeight="1"/>
    <row r="595" s="9" customFormat="1" ht="15" customHeight="1"/>
    <row r="596" s="9" customFormat="1" ht="15" customHeight="1"/>
    <row r="597" s="9" customFormat="1" ht="15" customHeight="1"/>
    <row r="598" s="9" customFormat="1" ht="15" customHeight="1"/>
    <row r="599" s="9" customFormat="1" ht="15" customHeight="1"/>
    <row r="600" s="9" customFormat="1" ht="15" customHeight="1"/>
    <row r="601" s="9" customFormat="1" ht="15" customHeight="1"/>
    <row r="602" s="9" customFormat="1" ht="15" customHeight="1"/>
    <row r="603" s="9" customFormat="1" ht="15" customHeight="1"/>
    <row r="604" s="9" customFormat="1" ht="15" customHeight="1"/>
    <row r="605" s="9" customFormat="1" ht="15" customHeight="1"/>
    <row r="606" s="9" customFormat="1" ht="15" customHeight="1"/>
    <row r="607" s="9" customFormat="1" ht="15" customHeight="1"/>
    <row r="608" s="9" customFormat="1" ht="15" customHeight="1"/>
    <row r="609" s="9" customFormat="1" ht="15" customHeight="1"/>
    <row r="610" s="9" customFormat="1" ht="15" customHeight="1"/>
    <row r="611" s="9" customFormat="1" ht="15" customHeight="1"/>
    <row r="612" s="9" customFormat="1" ht="15" customHeight="1"/>
    <row r="613" s="9" customFormat="1" ht="15" customHeight="1"/>
    <row r="614" s="9" customFormat="1" ht="15" customHeight="1"/>
    <row r="615" s="9" customFormat="1" ht="15" customHeight="1"/>
    <row r="616" s="9" customFormat="1" ht="15" customHeight="1"/>
    <row r="617" s="9" customFormat="1" ht="15" customHeight="1"/>
    <row r="618" s="9" customFormat="1" ht="15" customHeight="1"/>
    <row r="619" s="9" customFormat="1" ht="15" customHeight="1"/>
    <row r="620" s="9" customFormat="1" ht="15" customHeight="1"/>
    <row r="621" s="9" customFormat="1" ht="15" customHeight="1"/>
    <row r="622" s="9" customFormat="1" ht="15" customHeight="1"/>
    <row r="623" s="9" customFormat="1" ht="15" customHeight="1"/>
    <row r="624" s="9" customFormat="1" ht="15" customHeight="1"/>
    <row r="625" s="9" customFormat="1" ht="15" customHeight="1"/>
    <row r="626" s="9" customFormat="1" ht="15" customHeight="1"/>
    <row r="627" s="9" customFormat="1" ht="15" customHeight="1"/>
    <row r="628" s="9" customFormat="1" ht="15" customHeight="1"/>
    <row r="629" s="9" customFormat="1" ht="15" customHeight="1"/>
    <row r="630" s="9" customFormat="1" ht="15" customHeight="1"/>
    <row r="631" s="9" customFormat="1" ht="15" customHeight="1"/>
    <row r="632" s="9" customFormat="1" ht="15" customHeight="1"/>
    <row r="633" s="9" customFormat="1" ht="15" customHeight="1"/>
    <row r="634" s="9" customFormat="1" ht="15" customHeight="1"/>
    <row r="635" s="9" customFormat="1" ht="15" customHeight="1"/>
    <row r="636" s="9" customFormat="1" ht="15" customHeight="1"/>
    <row r="637" s="9" customFormat="1" ht="15" customHeight="1"/>
    <row r="638" s="9" customFormat="1" ht="15" customHeight="1"/>
    <row r="639" s="9" customFormat="1" ht="15" customHeight="1"/>
    <row r="640" s="9" customFormat="1" ht="15" customHeight="1"/>
    <row r="641" s="9" customFormat="1" ht="15" customHeight="1"/>
    <row r="642" s="9" customFormat="1" ht="15" customHeight="1"/>
    <row r="643" s="9" customFormat="1" ht="15" customHeight="1"/>
    <row r="644" s="9" customFormat="1" ht="15" customHeight="1"/>
    <row r="645" s="9" customFormat="1" ht="15" customHeight="1"/>
    <row r="646" s="9" customFormat="1" ht="15" customHeight="1"/>
    <row r="647" s="9" customFormat="1" ht="15" customHeight="1"/>
    <row r="648" s="9" customFormat="1" ht="15" customHeight="1"/>
    <row r="649" s="9" customFormat="1" ht="15" customHeight="1"/>
    <row r="650" s="9" customFormat="1" ht="15" customHeight="1"/>
    <row r="651" s="9" customFormat="1" ht="15" customHeight="1"/>
    <row r="652" s="9" customFormat="1" ht="15" customHeight="1"/>
    <row r="653" s="9" customFormat="1" ht="15" customHeight="1"/>
    <row r="654" s="9" customFormat="1" ht="15" customHeight="1"/>
    <row r="655" s="9" customFormat="1" ht="15" customHeight="1"/>
    <row r="656" s="9" customFormat="1" ht="15" customHeight="1"/>
    <row r="657" s="9" customFormat="1" ht="15" customHeight="1"/>
    <row r="658" s="9" customFormat="1" ht="15" customHeight="1"/>
    <row r="659" s="9" customFormat="1" ht="15" customHeight="1"/>
    <row r="660" s="9" customFormat="1" ht="15" customHeight="1"/>
    <row r="661" s="9" customFormat="1" ht="15" customHeight="1"/>
    <row r="662" s="9" customFormat="1" ht="15" customHeight="1"/>
    <row r="663" s="9" customFormat="1" ht="15" customHeight="1"/>
    <row r="664" s="9" customFormat="1" ht="15" customHeight="1"/>
    <row r="665" s="9" customFormat="1" ht="15" customHeight="1"/>
    <row r="666" s="9" customFormat="1" ht="15" customHeight="1"/>
    <row r="667" s="9" customFormat="1" ht="15" customHeight="1"/>
    <row r="668" s="9" customFormat="1" ht="15" customHeight="1"/>
    <row r="669" s="9" customFormat="1" ht="15" customHeight="1"/>
    <row r="670" s="9" customFormat="1" ht="15" customHeight="1"/>
    <row r="671" s="9" customFormat="1" ht="15" customHeight="1"/>
    <row r="672" s="9" customFormat="1" ht="15" customHeight="1"/>
    <row r="673" s="9" customFormat="1" ht="15" customHeight="1"/>
    <row r="674" s="9" customFormat="1" ht="15" customHeight="1"/>
    <row r="675" s="9" customFormat="1" ht="15" customHeight="1"/>
    <row r="676" s="9" customFormat="1" ht="15" customHeight="1"/>
    <row r="677" s="9" customFormat="1" ht="15" customHeight="1"/>
    <row r="678" s="9" customFormat="1" ht="15" customHeight="1"/>
    <row r="679" s="9" customFormat="1" ht="15" customHeight="1"/>
    <row r="680" s="9" customFormat="1" ht="15" customHeight="1"/>
    <row r="681" s="9" customFormat="1" ht="15" customHeight="1"/>
    <row r="682" s="9" customFormat="1" ht="15" customHeight="1"/>
    <row r="683" s="9" customFormat="1" ht="15" customHeight="1"/>
    <row r="684" s="9" customFormat="1" ht="15" customHeight="1"/>
    <row r="685" s="9" customFormat="1" ht="15" customHeight="1"/>
    <row r="686" s="9" customFormat="1" ht="15" customHeight="1"/>
    <row r="687" s="9" customFormat="1" ht="15" customHeight="1"/>
    <row r="688" s="9" customFormat="1" ht="15" customHeight="1"/>
    <row r="689" s="9" customFormat="1" ht="15" customHeight="1"/>
    <row r="690" s="9" customFormat="1" ht="15" customHeight="1"/>
    <row r="691" s="9" customFormat="1" ht="15" customHeight="1"/>
    <row r="692" s="9" customFormat="1" ht="15" customHeight="1"/>
    <row r="693" s="9" customFormat="1" ht="15" customHeight="1"/>
    <row r="694" s="9" customFormat="1" ht="15" customHeight="1"/>
    <row r="695" s="9" customFormat="1" ht="15" customHeight="1"/>
    <row r="696" s="9" customFormat="1" ht="15" customHeight="1"/>
    <row r="697" s="9" customFormat="1" ht="15" customHeight="1"/>
    <row r="698" s="9" customFormat="1" ht="15" customHeight="1"/>
    <row r="699" s="9" customFormat="1" ht="15" customHeight="1"/>
    <row r="700" s="9" customFormat="1" ht="15" customHeight="1"/>
    <row r="701" s="9" customFormat="1" ht="15" customHeight="1"/>
    <row r="702" s="9" customFormat="1" ht="15" customHeight="1"/>
    <row r="703" s="9" customFormat="1" ht="15" customHeight="1"/>
    <row r="704" s="9" customFormat="1" ht="15" customHeight="1"/>
    <row r="705" s="9" customFormat="1" ht="15" customHeight="1"/>
    <row r="706" s="9" customFormat="1" ht="15" customHeight="1"/>
    <row r="707" s="9" customFormat="1" ht="15" customHeight="1"/>
    <row r="708" s="9" customFormat="1" ht="15" customHeight="1"/>
    <row r="709" s="9" customFormat="1" ht="15" customHeight="1"/>
    <row r="710" s="9" customFormat="1" ht="15" customHeight="1"/>
    <row r="711" s="9" customFormat="1" ht="15" customHeight="1"/>
    <row r="712" s="9" customFormat="1" ht="15" customHeight="1"/>
    <row r="713" s="9" customFormat="1" ht="15" customHeight="1"/>
    <row r="714" s="9" customFormat="1" ht="15" customHeight="1"/>
    <row r="715" s="9" customFormat="1" ht="15" customHeight="1"/>
    <row r="716" s="9" customFormat="1" ht="15" customHeight="1"/>
    <row r="717" s="9" customFormat="1" ht="15" customHeight="1"/>
    <row r="718" s="9" customFormat="1" ht="15" customHeight="1"/>
    <row r="719" s="9" customFormat="1" ht="15" customHeight="1"/>
    <row r="720" s="9" customFormat="1" ht="15" customHeight="1"/>
    <row r="721" s="9" customFormat="1" ht="15" customHeight="1"/>
    <row r="722" s="9" customFormat="1" ht="15" customHeight="1"/>
    <row r="723" s="9" customFormat="1" ht="15" customHeight="1"/>
    <row r="724" s="9" customFormat="1" ht="15" customHeight="1"/>
    <row r="725" s="9" customFormat="1" ht="15" customHeight="1"/>
    <row r="726" s="9" customFormat="1" ht="15" customHeight="1"/>
    <row r="727" s="9" customFormat="1" ht="15" customHeight="1"/>
    <row r="728" s="9" customFormat="1" ht="15" customHeight="1"/>
    <row r="729" s="9" customFormat="1" ht="15" customHeight="1"/>
    <row r="730" s="9" customFormat="1" ht="15" customHeight="1"/>
    <row r="731" s="9" customFormat="1" ht="15" customHeight="1"/>
    <row r="732" s="9" customFormat="1" ht="15" customHeight="1"/>
    <row r="733" s="9" customFormat="1" ht="15" customHeight="1"/>
    <row r="734" s="9" customFormat="1" ht="15" customHeight="1"/>
    <row r="735" s="9" customFormat="1" ht="15" customHeight="1"/>
    <row r="736" s="9" customFormat="1" ht="15" customHeight="1"/>
    <row r="737" s="9" customFormat="1" ht="15" customHeight="1"/>
    <row r="738" s="9" customFormat="1" ht="15" customHeight="1"/>
    <row r="739" s="9" customFormat="1" ht="15" customHeight="1"/>
    <row r="740" s="9" customFormat="1" ht="15" customHeight="1"/>
    <row r="741" s="9" customFormat="1" ht="15" customHeight="1"/>
    <row r="742" s="9" customFormat="1" ht="15" customHeight="1"/>
    <row r="743" s="9" customFormat="1" ht="15" customHeight="1"/>
    <row r="744" s="9" customFormat="1" ht="15" customHeight="1"/>
    <row r="745" s="9" customFormat="1" ht="15" customHeight="1"/>
    <row r="746" s="9" customFormat="1" ht="15" customHeight="1"/>
    <row r="747" s="9" customFormat="1" ht="15" customHeight="1"/>
    <row r="748" s="9" customFormat="1" ht="15" customHeight="1"/>
    <row r="749" s="9" customFormat="1" ht="15" customHeight="1"/>
    <row r="750" s="9" customFormat="1" ht="15" customHeight="1"/>
    <row r="751" s="9" customFormat="1" ht="15" customHeight="1"/>
    <row r="752" s="9" customFormat="1" ht="15" customHeight="1"/>
    <row r="753" s="9" customFormat="1" ht="15" customHeight="1"/>
    <row r="754" s="9" customFormat="1" ht="15" customHeight="1"/>
    <row r="755" s="9" customFormat="1" ht="15" customHeight="1"/>
    <row r="756" s="9" customFormat="1" ht="15" customHeight="1"/>
    <row r="757" s="9" customFormat="1" ht="15" customHeight="1"/>
    <row r="758" s="9" customFormat="1" ht="15" customHeight="1"/>
    <row r="759" s="9" customFormat="1" ht="15" customHeight="1"/>
    <row r="760" s="9" customFormat="1" ht="15" customHeight="1"/>
    <row r="761" s="9" customFormat="1" ht="15" customHeight="1"/>
    <row r="762" s="9" customFormat="1" ht="15" customHeight="1"/>
    <row r="763" s="9" customFormat="1" ht="15" customHeight="1"/>
    <row r="764" s="9" customFormat="1" ht="15" customHeight="1"/>
    <row r="765" s="9" customFormat="1" ht="15" customHeight="1"/>
    <row r="766" s="9" customFormat="1" ht="15" customHeight="1"/>
    <row r="767" s="9" customFormat="1" ht="15" customHeight="1"/>
    <row r="768" s="9" customFormat="1" ht="15" customHeight="1"/>
    <row r="769" s="9" customFormat="1" ht="15" customHeight="1"/>
    <row r="770" s="9" customFormat="1" ht="15" customHeight="1"/>
    <row r="771" s="9" customFormat="1" ht="15" customHeight="1"/>
    <row r="772" s="9" customFormat="1" ht="15" customHeight="1"/>
    <row r="773" s="9" customFormat="1" ht="15" customHeight="1"/>
    <row r="774" s="9" customFormat="1" ht="15" customHeight="1"/>
    <row r="775" s="9" customFormat="1" ht="15" customHeight="1"/>
    <row r="776" s="9" customFormat="1" ht="15" customHeight="1"/>
    <row r="777" s="9" customFormat="1" ht="15" customHeight="1"/>
    <row r="778" s="9" customFormat="1" ht="15" customHeight="1"/>
    <row r="779" s="9" customFormat="1" ht="15" customHeight="1"/>
    <row r="780" s="9" customFormat="1" ht="15" customHeight="1"/>
    <row r="781" s="9" customFormat="1" ht="15" customHeight="1"/>
    <row r="782" s="9" customFormat="1" ht="15" customHeight="1"/>
    <row r="783" s="9" customFormat="1" ht="15" customHeight="1"/>
    <row r="784" s="9" customFormat="1" ht="15" customHeight="1"/>
    <row r="785" s="9" customFormat="1" ht="15" customHeight="1"/>
    <row r="786" s="9" customFormat="1" ht="15" customHeight="1"/>
    <row r="787" s="9" customFormat="1" ht="15" customHeight="1"/>
    <row r="788" s="9" customFormat="1" ht="15" customHeight="1"/>
    <row r="789" s="9" customFormat="1" ht="15" customHeight="1"/>
    <row r="790" s="9" customFormat="1" ht="15" customHeight="1"/>
    <row r="791" s="9" customFormat="1" ht="15" customHeight="1"/>
    <row r="792" s="9" customFormat="1" ht="15" customHeight="1"/>
    <row r="793" s="9" customFormat="1" ht="15" customHeight="1"/>
    <row r="794" s="9" customFormat="1" ht="15" customHeight="1"/>
    <row r="795" s="9" customFormat="1" ht="15" customHeight="1"/>
    <row r="796" s="9" customFormat="1" ht="15" customHeight="1"/>
    <row r="797" s="9" customFormat="1" ht="15" customHeight="1"/>
    <row r="798" s="9" customFormat="1" ht="15" customHeight="1"/>
    <row r="799" s="9" customFormat="1" ht="15" customHeight="1"/>
    <row r="800" s="9" customFormat="1" ht="15" customHeight="1"/>
    <row r="801" s="9" customFormat="1" ht="15" customHeight="1"/>
    <row r="802" s="9" customFormat="1" ht="15" customHeight="1"/>
    <row r="803" s="9" customFormat="1" ht="15" customHeight="1"/>
    <row r="804" s="9" customFormat="1" ht="15" customHeight="1"/>
    <row r="805" s="9" customFormat="1" ht="15" customHeight="1"/>
    <row r="806" s="9" customFormat="1" ht="15" customHeight="1"/>
    <row r="807" s="9" customFormat="1" ht="15" customHeight="1"/>
    <row r="808" s="9" customFormat="1" ht="15" customHeight="1"/>
    <row r="809" s="9" customFormat="1" ht="15" customHeight="1"/>
    <row r="810" s="9" customFormat="1" ht="15" customHeight="1"/>
    <row r="811" s="9" customFormat="1" ht="15" customHeight="1"/>
    <row r="812" s="9" customFormat="1" ht="15" customHeight="1"/>
    <row r="813" s="9" customFormat="1" ht="15" customHeight="1"/>
    <row r="814" s="9" customFormat="1" ht="15" customHeight="1"/>
    <row r="815" s="9" customFormat="1" ht="15" customHeight="1"/>
    <row r="816" s="9" customFormat="1" ht="15" customHeight="1"/>
    <row r="817" s="9" customFormat="1" ht="15" customHeight="1"/>
    <row r="818" s="9" customFormat="1" ht="15" customHeight="1"/>
    <row r="819" s="9" customFormat="1" ht="15" customHeight="1"/>
    <row r="820" s="9" customFormat="1" ht="15" customHeight="1"/>
    <row r="821" s="9" customFormat="1" ht="15" customHeight="1"/>
    <row r="822" s="9" customFormat="1" ht="15" customHeight="1"/>
    <row r="823" s="9" customFormat="1" ht="15" customHeight="1"/>
    <row r="824" s="9" customFormat="1" ht="15" customHeight="1"/>
    <row r="825" s="9" customFormat="1" ht="15" customHeight="1"/>
    <row r="826" s="9" customFormat="1" ht="15" customHeight="1"/>
    <row r="827" s="9" customFormat="1" ht="15" customHeight="1"/>
    <row r="828" s="9" customFormat="1" ht="15" customHeight="1"/>
    <row r="829" s="9" customFormat="1" ht="15" customHeight="1"/>
    <row r="830" s="9" customFormat="1" ht="15" customHeight="1"/>
    <row r="831" s="9" customFormat="1" ht="15" customHeight="1"/>
    <row r="832" s="9" customFormat="1" ht="15" customHeight="1"/>
    <row r="833" s="9" customFormat="1" ht="15" customHeight="1"/>
    <row r="834" s="9" customFormat="1" ht="15" customHeight="1"/>
    <row r="835" s="9" customFormat="1" ht="15" customHeight="1"/>
    <row r="836" s="9" customFormat="1" ht="15" customHeight="1"/>
    <row r="837" s="9" customFormat="1" ht="15" customHeight="1"/>
    <row r="838" s="9" customFormat="1" ht="15" customHeight="1"/>
    <row r="839" s="9" customFormat="1" ht="15" customHeight="1"/>
    <row r="840" s="9" customFormat="1" ht="15" customHeight="1"/>
    <row r="841" s="9" customFormat="1" ht="15" customHeight="1"/>
    <row r="842" s="9" customFormat="1" ht="15" customHeight="1"/>
    <row r="843" s="9" customFormat="1" ht="15" customHeight="1"/>
    <row r="844" s="9" customFormat="1" ht="15" customHeight="1"/>
    <row r="845" s="9" customFormat="1" ht="15" customHeight="1"/>
    <row r="846" s="9" customFormat="1" ht="15" customHeight="1"/>
    <row r="847" s="9" customFormat="1" ht="15" customHeight="1"/>
    <row r="848" s="9" customFormat="1" ht="15" customHeight="1"/>
    <row r="849" s="9" customFormat="1" ht="15" customHeight="1"/>
    <row r="850" s="9" customFormat="1" ht="15" customHeight="1"/>
    <row r="851" s="9" customFormat="1" ht="15" customHeight="1"/>
    <row r="852" s="9" customFormat="1" ht="15" customHeight="1"/>
    <row r="853" s="9" customFormat="1" ht="15" customHeight="1"/>
    <row r="854" s="9" customFormat="1" ht="15" customHeight="1"/>
    <row r="855" s="9" customFormat="1" ht="15" customHeight="1"/>
    <row r="856" s="9" customFormat="1" ht="15" customHeight="1"/>
    <row r="857" s="9" customFormat="1" ht="15" customHeight="1"/>
    <row r="858" s="9" customFormat="1" ht="15" customHeight="1"/>
    <row r="859" s="9" customFormat="1" ht="15" customHeight="1"/>
    <row r="860" s="9" customFormat="1" ht="15" customHeight="1"/>
    <row r="861" s="9" customFormat="1" ht="15" customHeight="1"/>
    <row r="862" s="9" customFormat="1" ht="15" customHeight="1"/>
    <row r="863" s="9" customFormat="1" ht="15" customHeight="1"/>
    <row r="864" s="9" customFormat="1" ht="15" customHeight="1"/>
    <row r="865" s="9" customFormat="1" ht="15" customHeight="1"/>
    <row r="866" s="9" customFormat="1" ht="15" customHeight="1"/>
    <row r="867" s="9" customFormat="1" ht="15" customHeight="1"/>
    <row r="868" s="9" customFormat="1" ht="15" customHeight="1"/>
    <row r="869" s="9" customFormat="1" ht="15" customHeight="1"/>
    <row r="870" s="9" customFormat="1" ht="15" customHeight="1"/>
    <row r="871" s="9" customFormat="1" ht="15" customHeight="1"/>
    <row r="872" s="9" customFormat="1" ht="15" customHeight="1"/>
    <row r="873" s="9" customFormat="1" ht="15" customHeight="1"/>
    <row r="874" s="9" customFormat="1" ht="15" customHeight="1"/>
    <row r="875" s="9" customFormat="1" ht="15" customHeight="1"/>
    <row r="876" s="9" customFormat="1" ht="15" customHeight="1"/>
    <row r="877" s="9" customFormat="1" ht="15" customHeight="1"/>
    <row r="878" s="9" customFormat="1" ht="15" customHeight="1"/>
    <row r="879" s="9" customFormat="1" ht="15" customHeight="1"/>
    <row r="880" s="9" customFormat="1" ht="15" customHeight="1"/>
    <row r="881" s="9" customFormat="1" ht="15" customHeight="1"/>
    <row r="882" s="9" customFormat="1" ht="15" customHeight="1"/>
    <row r="883" s="9" customFormat="1" ht="15" customHeight="1"/>
    <row r="884" s="9" customFormat="1" ht="15" customHeight="1"/>
    <row r="885" s="9" customFormat="1" ht="15" customHeight="1"/>
    <row r="886" s="9" customFormat="1" ht="15" customHeight="1"/>
    <row r="887" s="9" customFormat="1" ht="15" customHeight="1"/>
    <row r="888" s="9" customFormat="1" ht="15" customHeight="1"/>
    <row r="889" s="9" customFormat="1" ht="15" customHeight="1"/>
    <row r="890" s="9" customFormat="1" ht="15" customHeight="1"/>
    <row r="891" s="9" customFormat="1" ht="15" customHeight="1"/>
    <row r="892" s="9" customFormat="1" ht="15" customHeight="1"/>
    <row r="893" s="9" customFormat="1" ht="15" customHeight="1"/>
    <row r="894" s="9" customFormat="1" ht="15" customHeight="1"/>
    <row r="895" s="9" customFormat="1" ht="15" customHeight="1"/>
    <row r="896" s="9" customFormat="1" ht="15" customHeight="1"/>
    <row r="897" s="9" customFormat="1" ht="15" customHeight="1"/>
    <row r="898" s="9" customFormat="1" ht="15" customHeight="1"/>
    <row r="899" s="9" customFormat="1" ht="15" customHeight="1"/>
    <row r="900" s="9" customFormat="1" ht="15" customHeight="1"/>
    <row r="901" s="9" customFormat="1" ht="15" customHeight="1"/>
    <row r="902" s="9" customFormat="1" ht="15" customHeight="1"/>
    <row r="903" s="9" customFormat="1" ht="15" customHeight="1"/>
    <row r="904" s="9" customFormat="1" ht="15" customHeight="1"/>
    <row r="905" s="9" customFormat="1" ht="15" customHeight="1"/>
    <row r="906" s="9" customFormat="1" ht="15" customHeight="1"/>
    <row r="907" s="9" customFormat="1" ht="15" customHeight="1"/>
    <row r="908" s="9" customFormat="1" ht="15" customHeight="1"/>
    <row r="909" s="9" customFormat="1" ht="15" customHeight="1"/>
    <row r="910" s="9" customFormat="1" ht="15" customHeight="1"/>
    <row r="911" s="9" customFormat="1" ht="15" customHeight="1"/>
    <row r="912" s="9" customFormat="1" ht="15" customHeight="1"/>
    <row r="913" s="9" customFormat="1" ht="15" customHeight="1"/>
    <row r="914" s="9" customFormat="1" ht="15" customHeight="1"/>
    <row r="915" s="9" customFormat="1" ht="15" customHeight="1"/>
    <row r="916" s="9" customFormat="1" ht="15" customHeight="1"/>
    <row r="917" s="9" customFormat="1" ht="15" customHeight="1"/>
  </sheetData>
  <sheetProtection algorithmName="SHA-512" hashValue="VCJa7R3ORSKV6I4zi9f6Vjg6cJy/Kkc4NjL3dT4c8nVIQy+bjXFK+d1gYt3beHqxxhvJ5DUHMCPEN5f924FoBg==" saltValue="q4WZDOkJDxXyBgFQK5NgtA==" spinCount="100000" sheet="1" objects="1" scenarios="1"/>
  <hyperlinks>
    <hyperlink ref="A1" location="'Start-Experte'!A1" display="zurück" xr:uid="{00000000-0004-0000-24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29" operator="greaterThan" id="{1F9965F7-4674-490E-B789-C76FF937519B}">
            <xm:f>ControlPanel!$D$59-1</xm:f>
            <x14:dxf>
              <font>
                <color rgb="FF9C6500"/>
              </font>
              <fill>
                <patternFill>
                  <bgColor rgb="FFFFEB9C"/>
                </patternFill>
              </fill>
            </x14:dxf>
          </x14:cfRule>
          <x14:cfRule type="cellIs" priority="730" operator="lessThan" id="{6F733E6D-4A8C-4E21-9410-CBA3F6132203}">
            <xm:f>ControlPanel!$D$59</xm:f>
            <x14:dxf>
              <font>
                <color rgb="FF006100"/>
              </font>
              <fill>
                <patternFill>
                  <bgColor rgb="FFC6EFCE"/>
                </patternFill>
              </fill>
            </x14:dxf>
          </x14:cfRule>
          <x14:cfRule type="cellIs" priority="731"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4"/>
    <pageSetUpPr fitToPage="1"/>
  </sheetPr>
  <dimension ref="A1:AC51"/>
  <sheetViews>
    <sheetView workbookViewId="0"/>
  </sheetViews>
  <sheetFormatPr baseColWidth="10" defaultColWidth="11.42578125" defaultRowHeight="15" customHeight="1"/>
  <cols>
    <col min="1" max="2" width="3.7109375" style="143" customWidth="1"/>
    <col min="3" max="3" width="35.28515625" style="143" customWidth="1"/>
    <col min="4" max="4" width="22.42578125" style="143" customWidth="1"/>
    <col min="5" max="5" width="12.5703125" style="143" bestFit="1" customWidth="1"/>
    <col min="6" max="6" width="51.42578125" style="143" customWidth="1"/>
    <col min="7" max="7" width="6" style="143" customWidth="1"/>
    <col min="8" max="8" width="5.7109375" style="143" customWidth="1"/>
    <col min="9" max="9" width="23.42578125" style="143" customWidth="1"/>
    <col min="10" max="10" width="15.140625" style="143" customWidth="1"/>
    <col min="11" max="11" width="9.85546875" style="143" customWidth="1"/>
    <col min="12" max="12" width="21.42578125" style="143" customWidth="1"/>
    <col min="13" max="13" width="38.7109375" style="143" customWidth="1"/>
    <col min="14" max="14" width="4" style="143" customWidth="1"/>
    <col min="15" max="15" width="1.7109375" style="143" customWidth="1"/>
    <col min="16" max="16" width="5.85546875" style="143" customWidth="1"/>
    <col min="17" max="17" width="16.42578125" style="143" customWidth="1"/>
    <col min="18" max="18" width="15.28515625" style="143" customWidth="1"/>
    <col min="19" max="19" width="7.42578125" style="143" bestFit="1" customWidth="1"/>
    <col min="20" max="20" width="11.7109375" style="143" customWidth="1"/>
    <col min="21" max="21" width="7.42578125" style="143" customWidth="1"/>
    <col min="22" max="26" width="7.42578125" style="143" bestFit="1" customWidth="1"/>
    <col min="27" max="27" width="11.42578125" style="143"/>
    <col min="28" max="28" width="3.5703125" style="143" customWidth="1"/>
    <col min="29" max="16384" width="11.42578125" style="143"/>
  </cols>
  <sheetData>
    <row r="1" spans="1:28" s="128" customFormat="1" ht="17.100000000000001" customHeight="1">
      <c r="A1" s="858" t="s">
        <v>183</v>
      </c>
      <c r="B1" s="858"/>
      <c r="C1" s="858"/>
      <c r="D1" s="858"/>
      <c r="E1" s="858"/>
      <c r="F1" s="858"/>
      <c r="G1" s="858"/>
      <c r="H1" s="858"/>
      <c r="I1" s="858"/>
      <c r="J1" s="858"/>
      <c r="K1" s="858"/>
      <c r="L1" s="858"/>
      <c r="M1" s="858"/>
      <c r="N1" s="858"/>
      <c r="O1" s="858"/>
      <c r="P1" s="858"/>
      <c r="Q1" s="858"/>
      <c r="R1" s="858"/>
      <c r="S1" s="858"/>
      <c r="T1" s="858"/>
      <c r="U1" s="858"/>
      <c r="V1" s="858"/>
      <c r="W1" s="858"/>
      <c r="X1" s="858"/>
      <c r="Y1" s="858"/>
      <c r="Z1" s="858"/>
      <c r="AA1" s="858"/>
      <c r="AB1" s="858"/>
    </row>
    <row r="2" spans="1:28" ht="17.100000000000001" customHeight="1">
      <c r="B2" s="882"/>
      <c r="C2" s="1459" t="s">
        <v>230</v>
      </c>
      <c r="D2" s="883"/>
      <c r="E2" s="883"/>
      <c r="F2" s="883"/>
      <c r="G2" s="883"/>
      <c r="H2" s="883"/>
      <c r="I2" s="883"/>
      <c r="J2" s="883"/>
      <c r="K2" s="883"/>
      <c r="L2" s="883"/>
      <c r="M2" s="883"/>
      <c r="N2" s="883"/>
      <c r="O2" s="883"/>
      <c r="P2" s="883"/>
      <c r="Q2" s="883"/>
      <c r="R2" s="883"/>
      <c r="S2" s="883"/>
      <c r="T2" s="1453" t="str">
        <f>CONCATENATE("Version ",Impressum!$C$17)</f>
        <v>Version 4.3.6</v>
      </c>
      <c r="U2" s="1453"/>
      <c r="V2" s="884"/>
      <c r="W2" s="884"/>
      <c r="X2" s="884"/>
      <c r="Y2" s="884"/>
      <c r="Z2" s="884"/>
      <c r="AA2" s="885"/>
    </row>
    <row r="3" spans="1:28" ht="17.100000000000001" customHeight="1">
      <c r="B3" s="886"/>
      <c r="C3" s="1460"/>
      <c r="D3" s="887"/>
      <c r="E3" s="887"/>
      <c r="F3" s="887"/>
      <c r="G3" s="887"/>
      <c r="H3" s="887"/>
      <c r="I3" s="887"/>
      <c r="J3" s="887"/>
      <c r="K3" s="887"/>
      <c r="L3" s="887"/>
      <c r="M3" s="887"/>
      <c r="N3" s="887"/>
      <c r="O3" s="887"/>
      <c r="P3" s="887"/>
      <c r="Q3" s="887"/>
      <c r="R3" s="887"/>
      <c r="S3" s="887"/>
      <c r="T3" s="1454"/>
      <c r="U3" s="1454"/>
      <c r="V3" s="888"/>
      <c r="W3" s="888"/>
      <c r="X3" s="888"/>
      <c r="Y3" s="888"/>
      <c r="Z3" s="888"/>
      <c r="AA3" s="889"/>
    </row>
    <row r="4" spans="1:28" s="128" customFormat="1" ht="17.100000000000001" customHeight="1" thickBot="1">
      <c r="A4" s="858"/>
      <c r="B4" s="667"/>
      <c r="C4" s="807" t="s">
        <v>143</v>
      </c>
      <c r="D4" s="668"/>
      <c r="E4" s="668"/>
      <c r="F4" s="668"/>
      <c r="G4" s="668"/>
      <c r="H4" s="668"/>
      <c r="I4" s="668"/>
      <c r="J4" s="668"/>
      <c r="K4" s="668"/>
      <c r="L4" s="668"/>
      <c r="M4" s="668"/>
      <c r="N4" s="668"/>
      <c r="O4" s="668"/>
      <c r="P4" s="668"/>
      <c r="Q4" s="668"/>
      <c r="R4" s="668"/>
      <c r="S4" s="668"/>
      <c r="T4" s="668"/>
      <c r="U4" s="668"/>
      <c r="V4" s="668"/>
      <c r="W4" s="668"/>
      <c r="X4" s="668"/>
      <c r="Y4" s="668"/>
      <c r="Z4" s="668"/>
      <c r="AA4" s="669"/>
      <c r="AB4" s="858"/>
    </row>
    <row r="5" spans="1:28" s="128" customFormat="1" ht="27" customHeight="1" thickBot="1">
      <c r="A5" s="858"/>
      <c r="B5" s="670"/>
      <c r="C5" s="671"/>
      <c r="D5" s="672"/>
      <c r="E5" s="672"/>
      <c r="F5" s="672"/>
      <c r="G5" s="672"/>
      <c r="H5" s="672"/>
      <c r="I5" s="672"/>
      <c r="J5" s="672"/>
      <c r="K5" s="672"/>
      <c r="L5" s="672"/>
      <c r="M5" s="672"/>
      <c r="N5" s="672"/>
      <c r="O5" s="672"/>
      <c r="P5" s="672"/>
      <c r="Q5" s="1446" t="s">
        <v>540</v>
      </c>
      <c r="R5" s="1447"/>
      <c r="S5" s="1448"/>
      <c r="T5" s="982" t="str">
        <f>ControlPanel!$T$5</f>
        <v>nominal</v>
      </c>
      <c r="U5" s="1446"/>
      <c r="V5" s="1448"/>
      <c r="W5" s="672"/>
      <c r="X5" s="672"/>
      <c r="Y5" s="672"/>
      <c r="Z5" s="672"/>
      <c r="AA5" s="673"/>
      <c r="AB5" s="858"/>
    </row>
    <row r="6" spans="1:28" s="128" customFormat="1" ht="29.25" customHeight="1" thickBot="1">
      <c r="A6" s="858"/>
      <c r="B6" s="670"/>
      <c r="C6" s="674"/>
      <c r="D6" s="1383" t="s">
        <v>571</v>
      </c>
      <c r="E6" s="1396"/>
      <c r="F6" s="1384"/>
      <c r="G6" s="672"/>
      <c r="H6" s="672"/>
      <c r="I6" s="672"/>
      <c r="J6" s="1383" t="str">
        <f>"Eingabe-Parameter:
Entwicklung der Vergütungssätze (real, bezogen auf "&amp;ControlPanel!D60&amp;")"</f>
        <v>Eingabe-Parameter:
Entwicklung der Vergütungssätze (real, bezogen auf 2022)</v>
      </c>
      <c r="K6" s="1396"/>
      <c r="L6" s="1396"/>
      <c r="M6" s="1384"/>
      <c r="N6" s="675"/>
      <c r="O6" s="672"/>
      <c r="P6" s="672"/>
      <c r="Q6" s="672"/>
      <c r="R6" s="672"/>
      <c r="S6" s="672"/>
      <c r="T6" s="672"/>
      <c r="U6" s="672"/>
      <c r="V6" s="672"/>
      <c r="W6" s="672"/>
      <c r="X6" s="672"/>
      <c r="Y6" s="672"/>
      <c r="Z6" s="672"/>
      <c r="AA6" s="673"/>
      <c r="AB6" s="858"/>
    </row>
    <row r="7" spans="1:28" s="128" customFormat="1" ht="29.25" customHeight="1" thickBot="1">
      <c r="A7" s="858"/>
      <c r="B7" s="670"/>
      <c r="C7" s="808" t="s">
        <v>145</v>
      </c>
      <c r="D7" s="809" t="s">
        <v>140</v>
      </c>
      <c r="E7" s="1401" t="s">
        <v>141</v>
      </c>
      <c r="F7" s="1402"/>
      <c r="G7" s="672"/>
      <c r="H7" s="672"/>
      <c r="I7" s="808" t="s">
        <v>145</v>
      </c>
      <c r="J7" s="1392" t="s">
        <v>140</v>
      </c>
      <c r="K7" s="1393"/>
      <c r="L7" s="1401" t="s">
        <v>141</v>
      </c>
      <c r="M7" s="1402"/>
      <c r="N7" s="675"/>
      <c r="O7" s="672"/>
      <c r="P7" s="672"/>
      <c r="Q7" s="672"/>
      <c r="R7" s="672"/>
      <c r="S7" s="672"/>
      <c r="T7" s="672"/>
      <c r="U7" s="672"/>
      <c r="V7" s="672"/>
      <c r="W7" s="672"/>
      <c r="X7" s="672"/>
      <c r="Y7" s="672"/>
      <c r="Z7" s="672"/>
      <c r="AA7" s="673"/>
      <c r="AB7" s="858"/>
    </row>
    <row r="8" spans="1:28" s="128" customFormat="1" ht="29.25" customHeight="1">
      <c r="A8" s="858"/>
      <c r="B8" s="670"/>
      <c r="C8" s="676" t="s">
        <v>24</v>
      </c>
      <c r="D8" s="1131" t="s">
        <v>780</v>
      </c>
      <c r="E8" s="507" t="s">
        <v>138</v>
      </c>
      <c r="F8" s="691" t="str">
        <f>'D-Bruttozubau'!E10</f>
        <v>1,5 GW bis 2021, ab 2023 2,5 GW/a</v>
      </c>
      <c r="G8" s="672"/>
      <c r="H8" s="672"/>
      <c r="I8" s="676" t="s">
        <v>24</v>
      </c>
      <c r="J8" s="1451" t="s">
        <v>780</v>
      </c>
      <c r="K8" s="1452"/>
      <c r="L8" s="507" t="s">
        <v>138</v>
      </c>
      <c r="M8" s="703" t="str">
        <f>'D-Vergütungssatz Neuanlagen'!E10</f>
        <v>sinkt auf 3,5 ct/kWh in 2035</v>
      </c>
      <c r="N8" s="675"/>
      <c r="O8" s="672"/>
      <c r="P8" s="672"/>
      <c r="Q8" s="672"/>
      <c r="R8" s="672"/>
      <c r="S8" s="672"/>
      <c r="T8" s="672"/>
      <c r="U8" s="672"/>
      <c r="V8" s="672"/>
      <c r="W8" s="672"/>
      <c r="X8" s="672"/>
      <c r="Y8" s="672"/>
      <c r="Z8" s="672"/>
      <c r="AA8" s="673"/>
      <c r="AB8" s="858"/>
    </row>
    <row r="9" spans="1:28" s="128" customFormat="1" ht="29.25" customHeight="1">
      <c r="A9" s="858"/>
      <c r="B9" s="670"/>
      <c r="C9" s="677" t="s">
        <v>26</v>
      </c>
      <c r="D9" s="666" t="s">
        <v>780</v>
      </c>
      <c r="E9" s="510" t="s">
        <v>138</v>
      </c>
      <c r="F9" s="692" t="str">
        <f>'D-Bruttozubau'!E11</f>
        <v>MFP Trend, danach konstant 1,6 GW</v>
      </c>
      <c r="G9" s="672"/>
      <c r="H9" s="672"/>
      <c r="I9" s="677" t="s">
        <v>26</v>
      </c>
      <c r="J9" s="1457" t="s">
        <v>780</v>
      </c>
      <c r="K9" s="1458"/>
      <c r="L9" s="510" t="s">
        <v>138</v>
      </c>
      <c r="M9" s="704" t="str">
        <f>'D-Vergütungssatz Neuanlagen'!E11</f>
        <v>sinkt auf 4,5 ct/kWh in 2035</v>
      </c>
      <c r="N9" s="675"/>
      <c r="O9" s="672"/>
      <c r="P9" s="672"/>
      <c r="Q9" s="672"/>
      <c r="R9" s="672"/>
      <c r="S9" s="672"/>
      <c r="T9" s="672"/>
      <c r="U9" s="672"/>
      <c r="V9" s="672"/>
      <c r="W9" s="672"/>
      <c r="X9" s="672"/>
      <c r="Y9" s="672"/>
      <c r="Z9" s="672"/>
      <c r="AA9" s="673"/>
      <c r="AB9" s="858"/>
    </row>
    <row r="10" spans="1:28" s="128" customFormat="1" ht="29.25" customHeight="1">
      <c r="A10" s="858"/>
      <c r="B10" s="670"/>
      <c r="C10" s="715" t="s">
        <v>74</v>
      </c>
      <c r="D10" s="666" t="s">
        <v>780</v>
      </c>
      <c r="E10" s="510" t="s">
        <v>138</v>
      </c>
      <c r="F10" s="693" t="str">
        <f>'D-Bruttozubau'!E12</f>
        <v>MFP Trend</v>
      </c>
      <c r="G10" s="672"/>
      <c r="H10" s="672"/>
      <c r="I10" s="715" t="s">
        <v>74</v>
      </c>
      <c r="J10" s="1457" t="s">
        <v>780</v>
      </c>
      <c r="K10" s="1458"/>
      <c r="L10" s="510" t="s">
        <v>138</v>
      </c>
      <c r="M10" s="693" t="str">
        <f>'D-Vergütungssatz Neuanlagen'!E12</f>
        <v>EEG 2017; Anteil Ausschreibungen ab 2020 50%</v>
      </c>
      <c r="N10" s="675"/>
      <c r="O10" s="672"/>
      <c r="P10" s="672"/>
      <c r="Q10" s="672"/>
      <c r="R10" s="672"/>
      <c r="S10" s="672"/>
      <c r="T10" s="672"/>
      <c r="U10" s="672"/>
      <c r="V10" s="672"/>
      <c r="W10" s="672"/>
      <c r="X10" s="672"/>
      <c r="Y10" s="672"/>
      <c r="Z10" s="672"/>
      <c r="AA10" s="673"/>
      <c r="AB10" s="858"/>
    </row>
    <row r="11" spans="1:28" s="128" customFormat="1" ht="29.25" customHeight="1">
      <c r="A11" s="858"/>
      <c r="B11" s="670"/>
      <c r="C11" s="678" t="s">
        <v>13</v>
      </c>
      <c r="D11" s="666" t="s">
        <v>780</v>
      </c>
      <c r="E11" s="510" t="s">
        <v>138</v>
      </c>
      <c r="F11" s="692" t="str">
        <f>'D-Bruttozubau'!E8</f>
        <v>MFP Trend; 0,2 GW/a</v>
      </c>
      <c r="G11" s="672"/>
      <c r="H11" s="672"/>
      <c r="I11" s="678" t="s">
        <v>13</v>
      </c>
      <c r="J11" s="1457" t="s">
        <v>780</v>
      </c>
      <c r="K11" s="1458"/>
      <c r="L11" s="510" t="s">
        <v>138</v>
      </c>
      <c r="M11" s="704" t="str">
        <f>'D-Vergütungssatz Neuanlagen'!E8</f>
        <v>EEG 2017</v>
      </c>
      <c r="N11" s="675"/>
      <c r="O11" s="672"/>
      <c r="P11" s="672"/>
      <c r="Q11" s="672"/>
      <c r="R11" s="672"/>
      <c r="S11" s="672"/>
      <c r="T11" s="672"/>
      <c r="U11" s="672"/>
      <c r="V11" s="672"/>
      <c r="W11" s="672"/>
      <c r="X11" s="672"/>
      <c r="Y11" s="672"/>
      <c r="Z11" s="672"/>
      <c r="AA11" s="673"/>
      <c r="AB11" s="858"/>
    </row>
    <row r="12" spans="1:28" s="128" customFormat="1" ht="29.25" customHeight="1">
      <c r="A12" s="858"/>
      <c r="B12" s="670"/>
      <c r="C12" s="679" t="s">
        <v>12</v>
      </c>
      <c r="D12" s="666" t="s">
        <v>329</v>
      </c>
      <c r="E12" s="694" t="s">
        <v>138</v>
      </c>
      <c r="F12" s="692" t="str">
        <f>'D-Bruttozubau'!E9</f>
        <v>0,01GW/a</v>
      </c>
      <c r="G12" s="672"/>
      <c r="H12" s="672"/>
      <c r="I12" s="679" t="s">
        <v>12</v>
      </c>
      <c r="J12" s="1457" t="s">
        <v>329</v>
      </c>
      <c r="K12" s="1458"/>
      <c r="L12" s="694" t="s">
        <v>138</v>
      </c>
      <c r="M12" s="704" t="str">
        <f>'D-Vergütungssatz Neuanlagen'!E9</f>
        <v>EEG 2017</v>
      </c>
      <c r="N12" s="675"/>
      <c r="O12" s="672"/>
      <c r="P12" s="672"/>
      <c r="Q12" s="672"/>
      <c r="R12" s="672"/>
      <c r="S12" s="672"/>
      <c r="T12" s="672"/>
      <c r="U12" s="672"/>
      <c r="V12" s="672"/>
      <c r="W12" s="672"/>
      <c r="X12" s="672"/>
      <c r="Y12" s="672"/>
      <c r="Z12" s="672"/>
      <c r="AA12" s="673"/>
      <c r="AB12" s="858"/>
    </row>
    <row r="13" spans="1:28" s="128" customFormat="1" ht="29.25" customHeight="1">
      <c r="A13" s="858"/>
      <c r="B13" s="670"/>
      <c r="C13" s="680" t="s">
        <v>25</v>
      </c>
      <c r="D13" s="666" t="s">
        <v>329</v>
      </c>
      <c r="E13" s="694" t="s">
        <v>138</v>
      </c>
      <c r="F13" s="692" t="str">
        <f>'D-Bruttozubau'!E6</f>
        <v>0,01 GW/a</v>
      </c>
      <c r="G13" s="672"/>
      <c r="H13" s="672"/>
      <c r="I13" s="680" t="s">
        <v>25</v>
      </c>
      <c r="J13" s="1457" t="s">
        <v>329</v>
      </c>
      <c r="K13" s="1458"/>
      <c r="L13" s="694" t="s">
        <v>138</v>
      </c>
      <c r="M13" s="704" t="str">
        <f>'D-Vergütungssatz Neuanlagen'!E6</f>
        <v>EEG 2017</v>
      </c>
      <c r="N13" s="675"/>
      <c r="O13" s="672"/>
      <c r="P13" s="672"/>
      <c r="Q13" s="672"/>
      <c r="R13" s="672"/>
      <c r="S13" s="672"/>
      <c r="T13" s="672"/>
      <c r="U13" s="672"/>
      <c r="V13" s="672"/>
      <c r="W13" s="672"/>
      <c r="X13" s="672"/>
      <c r="Y13" s="672"/>
      <c r="Z13" s="672"/>
      <c r="AA13" s="673"/>
      <c r="AB13" s="858"/>
    </row>
    <row r="14" spans="1:28" s="128" customFormat="1" ht="29.25" customHeight="1" thickBot="1">
      <c r="A14" s="858"/>
      <c r="B14" s="670"/>
      <c r="C14" s="681" t="s">
        <v>27</v>
      </c>
      <c r="D14" s="695" t="s">
        <v>329</v>
      </c>
      <c r="E14" s="696" t="s">
        <v>138</v>
      </c>
      <c r="F14" s="697" t="str">
        <f>'D-Bruttozubau'!E7</f>
        <v>0,01GW/a</v>
      </c>
      <c r="G14" s="672"/>
      <c r="H14" s="672"/>
      <c r="I14" s="681" t="s">
        <v>27</v>
      </c>
      <c r="J14" s="1455" t="s">
        <v>329</v>
      </c>
      <c r="K14" s="1456"/>
      <c r="L14" s="696" t="s">
        <v>138</v>
      </c>
      <c r="M14" s="697" t="str">
        <f>'D-Vergütungssatz Neuanlagen'!E7</f>
        <v>EEG 2017</v>
      </c>
      <c r="N14" s="675"/>
      <c r="O14" s="672"/>
      <c r="P14" s="672"/>
      <c r="Q14" s="672"/>
      <c r="R14" s="672"/>
      <c r="S14" s="672"/>
      <c r="T14" s="672"/>
      <c r="U14" s="672"/>
      <c r="V14" s="672"/>
      <c r="W14" s="672"/>
      <c r="X14" s="672"/>
      <c r="Y14" s="672"/>
      <c r="Z14" s="672"/>
      <c r="AA14" s="673"/>
      <c r="AB14" s="858"/>
    </row>
    <row r="15" spans="1:28" s="128" customFormat="1" ht="12.75">
      <c r="A15" s="858"/>
      <c r="B15" s="670"/>
      <c r="C15" s="672"/>
      <c r="D15" s="672"/>
      <c r="E15" s="672"/>
      <c r="F15" s="675"/>
      <c r="G15" s="672"/>
      <c r="H15" s="672"/>
      <c r="I15" s="672"/>
      <c r="J15" s="672"/>
      <c r="K15" s="672"/>
      <c r="L15" s="672"/>
      <c r="M15" s="682"/>
      <c r="N15" s="672"/>
      <c r="O15" s="672"/>
      <c r="P15" s="672"/>
      <c r="Q15" s="672"/>
      <c r="R15" s="672"/>
      <c r="S15" s="672"/>
      <c r="T15" s="672"/>
      <c r="U15" s="672"/>
      <c r="V15" s="672"/>
      <c r="W15" s="672"/>
      <c r="X15" s="672"/>
      <c r="Y15" s="672"/>
      <c r="Z15" s="672"/>
      <c r="AA15" s="673"/>
      <c r="AB15" s="858"/>
    </row>
    <row r="16" spans="1:28" s="128" customFormat="1" ht="13.5" thickBot="1">
      <c r="A16" s="858"/>
      <c r="B16" s="670"/>
      <c r="C16" s="672"/>
      <c r="D16" s="672"/>
      <c r="E16" s="672"/>
      <c r="F16" s="672"/>
      <c r="G16" s="672"/>
      <c r="H16" s="672"/>
      <c r="I16" s="672"/>
      <c r="J16" s="672"/>
      <c r="K16" s="672"/>
      <c r="L16" s="672"/>
      <c r="M16" s="672"/>
      <c r="N16" s="672"/>
      <c r="O16" s="672"/>
      <c r="P16" s="672"/>
      <c r="Q16" s="672"/>
      <c r="R16" s="672"/>
      <c r="S16" s="672"/>
      <c r="T16" s="672"/>
      <c r="U16" s="672"/>
      <c r="V16" s="672"/>
      <c r="W16" s="672"/>
      <c r="X16" s="672"/>
      <c r="Y16" s="672"/>
      <c r="Z16" s="672"/>
      <c r="AA16" s="673"/>
      <c r="AB16" s="858"/>
    </row>
    <row r="17" spans="1:28" s="128" customFormat="1" ht="28.5" customHeight="1" thickBot="1">
      <c r="A17" s="858"/>
      <c r="B17" s="670"/>
      <c r="C17" s="672"/>
      <c r="D17" s="1383" t="s">
        <v>612</v>
      </c>
      <c r="E17" s="1396"/>
      <c r="F17" s="1384"/>
      <c r="G17" s="672"/>
      <c r="H17" s="672"/>
      <c r="I17" s="672"/>
      <c r="J17" s="1383" t="s">
        <v>611</v>
      </c>
      <c r="K17" s="1396"/>
      <c r="L17" s="1396"/>
      <c r="M17" s="1384"/>
      <c r="N17" s="672"/>
      <c r="O17" s="672"/>
      <c r="P17" s="672"/>
      <c r="Q17" s="672"/>
      <c r="R17" s="672"/>
      <c r="S17" s="672"/>
      <c r="T17" s="672"/>
      <c r="U17" s="672"/>
      <c r="V17" s="672"/>
      <c r="W17" s="672"/>
      <c r="X17" s="672"/>
      <c r="Y17" s="672"/>
      <c r="Z17" s="672"/>
      <c r="AA17" s="673"/>
      <c r="AB17" s="858"/>
    </row>
    <row r="18" spans="1:28" s="128" customFormat="1" ht="13.5" thickBot="1">
      <c r="A18" s="858"/>
      <c r="B18" s="670"/>
      <c r="C18" s="672"/>
      <c r="D18" s="809" t="s">
        <v>140</v>
      </c>
      <c r="E18" s="1397" t="s">
        <v>141</v>
      </c>
      <c r="F18" s="1398"/>
      <c r="G18" s="672"/>
      <c r="H18" s="672"/>
      <c r="I18" s="672"/>
      <c r="J18" s="1407" t="s">
        <v>140</v>
      </c>
      <c r="K18" s="1408"/>
      <c r="L18" s="1397" t="s">
        <v>141</v>
      </c>
      <c r="M18" s="1398"/>
      <c r="N18" s="672"/>
      <c r="O18" s="672"/>
      <c r="P18" s="672"/>
      <c r="Q18" s="672"/>
      <c r="R18" s="672"/>
      <c r="S18" s="672"/>
      <c r="T18" s="672"/>
      <c r="U18" s="672"/>
      <c r="V18" s="672"/>
      <c r="W18" s="672"/>
      <c r="X18" s="672"/>
      <c r="Y18" s="672"/>
      <c r="Z18" s="672"/>
      <c r="AA18" s="673"/>
      <c r="AB18" s="858"/>
    </row>
    <row r="19" spans="1:28" s="128" customFormat="1" ht="28.5" customHeight="1">
      <c r="A19" s="858"/>
      <c r="B19" s="670"/>
      <c r="C19" s="810" t="s">
        <v>353</v>
      </c>
      <c r="D19" s="800" t="s">
        <v>780</v>
      </c>
      <c r="E19" s="507" t="s">
        <v>138</v>
      </c>
      <c r="F19" s="698" t="str">
        <f>'D-Privilegierter Letztverbrauch'!$D$6</f>
        <v>MFP Referenz</v>
      </c>
      <c r="G19" s="672"/>
      <c r="H19" s="683"/>
      <c r="I19" s="810" t="s">
        <v>182</v>
      </c>
      <c r="J19" s="1451" t="s">
        <v>780</v>
      </c>
      <c r="K19" s="1452"/>
      <c r="L19" s="507" t="s">
        <v>138</v>
      </c>
      <c r="M19" s="698" t="str">
        <f>'D-Future Strompreis'!$D$6</f>
        <v>7,8 -&gt; 5,4 ct/kWh</v>
      </c>
      <c r="N19" s="672"/>
      <c r="O19" s="683"/>
      <c r="P19" s="672"/>
      <c r="Q19" s="672"/>
      <c r="R19" s="672"/>
      <c r="S19" s="672"/>
      <c r="T19" s="672"/>
      <c r="U19" s="672"/>
      <c r="V19" s="672"/>
      <c r="W19" s="672"/>
      <c r="X19" s="672"/>
      <c r="Y19" s="672"/>
      <c r="Z19" s="672"/>
      <c r="AA19" s="673"/>
      <c r="AB19" s="858"/>
    </row>
    <row r="20" spans="1:28" s="128" customFormat="1" ht="38.25">
      <c r="A20" s="858"/>
      <c r="B20" s="670"/>
      <c r="C20" s="811" t="s">
        <v>265</v>
      </c>
      <c r="D20" s="799" t="s">
        <v>780</v>
      </c>
      <c r="E20" s="510" t="s">
        <v>138</v>
      </c>
      <c r="F20" s="699" t="str">
        <f>'D-Umlage priv. Letztverbrauch'!$D$6</f>
        <v>15% (gem. EEG 2021)</v>
      </c>
      <c r="G20" s="672"/>
      <c r="H20" s="683"/>
      <c r="I20" s="1231" t="s">
        <v>843</v>
      </c>
      <c r="J20" s="1450" t="s">
        <v>780</v>
      </c>
      <c r="K20" s="1450"/>
      <c r="L20" s="1230" t="s">
        <v>255</v>
      </c>
      <c r="M20" s="701" t="str">
        <f>'D-Prognosefehler Kontostand'!D6</f>
        <v>keine Abweichung</v>
      </c>
      <c r="N20" s="672"/>
      <c r="O20" s="683"/>
      <c r="P20" s="672"/>
      <c r="Q20" s="672"/>
      <c r="R20" s="672"/>
      <c r="S20" s="672"/>
      <c r="T20" s="672"/>
      <c r="U20" s="672"/>
      <c r="V20" s="672"/>
      <c r="W20" s="672"/>
      <c r="X20" s="672"/>
      <c r="Y20" s="672"/>
      <c r="Z20" s="672"/>
      <c r="AA20" s="673"/>
      <c r="AB20" s="858"/>
    </row>
    <row r="21" spans="1:28" s="128" customFormat="1" ht="27.75" customHeight="1" thickBot="1">
      <c r="A21" s="858"/>
      <c r="B21" s="670"/>
      <c r="C21" s="813" t="s">
        <v>368</v>
      </c>
      <c r="D21" s="798" t="s">
        <v>780</v>
      </c>
      <c r="E21" s="661" t="s">
        <v>138</v>
      </c>
      <c r="F21" s="700" t="str">
        <f>'D-Faktor Zusatzprivilegierung'!$D$6</f>
        <v>Bis 2022: ÜNB-Umlageberechnungen, danach konstant (wirkt wie vollständige Befreiung von 62% des priv. LV)</v>
      </c>
      <c r="G21" s="672"/>
      <c r="H21" s="672"/>
      <c r="I21" s="1232" t="s">
        <v>871</v>
      </c>
      <c r="J21" s="1449" t="s">
        <v>780</v>
      </c>
      <c r="K21" s="1449"/>
      <c r="L21" s="511" t="s">
        <v>138</v>
      </c>
      <c r="M21" s="702" t="str">
        <f>'D-Zuschuss'!D6</f>
        <v>Politisch zugesagte Bundeszuschüsse</v>
      </c>
      <c r="N21" s="672"/>
      <c r="O21" s="683"/>
      <c r="P21" s="672"/>
      <c r="Q21" s="672"/>
      <c r="R21" s="672"/>
      <c r="S21" s="672"/>
      <c r="T21" s="672"/>
      <c r="U21" s="672"/>
      <c r="V21" s="672"/>
      <c r="W21" s="672"/>
      <c r="X21" s="672"/>
      <c r="Y21" s="672"/>
      <c r="Z21" s="672"/>
      <c r="AA21" s="673"/>
      <c r="AB21" s="858"/>
    </row>
    <row r="22" spans="1:28" s="128" customFormat="1" ht="13.5" thickBot="1">
      <c r="A22" s="858"/>
      <c r="B22" s="670"/>
      <c r="C22" s="672"/>
      <c r="D22" s="672"/>
      <c r="E22" s="672"/>
      <c r="F22" s="672"/>
      <c r="G22" s="672"/>
      <c r="H22" s="672"/>
      <c r="I22" s="672"/>
      <c r="J22" s="672"/>
      <c r="K22" s="672"/>
      <c r="L22" s="672"/>
      <c r="M22" s="672"/>
      <c r="N22" s="672"/>
      <c r="O22" s="683"/>
      <c r="P22" s="672"/>
      <c r="Q22" s="1347" t="s">
        <v>344</v>
      </c>
      <c r="R22" s="1348"/>
      <c r="S22" s="1348"/>
      <c r="T22" s="1348"/>
      <c r="U22" s="1348"/>
      <c r="V22" s="1348"/>
      <c r="W22" s="1348"/>
      <c r="X22" s="1349"/>
      <c r="Y22" s="1361"/>
      <c r="Z22" s="672"/>
      <c r="AA22" s="673"/>
    </row>
    <row r="23" spans="1:28" s="128" customFormat="1" ht="13.5" thickBot="1">
      <c r="A23" s="858"/>
      <c r="B23" s="670"/>
      <c r="C23" s="672"/>
      <c r="D23" s="672"/>
      <c r="E23" s="672"/>
      <c r="F23" s="672"/>
      <c r="G23" s="672"/>
      <c r="H23" s="672"/>
      <c r="I23" s="672"/>
      <c r="J23" s="672"/>
      <c r="K23" s="672"/>
      <c r="L23" s="672"/>
      <c r="M23" s="672"/>
      <c r="N23" s="672"/>
      <c r="O23" s="672"/>
      <c r="P23" s="672"/>
      <c r="Q23" s="1338"/>
      <c r="R23" s="1339"/>
      <c r="S23" s="814">
        <f>ControlPanel!$D$59-1</f>
        <v>2022</v>
      </c>
      <c r="T23" s="814">
        <f>ControlPanel!$D$59</f>
        <v>2023</v>
      </c>
      <c r="U23" s="815">
        <f>ControlPanel!$D$59+1</f>
        <v>2024</v>
      </c>
      <c r="V23" s="815">
        <f>ControlPanel!$D$59+2</f>
        <v>2025</v>
      </c>
      <c r="W23" s="815">
        <v>2030</v>
      </c>
      <c r="X23" s="815">
        <v>2035</v>
      </c>
      <c r="Y23" s="1361"/>
      <c r="Z23" s="672"/>
      <c r="AA23" s="673"/>
    </row>
    <row r="24" spans="1:28" s="128" customFormat="1" ht="31.5" customHeight="1" thickBot="1">
      <c r="A24" s="858"/>
      <c r="B24" s="670"/>
      <c r="C24" s="672"/>
      <c r="D24" s="1383" t="s">
        <v>345</v>
      </c>
      <c r="E24" s="1396"/>
      <c r="F24" s="1384"/>
      <c r="G24" s="672"/>
      <c r="H24" s="672"/>
      <c r="I24" s="672"/>
      <c r="J24" s="672"/>
      <c r="K24" s="672"/>
      <c r="L24" s="672"/>
      <c r="M24" s="672"/>
      <c r="N24" s="672"/>
      <c r="O24" s="684"/>
      <c r="P24" s="672"/>
      <c r="Q24" s="1344" t="s">
        <v>347</v>
      </c>
      <c r="R24" s="1345"/>
      <c r="S24" s="1345"/>
      <c r="T24" s="1345"/>
      <c r="U24" s="1345"/>
      <c r="V24" s="1345"/>
      <c r="W24" s="1345"/>
      <c r="X24" s="1346"/>
      <c r="Y24" s="1361"/>
      <c r="Z24" s="672"/>
      <c r="AA24" s="673"/>
    </row>
    <row r="25" spans="1:28" s="128" customFormat="1" ht="29.25" customHeight="1" thickBot="1">
      <c r="A25" s="858"/>
      <c r="B25" s="670"/>
      <c r="C25" s="819" t="s">
        <v>346</v>
      </c>
      <c r="D25" s="820" t="s">
        <v>140</v>
      </c>
      <c r="E25" s="1401" t="s">
        <v>141</v>
      </c>
      <c r="F25" s="1402"/>
      <c r="G25" s="672"/>
      <c r="H25" s="672"/>
      <c r="I25" s="672"/>
      <c r="J25" s="672"/>
      <c r="K25" s="672"/>
      <c r="L25" s="672"/>
      <c r="M25" s="672"/>
      <c r="N25" s="672"/>
      <c r="O25" s="684"/>
      <c r="P25" s="672"/>
      <c r="Q25" s="1355" t="s">
        <v>166</v>
      </c>
      <c r="R25" s="1356"/>
      <c r="S25" s="1156">
        <f ca="1">IF(ControlPanel!$T$5="nominal",OFFSET('GrD-Grafikdaten'!$J8,0,S$23-2014),OFFSET('GrD-Grafikdaten'!$J26,0,S$23-2014))</f>
        <v>3.7230827721473405</v>
      </c>
      <c r="T25" s="1157">
        <f ca="1">IF(ControlPanel!$T$5="nominal",OFFSET('GrD-Grafikdaten'!$J8,0,T$23-2014),OFFSET('GrD-Grafikdaten'!$J26,0,T$23-2014))</f>
        <v>2.2272344363967198</v>
      </c>
      <c r="U25" s="1157">
        <f ca="1">IF(ControlPanel!$T$5="nominal",OFFSET('GrD-Grafikdaten'!$J8,0,U$23-2014),OFFSET('GrD-Grafikdaten'!$J26,0,U$23-2014))</f>
        <v>3.997717348887194</v>
      </c>
      <c r="V25" s="1157">
        <f ca="1">IF(ControlPanel!$T$5="nominal",OFFSET('GrD-Grafikdaten'!$J8,0,V$23-2014),OFFSET('GrD-Grafikdaten'!$J26,0,V$23-2014))</f>
        <v>3.5327567363462515</v>
      </c>
      <c r="W25" s="1157">
        <f ca="1">IF(ControlPanel!$T$5="nominal",OFFSET('GrD-Grafikdaten'!$J8,0,W$23-2014),OFFSET('GrD-Grafikdaten'!$J26,0,W$23-2014))</f>
        <v>1.5260557430647477</v>
      </c>
      <c r="X25" s="1158">
        <f ca="1">IF(ControlPanel!$T$5="nominal",OFFSET('GrD-Grafikdaten'!$J8,0,X$23-2014),OFFSET('GrD-Grafikdaten'!$J26,0,X$23-2014))</f>
        <v>0.34336969445583421</v>
      </c>
      <c r="Y25" s="1361"/>
      <c r="Z25" s="672"/>
      <c r="AA25" s="673"/>
    </row>
    <row r="26" spans="1:28" s="128" customFormat="1" ht="25.5">
      <c r="A26" s="858"/>
      <c r="B26" s="670"/>
      <c r="C26" s="816" t="s">
        <v>358</v>
      </c>
      <c r="D26" s="817" t="s">
        <v>780</v>
      </c>
      <c r="E26" s="512" t="s">
        <v>138</v>
      </c>
      <c r="F26" s="818" t="str">
        <f>'D-Eigenverbrauch KWK Neue'!$D$6</f>
        <v>2021: ÜNB-Umlageberechnungen bis 2025, danach konstant</v>
      </c>
      <c r="G26" s="672"/>
      <c r="H26" s="672"/>
      <c r="I26" s="672"/>
      <c r="J26" s="672"/>
      <c r="K26" s="672"/>
      <c r="L26" s="672"/>
      <c r="M26" s="672"/>
      <c r="N26" s="672"/>
      <c r="O26" s="683"/>
      <c r="P26" s="672"/>
      <c r="Q26" s="1350" t="s">
        <v>180</v>
      </c>
      <c r="R26" s="1351"/>
      <c r="S26" s="705">
        <f ca="1">IF(ControlPanel!$T$5="nominal",OFFSET('GrD-Grafikdaten'!$J20,0,S$23-2014),OFFSET('GrD-Grafikdaten'!$J38,0,S$23-2014))</f>
        <v>11.563082772147341</v>
      </c>
      <c r="T26" s="706">
        <f ca="1">IF(ControlPanel!$T$5="nominal",OFFSET('GrD-Grafikdaten'!$J20,0,T$23-2014),OFFSET('GrD-Grafikdaten'!$J38,0,T$23-2014))</f>
        <v>10.97923443639672</v>
      </c>
      <c r="U26" s="706">
        <f ca="1">IF(ControlPanel!$T$5="nominal",OFFSET('GrD-Grafikdaten'!$J20,0,U$23-2014),OFFSET('GrD-Grafikdaten'!$J38,0,U$23-2014))</f>
        <v>11.250717348887195</v>
      </c>
      <c r="V26" s="706">
        <f ca="1">IF(ControlPanel!$T$5="nominal",OFFSET('GrD-Grafikdaten'!$J20,0,V$23-2014),OFFSET('GrD-Grafikdaten'!$J38,0,V$23-2014))</f>
        <v>10.692756736346251</v>
      </c>
      <c r="W26" s="706">
        <f ca="1">IF(ControlPanel!$T$5="nominal",OFFSET('GrD-Grafikdaten'!$J20,0,W$23-2014),OFFSET('GrD-Grafikdaten'!$J38,0,W$23-2014))</f>
        <v>8.3840557430647475</v>
      </c>
      <c r="X26" s="707">
        <f ca="1">IF(ControlPanel!$T$5="nominal",OFFSET('GrD-Grafikdaten'!$J20,0,X$23-2014),OFFSET('GrD-Grafikdaten'!$J38,0,X$23-2014))</f>
        <v>6.8433696944558342</v>
      </c>
      <c r="Y26" s="1361"/>
      <c r="Z26" s="672"/>
      <c r="AA26" s="673"/>
    </row>
    <row r="27" spans="1:28" s="128" customFormat="1" ht="26.25" thickBot="1">
      <c r="A27" s="858"/>
      <c r="B27" s="685"/>
      <c r="C27" s="811" t="s">
        <v>359</v>
      </c>
      <c r="D27" s="799" t="s">
        <v>780</v>
      </c>
      <c r="E27" s="510" t="s">
        <v>138</v>
      </c>
      <c r="F27" s="701" t="str">
        <f>'D-Anteil Eigenverbrauch EE neu'!E12</f>
        <v>9%</v>
      </c>
      <c r="G27" s="672"/>
      <c r="H27" s="672"/>
      <c r="I27" s="672"/>
      <c r="J27" s="672"/>
      <c r="K27" s="672"/>
      <c r="L27" s="672"/>
      <c r="M27" s="672"/>
      <c r="N27" s="672"/>
      <c r="O27" s="683"/>
      <c r="P27" s="672"/>
      <c r="Q27" s="1352" t="s">
        <v>509</v>
      </c>
      <c r="R27" s="1353"/>
      <c r="S27" s="708">
        <f ca="1">OFFSET('GrD-Grafikdaten'!$J48,0,S$23-2014)</f>
        <v>0.46571829833782635</v>
      </c>
      <c r="T27" s="709">
        <f ca="1">OFFSET('GrD-Grafikdaten'!$J48,0,T$23-2014)</f>
        <v>0.50142246529592194</v>
      </c>
      <c r="U27" s="709">
        <f ca="1">OFFSET('GrD-Grafikdaten'!$J48,0,U$23-2014)</f>
        <v>0.532142255999694</v>
      </c>
      <c r="V27" s="709">
        <f ca="1">OFFSET('GrD-Grafikdaten'!$J48,0,V$23-2014)</f>
        <v>0.56203262172263801</v>
      </c>
      <c r="W27" s="709">
        <f ca="1">OFFSET('GrD-Grafikdaten'!$J48,0,W$23-2014)</f>
        <v>0.55575636455364708</v>
      </c>
      <c r="X27" s="710">
        <f ca="1">OFFSET('GrD-Grafikdaten'!$J48,0,X$23-2014)</f>
        <v>0.5210230381623282</v>
      </c>
      <c r="Y27" s="1361"/>
      <c r="Z27" s="672"/>
      <c r="AA27" s="673"/>
    </row>
    <row r="28" spans="1:28" s="128" customFormat="1" ht="26.25" thickBot="1">
      <c r="A28" s="858"/>
      <c r="B28" s="670"/>
      <c r="C28" s="811" t="s">
        <v>360</v>
      </c>
      <c r="D28" s="799" t="s">
        <v>780</v>
      </c>
      <c r="E28" s="510" t="s">
        <v>138</v>
      </c>
      <c r="F28" s="701" t="str">
        <f>'D-Umlage Eigenverbrauch PV+KWK'!$D$6</f>
        <v>gem. EEG 2017, ab 2020 konstant 38%</v>
      </c>
      <c r="G28" s="672"/>
      <c r="H28" s="672"/>
      <c r="I28" s="672"/>
      <c r="J28" s="672"/>
      <c r="K28" s="672"/>
      <c r="L28" s="672"/>
      <c r="M28" s="672"/>
      <c r="N28" s="672"/>
      <c r="O28" s="683"/>
      <c r="P28" s="672"/>
      <c r="Q28" s="1344" t="s">
        <v>937</v>
      </c>
      <c r="R28" s="1345"/>
      <c r="S28" s="1345"/>
      <c r="T28" s="1345"/>
      <c r="U28" s="1345"/>
      <c r="V28" s="1345"/>
      <c r="W28" s="1345"/>
      <c r="X28" s="1346"/>
      <c r="Y28" s="1361"/>
      <c r="Z28" s="672"/>
      <c r="AA28" s="673"/>
    </row>
    <row r="29" spans="1:28" s="128" customFormat="1" ht="26.25" thickBot="1">
      <c r="A29" s="858"/>
      <c r="B29" s="670"/>
      <c r="C29" s="812" t="s">
        <v>491</v>
      </c>
      <c r="D29" s="798" t="s">
        <v>780</v>
      </c>
      <c r="E29" s="511" t="s">
        <v>138</v>
      </c>
      <c r="F29" s="702" t="str">
        <f>'D-Umlage EV Bestand'!$D$6</f>
        <v>vollständig befreit (gem. EEG 2014)</v>
      </c>
      <c r="G29" s="672"/>
      <c r="H29" s="672"/>
      <c r="I29" s="672"/>
      <c r="J29" s="672"/>
      <c r="K29" s="672"/>
      <c r="L29" s="672"/>
      <c r="M29" s="672"/>
      <c r="N29" s="672"/>
      <c r="O29" s="683"/>
      <c r="P29" s="672"/>
      <c r="Q29" s="1336" t="s">
        <v>169</v>
      </c>
      <c r="R29" s="1337"/>
      <c r="S29" s="1153">
        <f ca="1">S25+S33</f>
        <v>3.7230827721473405</v>
      </c>
      <c r="T29" s="1154">
        <f t="shared" ref="T29:X29" ca="1" si="0">T25+T33</f>
        <v>2.2272344363967198</v>
      </c>
      <c r="U29" s="1154">
        <f t="shared" ca="1" si="0"/>
        <v>3.997717348887194</v>
      </c>
      <c r="V29" s="1154">
        <f t="shared" ca="1" si="0"/>
        <v>3.5327567363462515</v>
      </c>
      <c r="W29" s="1154">
        <f t="shared" ca="1" si="0"/>
        <v>1.5260557430647477</v>
      </c>
      <c r="X29" s="1155">
        <f t="shared" ca="1" si="0"/>
        <v>0.34336969445583421</v>
      </c>
      <c r="Y29" s="1361"/>
      <c r="Z29" s="672"/>
      <c r="AA29" s="673"/>
    </row>
    <row r="30" spans="1:28" s="128" customFormat="1" ht="12.75">
      <c r="A30" s="858"/>
      <c r="B30" s="670"/>
      <c r="C30" s="686"/>
      <c r="D30" s="686"/>
      <c r="E30" s="686"/>
      <c r="F30" s="686"/>
      <c r="G30" s="686"/>
      <c r="H30" s="672"/>
      <c r="I30" s="672"/>
      <c r="J30" s="672"/>
      <c r="K30" s="672"/>
      <c r="L30" s="672"/>
      <c r="M30" s="672"/>
      <c r="N30" s="672"/>
      <c r="O30" s="672"/>
      <c r="P30" s="672"/>
      <c r="Q30" s="827" t="s">
        <v>180</v>
      </c>
      <c r="R30" s="828"/>
      <c r="S30" s="735">
        <f t="shared" ref="S30:X31" ca="1" si="1">S26+S34</f>
        <v>11.563082772147341</v>
      </c>
      <c r="T30" s="736">
        <f t="shared" ca="1" si="1"/>
        <v>10.97923443639672</v>
      </c>
      <c r="U30" s="736">
        <f t="shared" ca="1" si="1"/>
        <v>11.250717348887195</v>
      </c>
      <c r="V30" s="736">
        <f t="shared" ca="1" si="1"/>
        <v>10.692756736346251</v>
      </c>
      <c r="W30" s="736">
        <f t="shared" ca="1" si="1"/>
        <v>8.3840557430647475</v>
      </c>
      <c r="X30" s="737">
        <f t="shared" ca="1" si="1"/>
        <v>6.8433696944558342</v>
      </c>
      <c r="Y30" s="1361"/>
      <c r="Z30" s="672"/>
      <c r="AA30" s="673"/>
    </row>
    <row r="31" spans="1:28" s="128" customFormat="1" ht="13.5" thickBot="1">
      <c r="A31" s="858"/>
      <c r="B31" s="670"/>
      <c r="C31" s="672"/>
      <c r="D31" s="672"/>
      <c r="E31" s="672"/>
      <c r="F31" s="672"/>
      <c r="G31" s="672"/>
      <c r="H31" s="672"/>
      <c r="I31" s="672"/>
      <c r="J31" s="672"/>
      <c r="K31" s="672"/>
      <c r="L31" s="672"/>
      <c r="M31" s="672"/>
      <c r="N31" s="672"/>
      <c r="O31" s="672"/>
      <c r="P31" s="672"/>
      <c r="Q31" s="829" t="s">
        <v>509</v>
      </c>
      <c r="R31" s="830"/>
      <c r="S31" s="738">
        <f t="shared" ca="1" si="1"/>
        <v>0.46571829833782635</v>
      </c>
      <c r="T31" s="739">
        <f t="shared" ca="1" si="1"/>
        <v>0.50142246529592194</v>
      </c>
      <c r="U31" s="739">
        <f t="shared" ca="1" si="1"/>
        <v>0.532142255999694</v>
      </c>
      <c r="V31" s="739">
        <f t="shared" ca="1" si="1"/>
        <v>0.56203262172263801</v>
      </c>
      <c r="W31" s="739">
        <f t="shared" ca="1" si="1"/>
        <v>0.55575636455364708</v>
      </c>
      <c r="X31" s="740">
        <f t="shared" ca="1" si="1"/>
        <v>0.5210230381623282</v>
      </c>
      <c r="Y31" s="1361"/>
      <c r="Z31" s="672"/>
      <c r="AA31" s="673"/>
    </row>
    <row r="32" spans="1:28" s="128" customFormat="1" ht="30.75" customHeight="1" thickBot="1">
      <c r="A32" s="858"/>
      <c r="B32" s="670"/>
      <c r="C32" s="672"/>
      <c r="D32" s="1383" t="s">
        <v>706</v>
      </c>
      <c r="E32" s="1396"/>
      <c r="F32" s="1384"/>
      <c r="G32" s="672"/>
      <c r="H32" s="672"/>
      <c r="I32" s="672"/>
      <c r="J32" s="672"/>
      <c r="K32" s="672"/>
      <c r="L32" s="672"/>
      <c r="M32" s="672"/>
      <c r="N32" s="672"/>
      <c r="O32" s="672"/>
      <c r="P32" s="672"/>
      <c r="Q32" s="1344" t="s">
        <v>343</v>
      </c>
      <c r="R32" s="1345"/>
      <c r="S32" s="1345"/>
      <c r="T32" s="1345"/>
      <c r="U32" s="1345"/>
      <c r="V32" s="1345"/>
      <c r="W32" s="1345"/>
      <c r="X32" s="1346"/>
      <c r="Y32" s="1361"/>
      <c r="Z32" s="672"/>
      <c r="AA32" s="673"/>
    </row>
    <row r="33" spans="1:28" s="128" customFormat="1" ht="13.5" thickBot="1">
      <c r="A33" s="858"/>
      <c r="B33" s="670"/>
      <c r="C33" s="672"/>
      <c r="D33" s="820" t="s">
        <v>140</v>
      </c>
      <c r="E33" s="1401" t="s">
        <v>141</v>
      </c>
      <c r="F33" s="1402"/>
      <c r="G33" s="672"/>
      <c r="H33" s="672"/>
      <c r="I33" s="672"/>
      <c r="J33" s="672"/>
      <c r="K33" s="672"/>
      <c r="L33" s="672"/>
      <c r="M33" s="672"/>
      <c r="N33" s="672"/>
      <c r="O33" s="672"/>
      <c r="P33" s="672"/>
      <c r="Q33" s="1355" t="s">
        <v>169</v>
      </c>
      <c r="R33" s="1356"/>
      <c r="S33" s="711">
        <f ca="1">OFFSET('GrD-Grafikdaten'!$J132,0,S$23-2014)</f>
        <v>0</v>
      </c>
      <c r="T33" s="711">
        <f ca="1">OFFSET('GrD-Grafikdaten'!$J132,0,T$23-2014)</f>
        <v>0</v>
      </c>
      <c r="U33" s="711">
        <f ca="1">OFFSET('GrD-Grafikdaten'!$J132,0,U$23-2014)</f>
        <v>0</v>
      </c>
      <c r="V33" s="711">
        <f ca="1">OFFSET('GrD-Grafikdaten'!$J132,0,V$23-2014)</f>
        <v>0</v>
      </c>
      <c r="W33" s="711">
        <f ca="1">OFFSET('GrD-Grafikdaten'!$J132,0,W$23-2014)</f>
        <v>0</v>
      </c>
      <c r="X33" s="712">
        <f ca="1">OFFSET('GrD-Grafikdaten'!$J132,0,X$23-2014)</f>
        <v>0</v>
      </c>
      <c r="Y33" s="1361"/>
      <c r="Z33" s="672"/>
      <c r="AA33" s="673"/>
    </row>
    <row r="34" spans="1:28" s="128" customFormat="1" ht="30" customHeight="1" thickBot="1">
      <c r="A34" s="858"/>
      <c r="B34" s="670"/>
      <c r="C34" s="1074" t="s">
        <v>493</v>
      </c>
      <c r="D34" s="1076" t="s">
        <v>780</v>
      </c>
      <c r="E34" s="507" t="s">
        <v>138</v>
      </c>
      <c r="F34" s="1075" t="str">
        <f>'D-Nettostromverbrauch'!D6</f>
        <v>2022-2026: ÜNB-Umlageberechnung 2021. Danach ansteigend auf 600 TWh in 2030</v>
      </c>
      <c r="G34" s="672"/>
      <c r="H34" s="672"/>
      <c r="I34" s="672"/>
      <c r="J34" s="672"/>
      <c r="K34" s="672"/>
      <c r="L34" s="672"/>
      <c r="M34" s="672"/>
      <c r="N34" s="672"/>
      <c r="O34" s="672"/>
      <c r="P34" s="672"/>
      <c r="Q34" s="1350" t="s">
        <v>180</v>
      </c>
      <c r="R34" s="1351"/>
      <c r="S34" s="713">
        <f ca="1">OFFSET('GrD-Grafikdaten'!$J144,0,S$23-2014)</f>
        <v>0</v>
      </c>
      <c r="T34" s="713">
        <f ca="1">OFFSET('GrD-Grafikdaten'!$J144,0,T$23-2014)</f>
        <v>0</v>
      </c>
      <c r="U34" s="713">
        <f ca="1">OFFSET('GrD-Grafikdaten'!$J144,0,U$23-2014)</f>
        <v>0</v>
      </c>
      <c r="V34" s="713">
        <f ca="1">OFFSET('GrD-Grafikdaten'!$J144,0,V$23-2014)</f>
        <v>0</v>
      </c>
      <c r="W34" s="713">
        <f ca="1">OFFSET('GrD-Grafikdaten'!$J144,0,W$23-2014)</f>
        <v>0</v>
      </c>
      <c r="X34" s="714">
        <f ca="1">OFFSET('GrD-Grafikdaten'!$J144,0,X$23-2014)</f>
        <v>0</v>
      </c>
      <c r="Y34" s="1361"/>
      <c r="Z34" s="672"/>
      <c r="AA34" s="673"/>
    </row>
    <row r="35" spans="1:28" s="128" customFormat="1" ht="13.5" thickBot="1">
      <c r="A35" s="858"/>
      <c r="B35" s="670"/>
      <c r="C35" s="672"/>
      <c r="D35" s="672"/>
      <c r="E35" s="672"/>
      <c r="F35" s="672"/>
      <c r="G35" s="672"/>
      <c r="H35" s="672"/>
      <c r="I35" s="672"/>
      <c r="J35" s="672"/>
      <c r="K35" s="672"/>
      <c r="L35" s="672"/>
      <c r="M35" s="672"/>
      <c r="N35" s="687"/>
      <c r="O35" s="672"/>
      <c r="P35" s="672"/>
      <c r="Q35" s="1359" t="s">
        <v>509</v>
      </c>
      <c r="R35" s="1360"/>
      <c r="S35" s="709">
        <f ca="1">OFFSET('GrD-Grafikdaten'!$J92,0,S$23-2014) - OFFSET('GrD-Grafikdaten'!$J48,0,S$23-2014)</f>
        <v>0</v>
      </c>
      <c r="T35" s="709">
        <f ca="1">OFFSET('GrD-Grafikdaten'!$J92,0,T$23-2014) - OFFSET('GrD-Grafikdaten'!$J48,0,T$23-2014)</f>
        <v>0</v>
      </c>
      <c r="U35" s="709">
        <f ca="1">OFFSET('GrD-Grafikdaten'!$J92,0,U$23-2014) - OFFSET('GrD-Grafikdaten'!$J48,0,U$23-2014)</f>
        <v>0</v>
      </c>
      <c r="V35" s="709">
        <f ca="1">OFFSET('GrD-Grafikdaten'!$J92,0,V$23-2014) - OFFSET('GrD-Grafikdaten'!$J48,0,V$23-2014)</f>
        <v>0</v>
      </c>
      <c r="W35" s="709">
        <f ca="1">OFFSET('GrD-Grafikdaten'!$J92,0,W$23-2014) - OFFSET('GrD-Grafikdaten'!$J48,0,W$23-2014)</f>
        <v>0</v>
      </c>
      <c r="X35" s="710">
        <f ca="1">OFFSET('GrD-Grafikdaten'!$J92,0,X$23-2014) - OFFSET('GrD-Grafikdaten'!$J48,0,X$23-2014)</f>
        <v>0</v>
      </c>
      <c r="Y35" s="1361"/>
      <c r="Z35" s="672"/>
      <c r="AA35" s="673"/>
    </row>
    <row r="36" spans="1:28" s="128" customFormat="1" ht="17.100000000000001" customHeight="1">
      <c r="A36" s="858"/>
      <c r="B36" s="670"/>
      <c r="C36" s="672"/>
      <c r="D36" s="672"/>
      <c r="E36" s="672"/>
      <c r="F36" s="672"/>
      <c r="G36" s="672"/>
      <c r="H36" s="672"/>
      <c r="I36" s="672"/>
      <c r="J36" s="672"/>
      <c r="K36" s="672"/>
      <c r="L36" s="672"/>
      <c r="M36" s="672"/>
      <c r="N36" s="687"/>
      <c r="O36" s="672"/>
      <c r="P36" s="672"/>
      <c r="Q36" s="672"/>
      <c r="R36" s="672"/>
      <c r="S36" s="672"/>
      <c r="T36" s="672"/>
      <c r="U36" s="672"/>
      <c r="V36" s="672"/>
      <c r="W36" s="672"/>
      <c r="X36" s="672"/>
      <c r="Y36" s="672"/>
      <c r="Z36" s="672"/>
      <c r="AA36" s="673"/>
      <c r="AB36" s="858"/>
    </row>
    <row r="37" spans="1:28" s="128" customFormat="1" ht="17.100000000000001" customHeight="1">
      <c r="A37" s="858"/>
      <c r="B37" s="670"/>
      <c r="C37" s="672"/>
      <c r="D37" s="672"/>
      <c r="E37" s="672"/>
      <c r="F37" s="672"/>
      <c r="G37" s="672"/>
      <c r="H37" s="672"/>
      <c r="I37" s="672"/>
      <c r="J37" s="672"/>
      <c r="K37" s="672"/>
      <c r="L37" s="672"/>
      <c r="M37" s="672"/>
      <c r="N37" s="687"/>
      <c r="O37" s="672"/>
      <c r="P37" s="672"/>
      <c r="Q37" s="672"/>
      <c r="R37" s="672"/>
      <c r="S37" s="672"/>
      <c r="T37" s="672"/>
      <c r="U37" s="672"/>
      <c r="V37" s="672"/>
      <c r="W37" s="672"/>
      <c r="X37" s="672"/>
      <c r="Y37" s="672"/>
      <c r="Z37" s="672"/>
      <c r="AA37" s="673"/>
      <c r="AB37" s="858"/>
    </row>
    <row r="38" spans="1:28" s="128" customFormat="1" ht="17.100000000000001" customHeight="1">
      <c r="A38" s="858"/>
      <c r="B38" s="670"/>
      <c r="C38" s="672"/>
      <c r="D38" s="672"/>
      <c r="E38" s="672"/>
      <c r="F38" s="672"/>
      <c r="G38" s="672"/>
      <c r="H38" s="672"/>
      <c r="I38" s="672"/>
      <c r="J38" s="672"/>
      <c r="K38" s="672"/>
      <c r="L38" s="672"/>
      <c r="M38" s="672"/>
      <c r="N38" s="687"/>
      <c r="O38" s="684"/>
      <c r="P38" s="672"/>
      <c r="Q38" s="672"/>
      <c r="R38" s="672"/>
      <c r="S38" s="672"/>
      <c r="T38" s="672"/>
      <c r="U38" s="672"/>
      <c r="V38" s="672"/>
      <c r="W38" s="672"/>
      <c r="X38" s="672"/>
      <c r="Y38" s="672"/>
      <c r="Z38" s="672"/>
      <c r="AA38" s="673"/>
      <c r="AB38" s="858"/>
    </row>
    <row r="39" spans="1:28" s="128" customFormat="1" ht="15" customHeight="1">
      <c r="A39" s="858"/>
      <c r="B39" s="670"/>
      <c r="C39" s="672"/>
      <c r="D39" s="672"/>
      <c r="E39" s="672"/>
      <c r="F39" s="672"/>
      <c r="G39" s="672"/>
      <c r="H39" s="672"/>
      <c r="I39" s="672"/>
      <c r="J39" s="672"/>
      <c r="K39" s="672"/>
      <c r="L39" s="672"/>
      <c r="M39" s="672"/>
      <c r="N39" s="687"/>
      <c r="O39" s="687"/>
      <c r="P39" s="672"/>
      <c r="Q39" s="672"/>
      <c r="R39" s="672"/>
      <c r="S39" s="672"/>
      <c r="T39" s="672"/>
      <c r="U39" s="672"/>
      <c r="V39" s="672"/>
      <c r="W39" s="672"/>
      <c r="X39" s="672"/>
      <c r="Y39" s="672"/>
      <c r="Z39" s="672"/>
      <c r="AA39" s="673"/>
      <c r="AB39" s="858"/>
    </row>
    <row r="40" spans="1:28" s="128" customFormat="1" ht="15" customHeight="1">
      <c r="A40" s="858"/>
      <c r="B40" s="670"/>
      <c r="C40" s="672"/>
      <c r="D40" s="672"/>
      <c r="E40" s="672"/>
      <c r="F40" s="672"/>
      <c r="G40" s="672"/>
      <c r="H40" s="672"/>
      <c r="I40" s="672"/>
      <c r="J40" s="672"/>
      <c r="K40" s="672"/>
      <c r="L40" s="672"/>
      <c r="M40" s="672"/>
      <c r="N40" s="687"/>
      <c r="O40" s="687"/>
      <c r="P40" s="672"/>
      <c r="Q40" s="672"/>
      <c r="R40" s="672"/>
      <c r="S40" s="672"/>
      <c r="T40" s="672"/>
      <c r="U40" s="672"/>
      <c r="V40" s="672"/>
      <c r="W40" s="672"/>
      <c r="X40" s="672"/>
      <c r="Y40" s="672"/>
      <c r="Z40" s="672"/>
      <c r="AA40" s="673"/>
      <c r="AB40" s="858"/>
    </row>
    <row r="41" spans="1:28" s="128" customFormat="1" ht="15" customHeight="1">
      <c r="A41" s="858"/>
      <c r="B41" s="670"/>
      <c r="C41" s="672"/>
      <c r="D41" s="672"/>
      <c r="E41" s="672"/>
      <c r="F41" s="672"/>
      <c r="G41" s="672"/>
      <c r="H41" s="672"/>
      <c r="I41" s="672"/>
      <c r="J41" s="672"/>
      <c r="K41" s="672"/>
      <c r="L41" s="672"/>
      <c r="M41" s="672"/>
      <c r="N41" s="687"/>
      <c r="O41" s="687"/>
      <c r="P41" s="672"/>
      <c r="Q41" s="672"/>
      <c r="R41" s="672"/>
      <c r="S41" s="672"/>
      <c r="T41" s="672"/>
      <c r="U41" s="672"/>
      <c r="V41" s="672"/>
      <c r="W41" s="672"/>
      <c r="X41" s="672"/>
      <c r="Y41" s="672"/>
      <c r="Z41" s="672"/>
      <c r="AA41" s="673"/>
      <c r="AB41" s="858"/>
    </row>
    <row r="42" spans="1:28" s="128" customFormat="1" ht="15" customHeight="1">
      <c r="A42" s="858"/>
      <c r="B42" s="670"/>
      <c r="C42" s="672"/>
      <c r="D42" s="672"/>
      <c r="E42" s="672"/>
      <c r="F42" s="672"/>
      <c r="G42" s="672"/>
      <c r="H42" s="672"/>
      <c r="I42" s="672"/>
      <c r="J42" s="672"/>
      <c r="K42" s="672"/>
      <c r="L42" s="672"/>
      <c r="M42" s="672"/>
      <c r="N42" s="687"/>
      <c r="O42" s="687"/>
      <c r="P42" s="672"/>
      <c r="Q42" s="672"/>
      <c r="R42" s="672"/>
      <c r="S42" s="672"/>
      <c r="T42" s="672"/>
      <c r="U42" s="672"/>
      <c r="V42" s="672"/>
      <c r="W42" s="672"/>
      <c r="X42" s="672"/>
      <c r="Y42" s="672"/>
      <c r="Z42" s="672"/>
      <c r="AA42" s="673"/>
      <c r="AB42" s="858"/>
    </row>
    <row r="43" spans="1:28" s="128" customFormat="1" ht="37.5" customHeight="1">
      <c r="A43" s="858"/>
      <c r="B43" s="670"/>
      <c r="C43" s="672"/>
      <c r="D43" s="672"/>
      <c r="E43" s="672"/>
      <c r="F43" s="672"/>
      <c r="G43" s="672"/>
      <c r="H43" s="672"/>
      <c r="I43" s="672"/>
      <c r="J43" s="672"/>
      <c r="K43" s="672"/>
      <c r="L43" s="672"/>
      <c r="M43" s="672"/>
      <c r="N43" s="687"/>
      <c r="O43" s="687"/>
      <c r="P43" s="672"/>
      <c r="Q43" s="672"/>
      <c r="R43" s="672"/>
      <c r="S43" s="672"/>
      <c r="T43" s="672"/>
      <c r="U43" s="672"/>
      <c r="V43" s="672"/>
      <c r="W43" s="672"/>
      <c r="X43" s="672"/>
      <c r="Y43" s="672"/>
      <c r="Z43" s="672"/>
      <c r="AA43" s="673"/>
      <c r="AB43" s="858"/>
    </row>
    <row r="44" spans="1:28" s="128" customFormat="1" ht="15" customHeight="1">
      <c r="A44" s="858"/>
      <c r="B44" s="670"/>
      <c r="C44" s="672"/>
      <c r="D44" s="672"/>
      <c r="E44" s="672"/>
      <c r="F44" s="672"/>
      <c r="G44" s="672"/>
      <c r="H44" s="672"/>
      <c r="I44" s="672"/>
      <c r="J44" s="672"/>
      <c r="K44" s="672"/>
      <c r="L44" s="672"/>
      <c r="M44" s="672"/>
      <c r="N44" s="687"/>
      <c r="O44" s="687"/>
      <c r="P44" s="672"/>
      <c r="Q44" s="672"/>
      <c r="R44" s="672"/>
      <c r="S44" s="672"/>
      <c r="T44" s="672"/>
      <c r="U44" s="672"/>
      <c r="V44" s="672"/>
      <c r="W44" s="672"/>
      <c r="X44" s="672"/>
      <c r="Y44" s="672"/>
      <c r="Z44" s="672"/>
      <c r="AA44" s="673"/>
      <c r="AB44" s="858"/>
    </row>
    <row r="45" spans="1:28" s="128" customFormat="1" ht="15" customHeight="1">
      <c r="A45" s="858"/>
      <c r="B45" s="670"/>
      <c r="C45" s="672"/>
      <c r="D45" s="672"/>
      <c r="E45" s="672"/>
      <c r="F45" s="672"/>
      <c r="G45" s="672"/>
      <c r="H45" s="672"/>
      <c r="I45" s="1291"/>
      <c r="J45" s="672"/>
      <c r="K45" s="672"/>
      <c r="L45" s="672"/>
      <c r="M45" s="672"/>
      <c r="N45" s="687"/>
      <c r="O45" s="687"/>
      <c r="P45" s="672"/>
      <c r="Q45" s="672"/>
      <c r="R45" s="672"/>
      <c r="S45" s="672"/>
      <c r="T45" s="672"/>
      <c r="U45" s="672"/>
      <c r="V45" s="672"/>
      <c r="W45" s="672"/>
      <c r="X45" s="672"/>
      <c r="Y45" s="672"/>
      <c r="Z45" s="672"/>
      <c r="AA45" s="673"/>
      <c r="AB45" s="858"/>
    </row>
    <row r="46" spans="1:28" s="128" customFormat="1" ht="15" customHeight="1">
      <c r="A46" s="858"/>
      <c r="B46" s="670"/>
      <c r="C46" s="672"/>
      <c r="D46" s="672"/>
      <c r="E46" s="672"/>
      <c r="F46" s="672"/>
      <c r="G46" s="672"/>
      <c r="H46" s="672"/>
      <c r="I46" s="672"/>
      <c r="J46" s="672"/>
      <c r="K46" s="672"/>
      <c r="L46" s="672"/>
      <c r="M46" s="672"/>
      <c r="N46" s="687"/>
      <c r="O46" s="687"/>
      <c r="P46" s="672"/>
      <c r="Q46" s="672"/>
      <c r="R46" s="672"/>
      <c r="S46" s="672"/>
      <c r="T46" s="672"/>
      <c r="U46" s="672"/>
      <c r="V46" s="672"/>
      <c r="W46" s="672"/>
      <c r="X46" s="672"/>
      <c r="Y46" s="672"/>
      <c r="Z46" s="672"/>
      <c r="AA46" s="673"/>
      <c r="AB46" s="858"/>
    </row>
    <row r="47" spans="1:28" s="128" customFormat="1" ht="15" customHeight="1">
      <c r="A47" s="858"/>
      <c r="B47" s="670"/>
      <c r="C47" s="672"/>
      <c r="D47" s="672"/>
      <c r="E47" s="672"/>
      <c r="F47" s="672"/>
      <c r="G47" s="672"/>
      <c r="H47" s="672"/>
      <c r="I47" s="672"/>
      <c r="J47" s="672"/>
      <c r="K47" s="672"/>
      <c r="L47" s="672"/>
      <c r="M47" s="672"/>
      <c r="N47" s="687"/>
      <c r="O47" s="687"/>
      <c r="P47" s="672"/>
      <c r="Q47" s="672"/>
      <c r="R47" s="672"/>
      <c r="S47" s="672"/>
      <c r="T47" s="672"/>
      <c r="U47" s="672"/>
      <c r="V47" s="672"/>
      <c r="W47" s="672"/>
      <c r="X47" s="672"/>
      <c r="Y47" s="672"/>
      <c r="Z47" s="672"/>
      <c r="AA47" s="673"/>
      <c r="AB47" s="858"/>
    </row>
    <row r="48" spans="1:28" s="128" customFormat="1" ht="15" customHeight="1">
      <c r="A48" s="858"/>
      <c r="B48" s="670"/>
      <c r="C48" s="672"/>
      <c r="D48" s="672"/>
      <c r="E48" s="672"/>
      <c r="F48" s="672"/>
      <c r="G48" s="672"/>
      <c r="H48" s="672"/>
      <c r="I48" s="672"/>
      <c r="J48" s="672"/>
      <c r="K48" s="672"/>
      <c r="L48" s="672"/>
      <c r="M48" s="672"/>
      <c r="N48" s="687"/>
      <c r="O48" s="687"/>
      <c r="P48" s="672"/>
      <c r="Q48" s="672"/>
      <c r="R48" s="672"/>
      <c r="S48" s="672"/>
      <c r="T48" s="672"/>
      <c r="U48" s="672"/>
      <c r="V48" s="672"/>
      <c r="W48" s="672"/>
      <c r="X48" s="672"/>
      <c r="Y48" s="672"/>
      <c r="Z48" s="672"/>
      <c r="AA48" s="673"/>
      <c r="AB48" s="858"/>
    </row>
    <row r="49" spans="1:29" s="128" customFormat="1" ht="15" customHeight="1">
      <c r="A49" s="858"/>
      <c r="B49" s="670"/>
      <c r="C49" s="672"/>
      <c r="D49" s="672"/>
      <c r="E49" s="672"/>
      <c r="F49" s="672"/>
      <c r="G49" s="672"/>
      <c r="H49" s="672"/>
      <c r="I49" s="672"/>
      <c r="J49" s="672"/>
      <c r="K49" s="672"/>
      <c r="L49" s="672"/>
      <c r="M49" s="672"/>
      <c r="N49" s="672"/>
      <c r="O49" s="672"/>
      <c r="P49" s="672"/>
      <c r="Q49" s="672"/>
      <c r="R49" s="672"/>
      <c r="S49" s="672"/>
      <c r="T49" s="672"/>
      <c r="U49" s="672"/>
      <c r="V49" s="672"/>
      <c r="W49" s="672"/>
      <c r="X49" s="672"/>
      <c r="Y49" s="672"/>
      <c r="Z49" s="672"/>
      <c r="AA49" s="673"/>
      <c r="AB49" s="858"/>
    </row>
    <row r="50" spans="1:29" s="128" customFormat="1" ht="15" customHeight="1">
      <c r="A50" s="858"/>
      <c r="B50" s="688"/>
      <c r="C50" s="689"/>
      <c r="D50" s="689"/>
      <c r="E50" s="689"/>
      <c r="F50" s="689"/>
      <c r="G50" s="689"/>
      <c r="H50" s="689"/>
      <c r="I50" s="689"/>
      <c r="J50" s="689"/>
      <c r="K50" s="689"/>
      <c r="L50" s="689"/>
      <c r="M50" s="689"/>
      <c r="N50" s="689"/>
      <c r="O50" s="689"/>
      <c r="P50" s="689"/>
      <c r="Q50" s="689"/>
      <c r="R50" s="689"/>
      <c r="S50" s="689"/>
      <c r="T50" s="689"/>
      <c r="U50" s="689"/>
      <c r="V50" s="689"/>
      <c r="W50" s="689"/>
      <c r="X50" s="689"/>
      <c r="Y50" s="689"/>
      <c r="Z50" s="689"/>
      <c r="AA50" s="690"/>
      <c r="AB50" s="858"/>
    </row>
    <row r="51" spans="1:29" s="128" customFormat="1" ht="15" customHeight="1">
      <c r="A51" s="863"/>
      <c r="B51" s="863"/>
      <c r="C51" s="863"/>
      <c r="D51" s="863"/>
      <c r="E51" s="863"/>
      <c r="F51" s="863"/>
      <c r="G51" s="863"/>
      <c r="H51" s="863"/>
      <c r="I51" s="863"/>
      <c r="J51" s="863"/>
      <c r="K51" s="863"/>
      <c r="L51" s="863"/>
      <c r="M51" s="863"/>
      <c r="N51" s="863"/>
      <c r="O51" s="863"/>
      <c r="P51" s="863"/>
      <c r="Q51" s="863"/>
      <c r="R51" s="863"/>
      <c r="S51" s="863"/>
      <c r="T51" s="863"/>
      <c r="U51" s="863"/>
      <c r="V51" s="863"/>
      <c r="W51" s="863"/>
      <c r="X51" s="863"/>
      <c r="Y51" s="863"/>
      <c r="Z51" s="863"/>
      <c r="AA51" s="863"/>
      <c r="AB51" s="863"/>
      <c r="AC51" s="858"/>
    </row>
  </sheetData>
  <sheetProtection algorithmName="SHA-512" hashValue="weYtR6PmrFp5mz5iAlq2wpUwQp0WLpTziatBbxncm/L0c3NBYFaIuwwptBcIu91Khj3iBXXPgUhSGLNS+34NFw==" saltValue="M9N3GcpqSUhU0bVRxnKZaA==" spinCount="100000" sheet="1" objects="1" scenarios="1"/>
  <mergeCells count="28">
    <mergeCell ref="C2:C3"/>
    <mergeCell ref="E18:F18"/>
    <mergeCell ref="D6:F6"/>
    <mergeCell ref="E7:F7"/>
    <mergeCell ref="D17:F17"/>
    <mergeCell ref="T2:U3"/>
    <mergeCell ref="L7:M7"/>
    <mergeCell ref="J17:M17"/>
    <mergeCell ref="J18:K18"/>
    <mergeCell ref="L18:M18"/>
    <mergeCell ref="J14:K14"/>
    <mergeCell ref="J13:K13"/>
    <mergeCell ref="J12:K12"/>
    <mergeCell ref="J11:K11"/>
    <mergeCell ref="J6:M6"/>
    <mergeCell ref="J7:K7"/>
    <mergeCell ref="J10:K10"/>
    <mergeCell ref="J8:K8"/>
    <mergeCell ref="J9:K9"/>
    <mergeCell ref="U5:V5"/>
    <mergeCell ref="D32:F32"/>
    <mergeCell ref="E33:F33"/>
    <mergeCell ref="Q5:S5"/>
    <mergeCell ref="D24:F24"/>
    <mergeCell ref="E25:F25"/>
    <mergeCell ref="J21:K21"/>
    <mergeCell ref="J20:K20"/>
    <mergeCell ref="J19:K19"/>
  </mergeCells>
  <conditionalFormatting sqref="S33:X34">
    <cfRule type="cellIs" dxfId="249" priority="3" operator="lessThan">
      <formula>0</formula>
    </cfRule>
    <cfRule type="cellIs" dxfId="248" priority="4" operator="greaterThan">
      <formula>0</formula>
    </cfRule>
  </conditionalFormatting>
  <conditionalFormatting sqref="S35:X35">
    <cfRule type="cellIs" dxfId="247" priority="1" operator="greaterThan">
      <formula>0</formula>
    </cfRule>
    <cfRule type="cellIs" dxfId="246" priority="2" operator="lessThan">
      <formula>0</formula>
    </cfRule>
  </conditionalFormatting>
  <dataValidations count="19">
    <dataValidation type="list" allowBlank="1" showInputMessage="1" showErrorMessage="1" sqref="L20" xr:uid="{00000000-0002-0000-0300-000000000000}">
      <formula1>INDIRECT("'D-Prognosefehler Kontostand'!$B$7:$B$25")</formula1>
    </dataValidation>
    <dataValidation type="list" allowBlank="1" showInputMessage="1" showErrorMessage="1" sqref="E27" xr:uid="{00000000-0002-0000-0300-000001000000}">
      <formula1>INDIRECT("'D-Anteil Eigenverbrauch EE neu'!$C$13:$C$37")</formula1>
    </dataValidation>
    <dataValidation type="list" allowBlank="1" showInputMessage="1" showErrorMessage="1" sqref="E21" xr:uid="{00000000-0002-0000-0300-000002000000}">
      <formula1>INDIRECT("'D-Faktor Zusatzprivilegierung'!$B$7:$B$25")</formula1>
    </dataValidation>
    <dataValidation type="list" allowBlank="1" showInputMessage="1" showErrorMessage="1" sqref="E29" xr:uid="{00000000-0002-0000-0300-000003000000}">
      <formula1>INDIRECT("'D-Umlage EV Bestand'!$B$7:$B$12")</formula1>
    </dataValidation>
    <dataValidation type="list" allowBlank="1" showInputMessage="1" showErrorMessage="1" sqref="E8" xr:uid="{00000000-0002-0000-0300-000004000000}">
      <formula1>INDIRECT("'D-Bruttozubau'!$C$117:$C$141")</formula1>
    </dataValidation>
    <dataValidation type="list" allowBlank="1" showInputMessage="1" showErrorMessage="1" sqref="E10" xr:uid="{00000000-0002-0000-0300-000005000000}">
      <formula1>INDIRECT("'D-Bruttozubau'!$C$169:$C$193")</formula1>
    </dataValidation>
    <dataValidation type="list" allowBlank="1" showInputMessage="1" showErrorMessage="1" sqref="E9" xr:uid="{00000000-0002-0000-0300-000006000000}">
      <formula1>INDIRECT("'D-Bruttozubau'!$C$143:$C$167")</formula1>
    </dataValidation>
    <dataValidation type="list" allowBlank="1" showInputMessage="1" showErrorMessage="1" sqref="E11" xr:uid="{00000000-0002-0000-0300-000007000000}">
      <formula1>INDIRECT("'D-Bruttozubau'!$C$65:$C$89")</formula1>
    </dataValidation>
    <dataValidation type="list" allowBlank="1" showInputMessage="1" showErrorMessage="1" sqref="E19" xr:uid="{00000000-0002-0000-0300-000008000000}">
      <formula1>INDIRECT("'D-Privilegierter Letztverbrauch'!$B$7:$B$25")</formula1>
    </dataValidation>
    <dataValidation type="list" allowBlank="1" showInputMessage="1" showErrorMessage="1" sqref="E20" xr:uid="{00000000-0002-0000-0300-000009000000}">
      <formula1>INDIRECT("'D-Umlage priv. Letztverbrauch'!$B$7:$B$25")</formula1>
    </dataValidation>
    <dataValidation type="list" allowBlank="1" showInputMessage="1" showErrorMessage="1" sqref="E28" xr:uid="{00000000-0002-0000-0300-00000A000000}">
      <formula1>INDIRECT("'D-Umlage Eigenverbrauch PV+KWK'!$B$7:$B$25")</formula1>
    </dataValidation>
    <dataValidation type="list" allowBlank="1" showInputMessage="1" showErrorMessage="1" sqref="E26" xr:uid="{00000000-0002-0000-0300-00000B000000}">
      <formula1>INDIRECT("'D-Eigenverbrauch KWK Neue'!$B$7:$B$25")</formula1>
    </dataValidation>
    <dataValidation type="list" allowBlank="1" showInputMessage="1" showErrorMessage="1" sqref="E34" xr:uid="{00000000-0002-0000-0300-00000C000000}">
      <formula1>INDIRECT("'D-Nettostromverbrauch'!$B$7:$B$25")</formula1>
    </dataValidation>
    <dataValidation type="list" allowBlank="1" showInputMessage="1" showErrorMessage="1" sqref="L11" xr:uid="{00000000-0002-0000-0300-00000D000000}">
      <formula1>INDIRECT("'D-Vergütungssatz Neuanlagen'!$C$65:$C$83")</formula1>
    </dataValidation>
    <dataValidation type="list" allowBlank="1" showInputMessage="1" showErrorMessage="1" sqref="L8" xr:uid="{00000000-0002-0000-0300-00000E000000}">
      <formula1>INDIRECT("'D-Vergütungssatz Neuanlagen'!$C$117:$C$135")</formula1>
    </dataValidation>
    <dataValidation type="list" allowBlank="1" showInputMessage="1" showErrorMessage="1" sqref="L9" xr:uid="{00000000-0002-0000-0300-00000F000000}">
      <formula1>INDIRECT("'D-Vergütungssatz Neuanlagen'!$C$143:$C$167")</formula1>
    </dataValidation>
    <dataValidation type="list" allowBlank="1" showInputMessage="1" showErrorMessage="1" sqref="L10" xr:uid="{00000000-0002-0000-0300-000010000000}">
      <formula1>INDIRECT("'D-Vergütungssatz Neuanlagen'!$C$169:$C$187")</formula1>
    </dataValidation>
    <dataValidation type="list" allowBlank="1" showInputMessage="1" showErrorMessage="1" sqref="L19" xr:uid="{00000000-0002-0000-0300-000011000000}">
      <formula1>INDIRECT("'D-Future Strompreis'!$B$7:$B$25")</formula1>
    </dataValidation>
    <dataValidation allowBlank="1" showDropDown="1" showInputMessage="1" showErrorMessage="1" sqref="I45" xr:uid="{1E2C99CB-6E1D-4AB1-85B0-758BB6A5D41F}"/>
  </dataValidations>
  <printOptions verticalCentered="1"/>
  <pageMargins left="0.78740157480314965" right="0.78740157480314965" top="0.98425196850393704" bottom="0.98425196850393704" header="0.59055118110236227" footer="0.59055118110236227"/>
  <pageSetup paperSize="9" scale="32" orientation="landscape" r:id="rId1"/>
  <headerFooter scaleWithDoc="0">
    <oddHeader>&amp;C&amp;"Arial,Fett"&amp;18EEG Calculator</oddHeader>
    <oddFooter>&amp;LEntscheidermodus:
Eingangsparameter &amp;&amp; Ergebnisse&amp;C
&amp;F  &amp;A&amp;R
&amp;D  &amp;T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52" r:id="rId4" name="Button 4">
              <controlPr defaultSize="0" print="0" autoFill="0" autoPict="0" macro="[0]!ChangeToExpertMode">
                <anchor moveWithCells="1" sizeWithCells="1">
                  <from>
                    <xdr:col>3</xdr:col>
                    <xdr:colOff>38100</xdr:colOff>
                    <xdr:row>1</xdr:row>
                    <xdr:rowOff>47625</xdr:rowOff>
                  </from>
                  <to>
                    <xdr:col>4</xdr:col>
                    <xdr:colOff>190500</xdr:colOff>
                    <xdr:row>2</xdr:row>
                    <xdr:rowOff>133350</xdr:rowOff>
                  </to>
                </anchor>
              </controlPr>
            </control>
          </mc:Choice>
        </mc:AlternateContent>
        <mc:AlternateContent xmlns:mc="http://schemas.openxmlformats.org/markup-compatibility/2006">
          <mc:Choice Requires="x14">
            <control shapeId="104459" r:id="rId5" name="Button 11">
              <controlPr defaultSize="0" print="0" autoFill="0" autoPict="0" macro="[0]!revertToReferenceScenarioSimplifiedMode">
                <anchor moveWithCells="1" sizeWithCells="1">
                  <from>
                    <xdr:col>5</xdr:col>
                    <xdr:colOff>2343150</xdr:colOff>
                    <xdr:row>1</xdr:row>
                    <xdr:rowOff>47625</xdr:rowOff>
                  </from>
                  <to>
                    <xdr:col>6</xdr:col>
                    <xdr:colOff>66675</xdr:colOff>
                    <xdr:row>2</xdr:row>
                    <xdr:rowOff>133350</xdr:rowOff>
                  </to>
                </anchor>
              </controlPr>
            </control>
          </mc:Choice>
        </mc:AlternateContent>
        <mc:AlternateContent xmlns:mc="http://schemas.openxmlformats.org/markup-compatibility/2006">
          <mc:Choice Requires="x14">
            <control shapeId="104470" r:id="rId6" name="Button 22">
              <controlPr defaultSize="0" print="0" autoFill="0" autoPict="0" macro="[0]!goToManual">
                <anchor moveWithCells="1" sizeWithCells="1">
                  <from>
                    <xdr:col>8</xdr:col>
                    <xdr:colOff>942975</xdr:colOff>
                    <xdr:row>1</xdr:row>
                    <xdr:rowOff>28575</xdr:rowOff>
                  </from>
                  <to>
                    <xdr:col>9</xdr:col>
                    <xdr:colOff>123825</xdr:colOff>
                    <xdr:row>2</xdr:row>
                    <xdr:rowOff>114300</xdr:rowOff>
                  </to>
                </anchor>
              </controlPr>
            </control>
          </mc:Choice>
        </mc:AlternateContent>
        <mc:AlternateContent xmlns:mc="http://schemas.openxmlformats.org/markup-compatibility/2006">
          <mc:Choice Requires="x14">
            <control shapeId="104471" r:id="rId7" name="Button 23">
              <controlPr defaultSize="0" print="0" autoFill="0" autoPict="0" macro="[0]!goToResults">
                <anchor moveWithCells="1" sizeWithCells="1">
                  <from>
                    <xdr:col>4</xdr:col>
                    <xdr:colOff>323850</xdr:colOff>
                    <xdr:row>1</xdr:row>
                    <xdr:rowOff>47625</xdr:rowOff>
                  </from>
                  <to>
                    <xdr:col>5</xdr:col>
                    <xdr:colOff>685800</xdr:colOff>
                    <xdr:row>2</xdr:row>
                    <xdr:rowOff>133350</xdr:rowOff>
                  </to>
                </anchor>
              </controlPr>
            </control>
          </mc:Choice>
        </mc:AlternateContent>
        <mc:AlternateContent xmlns:mc="http://schemas.openxmlformats.org/markup-compatibility/2006">
          <mc:Choice Requires="x14">
            <control shapeId="104473" r:id="rId8" name="Button 25">
              <controlPr defaultSize="0" print="0" autoFill="0" autoPict="0" macro="[0]!switchNominalReal">
                <anchor moveWithCells="1" sizeWithCells="1">
                  <from>
                    <xdr:col>20</xdr:col>
                    <xdr:colOff>85725</xdr:colOff>
                    <xdr:row>4</xdr:row>
                    <xdr:rowOff>57150</xdr:rowOff>
                  </from>
                  <to>
                    <xdr:col>21</xdr:col>
                    <xdr:colOff>400050</xdr:colOff>
                    <xdr:row>4</xdr:row>
                    <xdr:rowOff>295275</xdr:rowOff>
                  </to>
                </anchor>
              </controlPr>
            </control>
          </mc:Choice>
        </mc:AlternateContent>
        <mc:AlternateContent xmlns:mc="http://schemas.openxmlformats.org/markup-compatibility/2006">
          <mc:Choice Requires="x14">
            <control shapeId="104516" r:id="rId9" name="Button 68">
              <controlPr defaultSize="0" print="0" autoFill="0" autoPict="0" macro="[0]!SelectKNDEScenarioSimplifiedMode">
                <anchor moveWithCells="1" sizeWithCells="1">
                  <from>
                    <xdr:col>6</xdr:col>
                    <xdr:colOff>257175</xdr:colOff>
                    <xdr:row>1</xdr:row>
                    <xdr:rowOff>47625</xdr:rowOff>
                  </from>
                  <to>
                    <xdr:col>8</xdr:col>
                    <xdr:colOff>828675</xdr:colOff>
                    <xdr:row>2</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13E48C2-5FE1-45B9-89A5-E25CC04DFEFE}">
          <x14:formula1>
            <xm:f>'D-Zuschuss'!$B$7:$B$25</xm:f>
          </x14:formula1>
          <xm:sqref>L21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60">
    <tabColor theme="9" tint="-0.499984740745262"/>
  </sheetPr>
  <dimension ref="A1:AF927"/>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183</v>
      </c>
      <c r="B1" s="62" t="s">
        <v>575</v>
      </c>
      <c r="C1" s="62"/>
      <c r="D1" s="19"/>
      <c r="E1" s="19"/>
      <c r="F1" s="19"/>
    </row>
    <row r="2" spans="1:32" ht="54.75" customHeight="1">
      <c r="B2" s="1147" t="s">
        <v>796</v>
      </c>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c r="AF5" s="330" t="s">
        <v>35</v>
      </c>
    </row>
    <row r="6" spans="1:32" ht="15" customHeight="1" thickBot="1">
      <c r="B6" s="172" t="s">
        <v>25</v>
      </c>
      <c r="C6" s="181" t="s">
        <v>77</v>
      </c>
      <c r="D6" s="15" t="s">
        <v>845</v>
      </c>
      <c r="E6" s="15" t="s">
        <v>57</v>
      </c>
      <c r="F6" s="537"/>
      <c r="G6" s="14">
        <v>5.444</v>
      </c>
      <c r="H6" s="14">
        <v>2.0696829999999999</v>
      </c>
      <c r="I6" s="14">
        <v>2.6419329999999999</v>
      </c>
      <c r="J6" s="14">
        <v>1.4335309999999999</v>
      </c>
      <c r="K6" s="14">
        <v>2.6266479999999999</v>
      </c>
      <c r="L6" s="14">
        <v>2.5155029999999998</v>
      </c>
      <c r="M6" s="14">
        <v>2.4509639999999999</v>
      </c>
      <c r="N6" s="14">
        <v>3.2915449999999997</v>
      </c>
      <c r="O6" s="14">
        <v>2.4494499999999997</v>
      </c>
      <c r="P6" s="38">
        <v>2.4839579999999999</v>
      </c>
      <c r="Q6" s="38">
        <v>2.2986149999999999</v>
      </c>
      <c r="R6" s="14">
        <v>2.250448</v>
      </c>
      <c r="S6" s="14">
        <v>2.0937030000000001</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77</v>
      </c>
      <c r="D7" s="15" t="s">
        <v>845</v>
      </c>
      <c r="E7" s="15" t="s">
        <v>57</v>
      </c>
      <c r="F7" s="537"/>
      <c r="G7" s="14">
        <v>1.835</v>
      </c>
      <c r="H7" s="14">
        <v>0.19930099999999998</v>
      </c>
      <c r="I7" s="14">
        <v>0.434035</v>
      </c>
      <c r="J7" s="14">
        <v>0.26808399999999999</v>
      </c>
      <c r="K7" s="14">
        <v>0.274088</v>
      </c>
      <c r="L7" s="14">
        <v>0.72458999999999996</v>
      </c>
      <c r="M7" s="14">
        <v>0.67505300000000001</v>
      </c>
      <c r="N7" s="14">
        <v>0.48945699999999998</v>
      </c>
      <c r="O7" s="14">
        <v>0.40027299999999999</v>
      </c>
      <c r="P7" s="38">
        <v>0.30525099999999999</v>
      </c>
      <c r="Q7" s="38">
        <v>0.23846799999999999</v>
      </c>
      <c r="R7" s="14">
        <v>0.12540099999999998</v>
      </c>
      <c r="S7" s="14">
        <v>0.116991</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77</v>
      </c>
      <c r="D8" s="15" t="s">
        <v>845</v>
      </c>
      <c r="E8" s="15" t="s">
        <v>57</v>
      </c>
      <c r="F8" s="537"/>
      <c r="G8" s="38">
        <v>26.262</v>
      </c>
      <c r="H8" s="38">
        <v>24.314577</v>
      </c>
      <c r="I8" s="38">
        <v>23.696601999999999</v>
      </c>
      <c r="J8" s="38">
        <v>11.950588999999999</v>
      </c>
      <c r="K8" s="38">
        <v>12.996518</v>
      </c>
      <c r="L8" s="38">
        <v>9.971876</v>
      </c>
      <c r="M8" s="38">
        <v>11.098848</v>
      </c>
      <c r="N8" s="38">
        <v>9.7514399999999988</v>
      </c>
      <c r="O8" s="38">
        <v>10.333107999999999</v>
      </c>
      <c r="P8" s="38">
        <v>9.4306009999999993</v>
      </c>
      <c r="Q8" s="38">
        <v>7.5909040000000001</v>
      </c>
      <c r="R8" s="38">
        <v>6.6323159999999994</v>
      </c>
      <c r="S8" s="38">
        <v>5.1455299999999999</v>
      </c>
      <c r="T8" s="38">
        <v>0</v>
      </c>
      <c r="U8" s="38">
        <v>0</v>
      </c>
      <c r="V8" s="38">
        <v>0</v>
      </c>
      <c r="W8" s="38">
        <v>0</v>
      </c>
      <c r="X8" s="38">
        <v>0</v>
      </c>
      <c r="Y8" s="38">
        <v>0</v>
      </c>
      <c r="Z8" s="38">
        <v>0</v>
      </c>
      <c r="AA8" s="38">
        <v>0</v>
      </c>
      <c r="AB8" s="38">
        <v>0</v>
      </c>
      <c r="AC8" s="38">
        <v>0</v>
      </c>
      <c r="AD8" s="38">
        <v>0</v>
      </c>
      <c r="AE8" s="38">
        <v>0</v>
      </c>
      <c r="AF8" s="38">
        <v>0</v>
      </c>
    </row>
    <row r="9" spans="1:32" ht="15" customHeight="1" thickBot="1">
      <c r="B9" s="171" t="s">
        <v>12</v>
      </c>
      <c r="C9" s="181" t="s">
        <v>77</v>
      </c>
      <c r="D9" s="15" t="s">
        <v>845</v>
      </c>
      <c r="E9" s="15" t="s">
        <v>57</v>
      </c>
      <c r="F9" s="537"/>
      <c r="G9" s="14">
        <v>3.5999999999999997E-2</v>
      </c>
      <c r="H9" s="14">
        <v>6.1612E-2</v>
      </c>
      <c r="I9" s="14">
        <v>9.0604999999999991E-2</v>
      </c>
      <c r="J9" s="14">
        <v>7.6874999999999999E-2</v>
      </c>
      <c r="K9" s="14">
        <v>0.113607</v>
      </c>
      <c r="L9" s="14">
        <v>7.9647999999999997E-2</v>
      </c>
      <c r="M9" s="14">
        <v>8.2011000000000001E-2</v>
      </c>
      <c r="N9" s="14">
        <v>8.3442999999999989E-2</v>
      </c>
      <c r="O9" s="14">
        <v>3.2674000000000002E-2</v>
      </c>
      <c r="P9" s="38">
        <v>5.3082999999999998E-2</v>
      </c>
      <c r="Q9" s="38">
        <v>7.8399999999999997E-3</v>
      </c>
      <c r="R9" s="14">
        <v>1.1445E-2</v>
      </c>
      <c r="S9" s="14">
        <v>1.609E-2</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77</v>
      </c>
      <c r="D10" s="15" t="s">
        <v>845</v>
      </c>
      <c r="E10" s="15" t="s">
        <v>57</v>
      </c>
      <c r="F10" s="537"/>
      <c r="G10" s="14">
        <v>47.704000000000001</v>
      </c>
      <c r="H10" s="14">
        <v>50.803851999999999</v>
      </c>
      <c r="I10" s="14">
        <v>41.210659</v>
      </c>
      <c r="J10" s="14">
        <v>8.037706</v>
      </c>
      <c r="K10" s="14">
        <v>8.9237459999999995</v>
      </c>
      <c r="L10" s="14">
        <v>9.3738069999999993</v>
      </c>
      <c r="M10" s="14">
        <v>8.1825499999999991</v>
      </c>
      <c r="N10" s="14">
        <v>6.2020169999999997</v>
      </c>
      <c r="O10" s="14">
        <v>4.9509549999999996</v>
      </c>
      <c r="P10" s="38">
        <v>3.3705379999999998</v>
      </c>
      <c r="Q10" s="38">
        <v>3.5940459999999996</v>
      </c>
      <c r="R10" s="14">
        <v>2.3290289999999998</v>
      </c>
      <c r="S10" s="14">
        <v>2.3377460000000001</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77</v>
      </c>
      <c r="D11" s="15" t="s">
        <v>845</v>
      </c>
      <c r="E11" s="15" t="s">
        <v>57</v>
      </c>
      <c r="F11" s="537"/>
      <c r="G11" s="14">
        <v>0.65400000000000003</v>
      </c>
      <c r="H11" s="14">
        <v>1.1467909999999999</v>
      </c>
      <c r="I11" s="14">
        <v>0.91880899999999999</v>
      </c>
      <c r="J11" s="14">
        <v>0</v>
      </c>
      <c r="K11" s="14">
        <v>0</v>
      </c>
      <c r="L11" s="14">
        <v>0</v>
      </c>
      <c r="M11" s="14">
        <v>0</v>
      </c>
      <c r="N11" s="14">
        <v>0</v>
      </c>
      <c r="O11" s="14">
        <v>0</v>
      </c>
      <c r="P11" s="38">
        <v>0</v>
      </c>
      <c r="Q11" s="38">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77</v>
      </c>
      <c r="D12" s="15" t="s">
        <v>845</v>
      </c>
      <c r="E12" s="15" t="s">
        <v>57</v>
      </c>
      <c r="F12" s="537"/>
      <c r="G12" s="14">
        <v>8.2959999999999994</v>
      </c>
      <c r="H12" s="14">
        <v>19.399286999999998</v>
      </c>
      <c r="I12" s="14">
        <v>22.864761999999999</v>
      </c>
      <c r="J12" s="14">
        <v>29.414850999999999</v>
      </c>
      <c r="K12" s="14">
        <v>28.987663999999999</v>
      </c>
      <c r="L12" s="14">
        <v>27.794584999999998</v>
      </c>
      <c r="M12" s="14">
        <v>27.602309999999999</v>
      </c>
      <c r="N12" s="14">
        <v>26.451788999999998</v>
      </c>
      <c r="O12" s="14">
        <v>27.684709999999999</v>
      </c>
      <c r="P12" s="38">
        <v>26.884110999999997</v>
      </c>
      <c r="Q12" s="38">
        <v>27.468408</v>
      </c>
      <c r="R12" s="14">
        <v>28.536632999999998</v>
      </c>
      <c r="S12" s="14">
        <v>30.851247999999998</v>
      </c>
      <c r="T12" s="14">
        <v>0</v>
      </c>
      <c r="U12" s="14">
        <v>0</v>
      </c>
      <c r="V12" s="14">
        <v>0</v>
      </c>
      <c r="W12" s="14">
        <v>0</v>
      </c>
      <c r="X12" s="14">
        <v>0</v>
      </c>
      <c r="Y12" s="14">
        <v>0</v>
      </c>
      <c r="Z12" s="14">
        <v>0</v>
      </c>
      <c r="AA12" s="14">
        <v>0</v>
      </c>
      <c r="AB12" s="14">
        <v>0</v>
      </c>
      <c r="AC12" s="14">
        <v>0</v>
      </c>
      <c r="AD12" s="14">
        <v>0</v>
      </c>
      <c r="AE12" s="14">
        <v>0</v>
      </c>
      <c r="AF12" s="14">
        <v>0</v>
      </c>
    </row>
    <row r="13" spans="1:32" ht="15" customHeight="1">
      <c r="D13" s="9"/>
      <c r="E13" s="9"/>
      <c r="F13" s="9"/>
      <c r="O13" s="557"/>
    </row>
    <row r="14" spans="1:32" ht="15" customHeight="1">
      <c r="D14" s="9"/>
      <c r="E14" s="9"/>
      <c r="F14" s="9"/>
    </row>
    <row r="15" spans="1:32" ht="15" customHeight="1">
      <c r="B15" s="1146" t="s">
        <v>797</v>
      </c>
      <c r="D15" s="9"/>
      <c r="E15" s="9"/>
      <c r="F15" s="9"/>
    </row>
    <row r="16" spans="1:32" ht="15" customHeight="1">
      <c r="B16" s="63"/>
      <c r="C16" s="63" t="s">
        <v>18</v>
      </c>
      <c r="D16" s="18" t="s">
        <v>64</v>
      </c>
      <c r="E16" s="321" t="s">
        <v>16</v>
      </c>
      <c r="F16" s="18" t="s">
        <v>377</v>
      </c>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row>
    <row r="17" spans="2:32" ht="15" customHeight="1">
      <c r="B17" s="64"/>
      <c r="C17" s="64"/>
      <c r="E17" s="16"/>
      <c r="G17" s="61">
        <v>2010</v>
      </c>
      <c r="H17" s="61">
        <v>2011</v>
      </c>
      <c r="I17" s="61">
        <v>2012</v>
      </c>
      <c r="J17" s="61">
        <v>2013</v>
      </c>
      <c r="K17" s="61">
        <v>2014</v>
      </c>
      <c r="L17" s="61">
        <v>2015</v>
      </c>
      <c r="M17" s="61">
        <v>2016</v>
      </c>
      <c r="N17" s="61">
        <v>2017</v>
      </c>
      <c r="O17" s="61">
        <v>2018</v>
      </c>
      <c r="P17" s="61">
        <v>2019</v>
      </c>
      <c r="Q17" s="61">
        <v>2020</v>
      </c>
      <c r="R17" s="61">
        <v>2021</v>
      </c>
      <c r="S17" s="61">
        <v>2022</v>
      </c>
      <c r="T17" s="61">
        <v>2023</v>
      </c>
      <c r="U17" s="61">
        <v>2024</v>
      </c>
      <c r="V17" s="61">
        <v>2025</v>
      </c>
      <c r="W17" s="61">
        <v>2026</v>
      </c>
      <c r="X17" s="61">
        <v>2027</v>
      </c>
      <c r="Y17" s="61">
        <v>2028</v>
      </c>
      <c r="Z17" s="61">
        <v>2029</v>
      </c>
      <c r="AA17" s="61">
        <v>2030</v>
      </c>
      <c r="AB17" s="61">
        <v>2031</v>
      </c>
      <c r="AC17" s="61">
        <v>2032</v>
      </c>
      <c r="AD17" s="61">
        <v>2033</v>
      </c>
      <c r="AE17" s="61">
        <v>2034</v>
      </c>
      <c r="AF17" s="61">
        <v>2035</v>
      </c>
    </row>
    <row r="18" spans="2:32" ht="15" customHeight="1" thickBot="1">
      <c r="B18" s="69"/>
      <c r="C18" s="64"/>
      <c r="E18" s="16"/>
      <c r="G18" s="330" t="s">
        <v>35</v>
      </c>
      <c r="H18" s="330" t="s">
        <v>35</v>
      </c>
      <c r="I18" s="330" t="s">
        <v>35</v>
      </c>
      <c r="J18" s="330" t="s">
        <v>35</v>
      </c>
      <c r="K18" s="330" t="s">
        <v>35</v>
      </c>
      <c r="L18" s="330" t="s">
        <v>35</v>
      </c>
      <c r="M18" s="330" t="s">
        <v>35</v>
      </c>
      <c r="N18" s="330" t="s">
        <v>35</v>
      </c>
      <c r="O18" s="330" t="s">
        <v>35</v>
      </c>
      <c r="P18" s="330" t="s">
        <v>35</v>
      </c>
      <c r="Q18" s="330" t="s">
        <v>35</v>
      </c>
      <c r="R18" s="330" t="s">
        <v>35</v>
      </c>
      <c r="S18" s="330" t="s">
        <v>35</v>
      </c>
      <c r="T18" s="330" t="s">
        <v>35</v>
      </c>
      <c r="U18" s="330" t="s">
        <v>35</v>
      </c>
      <c r="V18" s="330" t="s">
        <v>35</v>
      </c>
      <c r="W18" s="330" t="s">
        <v>35</v>
      </c>
      <c r="X18" s="330" t="s">
        <v>35</v>
      </c>
      <c r="Y18" s="330" t="s">
        <v>35</v>
      </c>
      <c r="Z18" s="330" t="s">
        <v>35</v>
      </c>
      <c r="AA18" s="330" t="s">
        <v>35</v>
      </c>
      <c r="AB18" s="330" t="s">
        <v>35</v>
      </c>
      <c r="AC18" s="330" t="s">
        <v>35</v>
      </c>
      <c r="AD18" s="330" t="s">
        <v>35</v>
      </c>
      <c r="AE18" s="330" t="s">
        <v>35</v>
      </c>
      <c r="AF18" s="330" t="s">
        <v>35</v>
      </c>
    </row>
    <row r="19" spans="2:32" ht="15" customHeight="1" thickBot="1">
      <c r="B19" s="172" t="s">
        <v>25</v>
      </c>
      <c r="C19" s="181" t="s">
        <v>77</v>
      </c>
      <c r="D19" s="15" t="s">
        <v>845</v>
      </c>
      <c r="E19" s="15" t="s">
        <v>57</v>
      </c>
      <c r="F19" s="537"/>
      <c r="G19" s="14">
        <v>0</v>
      </c>
      <c r="H19" s="14">
        <v>0</v>
      </c>
      <c r="I19" s="14">
        <v>2.1817889999999998</v>
      </c>
      <c r="J19" s="14">
        <v>4.2967389999999996</v>
      </c>
      <c r="K19" s="14">
        <v>2.8318239999999997</v>
      </c>
      <c r="L19" s="14">
        <v>3.5763499999999997</v>
      </c>
      <c r="M19" s="14">
        <v>3.7087819999999998</v>
      </c>
      <c r="N19" s="14">
        <v>2.8920019999999997</v>
      </c>
      <c r="O19" s="14">
        <v>3.0121289999999998</v>
      </c>
      <c r="P19" s="38">
        <v>3.465357</v>
      </c>
      <c r="Q19" s="38">
        <v>3.2058839999999997</v>
      </c>
      <c r="R19" s="14">
        <v>3.3938739999999998</v>
      </c>
      <c r="S19" s="14">
        <v>3.557871</v>
      </c>
      <c r="T19" s="14">
        <v>0</v>
      </c>
      <c r="U19" s="14">
        <v>0</v>
      </c>
      <c r="V19" s="14">
        <v>0</v>
      </c>
      <c r="W19" s="14">
        <v>0</v>
      </c>
      <c r="X19" s="14">
        <v>0</v>
      </c>
      <c r="Y19" s="14">
        <v>0</v>
      </c>
      <c r="Z19" s="14">
        <v>0</v>
      </c>
      <c r="AA19" s="14">
        <v>0</v>
      </c>
      <c r="AB19" s="14">
        <v>0</v>
      </c>
      <c r="AC19" s="14">
        <v>0</v>
      </c>
      <c r="AD19" s="14">
        <v>0</v>
      </c>
      <c r="AE19" s="14">
        <v>0</v>
      </c>
      <c r="AF19" s="14">
        <v>0</v>
      </c>
    </row>
    <row r="20" spans="2:32" ht="15" customHeight="1" thickBot="1">
      <c r="B20" s="171" t="s">
        <v>27</v>
      </c>
      <c r="C20" s="181" t="s">
        <v>77</v>
      </c>
      <c r="D20" s="15" t="s">
        <v>845</v>
      </c>
      <c r="E20" s="15" t="s">
        <v>57</v>
      </c>
      <c r="F20" s="537"/>
      <c r="G20" s="14">
        <v>0</v>
      </c>
      <c r="H20" s="14">
        <v>0</v>
      </c>
      <c r="I20" s="14">
        <v>0.29039300000000001</v>
      </c>
      <c r="J20" s="14">
        <v>1.1700359999999999</v>
      </c>
      <c r="K20" s="14">
        <v>0.52149199999999996</v>
      </c>
      <c r="L20" s="14">
        <v>0.95397999999999994</v>
      </c>
      <c r="M20" s="14">
        <v>0.9315199999999999</v>
      </c>
      <c r="N20" s="14">
        <v>0.88699699999999992</v>
      </c>
      <c r="O20" s="14">
        <v>0.90645399999999998</v>
      </c>
      <c r="P20" s="38">
        <v>0.92375699999999994</v>
      </c>
      <c r="Q20" s="38">
        <v>0.75774799999999998</v>
      </c>
      <c r="R20" s="14">
        <v>0.72676399999999997</v>
      </c>
      <c r="S20" s="14">
        <v>0.75646199999999997</v>
      </c>
      <c r="T20" s="14">
        <v>0</v>
      </c>
      <c r="U20" s="14">
        <v>0</v>
      </c>
      <c r="V20" s="14">
        <v>0</v>
      </c>
      <c r="W20" s="14">
        <v>0</v>
      </c>
      <c r="X20" s="14">
        <v>0</v>
      </c>
      <c r="Y20" s="14">
        <v>0</v>
      </c>
      <c r="Z20" s="14">
        <v>0</v>
      </c>
      <c r="AA20" s="14">
        <v>0</v>
      </c>
      <c r="AB20" s="14">
        <v>0</v>
      </c>
      <c r="AC20" s="14">
        <v>0</v>
      </c>
      <c r="AD20" s="14">
        <v>0</v>
      </c>
      <c r="AE20" s="14">
        <v>0</v>
      </c>
      <c r="AF20" s="14">
        <v>0</v>
      </c>
    </row>
    <row r="21" spans="2:32" ht="15" customHeight="1" thickBot="1">
      <c r="B21" s="171" t="s">
        <v>13</v>
      </c>
      <c r="C21" s="181" t="s">
        <v>77</v>
      </c>
      <c r="D21" s="15" t="s">
        <v>845</v>
      </c>
      <c r="E21" s="15" t="s">
        <v>57</v>
      </c>
      <c r="F21" s="537"/>
      <c r="G21" s="38">
        <v>0</v>
      </c>
      <c r="H21" s="38">
        <v>0</v>
      </c>
      <c r="I21" s="38">
        <v>5.9434979999999999</v>
      </c>
      <c r="J21" s="38">
        <v>21.214547</v>
      </c>
      <c r="K21" s="38">
        <v>21.925464999999999</v>
      </c>
      <c r="L21" s="38">
        <v>28.385728</v>
      </c>
      <c r="M21" s="38">
        <v>29.123989999999999</v>
      </c>
      <c r="N21" s="38">
        <v>31.014032999999998</v>
      </c>
      <c r="O21" s="38">
        <v>31.204751999999999</v>
      </c>
      <c r="P21" s="38">
        <v>31.842124999999999</v>
      </c>
      <c r="Q21" s="38">
        <v>34.123956</v>
      </c>
      <c r="R21" s="38">
        <v>33.524949999999997</v>
      </c>
      <c r="S21" s="38">
        <v>31.759048999999997</v>
      </c>
      <c r="T21" s="38">
        <v>0</v>
      </c>
      <c r="U21" s="38">
        <v>0</v>
      </c>
      <c r="V21" s="38">
        <v>0</v>
      </c>
      <c r="W21" s="38">
        <v>0</v>
      </c>
      <c r="X21" s="38">
        <v>0</v>
      </c>
      <c r="Y21" s="38">
        <v>0</v>
      </c>
      <c r="Z21" s="38">
        <v>0</v>
      </c>
      <c r="AA21" s="38">
        <v>0</v>
      </c>
      <c r="AB21" s="38">
        <v>0</v>
      </c>
      <c r="AC21" s="38">
        <v>0</v>
      </c>
      <c r="AD21" s="38">
        <v>0</v>
      </c>
      <c r="AE21" s="38">
        <v>0</v>
      </c>
      <c r="AF21" s="38">
        <v>0</v>
      </c>
    </row>
    <row r="22" spans="2:32" ht="15" customHeight="1" thickBot="1">
      <c r="B22" s="171" t="s">
        <v>12</v>
      </c>
      <c r="C22" s="181" t="s">
        <v>77</v>
      </c>
      <c r="D22" s="15" t="s">
        <v>845</v>
      </c>
      <c r="E22" s="15" t="s">
        <v>57</v>
      </c>
      <c r="F22" s="537"/>
      <c r="G22" s="14">
        <v>0</v>
      </c>
      <c r="H22" s="14">
        <v>0</v>
      </c>
      <c r="I22" s="14">
        <v>1.6635E-2</v>
      </c>
      <c r="J22" s="14">
        <v>0</v>
      </c>
      <c r="K22" s="14">
        <v>1.6799999999999999E-2</v>
      </c>
      <c r="L22" s="14">
        <v>7.9057000000000002E-2</v>
      </c>
      <c r="M22" s="14">
        <v>9.8345000000000002E-2</v>
      </c>
      <c r="N22" s="14">
        <v>0.10608099999999999</v>
      </c>
      <c r="O22" s="14">
        <v>0.17315</v>
      </c>
      <c r="P22" s="38">
        <v>0.17602599999999999</v>
      </c>
      <c r="Q22" s="38">
        <v>0.16394300000000001</v>
      </c>
      <c r="R22" s="14">
        <v>0.20272599999999999</v>
      </c>
      <c r="S22" s="14">
        <v>0.33141999999999999</v>
      </c>
      <c r="T22" s="14">
        <v>0</v>
      </c>
      <c r="U22" s="14">
        <v>0</v>
      </c>
      <c r="V22" s="14">
        <v>0</v>
      </c>
      <c r="W22" s="14">
        <v>0</v>
      </c>
      <c r="X22" s="14">
        <v>0</v>
      </c>
      <c r="Y22" s="14">
        <v>0</v>
      </c>
      <c r="Z22" s="14">
        <v>0</v>
      </c>
      <c r="AA22" s="14">
        <v>0</v>
      </c>
      <c r="AB22" s="14">
        <v>0</v>
      </c>
      <c r="AC22" s="14">
        <v>0</v>
      </c>
      <c r="AD22" s="14">
        <v>0</v>
      </c>
      <c r="AE22" s="14">
        <v>0</v>
      </c>
      <c r="AF22" s="14">
        <v>0</v>
      </c>
    </row>
    <row r="23" spans="2:32" ht="15" customHeight="1" thickBot="1">
      <c r="B23" s="171" t="s">
        <v>24</v>
      </c>
      <c r="C23" s="181" t="s">
        <v>77</v>
      </c>
      <c r="D23" s="15" t="s">
        <v>845</v>
      </c>
      <c r="E23" s="15" t="s">
        <v>57</v>
      </c>
      <c r="F23" s="537"/>
      <c r="G23" s="14">
        <v>0</v>
      </c>
      <c r="H23" s="14">
        <v>0</v>
      </c>
      <c r="I23" s="14">
        <v>7.3871079999999996</v>
      </c>
      <c r="J23" s="14">
        <v>46.901826999999997</v>
      </c>
      <c r="K23" s="14">
        <v>51.661167999999996</v>
      </c>
      <c r="L23" s="14">
        <v>57.498880999999997</v>
      </c>
      <c r="M23" s="14">
        <v>67.570857000000004</v>
      </c>
      <c r="N23" s="14">
        <v>75.744242</v>
      </c>
      <c r="O23" s="14">
        <v>87.745678999999996</v>
      </c>
      <c r="P23" s="38">
        <v>95.400548999999998</v>
      </c>
      <c r="Q23" s="38">
        <v>98.452184000000003</v>
      </c>
      <c r="R23" s="14">
        <v>97.184866999999997</v>
      </c>
      <c r="S23" s="14">
        <v>94.650686999999991</v>
      </c>
      <c r="T23" s="14">
        <v>0</v>
      </c>
      <c r="U23" s="14">
        <v>0</v>
      </c>
      <c r="V23" s="14">
        <v>0</v>
      </c>
      <c r="W23" s="14">
        <v>0</v>
      </c>
      <c r="X23" s="14">
        <v>0</v>
      </c>
      <c r="Y23" s="14">
        <v>0</v>
      </c>
      <c r="Z23" s="14">
        <v>0</v>
      </c>
      <c r="AA23" s="14">
        <v>0</v>
      </c>
      <c r="AB23" s="14">
        <v>0</v>
      </c>
      <c r="AC23" s="14">
        <v>0</v>
      </c>
      <c r="AD23" s="14">
        <v>0</v>
      </c>
      <c r="AE23" s="14">
        <v>0</v>
      </c>
      <c r="AF23" s="14">
        <v>0</v>
      </c>
    </row>
    <row r="24" spans="2:32" ht="15" customHeight="1" thickBot="1">
      <c r="B24" s="171" t="s">
        <v>26</v>
      </c>
      <c r="C24" s="181" t="s">
        <v>77</v>
      </c>
      <c r="D24" s="15" t="s">
        <v>845</v>
      </c>
      <c r="E24" s="15" t="s">
        <v>57</v>
      </c>
      <c r="F24" s="537"/>
      <c r="G24" s="14">
        <v>0</v>
      </c>
      <c r="H24" s="14">
        <v>0</v>
      </c>
      <c r="I24" s="14">
        <v>0.442606</v>
      </c>
      <c r="J24" s="14">
        <v>2.4940419999999999</v>
      </c>
      <c r="K24" s="14">
        <v>7.397958</v>
      </c>
      <c r="L24" s="14">
        <v>11.231204</v>
      </c>
      <c r="M24" s="14">
        <v>15.379543999999999</v>
      </c>
      <c r="N24" s="14">
        <v>20.033355</v>
      </c>
      <c r="O24" s="14">
        <v>22.564405999999998</v>
      </c>
      <c r="P24" s="38">
        <v>26.466161</v>
      </c>
      <c r="Q24" s="38">
        <v>29.940075999999998</v>
      </c>
      <c r="R24" s="14">
        <v>29.638939999999998</v>
      </c>
      <c r="S24" s="14">
        <v>30.205085999999998</v>
      </c>
      <c r="T24" s="14">
        <v>0</v>
      </c>
      <c r="U24" s="14">
        <v>0</v>
      </c>
      <c r="V24" s="14">
        <v>0</v>
      </c>
      <c r="W24" s="14">
        <v>0</v>
      </c>
      <c r="X24" s="14">
        <v>0</v>
      </c>
      <c r="Y24" s="14">
        <v>0</v>
      </c>
      <c r="Z24" s="14">
        <v>0</v>
      </c>
      <c r="AA24" s="14">
        <v>0</v>
      </c>
      <c r="AB24" s="14">
        <v>0</v>
      </c>
      <c r="AC24" s="14">
        <v>0</v>
      </c>
      <c r="AD24" s="14">
        <v>0</v>
      </c>
      <c r="AE24" s="14">
        <v>0</v>
      </c>
      <c r="AF24" s="14">
        <v>0</v>
      </c>
    </row>
    <row r="25" spans="2:32" ht="15" customHeight="1" thickBot="1">
      <c r="B25" s="173" t="s">
        <v>14</v>
      </c>
      <c r="C25" s="181" t="s">
        <v>77</v>
      </c>
      <c r="D25" s="15" t="s">
        <v>845</v>
      </c>
      <c r="E25" s="15" t="s">
        <v>57</v>
      </c>
      <c r="F25" s="537"/>
      <c r="G25" s="14">
        <v>0</v>
      </c>
      <c r="H25" s="14">
        <v>0</v>
      </c>
      <c r="I25" s="14">
        <v>0.63546899999999995</v>
      </c>
      <c r="J25" s="14">
        <v>2.9213830000000001</v>
      </c>
      <c r="K25" s="14">
        <v>4.8185699999999994</v>
      </c>
      <c r="L25" s="14">
        <v>6.293679</v>
      </c>
      <c r="M25" s="14">
        <v>6.9605349999999993</v>
      </c>
      <c r="N25" s="14">
        <v>8.0043569999999988</v>
      </c>
      <c r="O25" s="14">
        <v>9.0451540000000001</v>
      </c>
      <c r="P25" s="38">
        <v>11.590814</v>
      </c>
      <c r="Q25" s="38">
        <v>12.871558</v>
      </c>
      <c r="R25" s="14">
        <v>15.710374999999999</v>
      </c>
      <c r="S25" s="14">
        <v>19.976932999999999</v>
      </c>
      <c r="T25" s="14">
        <v>0</v>
      </c>
      <c r="U25" s="14">
        <v>0</v>
      </c>
      <c r="V25" s="14">
        <v>0</v>
      </c>
      <c r="W25" s="14">
        <v>0</v>
      </c>
      <c r="X25" s="14">
        <v>0</v>
      </c>
      <c r="Y25" s="14">
        <v>0</v>
      </c>
      <c r="Z25" s="14">
        <v>0</v>
      </c>
      <c r="AA25" s="14">
        <v>0</v>
      </c>
      <c r="AB25" s="14">
        <v>0</v>
      </c>
      <c r="AC25" s="14">
        <v>0</v>
      </c>
      <c r="AD25" s="14">
        <v>0</v>
      </c>
      <c r="AE25" s="14">
        <v>0</v>
      </c>
      <c r="AF25" s="14">
        <v>0</v>
      </c>
    </row>
    <row r="26" spans="2:32" ht="15" customHeight="1">
      <c r="D26" s="9"/>
      <c r="E26" s="9"/>
      <c r="F26" s="9"/>
    </row>
    <row r="27" spans="2:32" ht="15" customHeight="1">
      <c r="D27" s="9"/>
      <c r="E27" s="9"/>
      <c r="F27" s="9"/>
    </row>
    <row r="28" spans="2:32" ht="15" customHeight="1">
      <c r="D28" s="9"/>
      <c r="E28" s="9"/>
      <c r="F28" s="9"/>
    </row>
    <row r="29" spans="2:32" ht="15" customHeight="1">
      <c r="D29" s="9"/>
      <c r="E29" s="9"/>
      <c r="F29" s="9"/>
    </row>
    <row r="30" spans="2:32" ht="15" customHeight="1">
      <c r="D30" s="9"/>
      <c r="E30" s="9"/>
      <c r="F30" s="9"/>
    </row>
    <row r="31" spans="2:32" ht="15" customHeight="1">
      <c r="D31" s="9"/>
      <c r="E31" s="9"/>
      <c r="F31" s="9"/>
    </row>
    <row r="32" spans="2:32" ht="15" customHeight="1">
      <c r="D32" s="9"/>
      <c r="E32" s="9"/>
      <c r="F32" s="9"/>
    </row>
    <row r="33" spans="4:12" ht="15" customHeight="1">
      <c r="D33" s="9"/>
      <c r="E33" s="9"/>
      <c r="F33" s="9"/>
    </row>
    <row r="34" spans="4:12" ht="15" customHeight="1">
      <c r="D34" s="9"/>
      <c r="E34" s="9"/>
      <c r="F34" s="9"/>
      <c r="G34" s="210"/>
      <c r="H34" s="210"/>
      <c r="I34" s="210"/>
      <c r="J34" s="210"/>
      <c r="K34" s="210"/>
      <c r="L34" s="210"/>
    </row>
    <row r="35" spans="4:12" ht="15" customHeight="1">
      <c r="D35" s="9"/>
      <c r="E35" s="9"/>
      <c r="F35" s="9"/>
      <c r="G35" s="210"/>
      <c r="H35" s="210"/>
      <c r="I35" s="210"/>
      <c r="J35" s="210"/>
      <c r="K35" s="210"/>
      <c r="L35" s="210"/>
    </row>
    <row r="36" spans="4:12" ht="15" customHeight="1">
      <c r="D36" s="9"/>
      <c r="E36" s="9"/>
      <c r="F36" s="9"/>
      <c r="G36" s="655"/>
      <c r="H36" s="655"/>
      <c r="I36" s="655"/>
      <c r="J36" s="655"/>
      <c r="K36" s="655"/>
      <c r="L36" s="655"/>
    </row>
    <row r="37" spans="4:12" ht="15" customHeight="1">
      <c r="D37" s="9"/>
      <c r="E37" s="9"/>
      <c r="F37" s="9"/>
      <c r="G37" s="210"/>
      <c r="H37" s="210"/>
      <c r="I37" s="210"/>
      <c r="J37" s="210"/>
      <c r="K37" s="210"/>
      <c r="L37" s="210"/>
    </row>
    <row r="38" spans="4:12" ht="15" customHeight="1">
      <c r="D38" s="9"/>
      <c r="E38" s="9"/>
      <c r="F38" s="9"/>
      <c r="G38" s="210"/>
      <c r="H38" s="210"/>
      <c r="I38" s="210"/>
      <c r="J38" s="210"/>
      <c r="K38" s="210"/>
      <c r="L38" s="210"/>
    </row>
    <row r="39" spans="4:12" ht="15" customHeight="1">
      <c r="D39" s="9"/>
      <c r="E39" s="9"/>
      <c r="F39" s="9"/>
      <c r="G39" s="210"/>
      <c r="H39" s="210"/>
      <c r="I39" s="210"/>
      <c r="J39" s="210"/>
      <c r="K39" s="210"/>
      <c r="L39" s="210"/>
    </row>
    <row r="40" spans="4:12" ht="15" customHeight="1">
      <c r="D40" s="9"/>
      <c r="E40" s="9"/>
      <c r="F40" s="9"/>
      <c r="G40" s="210"/>
      <c r="H40" s="210"/>
      <c r="I40" s="210"/>
      <c r="J40" s="210"/>
      <c r="K40" s="210"/>
      <c r="L40" s="210"/>
    </row>
    <row r="41" spans="4:12" ht="15" customHeight="1">
      <c r="D41" s="9"/>
      <c r="E41" s="9"/>
      <c r="F41" s="9"/>
    </row>
    <row r="42" spans="4:12" ht="15" customHeight="1">
      <c r="D42" s="9"/>
      <c r="E42" s="9"/>
      <c r="F42" s="9"/>
      <c r="G42" s="210"/>
      <c r="H42" s="210"/>
      <c r="I42" s="210"/>
      <c r="J42" s="210"/>
      <c r="K42" s="210"/>
      <c r="L42" s="210"/>
    </row>
    <row r="43" spans="4:12" ht="15" customHeight="1">
      <c r="D43" s="9"/>
      <c r="E43" s="9"/>
      <c r="F43" s="9"/>
      <c r="G43" s="210"/>
      <c r="H43" s="210"/>
      <c r="I43" s="210"/>
      <c r="J43" s="210"/>
      <c r="K43" s="210"/>
      <c r="L43" s="210"/>
    </row>
    <row r="44" spans="4:12" ht="15" customHeight="1">
      <c r="D44" s="9"/>
      <c r="E44" s="9"/>
      <c r="F44" s="9"/>
      <c r="G44" s="655"/>
      <c r="H44" s="655"/>
      <c r="I44" s="655"/>
      <c r="J44" s="655"/>
      <c r="K44" s="655"/>
      <c r="L44" s="655"/>
    </row>
    <row r="45" spans="4:12" ht="15" customHeight="1">
      <c r="D45" s="9"/>
      <c r="E45" s="9"/>
      <c r="F45" s="9"/>
      <c r="G45" s="210"/>
      <c r="H45" s="210"/>
      <c r="I45" s="210"/>
      <c r="J45" s="210"/>
      <c r="K45" s="210"/>
      <c r="L45" s="210"/>
    </row>
    <row r="46" spans="4:12" ht="15" customHeight="1">
      <c r="D46" s="9"/>
      <c r="E46" s="9"/>
      <c r="F46" s="9"/>
      <c r="G46" s="210"/>
      <c r="H46" s="210"/>
      <c r="I46" s="210"/>
      <c r="J46" s="210"/>
      <c r="K46" s="210"/>
      <c r="L46" s="210"/>
    </row>
    <row r="47" spans="4:12" ht="15" customHeight="1">
      <c r="D47" s="9"/>
      <c r="E47" s="9"/>
      <c r="F47" s="9"/>
      <c r="G47" s="210"/>
      <c r="H47" s="210"/>
      <c r="I47" s="210"/>
      <c r="J47" s="210"/>
      <c r="K47" s="210"/>
      <c r="L47" s="210"/>
    </row>
    <row r="48" spans="4:12" ht="15" customHeight="1">
      <c r="D48" s="9"/>
      <c r="E48" s="9"/>
      <c r="F48" s="9"/>
      <c r="G48" s="210"/>
      <c r="H48" s="210"/>
      <c r="I48" s="210"/>
      <c r="J48" s="210"/>
      <c r="K48" s="210"/>
      <c r="L48" s="210"/>
    </row>
    <row r="49" spans="4:12" ht="15" customHeight="1">
      <c r="D49" s="9"/>
      <c r="E49" s="9"/>
      <c r="F49" s="9"/>
    </row>
    <row r="50" spans="4:12" ht="15" customHeight="1">
      <c r="D50" s="9"/>
      <c r="E50" s="9"/>
      <c r="F50" s="9"/>
      <c r="G50" s="654"/>
      <c r="H50" s="654"/>
      <c r="I50" s="654"/>
      <c r="J50" s="654"/>
      <c r="K50" s="654"/>
      <c r="L50" s="654"/>
    </row>
    <row r="51" spans="4:12" ht="15" customHeight="1">
      <c r="D51" s="9"/>
      <c r="E51" s="9"/>
      <c r="F51" s="9"/>
      <c r="G51" s="654"/>
      <c r="H51" s="654"/>
      <c r="I51" s="654"/>
      <c r="J51" s="654"/>
      <c r="K51" s="654"/>
      <c r="L51" s="654"/>
    </row>
    <row r="52" spans="4:12" ht="15" customHeight="1">
      <c r="D52" s="9"/>
      <c r="E52" s="9"/>
      <c r="F52" s="9"/>
      <c r="G52" s="654"/>
      <c r="H52" s="654"/>
      <c r="I52" s="654"/>
      <c r="J52" s="654"/>
      <c r="K52" s="654"/>
      <c r="L52" s="654"/>
    </row>
    <row r="53" spans="4:12" ht="15" customHeight="1">
      <c r="D53" s="9"/>
      <c r="E53" s="9"/>
      <c r="F53" s="9"/>
      <c r="G53" s="654"/>
      <c r="H53" s="654"/>
      <c r="I53" s="654"/>
      <c r="J53" s="654"/>
      <c r="K53" s="654"/>
      <c r="L53" s="654"/>
    </row>
    <row r="54" spans="4:12" ht="15" customHeight="1">
      <c r="D54" s="9"/>
      <c r="E54" s="9"/>
      <c r="F54" s="9"/>
      <c r="G54" s="654"/>
      <c r="H54" s="654"/>
      <c r="I54" s="654"/>
      <c r="J54" s="654"/>
      <c r="K54" s="654"/>
      <c r="L54" s="654"/>
    </row>
    <row r="55" spans="4:12" ht="15" customHeight="1">
      <c r="D55" s="9"/>
      <c r="E55" s="9"/>
      <c r="F55" s="9"/>
      <c r="G55" s="654"/>
      <c r="H55" s="654"/>
      <c r="I55" s="654"/>
      <c r="J55" s="654"/>
      <c r="K55" s="654"/>
      <c r="L55" s="654"/>
    </row>
    <row r="56" spans="4:12" ht="15" customHeight="1">
      <c r="D56" s="9"/>
      <c r="E56" s="9"/>
      <c r="F56" s="9"/>
      <c r="G56" s="654"/>
      <c r="H56" s="654"/>
      <c r="I56" s="654"/>
      <c r="J56" s="654"/>
      <c r="K56" s="654"/>
      <c r="L56" s="654"/>
    </row>
    <row r="57" spans="4:12" ht="15" customHeight="1">
      <c r="D57" s="9"/>
      <c r="E57" s="9"/>
      <c r="F57" s="9"/>
    </row>
    <row r="58" spans="4:12" ht="15" customHeight="1">
      <c r="D58" s="9"/>
      <c r="E58" s="9"/>
      <c r="F58" s="9"/>
    </row>
    <row r="59" spans="4:12" ht="15" customHeight="1">
      <c r="D59" s="9"/>
      <c r="E59" s="9"/>
      <c r="F59" s="9"/>
    </row>
    <row r="60" spans="4:12" ht="15" customHeight="1">
      <c r="D60" s="9"/>
      <c r="E60" s="9"/>
      <c r="F60" s="9"/>
    </row>
    <row r="61" spans="4:12" ht="15" customHeight="1">
      <c r="D61" s="9"/>
      <c r="E61" s="9"/>
      <c r="F61" s="9"/>
    </row>
    <row r="62" spans="4:12" ht="15" customHeight="1">
      <c r="D62" s="9"/>
      <c r="E62" s="9"/>
      <c r="F62" s="9"/>
    </row>
    <row r="63" spans="4:12" ht="15" customHeight="1">
      <c r="D63" s="9"/>
      <c r="E63" s="9"/>
      <c r="F63" s="9"/>
    </row>
    <row r="64" spans="4:12" ht="15" customHeight="1">
      <c r="D64" s="9"/>
      <c r="E64" s="9"/>
      <c r="F64" s="9"/>
    </row>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s="9" customFormat="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9" customFormat="1" ht="15" customHeight="1"/>
    <row r="194" s="9" customFormat="1" ht="15" customHeight="1"/>
    <row r="195" s="9" customFormat="1" ht="15" customHeight="1"/>
    <row r="196" s="9" customFormat="1" ht="15" customHeight="1"/>
    <row r="197" s="9" customFormat="1" ht="15" customHeight="1"/>
    <row r="198" s="9" customFormat="1" ht="15" customHeight="1"/>
    <row r="199" s="9" customFormat="1" ht="15" customHeight="1"/>
    <row r="200" s="9" customFormat="1" ht="15" customHeight="1"/>
    <row r="201" s="9" customFormat="1" ht="15" customHeight="1"/>
    <row r="202" s="9" customFormat="1" ht="15" customHeight="1"/>
    <row r="203" s="9" customFormat="1" ht="15" customHeight="1"/>
    <row r="204" s="9" customFormat="1" ht="15" customHeight="1"/>
    <row r="205" s="9" customFormat="1" ht="15" customHeight="1"/>
    <row r="206" s="9" customFormat="1" ht="15" customHeight="1"/>
    <row r="207" s="9" customFormat="1" ht="15" customHeight="1"/>
    <row r="208" s="9" customFormat="1" ht="15" customHeight="1"/>
    <row r="209" s="9" customFormat="1" ht="15" customHeight="1"/>
    <row r="210" s="9" customFormat="1" ht="15" customHeight="1"/>
    <row r="211" s="9" customFormat="1" ht="15" customHeight="1"/>
    <row r="212" s="9" customFormat="1" ht="15" customHeight="1"/>
    <row r="213" s="9" customFormat="1" ht="15" customHeight="1"/>
    <row r="214" s="9" customFormat="1" ht="15" customHeight="1"/>
    <row r="215" s="9" customFormat="1" ht="15" customHeight="1"/>
    <row r="216" s="9" customFormat="1" ht="15" customHeight="1"/>
    <row r="217" s="9" customFormat="1" ht="15" customHeight="1"/>
    <row r="218" s="9" customFormat="1" ht="15" customHeight="1"/>
    <row r="219" s="9" customFormat="1" ht="15" customHeight="1"/>
    <row r="220" s="9" customFormat="1" ht="15" customHeight="1"/>
    <row r="221" s="9" customFormat="1" ht="15" customHeight="1"/>
    <row r="222" s="9" customFormat="1" ht="15" customHeight="1"/>
    <row r="223" s="9" customFormat="1" ht="15" customHeight="1"/>
    <row r="224" s="9" customFormat="1" ht="15" customHeight="1"/>
    <row r="225" s="9" customFormat="1" ht="15" customHeight="1"/>
    <row r="226" s="9" customFormat="1" ht="15" customHeight="1"/>
    <row r="227" s="9" customFormat="1" ht="15" customHeight="1"/>
    <row r="228" s="9" customFormat="1" ht="15" customHeight="1"/>
    <row r="229" s="9" customFormat="1" ht="15" customHeight="1"/>
    <row r="230" s="9" customFormat="1" ht="15" customHeight="1"/>
    <row r="231" s="9" customFormat="1" ht="15" customHeight="1"/>
    <row r="232" s="9" customFormat="1" ht="15" customHeight="1"/>
    <row r="233" s="9" customFormat="1" ht="15" customHeight="1"/>
    <row r="234" s="9" customFormat="1" ht="15" customHeight="1"/>
    <row r="235" s="9" customFormat="1" ht="15" customHeight="1"/>
    <row r="236" s="9" customFormat="1" ht="15" customHeight="1"/>
    <row r="237" s="9" customFormat="1" ht="15" customHeight="1"/>
    <row r="238" s="9" customFormat="1" ht="15" customHeight="1"/>
    <row r="239" s="9" customFormat="1" ht="15" customHeight="1"/>
    <row r="240" s="9" customFormat="1" ht="15" customHeight="1"/>
    <row r="241" s="9" customFormat="1" ht="15" customHeight="1"/>
    <row r="242" s="9" customFormat="1" ht="15" customHeight="1"/>
    <row r="243" s="9" customFormat="1" ht="15" customHeight="1"/>
    <row r="244" s="9" customFormat="1" ht="15" customHeight="1"/>
    <row r="245" s="9" customFormat="1" ht="15" customHeight="1"/>
    <row r="246" s="9" customFormat="1" ht="15" customHeight="1"/>
    <row r="247" s="9" customFormat="1" ht="15" customHeight="1"/>
    <row r="248" s="9" customFormat="1" ht="15" customHeight="1"/>
    <row r="249" s="9" customFormat="1" ht="15" customHeight="1"/>
    <row r="250" s="9" customFormat="1" ht="15" customHeight="1"/>
    <row r="251" s="9" customFormat="1" ht="15" customHeight="1"/>
    <row r="252" s="9" customFormat="1" ht="15" customHeight="1"/>
    <row r="253" s="9" customFormat="1" ht="15" customHeight="1"/>
    <row r="254" s="9" customFormat="1" ht="15" customHeight="1"/>
    <row r="255" s="9" customFormat="1" ht="15" customHeight="1"/>
    <row r="256" s="9" customFormat="1" ht="15" customHeight="1"/>
    <row r="257" s="9" customFormat="1" ht="15" customHeight="1"/>
    <row r="258" s="9" customFormat="1" ht="15" customHeight="1"/>
    <row r="259" s="9" customFormat="1" ht="15" customHeight="1"/>
    <row r="260" s="9" customFormat="1" ht="15" customHeight="1"/>
    <row r="261" s="9" customFormat="1" ht="15" customHeight="1"/>
    <row r="262" s="9" customFormat="1" ht="15" customHeight="1"/>
    <row r="263" s="9" customFormat="1" ht="15" customHeight="1"/>
    <row r="264" s="9" customFormat="1" ht="15" customHeight="1"/>
    <row r="265" s="9" customFormat="1" ht="15" customHeight="1"/>
    <row r="266" s="9" customFormat="1" ht="15" customHeight="1"/>
    <row r="267" s="9" customFormat="1" ht="15" customHeight="1"/>
    <row r="268" s="9" customFormat="1" ht="15" customHeight="1"/>
    <row r="269" s="9" customFormat="1" ht="15" customHeight="1"/>
    <row r="270" s="9" customFormat="1" ht="15" customHeight="1"/>
    <row r="271" s="9" customFormat="1" ht="15" customHeight="1"/>
    <row r="272" s="9" customFormat="1" ht="15" customHeight="1"/>
    <row r="273" s="9" customFormat="1" ht="15" customHeight="1"/>
    <row r="274" s="9" customFormat="1" ht="15" customHeight="1"/>
    <row r="275" s="9" customFormat="1" ht="15" customHeight="1"/>
    <row r="276" s="9" customFormat="1" ht="15" customHeight="1"/>
    <row r="277" s="9" customFormat="1" ht="15" customHeight="1"/>
    <row r="278" s="9" customFormat="1" ht="15" customHeight="1"/>
    <row r="279" s="9" customFormat="1" ht="15" customHeight="1"/>
    <row r="280" s="9" customFormat="1" ht="15" customHeight="1"/>
    <row r="281" s="9" customFormat="1" ht="15" customHeight="1"/>
    <row r="282" s="9" customFormat="1" ht="15" customHeight="1"/>
    <row r="283" s="9" customFormat="1" ht="15" customHeight="1"/>
    <row r="284" s="9" customFormat="1" ht="15" customHeight="1"/>
    <row r="285" s="9" customFormat="1" ht="15" customHeight="1"/>
    <row r="286" s="9" customFormat="1" ht="15" customHeight="1"/>
    <row r="287" s="9" customFormat="1" ht="15" customHeight="1"/>
    <row r="288" s="9" customFormat="1" ht="15" customHeight="1"/>
    <row r="289" s="9" customFormat="1" ht="15" customHeight="1"/>
    <row r="290" s="9" customFormat="1" ht="15" customHeight="1"/>
    <row r="291" s="9" customFormat="1" ht="15" customHeight="1"/>
    <row r="292" s="9" customFormat="1" ht="15" customHeight="1"/>
    <row r="293" s="9" customFormat="1" ht="15" customHeight="1"/>
    <row r="294" s="9" customFormat="1" ht="15" customHeight="1"/>
    <row r="295" s="9" customFormat="1" ht="15" customHeight="1"/>
    <row r="296" s="9" customFormat="1" ht="15" customHeight="1"/>
    <row r="297" s="9" customFormat="1" ht="15" customHeight="1"/>
    <row r="298" s="9" customFormat="1" ht="15" customHeight="1"/>
    <row r="299" s="9" customFormat="1" ht="15" customHeight="1"/>
    <row r="300" s="9" customFormat="1" ht="15" customHeight="1"/>
    <row r="301" s="9" customFormat="1" ht="15" customHeight="1"/>
    <row r="302" s="9" customFormat="1" ht="15" customHeight="1"/>
    <row r="303" s="9" customFormat="1" ht="15" customHeight="1"/>
    <row r="304" s="9" customFormat="1" ht="15" customHeight="1"/>
    <row r="305" s="9" customFormat="1" ht="15" customHeight="1"/>
    <row r="306" s="9" customFormat="1" ht="15" customHeight="1"/>
    <row r="307" s="9" customFormat="1" ht="15" customHeight="1"/>
    <row r="308" s="9" customFormat="1" ht="15" customHeight="1"/>
    <row r="309" s="9" customFormat="1" ht="15" customHeight="1"/>
    <row r="310" s="9" customFormat="1" ht="15" customHeight="1"/>
    <row r="311" s="9" customFormat="1" ht="15" customHeight="1"/>
    <row r="312" s="9" customFormat="1" ht="15" customHeight="1"/>
    <row r="313" s="9" customFormat="1" ht="15" customHeight="1"/>
    <row r="314" s="9" customFormat="1" ht="15" customHeight="1"/>
    <row r="315" s="9" customFormat="1" ht="15" customHeight="1"/>
    <row r="316" s="9" customFormat="1" ht="15" customHeight="1"/>
    <row r="317" s="9" customFormat="1" ht="15" customHeight="1"/>
    <row r="318" s="9" customFormat="1" ht="15" customHeight="1"/>
    <row r="319" s="9" customFormat="1" ht="15" customHeight="1"/>
    <row r="320" s="9" customFormat="1" ht="15" customHeight="1"/>
    <row r="321" s="9" customFormat="1" ht="15" customHeight="1"/>
    <row r="322" s="9" customFormat="1" ht="15" customHeight="1"/>
    <row r="323" s="9" customFormat="1" ht="15" customHeight="1"/>
    <row r="324" s="9" customFormat="1" ht="15" customHeight="1"/>
    <row r="325" s="9" customFormat="1" ht="15" customHeight="1"/>
    <row r="326" s="9" customFormat="1" ht="15" customHeight="1"/>
    <row r="327" s="9" customFormat="1" ht="15" customHeight="1"/>
    <row r="328" s="9" customFormat="1" ht="15" customHeight="1"/>
    <row r="329" s="9" customFormat="1" ht="15" customHeight="1"/>
    <row r="330" s="9" customFormat="1" ht="15" customHeight="1"/>
    <row r="331" s="9" customFormat="1" ht="15" customHeight="1"/>
    <row r="332" s="9" customFormat="1" ht="15" customHeight="1"/>
    <row r="333" s="9" customFormat="1" ht="15" customHeight="1"/>
    <row r="334" s="9" customFormat="1" ht="15" customHeight="1"/>
    <row r="335" s="9" customFormat="1" ht="15" customHeight="1"/>
    <row r="336" s="9" customFormat="1" ht="15" customHeight="1"/>
    <row r="337" s="9" customFormat="1" ht="15" customHeight="1"/>
    <row r="338" s="9" customFormat="1" ht="15" customHeight="1"/>
    <row r="339" s="9" customFormat="1" ht="15" customHeight="1"/>
    <row r="340" s="9" customFormat="1" ht="15" customHeight="1"/>
    <row r="341" s="9" customFormat="1" ht="15" customHeight="1"/>
    <row r="342" s="9" customFormat="1" ht="15" customHeight="1"/>
    <row r="343" s="9" customFormat="1" ht="15" customHeight="1"/>
    <row r="344" s="9" customFormat="1" ht="15" customHeight="1"/>
    <row r="345" s="9" customFormat="1" ht="15" customHeight="1"/>
    <row r="346" s="9" customFormat="1" ht="15" customHeight="1"/>
    <row r="347" s="9" customFormat="1" ht="15" customHeight="1"/>
    <row r="348" s="9" customFormat="1" ht="15" customHeight="1"/>
    <row r="349" s="9" customFormat="1" ht="15" customHeight="1"/>
    <row r="350" s="9" customFormat="1" ht="15" customHeight="1"/>
    <row r="351" s="9" customFormat="1" ht="15" customHeight="1"/>
    <row r="352" s="9" customFormat="1" ht="15" customHeight="1"/>
    <row r="353" s="9" customFormat="1" ht="15" customHeight="1"/>
    <row r="354" s="9" customFormat="1" ht="15" customHeight="1"/>
    <row r="355" s="9" customFormat="1" ht="15" customHeight="1"/>
    <row r="356" s="9" customFormat="1" ht="15" customHeight="1"/>
    <row r="357" s="9" customFormat="1" ht="15" customHeight="1"/>
    <row r="358" s="9" customFormat="1" ht="15" customHeight="1"/>
    <row r="359" s="9" customFormat="1" ht="15" customHeight="1"/>
    <row r="360" s="9" customFormat="1" ht="15" customHeight="1"/>
    <row r="361" s="9" customFormat="1" ht="15" customHeight="1"/>
    <row r="362" s="9" customFormat="1" ht="15" customHeight="1"/>
    <row r="363" s="9" customFormat="1" ht="15" customHeight="1"/>
    <row r="364" s="9" customFormat="1" ht="15" customHeight="1"/>
    <row r="365" s="9" customFormat="1" ht="15" customHeight="1"/>
    <row r="366" s="9" customFormat="1" ht="15" customHeight="1"/>
    <row r="367" s="9" customFormat="1" ht="15" customHeight="1"/>
    <row r="368" s="9" customFormat="1" ht="15" customHeight="1"/>
    <row r="369" s="9" customFormat="1" ht="15" customHeight="1"/>
    <row r="370" s="9" customFormat="1" ht="15" customHeight="1"/>
    <row r="371" s="9" customFormat="1" ht="15" customHeight="1"/>
    <row r="372" s="9" customFormat="1" ht="15" customHeight="1"/>
    <row r="373" s="9" customFormat="1" ht="15" customHeight="1"/>
    <row r="374" s="9" customFormat="1" ht="15" customHeight="1"/>
    <row r="375" s="9" customFormat="1" ht="15" customHeight="1"/>
    <row r="376" s="9" customFormat="1" ht="15" customHeight="1"/>
    <row r="377" s="9" customFormat="1" ht="15" customHeight="1"/>
    <row r="378" s="9" customFormat="1" ht="15" customHeight="1"/>
    <row r="379" s="9" customFormat="1" ht="15" customHeight="1"/>
    <row r="380" s="9" customFormat="1" ht="15" customHeight="1"/>
    <row r="381" s="9" customFormat="1" ht="15" customHeight="1"/>
    <row r="382" s="9" customFormat="1" ht="15" customHeight="1"/>
    <row r="383" s="9" customFormat="1" ht="15" customHeight="1"/>
    <row r="384" s="9" customFormat="1" ht="15" customHeight="1"/>
    <row r="385" s="9" customFormat="1" ht="15" customHeight="1"/>
    <row r="386" s="9" customFormat="1" ht="15" customHeight="1"/>
    <row r="387" s="9" customFormat="1" ht="15" customHeight="1"/>
    <row r="388" s="9" customFormat="1" ht="15" customHeight="1"/>
    <row r="389" s="9" customFormat="1" ht="15" customHeight="1"/>
    <row r="390" s="9" customFormat="1" ht="15" customHeight="1"/>
    <row r="391" s="9" customFormat="1" ht="15" customHeight="1"/>
    <row r="392" s="9" customFormat="1" ht="15" customHeight="1"/>
    <row r="393" s="9" customFormat="1" ht="15" customHeight="1"/>
    <row r="394" s="9" customFormat="1" ht="15" customHeight="1"/>
    <row r="395" s="9" customFormat="1" ht="15" customHeight="1"/>
    <row r="396" s="9" customFormat="1" ht="15" customHeight="1"/>
    <row r="397" s="9" customFormat="1" ht="15" customHeight="1"/>
    <row r="398" s="9" customFormat="1" ht="15" customHeight="1"/>
    <row r="399" s="9" customFormat="1" ht="15" customHeight="1"/>
    <row r="400" s="9" customFormat="1" ht="15" customHeight="1"/>
    <row r="401" s="9" customFormat="1" ht="15" customHeight="1"/>
    <row r="402" s="9" customFormat="1" ht="15" customHeight="1"/>
    <row r="403" s="9" customFormat="1" ht="15" customHeight="1"/>
    <row r="404" s="9" customFormat="1" ht="15" customHeight="1"/>
    <row r="405" s="9" customFormat="1" ht="15" customHeight="1"/>
    <row r="406" s="9" customFormat="1" ht="15" customHeight="1"/>
    <row r="407" s="9" customFormat="1" ht="15" customHeight="1"/>
    <row r="408" s="9" customFormat="1" ht="15" customHeight="1"/>
    <row r="409" s="9" customFormat="1" ht="15" customHeight="1"/>
    <row r="410" s="9" customFormat="1" ht="15" customHeight="1"/>
    <row r="411" s="9" customFormat="1" ht="15" customHeight="1"/>
    <row r="412" s="9" customFormat="1" ht="15" customHeight="1"/>
    <row r="413" s="9" customFormat="1" ht="15" customHeight="1"/>
    <row r="414" s="9" customFormat="1" ht="15" customHeight="1"/>
    <row r="415" s="9" customFormat="1" ht="15" customHeight="1"/>
    <row r="416" s="9" customFormat="1" ht="15" customHeight="1"/>
    <row r="417" s="9" customFormat="1" ht="15" customHeight="1"/>
    <row r="418" s="9" customFormat="1" ht="15" customHeight="1"/>
    <row r="419" s="9" customFormat="1" ht="15" customHeight="1"/>
    <row r="420" s="9" customFormat="1" ht="15" customHeight="1"/>
    <row r="421" s="9" customFormat="1" ht="15" customHeight="1"/>
    <row r="422" s="9" customFormat="1" ht="15" customHeight="1"/>
    <row r="423" s="9" customFormat="1" ht="15" customHeight="1"/>
    <row r="424" s="9" customFormat="1" ht="15" customHeight="1"/>
    <row r="425" s="9" customFormat="1" ht="15" customHeight="1"/>
    <row r="426" s="9" customFormat="1" ht="15" customHeight="1"/>
    <row r="427" s="9" customFormat="1" ht="15" customHeight="1"/>
    <row r="428" s="9" customFormat="1" ht="15" customHeight="1"/>
    <row r="429" s="9" customFormat="1" ht="15" customHeight="1"/>
    <row r="430" s="9" customFormat="1" ht="15" customHeight="1"/>
    <row r="431" s="9" customFormat="1" ht="15" customHeight="1"/>
    <row r="432" s="9" customFormat="1" ht="15" customHeight="1"/>
    <row r="433" s="9" customFormat="1" ht="15" customHeight="1"/>
    <row r="434" s="9" customFormat="1" ht="15" customHeight="1"/>
    <row r="435" s="9" customFormat="1" ht="15" customHeight="1"/>
    <row r="436" s="9" customFormat="1" ht="15" customHeight="1"/>
    <row r="437" s="9" customFormat="1" ht="15" customHeight="1"/>
    <row r="438" s="9" customFormat="1" ht="15" customHeight="1"/>
    <row r="439" s="9" customFormat="1" ht="15" customHeight="1"/>
    <row r="440" s="9" customFormat="1" ht="15" customHeight="1"/>
    <row r="441" s="9" customFormat="1" ht="15" customHeight="1"/>
    <row r="442" s="9" customFormat="1" ht="15" customHeight="1"/>
    <row r="443" s="9" customFormat="1" ht="15" customHeight="1"/>
    <row r="444" s="9" customFormat="1" ht="15" customHeight="1"/>
    <row r="445" s="9" customFormat="1" ht="15" customHeight="1"/>
    <row r="446" s="9" customFormat="1" ht="15" customHeight="1"/>
    <row r="447" s="9" customFormat="1" ht="15" customHeight="1"/>
    <row r="448" s="9" customFormat="1" ht="15" customHeight="1"/>
    <row r="449" s="9" customFormat="1" ht="15" customHeight="1"/>
    <row r="450" s="9" customFormat="1" ht="15" customHeight="1"/>
    <row r="451" s="9" customFormat="1" ht="15" customHeight="1"/>
    <row r="452" s="9" customFormat="1" ht="15" customHeight="1"/>
    <row r="453" s="9" customFormat="1" ht="15" customHeight="1"/>
    <row r="454" s="9" customFormat="1" ht="15" customHeight="1"/>
    <row r="455" s="9" customFormat="1" ht="15" customHeight="1"/>
    <row r="456" s="9" customFormat="1" ht="15" customHeight="1"/>
    <row r="457" s="9" customFormat="1" ht="15" customHeight="1"/>
    <row r="458" s="9" customFormat="1" ht="15" customHeight="1"/>
    <row r="459" s="9" customFormat="1" ht="15" customHeight="1"/>
    <row r="460" s="9" customFormat="1" ht="15" customHeight="1"/>
    <row r="461" s="9" customFormat="1" ht="15" customHeight="1"/>
    <row r="462" s="9" customFormat="1" ht="15" customHeight="1"/>
    <row r="463" s="9" customFormat="1" ht="15" customHeight="1"/>
    <row r="464" s="9" customFormat="1" ht="15" customHeight="1"/>
    <row r="465" s="9" customFormat="1" ht="15" customHeight="1"/>
    <row r="466" s="9" customFormat="1" ht="15" customHeight="1"/>
    <row r="467" s="9" customFormat="1" ht="15" customHeight="1"/>
    <row r="468" s="9" customFormat="1" ht="15" customHeight="1"/>
    <row r="469" s="9" customFormat="1" ht="15" customHeight="1"/>
    <row r="470" s="9" customFormat="1" ht="15" customHeight="1"/>
    <row r="471" s="9" customFormat="1" ht="15" customHeight="1"/>
    <row r="472" s="9" customFormat="1" ht="15" customHeight="1"/>
    <row r="473" s="9" customFormat="1" ht="15" customHeight="1"/>
    <row r="474" s="9" customFormat="1" ht="15" customHeight="1"/>
    <row r="475" s="9" customFormat="1" ht="15" customHeight="1"/>
    <row r="476" s="9" customFormat="1" ht="15" customHeight="1"/>
    <row r="477" s="9" customFormat="1" ht="15" customHeight="1"/>
    <row r="478" s="9" customFormat="1" ht="15" customHeight="1"/>
    <row r="479" s="9" customFormat="1" ht="15" customHeight="1"/>
    <row r="480" s="9" customFormat="1" ht="15" customHeight="1"/>
    <row r="481" s="9" customFormat="1" ht="15" customHeight="1"/>
    <row r="482" s="9" customFormat="1" ht="15" customHeight="1"/>
    <row r="483" s="9" customFormat="1" ht="15" customHeight="1"/>
    <row r="484" s="9" customFormat="1" ht="15" customHeight="1"/>
    <row r="485" s="9" customFormat="1" ht="15" customHeight="1"/>
    <row r="486" s="9" customFormat="1" ht="15" customHeight="1"/>
    <row r="487" s="9" customFormat="1" ht="15" customHeight="1"/>
    <row r="488" s="9" customFormat="1" ht="15" customHeight="1"/>
    <row r="489" s="9" customFormat="1" ht="15" customHeight="1"/>
    <row r="490" s="9" customFormat="1" ht="15" customHeight="1"/>
    <row r="491" s="9" customFormat="1" ht="15" customHeight="1"/>
    <row r="492" s="9" customFormat="1" ht="15" customHeight="1"/>
    <row r="493" s="9" customFormat="1" ht="15" customHeight="1"/>
    <row r="494" s="9" customFormat="1" ht="15" customHeight="1"/>
    <row r="495" s="9" customFormat="1" ht="15" customHeight="1"/>
    <row r="496" s="9" customFormat="1" ht="15" customHeight="1"/>
    <row r="497" s="9" customFormat="1" ht="15" customHeight="1"/>
    <row r="498" s="9" customFormat="1" ht="15" customHeight="1"/>
    <row r="499" s="9" customFormat="1" ht="15" customHeight="1"/>
    <row r="500" s="9" customFormat="1" ht="15" customHeight="1"/>
    <row r="501" s="9" customFormat="1" ht="15" customHeight="1"/>
    <row r="502" s="9" customFormat="1" ht="15" customHeight="1"/>
    <row r="503" s="9" customFormat="1" ht="15" customHeight="1"/>
    <row r="504" s="9" customFormat="1" ht="15" customHeight="1"/>
    <row r="505" s="9" customFormat="1" ht="15" customHeight="1"/>
    <row r="506" s="9" customFormat="1" ht="15" customHeight="1"/>
    <row r="507" s="9" customFormat="1" ht="15" customHeight="1"/>
    <row r="508" s="9" customFormat="1" ht="15" customHeight="1"/>
    <row r="509" s="9" customFormat="1" ht="15" customHeight="1"/>
    <row r="510" s="9" customFormat="1" ht="15" customHeight="1"/>
    <row r="511" s="9" customFormat="1" ht="15" customHeight="1"/>
    <row r="512" s="9" customFormat="1" ht="15" customHeight="1"/>
    <row r="513" s="9" customFormat="1" ht="15" customHeight="1"/>
    <row r="514" s="9" customFormat="1" ht="15" customHeight="1"/>
    <row r="515" s="9" customFormat="1" ht="15" customHeight="1"/>
    <row r="516" s="9" customFormat="1" ht="15" customHeight="1"/>
    <row r="517" s="9" customFormat="1" ht="15" customHeight="1"/>
    <row r="518" s="9" customFormat="1" ht="15" customHeight="1"/>
    <row r="519" s="9" customFormat="1" ht="15" customHeight="1"/>
    <row r="520" s="9" customFormat="1" ht="15" customHeight="1"/>
    <row r="521" s="9" customFormat="1" ht="15" customHeight="1"/>
    <row r="522" s="9" customFormat="1" ht="15" customHeight="1"/>
    <row r="523" s="9" customFormat="1" ht="15" customHeight="1"/>
    <row r="524" s="9" customFormat="1" ht="15" customHeight="1"/>
    <row r="525" s="9" customFormat="1" ht="15" customHeight="1"/>
    <row r="526" s="9" customFormat="1" ht="15" customHeight="1"/>
    <row r="527" s="9" customFormat="1" ht="15" customHeight="1"/>
    <row r="528" s="9" customFormat="1" ht="15" customHeight="1"/>
    <row r="529" s="9" customFormat="1" ht="15" customHeight="1"/>
    <row r="530" s="9" customFormat="1" ht="15" customHeight="1"/>
    <row r="531" s="9" customFormat="1" ht="15" customHeight="1"/>
    <row r="532" s="9" customFormat="1" ht="15" customHeight="1"/>
    <row r="533" s="9" customFormat="1" ht="15" customHeight="1"/>
    <row r="534" s="9" customFormat="1" ht="15" customHeight="1"/>
    <row r="535" s="9" customFormat="1" ht="15" customHeight="1"/>
    <row r="536" s="9" customFormat="1" ht="15" customHeight="1"/>
    <row r="537" s="9" customFormat="1" ht="15" customHeight="1"/>
    <row r="538" s="9" customFormat="1" ht="15" customHeight="1"/>
    <row r="539" s="9" customFormat="1" ht="15" customHeight="1"/>
    <row r="540" s="9" customFormat="1" ht="15" customHeight="1"/>
    <row r="541" s="9" customFormat="1" ht="15" customHeight="1"/>
    <row r="542" s="9" customFormat="1" ht="15" customHeight="1"/>
    <row r="543" s="9" customFormat="1" ht="15" customHeight="1"/>
    <row r="544" s="9" customFormat="1" ht="15" customHeight="1"/>
    <row r="545" s="9" customFormat="1" ht="15" customHeight="1"/>
    <row r="546" s="9" customFormat="1" ht="15" customHeight="1"/>
    <row r="547" s="9" customFormat="1" ht="15" customHeight="1"/>
    <row r="548" s="9" customFormat="1" ht="15" customHeight="1"/>
    <row r="549" s="9" customFormat="1" ht="15" customHeight="1"/>
    <row r="550" s="9" customFormat="1" ht="15" customHeight="1"/>
    <row r="551" s="9" customFormat="1" ht="15" customHeight="1"/>
    <row r="552" s="9" customFormat="1" ht="15" customHeight="1"/>
    <row r="553" s="9" customFormat="1" ht="15" customHeight="1"/>
    <row r="554" s="9" customFormat="1" ht="15" customHeight="1"/>
    <row r="555" s="9" customFormat="1" ht="15" customHeight="1"/>
    <row r="556" s="9" customFormat="1" ht="15" customHeight="1"/>
    <row r="557" s="9" customFormat="1" ht="15" customHeight="1"/>
    <row r="558" s="9" customFormat="1" ht="15" customHeight="1"/>
    <row r="559" s="9" customFormat="1" ht="15" customHeight="1"/>
    <row r="560" s="9" customFormat="1" ht="15" customHeight="1"/>
    <row r="561" s="9" customFormat="1" ht="15" customHeight="1"/>
    <row r="562" s="9" customFormat="1" ht="15" customHeight="1"/>
    <row r="563" s="9" customFormat="1" ht="15" customHeight="1"/>
    <row r="564" s="9" customFormat="1" ht="15" customHeight="1"/>
    <row r="565" s="9" customFormat="1" ht="15" customHeight="1"/>
    <row r="566" s="9" customFormat="1" ht="15" customHeight="1"/>
    <row r="567" s="9" customFormat="1" ht="15" customHeight="1"/>
    <row r="568" s="9" customFormat="1" ht="15" customHeight="1"/>
    <row r="569" s="9" customFormat="1" ht="15" customHeight="1"/>
    <row r="570" s="9" customFormat="1" ht="15" customHeight="1"/>
    <row r="571" s="9" customFormat="1" ht="15" customHeight="1"/>
    <row r="572" s="9" customFormat="1" ht="15" customHeight="1"/>
    <row r="573" s="9" customFormat="1" ht="15" customHeight="1"/>
    <row r="574" s="9" customFormat="1" ht="15" customHeight="1"/>
    <row r="575" s="9" customFormat="1" ht="15" customHeight="1"/>
    <row r="576" s="9" customFormat="1" ht="15" customHeight="1"/>
    <row r="577" s="9" customFormat="1" ht="15" customHeight="1"/>
    <row r="578" s="9" customFormat="1" ht="15" customHeight="1"/>
    <row r="579" s="9" customFormat="1" ht="15" customHeight="1"/>
    <row r="580" s="9" customFormat="1" ht="15" customHeight="1"/>
    <row r="581" s="9" customFormat="1" ht="15" customHeight="1"/>
    <row r="582" s="9" customFormat="1" ht="15" customHeight="1"/>
    <row r="583" s="9" customFormat="1" ht="15" customHeight="1"/>
    <row r="584" s="9" customFormat="1" ht="15" customHeight="1"/>
    <row r="585" s="9" customFormat="1" ht="15" customHeight="1"/>
    <row r="586" s="9" customFormat="1" ht="15" customHeight="1"/>
    <row r="587" s="9" customFormat="1" ht="15" customHeight="1"/>
    <row r="588" s="9" customFormat="1" ht="15" customHeight="1"/>
    <row r="589" s="9" customFormat="1" ht="15" customHeight="1"/>
    <row r="590" s="9" customFormat="1" ht="15" customHeight="1"/>
    <row r="591" s="9" customFormat="1" ht="15" customHeight="1"/>
    <row r="592" s="9" customFormat="1" ht="15" customHeight="1"/>
    <row r="593" s="9" customFormat="1" ht="15" customHeight="1"/>
    <row r="594" s="9" customFormat="1" ht="15" customHeight="1"/>
    <row r="595" s="9" customFormat="1" ht="15" customHeight="1"/>
    <row r="596" s="9" customFormat="1" ht="15" customHeight="1"/>
    <row r="597" s="9" customFormat="1" ht="15" customHeight="1"/>
    <row r="598" s="9" customFormat="1" ht="15" customHeight="1"/>
    <row r="599" s="9" customFormat="1" ht="15" customHeight="1"/>
    <row r="600" s="9" customFormat="1" ht="15" customHeight="1"/>
    <row r="601" s="9" customFormat="1" ht="15" customHeight="1"/>
    <row r="602" s="9" customFormat="1" ht="15" customHeight="1"/>
    <row r="603" s="9" customFormat="1" ht="15" customHeight="1"/>
    <row r="604" s="9" customFormat="1" ht="15" customHeight="1"/>
    <row r="605" s="9" customFormat="1" ht="15" customHeight="1"/>
    <row r="606" s="9" customFormat="1" ht="15" customHeight="1"/>
    <row r="607" s="9" customFormat="1" ht="15" customHeight="1"/>
    <row r="608" s="9" customFormat="1" ht="15" customHeight="1"/>
    <row r="609" s="9" customFormat="1" ht="15" customHeight="1"/>
    <row r="610" s="9" customFormat="1" ht="15" customHeight="1"/>
    <row r="611" s="9" customFormat="1" ht="15" customHeight="1"/>
    <row r="612" s="9" customFormat="1" ht="15" customHeight="1"/>
    <row r="613" s="9" customFormat="1" ht="15" customHeight="1"/>
    <row r="614" s="9" customFormat="1" ht="15" customHeight="1"/>
    <row r="615" s="9" customFormat="1" ht="15" customHeight="1"/>
    <row r="616" s="9" customFormat="1" ht="15" customHeight="1"/>
    <row r="617" s="9" customFormat="1" ht="15" customHeight="1"/>
    <row r="618" s="9" customFormat="1" ht="15" customHeight="1"/>
    <row r="619" s="9" customFormat="1" ht="15" customHeight="1"/>
    <row r="620" s="9" customFormat="1" ht="15" customHeight="1"/>
    <row r="621" s="9" customFormat="1" ht="15" customHeight="1"/>
    <row r="622" s="9" customFormat="1" ht="15" customHeight="1"/>
    <row r="623" s="9" customFormat="1" ht="15" customHeight="1"/>
    <row r="624" s="9" customFormat="1" ht="15" customHeight="1"/>
    <row r="625" s="9" customFormat="1" ht="15" customHeight="1"/>
    <row r="626" s="9" customFormat="1" ht="15" customHeight="1"/>
    <row r="627" s="9" customFormat="1" ht="15" customHeight="1"/>
    <row r="628" s="9" customFormat="1" ht="15" customHeight="1"/>
    <row r="629" s="9" customFormat="1" ht="15" customHeight="1"/>
    <row r="630" s="9" customFormat="1" ht="15" customHeight="1"/>
    <row r="631" s="9" customFormat="1" ht="15" customHeight="1"/>
    <row r="632" s="9" customFormat="1" ht="15" customHeight="1"/>
    <row r="633" s="9" customFormat="1" ht="15" customHeight="1"/>
    <row r="634" s="9" customFormat="1" ht="15" customHeight="1"/>
    <row r="635" s="9" customFormat="1" ht="15" customHeight="1"/>
    <row r="636" s="9" customFormat="1" ht="15" customHeight="1"/>
    <row r="637" s="9" customFormat="1" ht="15" customHeight="1"/>
    <row r="638" s="9" customFormat="1" ht="15" customHeight="1"/>
    <row r="639" s="9" customFormat="1" ht="15" customHeight="1"/>
    <row r="640" s="9" customFormat="1" ht="15" customHeight="1"/>
    <row r="641" s="9" customFormat="1" ht="15" customHeight="1"/>
    <row r="642" s="9" customFormat="1" ht="15" customHeight="1"/>
    <row r="643" s="9" customFormat="1" ht="15" customHeight="1"/>
    <row r="644" s="9" customFormat="1" ht="15" customHeight="1"/>
    <row r="645" s="9" customFormat="1" ht="15" customHeight="1"/>
    <row r="646" s="9" customFormat="1" ht="15" customHeight="1"/>
    <row r="647" s="9" customFormat="1" ht="15" customHeight="1"/>
    <row r="648" s="9" customFormat="1" ht="15" customHeight="1"/>
    <row r="649" s="9" customFormat="1" ht="15" customHeight="1"/>
    <row r="650" s="9" customFormat="1" ht="15" customHeight="1"/>
    <row r="651" s="9" customFormat="1" ht="15" customHeight="1"/>
    <row r="652" s="9" customFormat="1" ht="15" customHeight="1"/>
    <row r="653" s="9" customFormat="1" ht="15" customHeight="1"/>
    <row r="654" s="9" customFormat="1" ht="15" customHeight="1"/>
    <row r="655" s="9" customFormat="1" ht="15" customHeight="1"/>
    <row r="656" s="9" customFormat="1" ht="15" customHeight="1"/>
    <row r="657" s="9" customFormat="1" ht="15" customHeight="1"/>
    <row r="658" s="9" customFormat="1" ht="15" customHeight="1"/>
    <row r="659" s="9" customFormat="1" ht="15" customHeight="1"/>
    <row r="660" s="9" customFormat="1" ht="15" customHeight="1"/>
    <row r="661" s="9" customFormat="1" ht="15" customHeight="1"/>
    <row r="662" s="9" customFormat="1" ht="15" customHeight="1"/>
    <row r="663" s="9" customFormat="1" ht="15" customHeight="1"/>
    <row r="664" s="9" customFormat="1" ht="15" customHeight="1"/>
    <row r="665" s="9" customFormat="1" ht="15" customHeight="1"/>
    <row r="666" s="9" customFormat="1" ht="15" customHeight="1"/>
    <row r="667" s="9" customFormat="1" ht="15" customHeight="1"/>
    <row r="668" s="9" customFormat="1" ht="15" customHeight="1"/>
    <row r="669" s="9" customFormat="1" ht="15" customHeight="1"/>
    <row r="670" s="9" customFormat="1" ht="15" customHeight="1"/>
    <row r="671" s="9" customFormat="1" ht="15" customHeight="1"/>
    <row r="672" s="9" customFormat="1" ht="15" customHeight="1"/>
    <row r="673" s="9" customFormat="1" ht="15" customHeight="1"/>
    <row r="674" s="9" customFormat="1" ht="15" customHeight="1"/>
    <row r="675" s="9" customFormat="1" ht="15" customHeight="1"/>
    <row r="676" s="9" customFormat="1" ht="15" customHeight="1"/>
    <row r="677" s="9" customFormat="1" ht="15" customHeight="1"/>
    <row r="678" s="9" customFormat="1" ht="15" customHeight="1"/>
    <row r="679" s="9" customFormat="1" ht="15" customHeight="1"/>
    <row r="680" s="9" customFormat="1" ht="15" customHeight="1"/>
    <row r="681" s="9" customFormat="1" ht="15" customHeight="1"/>
    <row r="682" s="9" customFormat="1" ht="15" customHeight="1"/>
    <row r="683" s="9" customFormat="1" ht="15" customHeight="1"/>
    <row r="684" s="9" customFormat="1" ht="15" customHeight="1"/>
    <row r="685" s="9" customFormat="1" ht="15" customHeight="1"/>
    <row r="686" s="9" customFormat="1" ht="15" customHeight="1"/>
    <row r="687" s="9" customFormat="1" ht="15" customHeight="1"/>
    <row r="688" s="9" customFormat="1" ht="15" customHeight="1"/>
    <row r="689" s="9" customFormat="1" ht="15" customHeight="1"/>
    <row r="690" s="9" customFormat="1" ht="15" customHeight="1"/>
    <row r="691" s="9" customFormat="1" ht="15" customHeight="1"/>
    <row r="692" s="9" customFormat="1" ht="15" customHeight="1"/>
    <row r="693" s="9" customFormat="1" ht="15" customHeight="1"/>
    <row r="694" s="9" customFormat="1" ht="15" customHeight="1"/>
    <row r="695" s="9" customFormat="1" ht="15" customHeight="1"/>
    <row r="696" s="9" customFormat="1" ht="15" customHeight="1"/>
    <row r="697" s="9" customFormat="1" ht="15" customHeight="1"/>
    <row r="698" s="9" customFormat="1" ht="15" customHeight="1"/>
    <row r="699" s="9" customFormat="1" ht="15" customHeight="1"/>
    <row r="700" s="9" customFormat="1" ht="15" customHeight="1"/>
    <row r="701" s="9" customFormat="1" ht="15" customHeight="1"/>
    <row r="702" s="9" customFormat="1" ht="15" customHeight="1"/>
    <row r="703" s="9" customFormat="1" ht="15" customHeight="1"/>
    <row r="704" s="9" customFormat="1" ht="15" customHeight="1"/>
    <row r="705" s="9" customFormat="1" ht="15" customHeight="1"/>
    <row r="706" s="9" customFormat="1" ht="15" customHeight="1"/>
    <row r="707" s="9" customFormat="1" ht="15" customHeight="1"/>
    <row r="708" s="9" customFormat="1" ht="15" customHeight="1"/>
    <row r="709" s="9" customFormat="1" ht="15" customHeight="1"/>
    <row r="710" s="9" customFormat="1" ht="15" customHeight="1"/>
    <row r="711" s="9" customFormat="1" ht="15" customHeight="1"/>
    <row r="712" s="9" customFormat="1" ht="15" customHeight="1"/>
    <row r="713" s="9" customFormat="1" ht="15" customHeight="1"/>
    <row r="714" s="9" customFormat="1" ht="15" customHeight="1"/>
    <row r="715" s="9" customFormat="1" ht="15" customHeight="1"/>
    <row r="716" s="9" customFormat="1" ht="15" customHeight="1"/>
    <row r="717" s="9" customFormat="1" ht="15" customHeight="1"/>
    <row r="718" s="9" customFormat="1" ht="15" customHeight="1"/>
    <row r="719" s="9" customFormat="1" ht="15" customHeight="1"/>
    <row r="720" s="9" customFormat="1" ht="15" customHeight="1"/>
    <row r="721" s="9" customFormat="1" ht="15" customHeight="1"/>
    <row r="722" s="9" customFormat="1" ht="15" customHeight="1"/>
    <row r="723" s="9" customFormat="1" ht="15" customHeight="1"/>
    <row r="724" s="9" customFormat="1" ht="15" customHeight="1"/>
    <row r="725" s="9" customFormat="1" ht="15" customHeight="1"/>
    <row r="726" s="9" customFormat="1" ht="15" customHeight="1"/>
    <row r="727" s="9" customFormat="1" ht="15" customHeight="1"/>
    <row r="728" s="9" customFormat="1" ht="15" customHeight="1"/>
    <row r="729" s="9" customFormat="1" ht="15" customHeight="1"/>
    <row r="730" s="9" customFormat="1" ht="15" customHeight="1"/>
    <row r="731" s="9" customFormat="1" ht="15" customHeight="1"/>
    <row r="732" s="9" customFormat="1" ht="15" customHeight="1"/>
    <row r="733" s="9" customFormat="1" ht="15" customHeight="1"/>
    <row r="734" s="9" customFormat="1" ht="15" customHeight="1"/>
    <row r="735" s="9" customFormat="1" ht="15" customHeight="1"/>
    <row r="736" s="9" customFormat="1" ht="15" customHeight="1"/>
    <row r="737" s="9" customFormat="1" ht="15" customHeight="1"/>
    <row r="738" s="9" customFormat="1" ht="15" customHeight="1"/>
    <row r="739" s="9" customFormat="1" ht="15" customHeight="1"/>
    <row r="740" s="9" customFormat="1" ht="15" customHeight="1"/>
    <row r="741" s="9" customFormat="1" ht="15" customHeight="1"/>
    <row r="742" s="9" customFormat="1" ht="15" customHeight="1"/>
    <row r="743" s="9" customFormat="1" ht="15" customHeight="1"/>
    <row r="744" s="9" customFormat="1" ht="15" customHeight="1"/>
    <row r="745" s="9" customFormat="1" ht="15" customHeight="1"/>
    <row r="746" s="9" customFormat="1" ht="15" customHeight="1"/>
    <row r="747" s="9" customFormat="1" ht="15" customHeight="1"/>
    <row r="748" s="9" customFormat="1" ht="15" customHeight="1"/>
    <row r="749" s="9" customFormat="1" ht="15" customHeight="1"/>
    <row r="750" s="9" customFormat="1" ht="15" customHeight="1"/>
    <row r="751" s="9" customFormat="1" ht="15" customHeight="1"/>
    <row r="752" s="9" customFormat="1" ht="15" customHeight="1"/>
    <row r="753" s="9" customFormat="1" ht="15" customHeight="1"/>
    <row r="754" s="9" customFormat="1" ht="15" customHeight="1"/>
    <row r="755" s="9" customFormat="1" ht="15" customHeight="1"/>
    <row r="756" s="9" customFormat="1" ht="15" customHeight="1"/>
    <row r="757" s="9" customFormat="1" ht="15" customHeight="1"/>
    <row r="758" s="9" customFormat="1" ht="15" customHeight="1"/>
    <row r="759" s="9" customFormat="1" ht="15" customHeight="1"/>
    <row r="760" s="9" customFormat="1" ht="15" customHeight="1"/>
    <row r="761" s="9" customFormat="1" ht="15" customHeight="1"/>
    <row r="762" s="9" customFormat="1" ht="15" customHeight="1"/>
    <row r="763" s="9" customFormat="1" ht="15" customHeight="1"/>
    <row r="764" s="9" customFormat="1" ht="15" customHeight="1"/>
    <row r="765" s="9" customFormat="1" ht="15" customHeight="1"/>
    <row r="766" s="9" customFormat="1" ht="15" customHeight="1"/>
    <row r="767" s="9" customFormat="1" ht="15" customHeight="1"/>
    <row r="768" s="9" customFormat="1" ht="15" customHeight="1"/>
    <row r="769" s="9" customFormat="1" ht="15" customHeight="1"/>
    <row r="770" s="9" customFormat="1" ht="15" customHeight="1"/>
    <row r="771" s="9" customFormat="1" ht="15" customHeight="1"/>
    <row r="772" s="9" customFormat="1" ht="15" customHeight="1"/>
    <row r="773" s="9" customFormat="1" ht="15" customHeight="1"/>
    <row r="774" s="9" customFormat="1" ht="15" customHeight="1"/>
    <row r="775" s="9" customFormat="1" ht="15" customHeight="1"/>
    <row r="776" s="9" customFormat="1" ht="15" customHeight="1"/>
    <row r="777" s="9" customFormat="1" ht="15" customHeight="1"/>
    <row r="778" s="9" customFormat="1" ht="15" customHeight="1"/>
    <row r="779" s="9" customFormat="1" ht="15" customHeight="1"/>
    <row r="780" s="9" customFormat="1" ht="15" customHeight="1"/>
    <row r="781" s="9" customFormat="1" ht="15" customHeight="1"/>
    <row r="782" s="9" customFormat="1" ht="15" customHeight="1"/>
    <row r="783" s="9" customFormat="1" ht="15" customHeight="1"/>
    <row r="784" s="9" customFormat="1" ht="15" customHeight="1"/>
    <row r="785" s="9" customFormat="1" ht="15" customHeight="1"/>
    <row r="786" s="9" customFormat="1" ht="15" customHeight="1"/>
    <row r="787" s="9" customFormat="1" ht="15" customHeight="1"/>
    <row r="788" s="9" customFormat="1" ht="15" customHeight="1"/>
    <row r="789" s="9" customFormat="1" ht="15" customHeight="1"/>
    <row r="790" s="9" customFormat="1" ht="15" customHeight="1"/>
    <row r="791" s="9" customFormat="1" ht="15" customHeight="1"/>
    <row r="792" s="9" customFormat="1" ht="15" customHeight="1"/>
    <row r="793" s="9" customFormat="1" ht="15" customHeight="1"/>
    <row r="794" s="9" customFormat="1" ht="15" customHeight="1"/>
    <row r="795" s="9" customFormat="1" ht="15" customHeight="1"/>
    <row r="796" s="9" customFormat="1" ht="15" customHeight="1"/>
    <row r="797" s="9" customFormat="1" ht="15" customHeight="1"/>
    <row r="798" s="9" customFormat="1" ht="15" customHeight="1"/>
    <row r="799" s="9" customFormat="1" ht="15" customHeight="1"/>
    <row r="800" s="9" customFormat="1" ht="15" customHeight="1"/>
    <row r="801" s="9" customFormat="1" ht="15" customHeight="1"/>
    <row r="802" s="9" customFormat="1" ht="15" customHeight="1"/>
    <row r="803" s="9" customFormat="1" ht="15" customHeight="1"/>
    <row r="804" s="9" customFormat="1" ht="15" customHeight="1"/>
    <row r="805" s="9" customFormat="1" ht="15" customHeight="1"/>
    <row r="806" s="9" customFormat="1" ht="15" customHeight="1"/>
    <row r="807" s="9" customFormat="1" ht="15" customHeight="1"/>
    <row r="808" s="9" customFormat="1" ht="15" customHeight="1"/>
    <row r="809" s="9" customFormat="1" ht="15" customHeight="1"/>
    <row r="810" s="9" customFormat="1" ht="15" customHeight="1"/>
    <row r="811" s="9" customFormat="1" ht="15" customHeight="1"/>
    <row r="812" s="9" customFormat="1" ht="15" customHeight="1"/>
    <row r="813" s="9" customFormat="1" ht="15" customHeight="1"/>
    <row r="814" s="9" customFormat="1" ht="15" customHeight="1"/>
    <row r="815" s="9" customFormat="1" ht="15" customHeight="1"/>
    <row r="816" s="9" customFormat="1" ht="15" customHeight="1"/>
    <row r="817" s="9" customFormat="1" ht="15" customHeight="1"/>
    <row r="818" s="9" customFormat="1" ht="15" customHeight="1"/>
    <row r="819" s="9" customFormat="1" ht="15" customHeight="1"/>
    <row r="820" s="9" customFormat="1" ht="15" customHeight="1"/>
    <row r="821" s="9" customFormat="1" ht="15" customHeight="1"/>
    <row r="822" s="9" customFormat="1" ht="15" customHeight="1"/>
    <row r="823" s="9" customFormat="1" ht="15" customHeight="1"/>
    <row r="824" s="9" customFormat="1" ht="15" customHeight="1"/>
    <row r="825" s="9" customFormat="1" ht="15" customHeight="1"/>
    <row r="826" s="9" customFormat="1" ht="15" customHeight="1"/>
    <row r="827" s="9" customFormat="1" ht="15" customHeight="1"/>
    <row r="828" s="9" customFormat="1" ht="15" customHeight="1"/>
    <row r="829" s="9" customFormat="1" ht="15" customHeight="1"/>
    <row r="830" s="9" customFormat="1" ht="15" customHeight="1"/>
    <row r="831" s="9" customFormat="1" ht="15" customHeight="1"/>
    <row r="832" s="9" customFormat="1" ht="15" customHeight="1"/>
    <row r="833" s="9" customFormat="1" ht="15" customHeight="1"/>
    <row r="834" s="9" customFormat="1" ht="15" customHeight="1"/>
    <row r="835" s="9" customFormat="1" ht="15" customHeight="1"/>
    <row r="836" s="9" customFormat="1" ht="15" customHeight="1"/>
    <row r="837" s="9" customFormat="1" ht="15" customHeight="1"/>
    <row r="838" s="9" customFormat="1" ht="15" customHeight="1"/>
    <row r="839" s="9" customFormat="1" ht="15" customHeight="1"/>
    <row r="840" s="9" customFormat="1" ht="15" customHeight="1"/>
    <row r="841" s="9" customFormat="1" ht="15" customHeight="1"/>
    <row r="842" s="9" customFormat="1" ht="15" customHeight="1"/>
    <row r="843" s="9" customFormat="1" ht="15" customHeight="1"/>
    <row r="844" s="9" customFormat="1" ht="15" customHeight="1"/>
    <row r="845" s="9" customFormat="1" ht="15" customHeight="1"/>
    <row r="846" s="9" customFormat="1" ht="15" customHeight="1"/>
    <row r="847" s="9" customFormat="1" ht="15" customHeight="1"/>
    <row r="848" s="9" customFormat="1" ht="15" customHeight="1"/>
    <row r="849" s="9" customFormat="1" ht="15" customHeight="1"/>
    <row r="850" s="9" customFormat="1" ht="15" customHeight="1"/>
    <row r="851" s="9" customFormat="1" ht="15" customHeight="1"/>
    <row r="852" s="9" customFormat="1" ht="15" customHeight="1"/>
    <row r="853" s="9" customFormat="1" ht="15" customHeight="1"/>
    <row r="854" s="9" customFormat="1" ht="15" customHeight="1"/>
    <row r="855" s="9" customFormat="1" ht="15" customHeight="1"/>
    <row r="856" s="9" customFormat="1" ht="15" customHeight="1"/>
    <row r="857" s="9" customFormat="1" ht="15" customHeight="1"/>
    <row r="858" s="9" customFormat="1" ht="15" customHeight="1"/>
    <row r="859" s="9" customFormat="1" ht="15" customHeight="1"/>
    <row r="860" s="9" customFormat="1" ht="15" customHeight="1"/>
    <row r="861" s="9" customFormat="1" ht="15" customHeight="1"/>
    <row r="862" s="9" customFormat="1" ht="15" customHeight="1"/>
    <row r="863" s="9" customFormat="1" ht="15" customHeight="1"/>
    <row r="864" s="9" customFormat="1" ht="15" customHeight="1"/>
    <row r="865" s="9" customFormat="1" ht="15" customHeight="1"/>
    <row r="866" s="9" customFormat="1" ht="15" customHeight="1"/>
    <row r="867" s="9" customFormat="1" ht="15" customHeight="1"/>
    <row r="868" s="9" customFormat="1" ht="15" customHeight="1"/>
    <row r="869" s="9" customFormat="1" ht="15" customHeight="1"/>
    <row r="870" s="9" customFormat="1" ht="15" customHeight="1"/>
    <row r="871" s="9" customFormat="1" ht="15" customHeight="1"/>
    <row r="872" s="9" customFormat="1" ht="15" customHeight="1"/>
    <row r="873" s="9" customFormat="1" ht="15" customHeight="1"/>
    <row r="874" s="9" customFormat="1" ht="15" customHeight="1"/>
    <row r="875" s="9" customFormat="1" ht="15" customHeight="1"/>
    <row r="876" s="9" customFormat="1" ht="15" customHeight="1"/>
    <row r="877" s="9" customFormat="1" ht="15" customHeight="1"/>
    <row r="878" s="9" customFormat="1" ht="15" customHeight="1"/>
    <row r="879" s="9" customFormat="1" ht="15" customHeight="1"/>
    <row r="880" s="9" customFormat="1" ht="15" customHeight="1"/>
    <row r="881" s="9" customFormat="1" ht="15" customHeight="1"/>
    <row r="882" s="9" customFormat="1" ht="15" customHeight="1"/>
    <row r="883" s="9" customFormat="1" ht="15" customHeight="1"/>
    <row r="884" s="9" customFormat="1" ht="15" customHeight="1"/>
    <row r="885" s="9" customFormat="1" ht="15" customHeight="1"/>
    <row r="886" s="9" customFormat="1" ht="15" customHeight="1"/>
    <row r="887" s="9" customFormat="1" ht="15" customHeight="1"/>
    <row r="888" s="9" customFormat="1" ht="15" customHeight="1"/>
    <row r="889" s="9" customFormat="1" ht="15" customHeight="1"/>
    <row r="890" s="9" customFormat="1" ht="15" customHeight="1"/>
    <row r="891" s="9" customFormat="1" ht="15" customHeight="1"/>
    <row r="892" s="9" customFormat="1" ht="15" customHeight="1"/>
    <row r="893" s="9" customFormat="1" ht="15" customHeight="1"/>
    <row r="894" s="9" customFormat="1" ht="15" customHeight="1"/>
    <row r="895" s="9" customFormat="1" ht="15" customHeight="1"/>
    <row r="896" s="9" customFormat="1" ht="15" customHeight="1"/>
    <row r="897" s="9" customFormat="1" ht="15" customHeight="1"/>
    <row r="898" s="9" customFormat="1" ht="15" customHeight="1"/>
    <row r="899" s="9" customFormat="1" ht="15" customHeight="1"/>
    <row r="900" s="9" customFormat="1" ht="15" customHeight="1"/>
    <row r="901" s="9" customFormat="1" ht="15" customHeight="1"/>
    <row r="902" s="9" customFormat="1" ht="15" customHeight="1"/>
    <row r="903" s="9" customFormat="1" ht="15" customHeight="1"/>
    <row r="904" s="9" customFormat="1" ht="15" customHeight="1"/>
    <row r="905" s="9" customFormat="1" ht="15" customHeight="1"/>
    <row r="906" s="9" customFormat="1" ht="15" customHeight="1"/>
    <row r="907" s="9" customFormat="1" ht="15" customHeight="1"/>
    <row r="908" s="9" customFormat="1" ht="15" customHeight="1"/>
    <row r="909" s="9" customFormat="1" ht="15" customHeight="1"/>
    <row r="910" s="9" customFormat="1" ht="15" customHeight="1"/>
    <row r="911" s="9" customFormat="1" ht="15" customHeight="1"/>
    <row r="912" s="9" customFormat="1" ht="15" customHeight="1"/>
    <row r="913" s="9" customFormat="1" ht="15" customHeight="1"/>
    <row r="914" s="9" customFormat="1" ht="15" customHeight="1"/>
    <row r="915" s="9" customFormat="1" ht="15" customHeight="1"/>
    <row r="916" s="9" customFormat="1" ht="15" customHeight="1"/>
    <row r="917" s="9" customFormat="1" ht="15" customHeight="1"/>
    <row r="918" s="9" customFormat="1" ht="15" customHeight="1"/>
    <row r="919" s="9" customFormat="1" ht="15" customHeight="1"/>
    <row r="920" s="9" customFormat="1" ht="15" customHeight="1"/>
    <row r="921" s="9" customFormat="1" ht="15" customHeight="1"/>
    <row r="922" s="9" customFormat="1" ht="15" customHeight="1"/>
    <row r="923" s="9" customFormat="1" ht="15" customHeight="1"/>
    <row r="924" s="9" customFormat="1" ht="15" customHeight="1"/>
    <row r="925" s="9" customFormat="1" ht="15" customHeight="1"/>
    <row r="926" s="9" customFormat="1" ht="15" customHeight="1"/>
    <row r="927" s="9" customFormat="1" ht="15" customHeight="1"/>
  </sheetData>
  <sheetProtection algorithmName="SHA-512" hashValue="2T4ErjmsV2Gu+QACsRwyC7ZNXEnCu+i8j8JwoFrqvhGEimF//0v3EmONKpyFYbBIfGdBttOqhnB/ye+jC/jqEA==" saltValue="KDbVjReuqx59KT6wnrAm1w==" spinCount="100000" sheet="1" objects="1" scenarios="1"/>
  <hyperlinks>
    <hyperlink ref="A1" location="'Start-Experte'!A1" display="zurück" xr:uid="{00000000-0004-0000-25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4" operator="greaterThan" id="{608CF81F-9D13-43B6-A37B-519FC5DDA0B0}">
            <xm:f>ControlPanel!$D$59-1</xm:f>
            <x14:dxf>
              <font>
                <color rgb="FF9C6500"/>
              </font>
              <fill>
                <patternFill>
                  <bgColor rgb="FFFFEB9C"/>
                </patternFill>
              </fill>
            </x14:dxf>
          </x14:cfRule>
          <x14:cfRule type="cellIs" priority="5" operator="lessThan" id="{983DB754-506B-4A89-841A-701182F4987A}">
            <xm:f>ControlPanel!$D$59</xm:f>
            <x14:dxf>
              <font>
                <color rgb="FF006100"/>
              </font>
              <fill>
                <patternFill>
                  <bgColor rgb="FFC6EFCE"/>
                </patternFill>
              </fill>
            </x14:dxf>
          </x14:cfRule>
          <x14:cfRule type="cellIs" priority="6" operator="lessThan" id="{64CD73E7-E82C-4BF1-8E08-D2CA5C523A59}">
            <xm:f>ControlPanel!$D$59+1</xm:f>
            <x14:dxf>
              <font>
                <color rgb="FF006100"/>
              </font>
              <fill>
                <patternFill>
                  <fgColor indexed="64"/>
                  <bgColor rgb="FFC6EFCE"/>
                </patternFill>
              </fill>
            </x14:dxf>
          </x14:cfRule>
          <xm:sqref>G4:AF4</xm:sqref>
        </x14:conditionalFormatting>
        <x14:conditionalFormatting xmlns:xm="http://schemas.microsoft.com/office/excel/2006/main">
          <x14:cfRule type="cellIs" priority="1" operator="greaterThan" id="{8C158A97-AA17-4684-8203-0ACD78D3AD39}">
            <xm:f>ControlPanel!$D$59-1</xm:f>
            <x14:dxf>
              <font>
                <color rgb="FF9C6500"/>
              </font>
              <fill>
                <patternFill>
                  <bgColor rgb="FFFFEB9C"/>
                </patternFill>
              </fill>
            </x14:dxf>
          </x14:cfRule>
          <x14:cfRule type="cellIs" priority="2" operator="lessThan" id="{992B7BAB-F4A1-4196-8224-848D2848A885}">
            <xm:f>ControlPanel!$D$59</xm:f>
            <x14:dxf>
              <font>
                <color rgb="FF006100"/>
              </font>
              <fill>
                <patternFill>
                  <bgColor rgb="FFC6EFCE"/>
                </patternFill>
              </fill>
            </x14:dxf>
          </x14:cfRule>
          <x14:cfRule type="cellIs" priority="3" operator="lessThan" id="{181B352B-1FC4-4A2C-8322-E8F0277552B4}">
            <xm:f>ControlPanel!$D$59+1</xm:f>
            <x14:dxf>
              <font>
                <color rgb="FF006100"/>
              </font>
              <fill>
                <patternFill>
                  <fgColor indexed="64"/>
                  <bgColor rgb="FFC6EFCE"/>
                </patternFill>
              </fill>
            </x14:dxf>
          </x14:cfRule>
          <xm:sqref>G17:AF17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tabColor theme="9" tint="-0.499984740745262"/>
  </sheetPr>
  <dimension ref="A1:AF952"/>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183</v>
      </c>
      <c r="B1" s="62" t="s">
        <v>741</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c r="AF5" s="330" t="s">
        <v>23</v>
      </c>
    </row>
    <row r="6" spans="1:32" ht="15" customHeight="1" thickBot="1">
      <c r="B6" s="172" t="s">
        <v>25</v>
      </c>
      <c r="C6" s="181" t="s">
        <v>77</v>
      </c>
      <c r="D6" s="15" t="s">
        <v>845</v>
      </c>
      <c r="E6" s="15" t="s">
        <v>519</v>
      </c>
      <c r="F6" s="537"/>
      <c r="G6" s="14">
        <v>76.040000000000006</v>
      </c>
      <c r="H6" s="14">
        <v>78.580579248126398</v>
      </c>
      <c r="I6" s="14">
        <v>85.426349075311549</v>
      </c>
      <c r="J6" s="14">
        <v>84.973326885251481</v>
      </c>
      <c r="K6" s="14">
        <v>93.580358696572972</v>
      </c>
      <c r="L6" s="14">
        <v>90.888126814616172</v>
      </c>
      <c r="M6" s="14">
        <v>94.021995549816509</v>
      </c>
      <c r="N6" s="14">
        <v>95.471944662181755</v>
      </c>
      <c r="O6" s="14">
        <v>93.257752565695739</v>
      </c>
      <c r="P6" s="14">
        <v>94.128858532452895</v>
      </c>
      <c r="Q6" s="14">
        <v>94.824277922477592</v>
      </c>
      <c r="R6" s="14">
        <v>96.066608000039679</v>
      </c>
      <c r="S6" s="14">
        <v>95.834356765035722</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77</v>
      </c>
      <c r="D7" s="15" t="s">
        <v>845</v>
      </c>
      <c r="E7" s="15" t="s">
        <v>519</v>
      </c>
      <c r="F7" s="537"/>
      <c r="G7" s="14">
        <v>70.59</v>
      </c>
      <c r="H7" s="14">
        <v>70.623810216707398</v>
      </c>
      <c r="I7" s="14">
        <v>72.333594863809779</v>
      </c>
      <c r="J7" s="14">
        <v>75.078609851750898</v>
      </c>
      <c r="K7" s="14">
        <v>80.301227083888492</v>
      </c>
      <c r="L7" s="14">
        <v>69.689921182911647</v>
      </c>
      <c r="M7" s="14">
        <v>70.331521816935805</v>
      </c>
      <c r="N7" s="14">
        <v>69.72914314608407</v>
      </c>
      <c r="O7" s="14">
        <v>69.58740425505863</v>
      </c>
      <c r="P7" s="14">
        <v>71.700386816033742</v>
      </c>
      <c r="Q7" s="14">
        <v>69.098674383868556</v>
      </c>
      <c r="R7" s="14">
        <v>71.292092493824555</v>
      </c>
      <c r="S7" s="14">
        <v>71.350290170163703</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77</v>
      </c>
      <c r="D8" s="15" t="s">
        <v>845</v>
      </c>
      <c r="E8" s="15" t="s">
        <v>519</v>
      </c>
      <c r="F8" s="537"/>
      <c r="G8" s="38">
        <v>150.44</v>
      </c>
      <c r="H8" s="38">
        <v>174.78292585554749</v>
      </c>
      <c r="I8" s="38">
        <v>171.71219457964042</v>
      </c>
      <c r="J8" s="38">
        <v>182.43185910801026</v>
      </c>
      <c r="K8" s="38">
        <v>184.3941182048568</v>
      </c>
      <c r="L8" s="38">
        <v>185.81088443376183</v>
      </c>
      <c r="M8" s="38">
        <v>187.10187197631356</v>
      </c>
      <c r="N8" s="38">
        <v>188.59316836578836</v>
      </c>
      <c r="O8" s="38">
        <v>191.10109988815023</v>
      </c>
      <c r="P8" s="14">
        <v>196.13070462077062</v>
      </c>
      <c r="Q8" s="14">
        <v>192.3639566092275</v>
      </c>
      <c r="R8" s="38">
        <v>197.60807852307477</v>
      </c>
      <c r="S8" s="38">
        <v>198.36353041718752</v>
      </c>
      <c r="T8" s="38">
        <v>0</v>
      </c>
      <c r="U8" s="38">
        <v>0</v>
      </c>
      <c r="V8" s="38">
        <v>0</v>
      </c>
      <c r="W8" s="38">
        <v>0</v>
      </c>
      <c r="X8" s="38">
        <v>0</v>
      </c>
      <c r="Y8" s="38">
        <v>0</v>
      </c>
      <c r="Z8" s="38">
        <v>0</v>
      </c>
      <c r="AA8" s="38">
        <v>0</v>
      </c>
      <c r="AB8" s="38">
        <v>0</v>
      </c>
      <c r="AC8" s="38">
        <v>0</v>
      </c>
      <c r="AD8" s="38">
        <v>0</v>
      </c>
      <c r="AE8" s="38">
        <v>0</v>
      </c>
      <c r="AF8" s="38">
        <v>0</v>
      </c>
    </row>
    <row r="9" spans="1:32" ht="15" customHeight="1" thickBot="1">
      <c r="B9" s="171" t="s">
        <v>12</v>
      </c>
      <c r="C9" s="181" t="s">
        <v>77</v>
      </c>
      <c r="D9" s="15" t="s">
        <v>845</v>
      </c>
      <c r="E9" s="15" t="s">
        <v>519</v>
      </c>
      <c r="F9" s="537"/>
      <c r="G9" s="14">
        <v>150</v>
      </c>
      <c r="H9" s="14">
        <v>212.46439005388561</v>
      </c>
      <c r="I9" s="14">
        <v>221.27270328235733</v>
      </c>
      <c r="J9" s="14">
        <v>235.75585040650407</v>
      </c>
      <c r="K9" s="14">
        <v>243.3346397049238</v>
      </c>
      <c r="L9" s="14">
        <v>245.37903027629881</v>
      </c>
      <c r="M9" s="14">
        <v>243.88965712257979</v>
      </c>
      <c r="N9" s="14">
        <v>247.41502395474978</v>
      </c>
      <c r="O9" s="14">
        <v>241.0595654539801</v>
      </c>
      <c r="P9" s="14">
        <v>251.13132613734075</v>
      </c>
      <c r="Q9" s="14">
        <v>245.91407182317226</v>
      </c>
      <c r="R9" s="14">
        <v>248.65452372169901</v>
      </c>
      <c r="S9" s="14">
        <v>248.63639031970303</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77</v>
      </c>
      <c r="D10" s="15" t="s">
        <v>845</v>
      </c>
      <c r="E10" s="15" t="s">
        <v>519</v>
      </c>
      <c r="F10" s="537"/>
      <c r="G10" s="14">
        <v>87.77</v>
      </c>
      <c r="H10" s="14">
        <v>88.470056975207314</v>
      </c>
      <c r="I10" s="14">
        <v>89.579894563937472</v>
      </c>
      <c r="J10" s="14">
        <v>97.55029244575941</v>
      </c>
      <c r="K10" s="14">
        <v>100.74631823317601</v>
      </c>
      <c r="L10" s="14">
        <v>92.874953538580655</v>
      </c>
      <c r="M10" s="14">
        <v>91.555496018812718</v>
      </c>
      <c r="N10" s="14">
        <v>88.105159748659176</v>
      </c>
      <c r="O10" s="14">
        <v>85.970286785170643</v>
      </c>
      <c r="P10" s="14">
        <v>88.681513062623281</v>
      </c>
      <c r="Q10" s="14">
        <v>84.943185603231001</v>
      </c>
      <c r="R10" s="14">
        <v>87.658156173485565</v>
      </c>
      <c r="S10" s="14">
        <v>84.023582564737382</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77</v>
      </c>
      <c r="D11" s="15" t="s">
        <v>845</v>
      </c>
      <c r="E11" s="15" t="s">
        <v>519</v>
      </c>
      <c r="F11" s="537"/>
      <c r="G11" s="14">
        <v>150</v>
      </c>
      <c r="H11" s="14">
        <v>150.00002964794805</v>
      </c>
      <c r="I11" s="14">
        <v>159.55374326447114</v>
      </c>
      <c r="J11" s="14">
        <v>189.09737949685689</v>
      </c>
      <c r="K11" s="14">
        <v>191.11269267192381</v>
      </c>
      <c r="L11" s="14">
        <v>182.24269170072949</v>
      </c>
      <c r="M11" s="14">
        <v>183.62361985504901</v>
      </c>
      <c r="N11" s="14">
        <v>181.73716679008584</v>
      </c>
      <c r="O11" s="14">
        <v>185.91972037730574</v>
      </c>
      <c r="P11" s="14">
        <v>187.42134928446933</v>
      </c>
      <c r="Q11" s="14">
        <v>184.61609509608459</v>
      </c>
      <c r="R11" s="14">
        <v>185.38314339176773</v>
      </c>
      <c r="S11" s="14">
        <v>181.81112386172316</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77</v>
      </c>
      <c r="D12" s="15" t="s">
        <v>845</v>
      </c>
      <c r="E12" s="15" t="s">
        <v>519</v>
      </c>
      <c r="F12" s="537"/>
      <c r="G12" s="14">
        <v>468.01</v>
      </c>
      <c r="H12" s="14">
        <v>413.44926826434391</v>
      </c>
      <c r="I12" s="14">
        <v>371.1522047462546</v>
      </c>
      <c r="J12" s="14">
        <v>315.53756947644092</v>
      </c>
      <c r="K12" s="14">
        <v>313.88797913696925</v>
      </c>
      <c r="L12" s="14">
        <v>316.55085116684148</v>
      </c>
      <c r="M12" s="14">
        <v>306.12648368500913</v>
      </c>
      <c r="N12" s="14">
        <v>292.27348099233154</v>
      </c>
      <c r="O12" s="14">
        <v>288.19142295217864</v>
      </c>
      <c r="P12" s="14">
        <v>273.54643342384685</v>
      </c>
      <c r="Q12" s="14">
        <v>264.37474625040585</v>
      </c>
      <c r="R12" s="14">
        <v>249.07864310282855</v>
      </c>
      <c r="S12" s="14">
        <v>235.80434786757371</v>
      </c>
      <c r="T12" s="14">
        <v>0</v>
      </c>
      <c r="U12" s="14">
        <v>0</v>
      </c>
      <c r="V12" s="14">
        <v>0</v>
      </c>
      <c r="W12" s="14">
        <v>0</v>
      </c>
      <c r="X12" s="14">
        <v>0</v>
      </c>
      <c r="Y12" s="14">
        <v>0</v>
      </c>
      <c r="Z12" s="14">
        <v>0</v>
      </c>
      <c r="AA12" s="14">
        <v>0</v>
      </c>
      <c r="AB12" s="14">
        <v>0</v>
      </c>
      <c r="AC12" s="14">
        <v>0</v>
      </c>
      <c r="AD12" s="14">
        <v>0</v>
      </c>
      <c r="AE12" s="14">
        <v>0</v>
      </c>
      <c r="AF12" s="14">
        <v>0</v>
      </c>
    </row>
    <row r="13" spans="1:32" ht="15" customHeight="1">
      <c r="O13" s="557"/>
    </row>
    <row r="14" spans="1:32" ht="15" customHeight="1"/>
    <row r="15" spans="1:32" ht="15" customHeight="1"/>
    <row r="16" spans="1:32" ht="15" customHeight="1"/>
    <row r="17" spans="8:8" ht="15" customHeight="1"/>
    <row r="18" spans="8:8" ht="15" customHeight="1"/>
    <row r="19" spans="8:8" ht="15" customHeight="1">
      <c r="H19" s="474"/>
    </row>
    <row r="20" spans="8:8" ht="15" customHeight="1">
      <c r="H20" s="474"/>
    </row>
    <row r="21" spans="8:8" ht="15" customHeight="1">
      <c r="H21" s="474"/>
    </row>
    <row r="22" spans="8:8" ht="15" customHeight="1">
      <c r="H22" s="474"/>
    </row>
    <row r="23" spans="8:8" ht="15" customHeight="1">
      <c r="H23" s="474"/>
    </row>
    <row r="24" spans="8:8" ht="15" customHeight="1">
      <c r="H24" s="474"/>
    </row>
    <row r="25" spans="8:8" ht="15" customHeight="1">
      <c r="H25" s="474"/>
    </row>
    <row r="26" spans="8:8" ht="15" customHeight="1"/>
    <row r="27" spans="8:8" ht="15" customHeight="1"/>
    <row r="28" spans="8:8" ht="15" customHeight="1"/>
    <row r="29" spans="8:8" ht="15" customHeight="1"/>
    <row r="30" spans="8:8" ht="15" customHeight="1"/>
    <row r="31" spans="8:8" ht="15" customHeight="1"/>
    <row r="32" spans="8: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sheetData>
  <sheetProtection algorithmName="SHA-512" hashValue="o6q+CUL0UxqvGVbgom1QhkSzAbMOX9D7azHuuv8x55xyhfBqD0UVYf5f2NK2Takwcg/7mB/nzbjy4LETPJ0U5w==" saltValue="r5ho4Ms31Zw2dCMd0xwasQ==" spinCount="100000" sheet="1" objects="1" scenarios="1"/>
  <hyperlinks>
    <hyperlink ref="A1" location="'Start-Experte'!A1" display="zurück" xr:uid="{00000000-0004-0000-2600-000000000000}"/>
  </hyperlinks>
  <pageMargins left="0.78740157480314965" right="0.78740157480314965" top="0.98425196850393704" bottom="0.98425196850393704" header="0.59055118110236227" footer="0.59055118110236227"/>
  <pageSetup paperSize="9" scale="58" orientation="landscape" cellComments="atEnd" horizontalDpi="4294967293" verticalDpi="1200" r:id="rId1"/>
  <headerFooter scaleWithDoc="0">
    <oddHeader>&amp;C&amp;"Arial,Fett"&amp;18&amp;HEEG Calculator</oddHeader>
    <oddFooter>&amp;LDatendokumentation&amp;C&amp;H&amp;F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32" operator="greaterThan" id="{00000000-0000-0000-0000-000000000000}">
            <xm:f>ControlPanel!$D$59-1</xm:f>
            <x14:dxf>
              <font>
                <color rgb="FF9C6500"/>
              </font>
              <fill>
                <patternFill>
                  <fgColor indexed="64"/>
                  <bgColor rgb="FFFFEB9C"/>
                </patternFill>
              </fill>
            </x14:dxf>
          </x14:cfRule>
          <x14:cfRule type="cellIs" priority="733" operator="lessThan" id="{00000000-0000-0000-0000-000000000000}">
            <xm:f>ControlPanel!$D$59</xm:f>
            <x14:dxf>
              <font>
                <color rgb="FF006100"/>
              </font>
              <fill>
                <patternFill>
                  <fgColor indexed="64"/>
                  <bgColor rgb="FFC6EFCE"/>
                </patternFill>
              </fill>
            </x14:dxf>
          </x14:cfRule>
          <x14:cfRule type="cellIs" priority="734"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6">
    <tabColor theme="9" tint="-0.499984740745262"/>
  </sheetPr>
  <dimension ref="A1:AE1340"/>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65" t="s">
        <v>29</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60</v>
      </c>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row>
    <row r="6" spans="1:31" ht="15" customHeight="1" thickBot="1">
      <c r="B6" s="176" t="s">
        <v>77</v>
      </c>
      <c r="C6" s="15" t="s">
        <v>845</v>
      </c>
      <c r="D6" s="15" t="s">
        <v>72</v>
      </c>
      <c r="E6" s="537"/>
      <c r="F6" s="14">
        <v>0</v>
      </c>
      <c r="G6" s="14">
        <v>-1.11629894236</v>
      </c>
      <c r="H6" s="14">
        <v>-0.71124112144000007</v>
      </c>
      <c r="I6" s="14">
        <v>-2.5889139132900003</v>
      </c>
      <c r="J6" s="14">
        <v>-2.1969250054800002</v>
      </c>
      <c r="K6" s="14">
        <v>1.38074493721</v>
      </c>
      <c r="L6" s="14">
        <v>2.5211899999999998</v>
      </c>
      <c r="M6" s="14">
        <v>1.9478101488699999</v>
      </c>
      <c r="N6" s="14">
        <v>3.3292301430700002</v>
      </c>
      <c r="O6" s="14">
        <v>3.6518353547200002</v>
      </c>
      <c r="P6" s="14">
        <v>2.19040541733</v>
      </c>
      <c r="Q6" s="14">
        <v>-4.0803942770500008</v>
      </c>
      <c r="R6" s="14">
        <v>4.5469536436400002</v>
      </c>
      <c r="S6" s="14"/>
      <c r="T6" s="14"/>
      <c r="U6" s="14"/>
      <c r="V6" s="14"/>
      <c r="W6" s="14"/>
      <c r="X6" s="14"/>
      <c r="Y6" s="14"/>
      <c r="Z6" s="14"/>
      <c r="AA6" s="14"/>
      <c r="AB6" s="14"/>
      <c r="AC6" s="14"/>
      <c r="AD6" s="14"/>
      <c r="AE6" s="14"/>
    </row>
    <row r="7" spans="1:31" ht="15" customHeight="1">
      <c r="B7" s="68"/>
      <c r="C7" s="18"/>
      <c r="D7" s="18"/>
      <c r="E7" s="18"/>
      <c r="F7" s="17"/>
      <c r="G7" s="17"/>
      <c r="H7" s="17"/>
      <c r="I7" s="17"/>
      <c r="J7" s="17"/>
      <c r="K7" s="17"/>
      <c r="L7" s="17"/>
      <c r="M7" s="17"/>
      <c r="N7" s="557"/>
      <c r="O7" s="17"/>
      <c r="P7" s="17"/>
      <c r="Q7" s="17"/>
      <c r="R7" s="17"/>
      <c r="S7" s="17"/>
      <c r="T7" s="17"/>
      <c r="U7" s="17"/>
      <c r="V7" s="17"/>
      <c r="W7" s="17"/>
      <c r="X7" s="17"/>
      <c r="Y7" s="17"/>
      <c r="Z7" s="17"/>
      <c r="AA7" s="17"/>
      <c r="AB7" s="17"/>
      <c r="AC7" s="17"/>
      <c r="AD7" s="17"/>
      <c r="AE7" s="17"/>
    </row>
    <row r="8" spans="1:31" ht="15" customHeight="1"/>
    <row r="9" spans="1:31" ht="15" customHeight="1"/>
    <row r="10" spans="1:31" ht="15" customHeight="1"/>
    <row r="11" spans="1:31" ht="15" customHeight="1"/>
    <row r="12" spans="1:31" ht="15" customHeight="1"/>
    <row r="13" spans="1:31" ht="15" customHeight="1"/>
    <row r="14" spans="1:31" ht="15" customHeight="1"/>
    <row r="15" spans="1:31" ht="15" customHeight="1"/>
    <row r="16" spans="1:3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sheetData>
  <sheetProtection algorithmName="SHA-512" hashValue="nm7QrXcjKUuKN9HmOb+8pjNiC34EUPqXPb7x8CHOM64pHVWT+pXKy2Zs7vtEkpTr+A/N935vAvTGPtUyLAs7/g==" saltValue="mElmhudbSissRGnsuPr9xA==" spinCount="100000" sheet="1" objects="1" scenarios="1"/>
  <hyperlinks>
    <hyperlink ref="A1" location="'Start-Experte'!A1" display="zurück" xr:uid="{00000000-0004-0000-2700-000000000000}"/>
  </hyperlinks>
  <pageMargins left="0.78740157480314965" right="0.78740157480314965" top="0.98425196850393704" bottom="0.98425196850393704" header="0.59055118110236227" footer="0.59055118110236227"/>
  <pageSetup paperSize="9" scale="58" orientation="landscape" cellComments="atEnd" horizontalDpi="4294967293" verticalDpi="1200" r:id="rId1"/>
  <headerFooter scaleWithDoc="0">
    <oddHeader>&amp;C&amp;"Arial,Fett"&amp;18&amp;HEEG Calculator</oddHeader>
    <oddFooter>&amp;LDatendokumentation&amp;C&amp;H&amp;F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41" operator="greaterThan" id="{00000000-0000-0000-0000-000000000000}">
            <xm:f>ControlPanel!$D$59-1</xm:f>
            <x14:dxf>
              <font>
                <color rgb="FF9C6500"/>
              </font>
              <fill>
                <patternFill>
                  <fgColor indexed="64"/>
                  <bgColor rgb="FFFFEB9C"/>
                </patternFill>
              </fill>
            </x14:dxf>
          </x14:cfRule>
          <x14:cfRule type="cellIs" priority="742"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4">
    <tabColor theme="9" tint="-0.499984740745262"/>
  </sheetPr>
  <dimension ref="A1:AF917"/>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1" width="8.7109375" style="9" customWidth="1" outlineLevel="1"/>
    <col min="12" max="15" width="9.7109375" style="9" bestFit="1" customWidth="1"/>
    <col min="16" max="32" width="9.7109375" style="9" bestFit="1" customWidth="1" outlineLevel="1"/>
    <col min="33" max="16384" width="11.5703125" style="9"/>
  </cols>
  <sheetData>
    <row r="1" spans="1:32">
      <c r="A1" s="41" t="s">
        <v>183</v>
      </c>
      <c r="B1" s="62" t="s">
        <v>382</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43</v>
      </c>
      <c r="H5" s="330" t="s">
        <v>43</v>
      </c>
      <c r="I5" s="330" t="s">
        <v>43</v>
      </c>
      <c r="J5" s="330" t="s">
        <v>43</v>
      </c>
      <c r="K5" s="330" t="s">
        <v>43</v>
      </c>
      <c r="L5" s="330" t="s">
        <v>43</v>
      </c>
      <c r="M5" s="330" t="s">
        <v>43</v>
      </c>
      <c r="N5" s="330" t="s">
        <v>43</v>
      </c>
      <c r="O5" s="330" t="s">
        <v>43</v>
      </c>
      <c r="P5" s="330" t="s">
        <v>43</v>
      </c>
      <c r="Q5" s="330" t="s">
        <v>43</v>
      </c>
      <c r="R5" s="330" t="s">
        <v>43</v>
      </c>
      <c r="S5" s="330" t="s">
        <v>43</v>
      </c>
      <c r="T5" s="330" t="s">
        <v>43</v>
      </c>
      <c r="U5" s="330" t="s">
        <v>43</v>
      </c>
      <c r="V5" s="330" t="s">
        <v>43</v>
      </c>
      <c r="W5" s="330" t="s">
        <v>43</v>
      </c>
      <c r="X5" s="330" t="s">
        <v>43</v>
      </c>
      <c r="Y5" s="330" t="s">
        <v>43</v>
      </c>
      <c r="Z5" s="330" t="s">
        <v>43</v>
      </c>
      <c r="AA5" s="330" t="s">
        <v>43</v>
      </c>
      <c r="AB5" s="330" t="s">
        <v>43</v>
      </c>
      <c r="AC5" s="330" t="s">
        <v>43</v>
      </c>
      <c r="AD5" s="330" t="s">
        <v>43</v>
      </c>
      <c r="AE5" s="330" t="s">
        <v>43</v>
      </c>
      <c r="AF5" s="330" t="s">
        <v>43</v>
      </c>
    </row>
    <row r="6" spans="1:32" ht="58.5" customHeight="1" thickBot="1">
      <c r="B6" s="172" t="s">
        <v>25</v>
      </c>
      <c r="C6" s="181" t="s">
        <v>77</v>
      </c>
      <c r="D6" s="15" t="s">
        <v>65</v>
      </c>
      <c r="E6" s="15" t="s">
        <v>659</v>
      </c>
      <c r="F6" s="602" t="s">
        <v>660</v>
      </c>
      <c r="G6" s="14"/>
      <c r="H6" s="14"/>
      <c r="I6" s="14"/>
      <c r="J6" s="14"/>
      <c r="K6" s="246">
        <v>1.5617438099999998</v>
      </c>
      <c r="L6" s="555">
        <v>1.5617438099999998</v>
      </c>
      <c r="M6" s="555">
        <v>1.5617438099999998</v>
      </c>
      <c r="N6" s="555">
        <v>1.5617438099999998</v>
      </c>
      <c r="O6" s="555">
        <v>1.5617438099999998</v>
      </c>
      <c r="P6" s="555">
        <v>1.5617438099999998</v>
      </c>
      <c r="Q6" s="555">
        <v>1.5617438099999998</v>
      </c>
      <c r="R6" s="555">
        <v>1.5617438099999998</v>
      </c>
      <c r="S6" s="555">
        <v>1.5617438099999998</v>
      </c>
      <c r="T6" s="555">
        <v>1.5617438099999998</v>
      </c>
      <c r="U6" s="555">
        <v>1.5617438099999998</v>
      </c>
      <c r="V6" s="555">
        <v>1.5617438099999998</v>
      </c>
      <c r="W6" s="555">
        <v>1.5617438099999998</v>
      </c>
      <c r="X6" s="555">
        <v>1.5617438099999998</v>
      </c>
      <c r="Y6" s="555">
        <v>1.5617438099999998</v>
      </c>
      <c r="Z6" s="555">
        <v>1.5617438099999998</v>
      </c>
      <c r="AA6" s="555">
        <v>1.45086618</v>
      </c>
      <c r="AB6" s="555">
        <v>1.3595179899999998</v>
      </c>
      <c r="AC6" s="555">
        <v>1.2860902400000001</v>
      </c>
      <c r="AD6" s="555">
        <v>1.2395648899999998</v>
      </c>
      <c r="AE6" s="555">
        <v>1.1316575499999999</v>
      </c>
      <c r="AF6" s="555">
        <v>1.1188063499999998</v>
      </c>
    </row>
    <row r="7" spans="1:32" ht="58.5" customHeight="1" thickBot="1">
      <c r="B7" s="171" t="s">
        <v>27</v>
      </c>
      <c r="C7" s="181" t="s">
        <v>77</v>
      </c>
      <c r="D7" s="15" t="s">
        <v>65</v>
      </c>
      <c r="E7" s="15" t="s">
        <v>659</v>
      </c>
      <c r="F7" s="602" t="s">
        <v>738</v>
      </c>
      <c r="G7" s="14"/>
      <c r="H7" s="14"/>
      <c r="I7" s="14"/>
      <c r="J7" s="14"/>
      <c r="K7" s="246">
        <v>0.50447248999999994</v>
      </c>
      <c r="L7" s="555">
        <v>0.50447248999999994</v>
      </c>
      <c r="M7" s="555">
        <v>0.50447248999999994</v>
      </c>
      <c r="N7" s="555">
        <v>0.50447248999999994</v>
      </c>
      <c r="O7" s="555">
        <v>0.50447248999999994</v>
      </c>
      <c r="P7" s="555">
        <v>0.50447248999999994</v>
      </c>
      <c r="Q7" s="555">
        <v>0.50447248999999994</v>
      </c>
      <c r="R7" s="555">
        <v>0.32682229000000002</v>
      </c>
      <c r="S7" s="555">
        <v>0.27378529000000001</v>
      </c>
      <c r="T7" s="555">
        <v>0.21108429000000001</v>
      </c>
      <c r="U7" s="555">
        <v>0.13316929</v>
      </c>
      <c r="V7" s="555">
        <v>6.6771990000000003E-2</v>
      </c>
      <c r="W7" s="555">
        <v>5.3154990000000006E-2</v>
      </c>
      <c r="X7" s="555">
        <v>4.4618990000000004E-2</v>
      </c>
      <c r="Y7" s="555">
        <v>3.6103990000000002E-2</v>
      </c>
      <c r="Z7" s="555">
        <v>3.0399990000000002E-2</v>
      </c>
      <c r="AA7" s="555">
        <v>2.0893000000000005E-2</v>
      </c>
      <c r="AB7" s="555">
        <v>1.7971000000000004E-2</v>
      </c>
      <c r="AC7" s="555">
        <v>8.7540000000000014E-3</v>
      </c>
      <c r="AD7" s="555">
        <v>6.9640000000000006E-3</v>
      </c>
      <c r="AE7" s="555">
        <v>5.836E-3</v>
      </c>
      <c r="AF7" s="555">
        <v>0</v>
      </c>
    </row>
    <row r="8" spans="1:32" ht="58.5" customHeight="1" thickBot="1">
      <c r="B8" s="171" t="s">
        <v>13</v>
      </c>
      <c r="C8" s="181" t="s">
        <v>77</v>
      </c>
      <c r="D8" s="15" t="s">
        <v>65</v>
      </c>
      <c r="E8" s="15" t="s">
        <v>659</v>
      </c>
      <c r="F8" s="602" t="s">
        <v>738</v>
      </c>
      <c r="G8" s="38"/>
      <c r="H8" s="38"/>
      <c r="I8" s="38"/>
      <c r="J8" s="38"/>
      <c r="K8" s="247">
        <v>6.7990000000000004</v>
      </c>
      <c r="L8" s="555">
        <f>K8</f>
        <v>6.7990000000000004</v>
      </c>
      <c r="M8" s="555">
        <f t="shared" ref="M8:Q8" si="0">L8</f>
        <v>6.7990000000000004</v>
      </c>
      <c r="N8" s="555">
        <f t="shared" si="0"/>
        <v>6.7990000000000004</v>
      </c>
      <c r="O8" s="555">
        <f t="shared" si="0"/>
        <v>6.7990000000000004</v>
      </c>
      <c r="P8" s="555">
        <f t="shared" si="0"/>
        <v>6.7990000000000004</v>
      </c>
      <c r="Q8" s="555">
        <f t="shared" si="0"/>
        <v>6.7990000000000004</v>
      </c>
      <c r="R8" s="555">
        <v>6.6231892300000004</v>
      </c>
      <c r="S8" s="555">
        <v>6.4349554299999987</v>
      </c>
      <c r="T8" s="555">
        <v>6.2947062699999998</v>
      </c>
      <c r="U8" s="555">
        <v>6.0627479199999996</v>
      </c>
      <c r="V8" s="555">
        <v>5.4902409299999997</v>
      </c>
      <c r="W8" s="555">
        <v>4.7945024299999996</v>
      </c>
      <c r="X8" s="555">
        <v>3.9465003999999988</v>
      </c>
      <c r="Y8" s="555">
        <v>3.3060079999999994</v>
      </c>
      <c r="Z8" s="555">
        <v>2.9487315999999995</v>
      </c>
      <c r="AA8" s="555">
        <v>2.4935236000000001</v>
      </c>
      <c r="AB8" s="555">
        <v>1.8564320000000003</v>
      </c>
      <c r="AC8" s="555">
        <v>0.80025794000000006</v>
      </c>
      <c r="AD8" s="555">
        <v>0.46639323999999999</v>
      </c>
      <c r="AE8" s="555">
        <v>0.21003932999999994</v>
      </c>
      <c r="AF8" s="555">
        <v>0</v>
      </c>
    </row>
    <row r="9" spans="1:32" ht="58.5" customHeight="1" thickBot="1">
      <c r="B9" s="171" t="s">
        <v>12</v>
      </c>
      <c r="C9" s="181" t="s">
        <v>77</v>
      </c>
      <c r="D9" s="15" t="s">
        <v>65</v>
      </c>
      <c r="E9" s="15" t="s">
        <v>659</v>
      </c>
      <c r="F9" s="602" t="s">
        <v>738</v>
      </c>
      <c r="G9" s="14"/>
      <c r="H9" s="14"/>
      <c r="I9" s="14"/>
      <c r="J9" s="14"/>
      <c r="K9" s="1098">
        <v>3.3985000000000001E-2</v>
      </c>
      <c r="L9" s="555">
        <v>3.3985000000000001E-2</v>
      </c>
      <c r="M9" s="555">
        <v>3.3985000000000001E-2</v>
      </c>
      <c r="N9" s="555">
        <v>3.3985000000000001E-2</v>
      </c>
      <c r="O9" s="555">
        <v>3.3985000000000001E-2</v>
      </c>
      <c r="P9" s="555">
        <v>3.3985000000000001E-2</v>
      </c>
      <c r="Q9" s="555">
        <v>3.3985000000000001E-2</v>
      </c>
      <c r="R9" s="555">
        <v>3.3985000000000001E-2</v>
      </c>
      <c r="S9" s="555">
        <v>3.3985000000000001E-2</v>
      </c>
      <c r="T9" s="555">
        <v>3.3985000000000001E-2</v>
      </c>
      <c r="U9" s="555">
        <v>3.3985000000000001E-2</v>
      </c>
      <c r="V9" s="555">
        <v>3.3765000000000003E-2</v>
      </c>
      <c r="W9" s="555">
        <v>3.3765000000000003E-2</v>
      </c>
      <c r="X9" s="555">
        <v>3.3765000000000003E-2</v>
      </c>
      <c r="Y9" s="555">
        <v>3.0765000000000001E-2</v>
      </c>
      <c r="Z9" s="555">
        <v>3.0765000000000001E-2</v>
      </c>
      <c r="AA9" s="555">
        <v>2.6615000000000003E-2</v>
      </c>
      <c r="AB9" s="555">
        <v>2.6615000000000003E-2</v>
      </c>
      <c r="AC9" s="555">
        <v>2.6615000000000003E-2</v>
      </c>
      <c r="AD9" s="555">
        <v>1.4815E-2</v>
      </c>
      <c r="AE9" s="555">
        <v>3.5000000000000001E-3</v>
      </c>
      <c r="AF9" s="555">
        <v>0</v>
      </c>
    </row>
    <row r="10" spans="1:32" ht="58.5" customHeight="1" thickBot="1">
      <c r="B10" s="171" t="s">
        <v>24</v>
      </c>
      <c r="C10" s="181" t="s">
        <v>77</v>
      </c>
      <c r="D10" s="15" t="s">
        <v>65</v>
      </c>
      <c r="E10" s="15" t="s">
        <v>659</v>
      </c>
      <c r="F10" s="602" t="s">
        <v>738</v>
      </c>
      <c r="G10" s="14">
        <v>0</v>
      </c>
      <c r="H10" s="14">
        <v>0</v>
      </c>
      <c r="I10" s="14">
        <v>0</v>
      </c>
      <c r="J10" s="14">
        <v>0</v>
      </c>
      <c r="K10" s="246">
        <v>37.619999999999997</v>
      </c>
      <c r="L10" s="14">
        <f>37.46456948+0.044</f>
        <v>37.508569479999998</v>
      </c>
      <c r="M10" s="1239">
        <f>37.16456948</f>
        <v>37.164569479999997</v>
      </c>
      <c r="N10" s="14">
        <v>36.764569479999999</v>
      </c>
      <c r="O10" s="14">
        <v>36.264569479999999</v>
      </c>
      <c r="P10" s="14">
        <v>35.664569479999997</v>
      </c>
      <c r="Q10" s="14">
        <v>34.964569480000002</v>
      </c>
      <c r="R10" s="14">
        <v>33.158776369999998</v>
      </c>
      <c r="S10" s="14">
        <v>30.565102570000001</v>
      </c>
      <c r="T10" s="14">
        <v>27.51489948</v>
      </c>
      <c r="U10" s="14">
        <v>24.797031480000001</v>
      </c>
      <c r="V10" s="14">
        <v>22.74326048</v>
      </c>
      <c r="W10" s="14">
        <v>20.92921698</v>
      </c>
      <c r="X10" s="14">
        <v>18.699378980000002</v>
      </c>
      <c r="Y10" s="14">
        <v>17.013132779999999</v>
      </c>
      <c r="Z10" s="14">
        <v>16.241268779999999</v>
      </c>
      <c r="AA10" s="14">
        <v>13.541928859999999</v>
      </c>
      <c r="AB10" s="14">
        <v>12.115269209999999</v>
      </c>
      <c r="AC10" s="14">
        <v>10.238786949999998</v>
      </c>
      <c r="AD10" s="14">
        <v>7.8176624199999987</v>
      </c>
      <c r="AE10" s="14">
        <v>4.7852306299999992</v>
      </c>
      <c r="AF10" s="14">
        <v>0</v>
      </c>
    </row>
    <row r="11" spans="1:32" ht="58.5" customHeight="1" thickBot="1">
      <c r="B11" s="171" t="s">
        <v>26</v>
      </c>
      <c r="C11" s="181" t="s">
        <v>77</v>
      </c>
      <c r="D11" s="15" t="s">
        <v>65</v>
      </c>
      <c r="E11" s="15" t="s">
        <v>659</v>
      </c>
      <c r="F11" s="602" t="s">
        <v>738</v>
      </c>
      <c r="G11" s="14"/>
      <c r="H11" s="14"/>
      <c r="I11" s="14"/>
      <c r="J11" s="14"/>
      <c r="K11" s="247">
        <v>0.99399999999999999</v>
      </c>
      <c r="L11" s="38">
        <f>K11</f>
        <v>0.99399999999999999</v>
      </c>
      <c r="M11" s="38">
        <f t="shared" ref="M11:Z11" si="1">L11</f>
        <v>0.99399999999999999</v>
      </c>
      <c r="N11" s="38">
        <f t="shared" si="1"/>
        <v>0.99399999999999999</v>
      </c>
      <c r="O11" s="38">
        <f t="shared" si="1"/>
        <v>0.99399999999999999</v>
      </c>
      <c r="P11" s="38">
        <f t="shared" si="1"/>
        <v>0.99399999999999999</v>
      </c>
      <c r="Q11" s="38">
        <f t="shared" si="1"/>
        <v>0.99399999999999999</v>
      </c>
      <c r="R11" s="38">
        <f t="shared" si="1"/>
        <v>0.99399999999999999</v>
      </c>
      <c r="S11" s="38">
        <f t="shared" si="1"/>
        <v>0.99399999999999999</v>
      </c>
      <c r="T11" s="38">
        <f t="shared" si="1"/>
        <v>0.99399999999999999</v>
      </c>
      <c r="U11" s="38">
        <f t="shared" si="1"/>
        <v>0.99399999999999999</v>
      </c>
      <c r="V11" s="38">
        <f t="shared" si="1"/>
        <v>0.99399999999999999</v>
      </c>
      <c r="W11" s="38">
        <f t="shared" si="1"/>
        <v>0.99399999999999999</v>
      </c>
      <c r="X11" s="38">
        <f t="shared" si="1"/>
        <v>0.99399999999999999</v>
      </c>
      <c r="Y11" s="38">
        <f t="shared" si="1"/>
        <v>0.99399999999999999</v>
      </c>
      <c r="Z11" s="38">
        <f t="shared" si="1"/>
        <v>0.99399999999999999</v>
      </c>
      <c r="AA11" s="38">
        <v>0.96219999999999994</v>
      </c>
      <c r="AB11" s="38">
        <v>0.9171999999999999</v>
      </c>
      <c r="AC11" s="38">
        <v>0.80889999999999995</v>
      </c>
      <c r="AD11" s="38">
        <v>0.72889999999999999</v>
      </c>
      <c r="AE11" s="38">
        <v>0.4889</v>
      </c>
      <c r="AF11" s="38">
        <v>0</v>
      </c>
    </row>
    <row r="12" spans="1:32" ht="58.5" customHeight="1" thickBot="1">
      <c r="B12" s="171" t="s">
        <v>14</v>
      </c>
      <c r="C12" s="184" t="s">
        <v>77</v>
      </c>
      <c r="D12" s="15" t="s">
        <v>65</v>
      </c>
      <c r="E12" s="15" t="s">
        <v>659</v>
      </c>
      <c r="F12" s="602" t="s">
        <v>738</v>
      </c>
      <c r="G12" s="14"/>
      <c r="H12" s="14"/>
      <c r="I12" s="14"/>
      <c r="J12" s="14"/>
      <c r="K12" s="246">
        <v>37.9</v>
      </c>
      <c r="L12" s="14">
        <f>K12</f>
        <v>37.9</v>
      </c>
      <c r="M12" s="14">
        <f t="shared" ref="M12:Q12" si="2">L12</f>
        <v>37.9</v>
      </c>
      <c r="N12" s="14">
        <f t="shared" si="2"/>
        <v>37.9</v>
      </c>
      <c r="O12" s="14">
        <f t="shared" si="2"/>
        <v>37.9</v>
      </c>
      <c r="P12" s="14">
        <f t="shared" si="2"/>
        <v>37.9</v>
      </c>
      <c r="Q12" s="14">
        <f t="shared" si="2"/>
        <v>37.9</v>
      </c>
      <c r="R12" s="14">
        <v>37.776027506000062</v>
      </c>
      <c r="S12" s="14">
        <v>37.667388816000063</v>
      </c>
      <c r="T12" s="14">
        <v>37.557167266000064</v>
      </c>
      <c r="U12" s="14">
        <v>37.414720716000062</v>
      </c>
      <c r="V12" s="14">
        <v>36.758691416000062</v>
      </c>
      <c r="W12" s="14">
        <v>35.834089356000064</v>
      </c>
      <c r="X12" s="14">
        <v>34.989494406000063</v>
      </c>
      <c r="Y12" s="14">
        <v>33.735743280000058</v>
      </c>
      <c r="Z12" s="14">
        <v>31.75620017000006</v>
      </c>
      <c r="AA12" s="14">
        <v>27.317740330000046</v>
      </c>
      <c r="AB12" s="14">
        <v>19.723863990000012</v>
      </c>
      <c r="AC12" s="14">
        <v>11.723473930000008</v>
      </c>
      <c r="AD12" s="14">
        <v>4.8811800499999842</v>
      </c>
      <c r="AE12" s="14">
        <v>1.7455592899999977</v>
      </c>
      <c r="AF12" s="555">
        <v>0</v>
      </c>
    </row>
    <row r="13" spans="1:32" ht="15" customHeight="1">
      <c r="B13" s="322"/>
      <c r="C13" s="10"/>
      <c r="D13" s="26"/>
      <c r="E13" s="26"/>
      <c r="F13" s="2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row>
    <row r="14" spans="1:32" ht="15" customHeight="1">
      <c r="D14" s="9"/>
      <c r="E14" s="9"/>
      <c r="F14" s="9"/>
      <c r="M14" s="1268"/>
    </row>
    <row r="15" spans="1:32" ht="15" customHeight="1">
      <c r="D15" s="9"/>
      <c r="E15" s="9"/>
      <c r="F15" s="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5" customHeight="1">
      <c r="D16" s="9"/>
      <c r="E16" s="9"/>
      <c r="F16" s="9"/>
    </row>
    <row r="17" spans="2:32" ht="15" customHeight="1">
      <c r="D17" s="9"/>
      <c r="E17" s="9"/>
      <c r="F17" s="9"/>
    </row>
    <row r="18" spans="2:32" ht="15" customHeight="1">
      <c r="B18" s="322"/>
      <c r="C18" s="10"/>
      <c r="D18" s="26"/>
      <c r="E18" s="26"/>
      <c r="F18" s="547"/>
      <c r="G18" s="210"/>
      <c r="H18" s="210"/>
      <c r="I18" s="210"/>
      <c r="J18" s="210"/>
      <c r="K18" s="210"/>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row>
    <row r="19" spans="2:32" ht="15" customHeight="1">
      <c r="B19" s="322"/>
      <c r="C19" s="10"/>
      <c r="D19" s="26"/>
      <c r="E19" s="26"/>
      <c r="F19" s="547"/>
      <c r="G19" s="210"/>
      <c r="H19" s="210"/>
      <c r="I19" s="210"/>
      <c r="J19" s="210"/>
      <c r="K19" s="210"/>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row>
    <row r="20" spans="2:32" ht="15" customHeight="1">
      <c r="B20" s="322"/>
      <c r="C20" s="10"/>
      <c r="D20" s="26"/>
      <c r="E20" s="26"/>
      <c r="F20" s="547"/>
      <c r="G20" s="655"/>
      <c r="H20" s="655"/>
      <c r="I20" s="655"/>
      <c r="J20" s="655"/>
      <c r="K20" s="655"/>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row>
    <row r="21" spans="2:32" ht="15" customHeight="1">
      <c r="B21" s="322"/>
      <c r="C21" s="10"/>
      <c r="D21" s="26"/>
      <c r="E21" s="26"/>
      <c r="F21" s="547"/>
      <c r="G21" s="210"/>
      <c r="H21" s="210"/>
      <c r="I21" s="210"/>
      <c r="J21" s="210"/>
      <c r="K21" s="1235"/>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row>
    <row r="22" spans="2:32" ht="15" customHeight="1">
      <c r="B22" s="322"/>
      <c r="C22" s="10"/>
      <c r="D22" s="26"/>
      <c r="E22" s="26"/>
      <c r="F22" s="547"/>
      <c r="G22" s="210"/>
      <c r="H22" s="210"/>
      <c r="I22" s="210"/>
      <c r="J22" s="210"/>
      <c r="K22" s="210"/>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row>
    <row r="23" spans="2:32" ht="15" customHeight="1">
      <c r="B23" s="322"/>
      <c r="C23" s="10"/>
      <c r="D23" s="26"/>
      <c r="E23" s="26"/>
      <c r="F23" s="547"/>
      <c r="G23" s="210"/>
      <c r="H23" s="210"/>
      <c r="I23" s="210"/>
      <c r="J23" s="210"/>
      <c r="K23" s="210"/>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row>
    <row r="24" spans="2:32" ht="15" customHeight="1">
      <c r="B24" s="322"/>
      <c r="C24" s="10"/>
      <c r="D24" s="26"/>
      <c r="E24" s="26"/>
      <c r="F24" s="547"/>
      <c r="G24" s="210"/>
      <c r="H24" s="210"/>
      <c r="I24" s="210"/>
      <c r="J24" s="210"/>
      <c r="K24" s="210"/>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row>
    <row r="25" spans="2:32" ht="15" customHeight="1">
      <c r="D25" s="9"/>
      <c r="E25" s="9"/>
      <c r="F25" s="9"/>
    </row>
    <row r="26" spans="2:32" ht="15" customHeight="1">
      <c r="D26" s="9"/>
      <c r="E26" s="9"/>
      <c r="F26" s="9"/>
    </row>
    <row r="27" spans="2:32" ht="15" customHeight="1">
      <c r="D27" s="9"/>
      <c r="E27" s="9"/>
      <c r="F27" s="9"/>
    </row>
    <row r="28" spans="2:32" ht="15" customHeight="1">
      <c r="D28" s="9"/>
      <c r="E28" s="9"/>
      <c r="F28" s="9"/>
    </row>
    <row r="29" spans="2:32" ht="15" customHeight="1">
      <c r="D29" s="9"/>
      <c r="E29" s="9"/>
      <c r="F29" s="9"/>
    </row>
    <row r="30" spans="2:32" ht="15" customHeight="1">
      <c r="D30" s="9"/>
      <c r="E30" s="9"/>
      <c r="F30" s="9"/>
    </row>
    <row r="31" spans="2:32" ht="15" customHeight="1">
      <c r="D31" s="9"/>
      <c r="E31" s="9"/>
      <c r="F31" s="9"/>
    </row>
    <row r="32" spans="2:32" ht="15" customHeight="1">
      <c r="D32" s="9"/>
      <c r="E32" s="9"/>
      <c r="F32" s="9"/>
    </row>
    <row r="33" s="9" customFormat="1" ht="15" customHeight="1"/>
    <row r="34" s="9" customFormat="1" ht="15" customHeight="1"/>
    <row r="35" s="9" customFormat="1" ht="15" customHeight="1"/>
    <row r="36" s="9" customFormat="1" ht="15" customHeight="1"/>
    <row r="37" s="9" customFormat="1" ht="15" customHeight="1"/>
    <row r="38" s="9" customFormat="1" ht="15" customHeight="1"/>
    <row r="39" s="9" customFormat="1" ht="15" customHeight="1"/>
    <row r="40" s="9" customFormat="1" ht="15" customHeight="1"/>
    <row r="41" s="9" customFormat="1" ht="15" customHeight="1"/>
    <row r="42" s="9" customFormat="1" ht="15" customHeight="1"/>
    <row r="43" s="9" customFormat="1" ht="15" customHeight="1"/>
    <row r="44" s="9" customFormat="1" ht="15" customHeight="1"/>
    <row r="45" s="9" customFormat="1" ht="15" customHeight="1"/>
    <row r="46" s="9" customFormat="1" ht="15" customHeight="1"/>
    <row r="47" s="9" customFormat="1" ht="15" customHeight="1"/>
    <row r="48" s="9" customFormat="1" ht="15" customHeight="1"/>
    <row r="49" s="9" customFormat="1" ht="15" customHeight="1"/>
    <row r="50" s="9" customFormat="1" ht="15" customHeight="1"/>
    <row r="51" s="9" customFormat="1" ht="15" customHeight="1"/>
    <row r="52" s="9" customFormat="1" ht="15" customHeight="1"/>
    <row r="53" s="9" customFormat="1" ht="15" customHeight="1"/>
    <row r="54" s="9" customFormat="1" ht="15" customHeight="1"/>
    <row r="55" s="9" customFormat="1" ht="15" customHeight="1"/>
    <row r="56" s="9" customFormat="1" ht="15" customHeight="1"/>
    <row r="57" s="9" customFormat="1" ht="15" customHeight="1"/>
    <row r="58" s="9" customFormat="1" ht="15" customHeight="1"/>
    <row r="59" s="9" customFormat="1" ht="15" customHeight="1"/>
    <row r="60" s="9" customFormat="1" ht="15" customHeight="1"/>
    <row r="61" s="9" customFormat="1" ht="15" customHeight="1"/>
    <row r="62" s="9" customFormat="1" ht="15" customHeight="1"/>
    <row r="63" s="9" customFormat="1" ht="15" customHeight="1"/>
    <row r="64" s="9" customFormat="1" ht="15" customHeight="1"/>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s="9" customFormat="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9" customFormat="1" ht="15" customHeight="1"/>
    <row r="194" s="9" customFormat="1" ht="15" customHeight="1"/>
    <row r="195" s="9" customFormat="1" ht="15" customHeight="1"/>
    <row r="196" s="9" customFormat="1" ht="15" customHeight="1"/>
    <row r="197" s="9" customFormat="1" ht="15" customHeight="1"/>
    <row r="198" s="9" customFormat="1" ht="15" customHeight="1"/>
    <row r="199" s="9" customFormat="1" ht="15" customHeight="1"/>
    <row r="200" s="9" customFormat="1" ht="15" customHeight="1"/>
    <row r="201" s="9" customFormat="1" ht="15" customHeight="1"/>
    <row r="202" s="9" customFormat="1" ht="15" customHeight="1"/>
    <row r="203" s="9" customFormat="1" ht="15" customHeight="1"/>
    <row r="204" s="9" customFormat="1" ht="15" customHeight="1"/>
    <row r="205" s="9" customFormat="1" ht="15" customHeight="1"/>
    <row r="206" s="9" customFormat="1" ht="15" customHeight="1"/>
    <row r="207" s="9" customFormat="1" ht="15" customHeight="1"/>
    <row r="208" s="9" customFormat="1" ht="15" customHeight="1"/>
    <row r="209" s="9" customFormat="1" ht="15" customHeight="1"/>
    <row r="210" s="9" customFormat="1" ht="15" customHeight="1"/>
    <row r="211" s="9" customFormat="1" ht="15" customHeight="1"/>
    <row r="212" s="9" customFormat="1" ht="15" customHeight="1"/>
    <row r="213" s="9" customFormat="1" ht="15" customHeight="1"/>
    <row r="214" s="9" customFormat="1" ht="15" customHeight="1"/>
    <row r="215" s="9" customFormat="1" ht="15" customHeight="1"/>
    <row r="216" s="9" customFormat="1" ht="15" customHeight="1"/>
    <row r="217" s="9" customFormat="1" ht="15" customHeight="1"/>
    <row r="218" s="9" customFormat="1" ht="15" customHeight="1"/>
    <row r="219" s="9" customFormat="1" ht="15" customHeight="1"/>
    <row r="220" s="9" customFormat="1" ht="15" customHeight="1"/>
    <row r="221" s="9" customFormat="1" ht="15" customHeight="1"/>
    <row r="222" s="9" customFormat="1" ht="15" customHeight="1"/>
    <row r="223" s="9" customFormat="1" ht="15" customHeight="1"/>
    <row r="224" s="9" customFormat="1" ht="15" customHeight="1"/>
    <row r="225" s="9" customFormat="1" ht="15" customHeight="1"/>
    <row r="226" s="9" customFormat="1" ht="15" customHeight="1"/>
    <row r="227" s="9" customFormat="1" ht="15" customHeight="1"/>
    <row r="228" s="9" customFormat="1" ht="15" customHeight="1"/>
    <row r="229" s="9" customFormat="1" ht="15" customHeight="1"/>
    <row r="230" s="9" customFormat="1" ht="15" customHeight="1"/>
    <row r="231" s="9" customFormat="1" ht="15" customHeight="1"/>
    <row r="232" s="9" customFormat="1" ht="15" customHeight="1"/>
    <row r="233" s="9" customFormat="1" ht="15" customHeight="1"/>
    <row r="234" s="9" customFormat="1" ht="15" customHeight="1"/>
    <row r="235" s="9" customFormat="1" ht="15" customHeight="1"/>
    <row r="236" s="9" customFormat="1" ht="15" customHeight="1"/>
    <row r="237" s="9" customFormat="1" ht="15" customHeight="1"/>
    <row r="238" s="9" customFormat="1" ht="15" customHeight="1"/>
    <row r="239" s="9" customFormat="1" ht="15" customHeight="1"/>
    <row r="240" s="9" customFormat="1" ht="15" customHeight="1"/>
    <row r="241" s="9" customFormat="1" ht="15" customHeight="1"/>
    <row r="242" s="9" customFormat="1" ht="15" customHeight="1"/>
    <row r="243" s="9" customFormat="1" ht="15" customHeight="1"/>
    <row r="244" s="9" customFormat="1" ht="15" customHeight="1"/>
    <row r="245" s="9" customFormat="1" ht="15" customHeight="1"/>
    <row r="246" s="9" customFormat="1" ht="15" customHeight="1"/>
    <row r="247" s="9" customFormat="1" ht="15" customHeight="1"/>
    <row r="248" s="9" customFormat="1" ht="15" customHeight="1"/>
    <row r="249" s="9" customFormat="1" ht="15" customHeight="1"/>
    <row r="250" s="9" customFormat="1" ht="15" customHeight="1"/>
    <row r="251" s="9" customFormat="1" ht="15" customHeight="1"/>
    <row r="252" s="9" customFormat="1" ht="15" customHeight="1"/>
    <row r="253" s="9" customFormat="1" ht="15" customHeight="1"/>
    <row r="254" s="9" customFormat="1" ht="15" customHeight="1"/>
    <row r="255" s="9" customFormat="1" ht="15" customHeight="1"/>
    <row r="256" s="9" customFormat="1" ht="15" customHeight="1"/>
    <row r="257" s="9" customFormat="1" ht="15" customHeight="1"/>
    <row r="258" s="9" customFormat="1" ht="15" customHeight="1"/>
    <row r="259" s="9" customFormat="1" ht="15" customHeight="1"/>
    <row r="260" s="9" customFormat="1" ht="15" customHeight="1"/>
    <row r="261" s="9" customFormat="1" ht="15" customHeight="1"/>
    <row r="262" s="9" customFormat="1" ht="15" customHeight="1"/>
    <row r="263" s="9" customFormat="1" ht="15" customHeight="1"/>
    <row r="264" s="9" customFormat="1" ht="15" customHeight="1"/>
    <row r="265" s="9" customFormat="1" ht="15" customHeight="1"/>
    <row r="266" s="9" customFormat="1" ht="15" customHeight="1"/>
    <row r="267" s="9" customFormat="1" ht="15" customHeight="1"/>
    <row r="268" s="9" customFormat="1" ht="15" customHeight="1"/>
    <row r="269" s="9" customFormat="1" ht="15" customHeight="1"/>
    <row r="270" s="9" customFormat="1" ht="15" customHeight="1"/>
    <row r="271" s="9" customFormat="1" ht="15" customHeight="1"/>
    <row r="272" s="9" customFormat="1" ht="15" customHeight="1"/>
    <row r="273" s="9" customFormat="1" ht="15" customHeight="1"/>
    <row r="274" s="9" customFormat="1" ht="15" customHeight="1"/>
    <row r="275" s="9" customFormat="1" ht="15" customHeight="1"/>
    <row r="276" s="9" customFormat="1" ht="15" customHeight="1"/>
    <row r="277" s="9" customFormat="1" ht="15" customHeight="1"/>
    <row r="278" s="9" customFormat="1" ht="15" customHeight="1"/>
    <row r="279" s="9" customFormat="1" ht="15" customHeight="1"/>
    <row r="280" s="9" customFormat="1" ht="15" customHeight="1"/>
    <row r="281" s="9" customFormat="1" ht="15" customHeight="1"/>
    <row r="282" s="9" customFormat="1" ht="15" customHeight="1"/>
    <row r="283" s="9" customFormat="1" ht="15" customHeight="1"/>
    <row r="284" s="9" customFormat="1" ht="15" customHeight="1"/>
    <row r="285" s="9" customFormat="1" ht="15" customHeight="1"/>
    <row r="286" s="9" customFormat="1" ht="15" customHeight="1"/>
    <row r="287" s="9" customFormat="1" ht="15" customHeight="1"/>
    <row r="288" s="9" customFormat="1" ht="15" customHeight="1"/>
    <row r="289" s="9" customFormat="1" ht="15" customHeight="1"/>
    <row r="290" s="9" customFormat="1" ht="15" customHeight="1"/>
    <row r="291" s="9" customFormat="1" ht="15" customHeight="1"/>
    <row r="292" s="9" customFormat="1" ht="15" customHeight="1"/>
    <row r="293" s="9" customFormat="1" ht="15" customHeight="1"/>
    <row r="294" s="9" customFormat="1" ht="15" customHeight="1"/>
    <row r="295" s="9" customFormat="1" ht="15" customHeight="1"/>
    <row r="296" s="9" customFormat="1" ht="15" customHeight="1"/>
    <row r="297" s="9" customFormat="1" ht="15" customHeight="1"/>
    <row r="298" s="9" customFormat="1" ht="15" customHeight="1"/>
    <row r="299" s="9" customFormat="1" ht="15" customHeight="1"/>
    <row r="300" s="9" customFormat="1" ht="15" customHeight="1"/>
    <row r="301" s="9" customFormat="1" ht="15" customHeight="1"/>
    <row r="302" s="9" customFormat="1" ht="15" customHeight="1"/>
    <row r="303" s="9" customFormat="1" ht="15" customHeight="1"/>
    <row r="304" s="9" customFormat="1" ht="15" customHeight="1"/>
    <row r="305" s="9" customFormat="1" ht="15" customHeight="1"/>
    <row r="306" s="9" customFormat="1" ht="15" customHeight="1"/>
    <row r="307" s="9" customFormat="1" ht="15" customHeight="1"/>
    <row r="308" s="9" customFormat="1" ht="15" customHeight="1"/>
    <row r="309" s="9" customFormat="1" ht="15" customHeight="1"/>
    <row r="310" s="9" customFormat="1" ht="15" customHeight="1"/>
    <row r="311" s="9" customFormat="1" ht="15" customHeight="1"/>
    <row r="312" s="9" customFormat="1" ht="15" customHeight="1"/>
    <row r="313" s="9" customFormat="1" ht="15" customHeight="1"/>
    <row r="314" s="9" customFormat="1" ht="15" customHeight="1"/>
    <row r="315" s="9" customFormat="1" ht="15" customHeight="1"/>
    <row r="316" s="9" customFormat="1" ht="15" customHeight="1"/>
    <row r="317" s="9" customFormat="1" ht="15" customHeight="1"/>
    <row r="318" s="9" customFormat="1" ht="15" customHeight="1"/>
    <row r="319" s="9" customFormat="1" ht="15" customHeight="1"/>
    <row r="320" s="9" customFormat="1" ht="15" customHeight="1"/>
    <row r="321" s="9" customFormat="1" ht="15" customHeight="1"/>
    <row r="322" s="9" customFormat="1" ht="15" customHeight="1"/>
    <row r="323" s="9" customFormat="1" ht="15" customHeight="1"/>
    <row r="324" s="9" customFormat="1" ht="15" customHeight="1"/>
    <row r="325" s="9" customFormat="1" ht="15" customHeight="1"/>
    <row r="326" s="9" customFormat="1" ht="15" customHeight="1"/>
    <row r="327" s="9" customFormat="1" ht="15" customHeight="1"/>
    <row r="328" s="9" customFormat="1" ht="15" customHeight="1"/>
    <row r="329" s="9" customFormat="1" ht="15" customHeight="1"/>
    <row r="330" s="9" customFormat="1" ht="15" customHeight="1"/>
    <row r="331" s="9" customFormat="1" ht="15" customHeight="1"/>
    <row r="332" s="9" customFormat="1" ht="15" customHeight="1"/>
    <row r="333" s="9" customFormat="1" ht="15" customHeight="1"/>
    <row r="334" s="9" customFormat="1" ht="15" customHeight="1"/>
    <row r="335" s="9" customFormat="1" ht="15" customHeight="1"/>
    <row r="336" s="9" customFormat="1" ht="15" customHeight="1"/>
    <row r="337" s="9" customFormat="1" ht="15" customHeight="1"/>
    <row r="338" s="9" customFormat="1" ht="15" customHeight="1"/>
    <row r="339" s="9" customFormat="1" ht="15" customHeight="1"/>
    <row r="340" s="9" customFormat="1" ht="15" customHeight="1"/>
    <row r="341" s="9" customFormat="1" ht="15" customHeight="1"/>
    <row r="342" s="9" customFormat="1" ht="15" customHeight="1"/>
    <row r="343" s="9" customFormat="1" ht="15" customHeight="1"/>
    <row r="344" s="9" customFormat="1" ht="15" customHeight="1"/>
    <row r="345" s="9" customFormat="1" ht="15" customHeight="1"/>
    <row r="346" s="9" customFormat="1" ht="15" customHeight="1"/>
    <row r="347" s="9" customFormat="1" ht="15" customHeight="1"/>
    <row r="348" s="9" customFormat="1" ht="15" customHeight="1"/>
    <row r="349" s="9" customFormat="1" ht="15" customHeight="1"/>
    <row r="350" s="9" customFormat="1" ht="15" customHeight="1"/>
    <row r="351" s="9" customFormat="1" ht="15" customHeight="1"/>
    <row r="352" s="9" customFormat="1" ht="15" customHeight="1"/>
    <row r="353" s="9" customFormat="1" ht="15" customHeight="1"/>
    <row r="354" s="9" customFormat="1" ht="15" customHeight="1"/>
    <row r="355" s="9" customFormat="1" ht="15" customHeight="1"/>
    <row r="356" s="9" customFormat="1" ht="15" customHeight="1"/>
    <row r="357" s="9" customFormat="1" ht="15" customHeight="1"/>
    <row r="358" s="9" customFormat="1" ht="15" customHeight="1"/>
    <row r="359" s="9" customFormat="1" ht="15" customHeight="1"/>
    <row r="360" s="9" customFormat="1" ht="15" customHeight="1"/>
    <row r="361" s="9" customFormat="1" ht="15" customHeight="1"/>
    <row r="362" s="9" customFormat="1" ht="15" customHeight="1"/>
    <row r="363" s="9" customFormat="1" ht="15" customHeight="1"/>
    <row r="364" s="9" customFormat="1" ht="15" customHeight="1"/>
    <row r="365" s="9" customFormat="1" ht="15" customHeight="1"/>
    <row r="366" s="9" customFormat="1" ht="15" customHeight="1"/>
    <row r="367" s="9" customFormat="1" ht="15" customHeight="1"/>
    <row r="368" s="9" customFormat="1" ht="15" customHeight="1"/>
    <row r="369" s="9" customFormat="1" ht="15" customHeight="1"/>
    <row r="370" s="9" customFormat="1" ht="15" customHeight="1"/>
    <row r="371" s="9" customFormat="1" ht="15" customHeight="1"/>
    <row r="372" s="9" customFormat="1" ht="15" customHeight="1"/>
    <row r="373" s="9" customFormat="1" ht="15" customHeight="1"/>
    <row r="374" s="9" customFormat="1" ht="15" customHeight="1"/>
    <row r="375" s="9" customFormat="1" ht="15" customHeight="1"/>
    <row r="376" s="9" customFormat="1" ht="15" customHeight="1"/>
    <row r="377" s="9" customFormat="1" ht="15" customHeight="1"/>
    <row r="378" s="9" customFormat="1" ht="15" customHeight="1"/>
    <row r="379" s="9" customFormat="1" ht="15" customHeight="1"/>
    <row r="380" s="9" customFormat="1" ht="15" customHeight="1"/>
    <row r="381" s="9" customFormat="1" ht="15" customHeight="1"/>
    <row r="382" s="9" customFormat="1" ht="15" customHeight="1"/>
    <row r="383" s="9" customFormat="1" ht="15" customHeight="1"/>
    <row r="384" s="9" customFormat="1" ht="15" customHeight="1"/>
    <row r="385" s="9" customFormat="1" ht="15" customHeight="1"/>
    <row r="386" s="9" customFormat="1" ht="15" customHeight="1"/>
    <row r="387" s="9" customFormat="1" ht="15" customHeight="1"/>
    <row r="388" s="9" customFormat="1" ht="15" customHeight="1"/>
    <row r="389" s="9" customFormat="1" ht="15" customHeight="1"/>
    <row r="390" s="9" customFormat="1" ht="15" customHeight="1"/>
    <row r="391" s="9" customFormat="1" ht="15" customHeight="1"/>
    <row r="392" s="9" customFormat="1" ht="15" customHeight="1"/>
    <row r="393" s="9" customFormat="1" ht="15" customHeight="1"/>
    <row r="394" s="9" customFormat="1" ht="15" customHeight="1"/>
    <row r="395" s="9" customFormat="1" ht="15" customHeight="1"/>
    <row r="396" s="9" customFormat="1" ht="15" customHeight="1"/>
    <row r="397" s="9" customFormat="1" ht="15" customHeight="1"/>
    <row r="398" s="9" customFormat="1" ht="15" customHeight="1"/>
    <row r="399" s="9" customFormat="1" ht="15" customHeight="1"/>
    <row r="400" s="9" customFormat="1" ht="15" customHeight="1"/>
    <row r="401" s="9" customFormat="1" ht="15" customHeight="1"/>
    <row r="402" s="9" customFormat="1" ht="15" customHeight="1"/>
    <row r="403" s="9" customFormat="1" ht="15" customHeight="1"/>
    <row r="404" s="9" customFormat="1" ht="15" customHeight="1"/>
    <row r="405" s="9" customFormat="1" ht="15" customHeight="1"/>
    <row r="406" s="9" customFormat="1" ht="15" customHeight="1"/>
    <row r="407" s="9" customFormat="1" ht="15" customHeight="1"/>
    <row r="408" s="9" customFormat="1" ht="15" customHeight="1"/>
    <row r="409" s="9" customFormat="1" ht="15" customHeight="1"/>
    <row r="410" s="9" customFormat="1" ht="15" customHeight="1"/>
    <row r="411" s="9" customFormat="1" ht="15" customHeight="1"/>
    <row r="412" s="9" customFormat="1" ht="15" customHeight="1"/>
    <row r="413" s="9" customFormat="1" ht="15" customHeight="1"/>
    <row r="414" s="9" customFormat="1" ht="15" customHeight="1"/>
    <row r="415" s="9" customFormat="1" ht="15" customHeight="1"/>
    <row r="416" s="9" customFormat="1" ht="15" customHeight="1"/>
    <row r="417" s="9" customFormat="1" ht="15" customHeight="1"/>
    <row r="418" s="9" customFormat="1" ht="15" customHeight="1"/>
    <row r="419" s="9" customFormat="1" ht="15" customHeight="1"/>
    <row r="420" s="9" customFormat="1" ht="15" customHeight="1"/>
    <row r="421" s="9" customFormat="1" ht="15" customHeight="1"/>
    <row r="422" s="9" customFormat="1" ht="15" customHeight="1"/>
    <row r="423" s="9" customFormat="1" ht="15" customHeight="1"/>
    <row r="424" s="9" customFormat="1" ht="15" customHeight="1"/>
    <row r="425" s="9" customFormat="1" ht="15" customHeight="1"/>
    <row r="426" s="9" customFormat="1" ht="15" customHeight="1"/>
    <row r="427" s="9" customFormat="1" ht="15" customHeight="1"/>
    <row r="428" s="9" customFormat="1" ht="15" customHeight="1"/>
    <row r="429" s="9" customFormat="1" ht="15" customHeight="1"/>
    <row r="430" s="9" customFormat="1" ht="15" customHeight="1"/>
    <row r="431" s="9" customFormat="1" ht="15" customHeight="1"/>
    <row r="432" s="9" customFormat="1" ht="15" customHeight="1"/>
    <row r="433" s="9" customFormat="1" ht="15" customHeight="1"/>
    <row r="434" s="9" customFormat="1" ht="15" customHeight="1"/>
    <row r="435" s="9" customFormat="1" ht="15" customHeight="1"/>
    <row r="436" s="9" customFormat="1" ht="15" customHeight="1"/>
    <row r="437" s="9" customFormat="1" ht="15" customHeight="1"/>
    <row r="438" s="9" customFormat="1" ht="15" customHeight="1"/>
    <row r="439" s="9" customFormat="1" ht="15" customHeight="1"/>
    <row r="440" s="9" customFormat="1" ht="15" customHeight="1"/>
    <row r="441" s="9" customFormat="1" ht="15" customHeight="1"/>
    <row r="442" s="9" customFormat="1" ht="15" customHeight="1"/>
    <row r="443" s="9" customFormat="1" ht="15" customHeight="1"/>
    <row r="444" s="9" customFormat="1" ht="15" customHeight="1"/>
    <row r="445" s="9" customFormat="1" ht="15" customHeight="1"/>
    <row r="446" s="9" customFormat="1" ht="15" customHeight="1"/>
    <row r="447" s="9" customFormat="1" ht="15" customHeight="1"/>
    <row r="448" s="9" customFormat="1" ht="15" customHeight="1"/>
    <row r="449" s="9" customFormat="1" ht="15" customHeight="1"/>
    <row r="450" s="9" customFormat="1" ht="15" customHeight="1"/>
    <row r="451" s="9" customFormat="1" ht="15" customHeight="1"/>
    <row r="452" s="9" customFormat="1" ht="15" customHeight="1"/>
    <row r="453" s="9" customFormat="1" ht="15" customHeight="1"/>
    <row r="454" s="9" customFormat="1" ht="15" customHeight="1"/>
    <row r="455" s="9" customFormat="1" ht="15" customHeight="1"/>
    <row r="456" s="9" customFormat="1" ht="15" customHeight="1"/>
    <row r="457" s="9" customFormat="1" ht="15" customHeight="1"/>
    <row r="458" s="9" customFormat="1" ht="15" customHeight="1"/>
    <row r="459" s="9" customFormat="1" ht="15" customHeight="1"/>
    <row r="460" s="9" customFormat="1" ht="15" customHeight="1"/>
    <row r="461" s="9" customFormat="1" ht="15" customHeight="1"/>
    <row r="462" s="9" customFormat="1" ht="15" customHeight="1"/>
    <row r="463" s="9" customFormat="1" ht="15" customHeight="1"/>
    <row r="464" s="9" customFormat="1" ht="15" customHeight="1"/>
    <row r="465" s="9" customFormat="1" ht="15" customHeight="1"/>
    <row r="466" s="9" customFormat="1" ht="15" customHeight="1"/>
    <row r="467" s="9" customFormat="1" ht="15" customHeight="1"/>
    <row r="468" s="9" customFormat="1" ht="15" customHeight="1"/>
    <row r="469" s="9" customFormat="1" ht="15" customHeight="1"/>
    <row r="470" s="9" customFormat="1" ht="15" customHeight="1"/>
    <row r="471" s="9" customFormat="1" ht="15" customHeight="1"/>
    <row r="472" s="9" customFormat="1" ht="15" customHeight="1"/>
    <row r="473" s="9" customFormat="1" ht="15" customHeight="1"/>
    <row r="474" s="9" customFormat="1" ht="15" customHeight="1"/>
    <row r="475" s="9" customFormat="1" ht="15" customHeight="1"/>
    <row r="476" s="9" customFormat="1" ht="15" customHeight="1"/>
    <row r="477" s="9" customFormat="1" ht="15" customHeight="1"/>
    <row r="478" s="9" customFormat="1" ht="15" customHeight="1"/>
    <row r="479" s="9" customFormat="1" ht="15" customHeight="1"/>
    <row r="480" s="9" customFormat="1" ht="15" customHeight="1"/>
    <row r="481" s="9" customFormat="1" ht="15" customHeight="1"/>
    <row r="482" s="9" customFormat="1" ht="15" customHeight="1"/>
    <row r="483" s="9" customFormat="1" ht="15" customHeight="1"/>
    <row r="484" s="9" customFormat="1" ht="15" customHeight="1"/>
    <row r="485" s="9" customFormat="1" ht="15" customHeight="1"/>
    <row r="486" s="9" customFormat="1" ht="15" customHeight="1"/>
    <row r="487" s="9" customFormat="1" ht="15" customHeight="1"/>
    <row r="488" s="9" customFormat="1" ht="15" customHeight="1"/>
    <row r="489" s="9" customFormat="1" ht="15" customHeight="1"/>
    <row r="490" s="9" customFormat="1" ht="15" customHeight="1"/>
    <row r="491" s="9" customFormat="1" ht="15" customHeight="1"/>
    <row r="492" s="9" customFormat="1" ht="15" customHeight="1"/>
    <row r="493" s="9" customFormat="1" ht="15" customHeight="1"/>
    <row r="494" s="9" customFormat="1" ht="15" customHeight="1"/>
    <row r="495" s="9" customFormat="1" ht="15" customHeight="1"/>
    <row r="496" s="9" customFormat="1" ht="15" customHeight="1"/>
    <row r="497" s="9" customFormat="1" ht="15" customHeight="1"/>
    <row r="498" s="9" customFormat="1" ht="15" customHeight="1"/>
    <row r="499" s="9" customFormat="1" ht="15" customHeight="1"/>
    <row r="500" s="9" customFormat="1" ht="15" customHeight="1"/>
    <row r="501" s="9" customFormat="1" ht="15" customHeight="1"/>
    <row r="502" s="9" customFormat="1" ht="15" customHeight="1"/>
    <row r="503" s="9" customFormat="1" ht="15" customHeight="1"/>
    <row r="504" s="9" customFormat="1" ht="15" customHeight="1"/>
    <row r="505" s="9" customFormat="1" ht="15" customHeight="1"/>
    <row r="506" s="9" customFormat="1" ht="15" customHeight="1"/>
    <row r="507" s="9" customFormat="1" ht="15" customHeight="1"/>
    <row r="508" s="9" customFormat="1" ht="15" customHeight="1"/>
    <row r="509" s="9" customFormat="1" ht="15" customHeight="1"/>
    <row r="510" s="9" customFormat="1" ht="15" customHeight="1"/>
    <row r="511" s="9" customFormat="1" ht="15" customHeight="1"/>
    <row r="512" s="9" customFormat="1" ht="15" customHeight="1"/>
    <row r="513" s="9" customFormat="1" ht="15" customHeight="1"/>
    <row r="514" s="9" customFormat="1" ht="15" customHeight="1"/>
    <row r="515" s="9" customFormat="1" ht="15" customHeight="1"/>
    <row r="516" s="9" customFormat="1" ht="15" customHeight="1"/>
    <row r="517" s="9" customFormat="1" ht="15" customHeight="1"/>
    <row r="518" s="9" customFormat="1" ht="15" customHeight="1"/>
    <row r="519" s="9" customFormat="1" ht="15" customHeight="1"/>
    <row r="520" s="9" customFormat="1" ht="15" customHeight="1"/>
    <row r="521" s="9" customFormat="1" ht="15" customHeight="1"/>
    <row r="522" s="9" customFormat="1" ht="15" customHeight="1"/>
    <row r="523" s="9" customFormat="1" ht="15" customHeight="1"/>
    <row r="524" s="9" customFormat="1" ht="15" customHeight="1"/>
    <row r="525" s="9" customFormat="1" ht="15" customHeight="1"/>
    <row r="526" s="9" customFormat="1" ht="15" customHeight="1"/>
    <row r="527" s="9" customFormat="1" ht="15" customHeight="1"/>
    <row r="528" s="9" customFormat="1" ht="15" customHeight="1"/>
    <row r="529" s="9" customFormat="1" ht="15" customHeight="1"/>
    <row r="530" s="9" customFormat="1" ht="15" customHeight="1"/>
    <row r="531" s="9" customFormat="1" ht="15" customHeight="1"/>
    <row r="532" s="9" customFormat="1" ht="15" customHeight="1"/>
    <row r="533" s="9" customFormat="1" ht="15" customHeight="1"/>
    <row r="534" s="9" customFormat="1" ht="15" customHeight="1"/>
    <row r="535" s="9" customFormat="1" ht="15" customHeight="1"/>
    <row r="536" s="9" customFormat="1" ht="15" customHeight="1"/>
    <row r="537" s="9" customFormat="1" ht="15" customHeight="1"/>
    <row r="538" s="9" customFormat="1" ht="15" customHeight="1"/>
    <row r="539" s="9" customFormat="1" ht="15" customHeight="1"/>
    <row r="540" s="9" customFormat="1" ht="15" customHeight="1"/>
    <row r="541" s="9" customFormat="1" ht="15" customHeight="1"/>
    <row r="542" s="9" customFormat="1" ht="15" customHeight="1"/>
    <row r="543" s="9" customFormat="1" ht="15" customHeight="1"/>
    <row r="544" s="9" customFormat="1" ht="15" customHeight="1"/>
    <row r="545" s="9" customFormat="1" ht="15" customHeight="1"/>
    <row r="546" s="9" customFormat="1" ht="15" customHeight="1"/>
    <row r="547" s="9" customFormat="1" ht="15" customHeight="1"/>
    <row r="548" s="9" customFormat="1" ht="15" customHeight="1"/>
    <row r="549" s="9" customFormat="1" ht="15" customHeight="1"/>
    <row r="550" s="9" customFormat="1" ht="15" customHeight="1"/>
    <row r="551" s="9" customFormat="1" ht="15" customHeight="1"/>
    <row r="552" s="9" customFormat="1" ht="15" customHeight="1"/>
    <row r="553" s="9" customFormat="1" ht="15" customHeight="1"/>
    <row r="554" s="9" customFormat="1" ht="15" customHeight="1"/>
    <row r="555" s="9" customFormat="1" ht="15" customHeight="1"/>
    <row r="556" s="9" customFormat="1" ht="15" customHeight="1"/>
    <row r="557" s="9" customFormat="1" ht="15" customHeight="1"/>
    <row r="558" s="9" customFormat="1" ht="15" customHeight="1"/>
    <row r="559" s="9" customFormat="1" ht="15" customHeight="1"/>
    <row r="560" s="9" customFormat="1" ht="15" customHeight="1"/>
    <row r="561" s="9" customFormat="1" ht="15" customHeight="1"/>
    <row r="562" s="9" customFormat="1" ht="15" customHeight="1"/>
    <row r="563" s="9" customFormat="1" ht="15" customHeight="1"/>
    <row r="564" s="9" customFormat="1" ht="15" customHeight="1"/>
    <row r="565" s="9" customFormat="1" ht="15" customHeight="1"/>
    <row r="566" s="9" customFormat="1" ht="15" customHeight="1"/>
    <row r="567" s="9" customFormat="1" ht="15" customHeight="1"/>
    <row r="568" s="9" customFormat="1" ht="15" customHeight="1"/>
    <row r="569" s="9" customFormat="1" ht="15" customHeight="1"/>
    <row r="570" s="9" customFormat="1" ht="15" customHeight="1"/>
    <row r="571" s="9" customFormat="1" ht="15" customHeight="1"/>
    <row r="572" s="9" customFormat="1" ht="15" customHeight="1"/>
    <row r="573" s="9" customFormat="1" ht="15" customHeight="1"/>
    <row r="574" s="9" customFormat="1" ht="15" customHeight="1"/>
    <row r="575" s="9" customFormat="1" ht="15" customHeight="1"/>
    <row r="576" s="9" customFormat="1" ht="15" customHeight="1"/>
    <row r="577" s="9" customFormat="1" ht="15" customHeight="1"/>
    <row r="578" s="9" customFormat="1" ht="15" customHeight="1"/>
    <row r="579" s="9" customFormat="1" ht="15" customHeight="1"/>
    <row r="580" s="9" customFormat="1" ht="15" customHeight="1"/>
    <row r="581" s="9" customFormat="1" ht="15" customHeight="1"/>
    <row r="582" s="9" customFormat="1" ht="15" customHeight="1"/>
    <row r="583" s="9" customFormat="1" ht="15" customHeight="1"/>
    <row r="584" s="9" customFormat="1" ht="15" customHeight="1"/>
    <row r="585" s="9" customFormat="1" ht="15" customHeight="1"/>
    <row r="586" s="9" customFormat="1" ht="15" customHeight="1"/>
    <row r="587" s="9" customFormat="1" ht="15" customHeight="1"/>
    <row r="588" s="9" customFormat="1" ht="15" customHeight="1"/>
    <row r="589" s="9" customFormat="1" ht="15" customHeight="1"/>
    <row r="590" s="9" customFormat="1" ht="15" customHeight="1"/>
    <row r="591" s="9" customFormat="1" ht="15" customHeight="1"/>
    <row r="592" s="9" customFormat="1" ht="15" customHeight="1"/>
    <row r="593" s="9" customFormat="1" ht="15" customHeight="1"/>
    <row r="594" s="9" customFormat="1" ht="15" customHeight="1"/>
    <row r="595" s="9" customFormat="1" ht="15" customHeight="1"/>
    <row r="596" s="9" customFormat="1" ht="15" customHeight="1"/>
    <row r="597" s="9" customFormat="1" ht="15" customHeight="1"/>
    <row r="598" s="9" customFormat="1" ht="15" customHeight="1"/>
    <row r="599" s="9" customFormat="1" ht="15" customHeight="1"/>
    <row r="600" s="9" customFormat="1" ht="15" customHeight="1"/>
    <row r="601" s="9" customFormat="1" ht="15" customHeight="1"/>
    <row r="602" s="9" customFormat="1" ht="15" customHeight="1"/>
    <row r="603" s="9" customFormat="1" ht="15" customHeight="1"/>
    <row r="604" s="9" customFormat="1" ht="15" customHeight="1"/>
    <row r="605" s="9" customFormat="1" ht="15" customHeight="1"/>
    <row r="606" s="9" customFormat="1" ht="15" customHeight="1"/>
    <row r="607" s="9" customFormat="1" ht="15" customHeight="1"/>
    <row r="608" s="9" customFormat="1" ht="15" customHeight="1"/>
    <row r="609" s="9" customFormat="1" ht="15" customHeight="1"/>
    <row r="610" s="9" customFormat="1" ht="15" customHeight="1"/>
    <row r="611" s="9" customFormat="1" ht="15" customHeight="1"/>
    <row r="612" s="9" customFormat="1" ht="15" customHeight="1"/>
    <row r="613" s="9" customFormat="1" ht="15" customHeight="1"/>
    <row r="614" s="9" customFormat="1" ht="15" customHeight="1"/>
    <row r="615" s="9" customFormat="1" ht="15" customHeight="1"/>
    <row r="616" s="9" customFormat="1" ht="15" customHeight="1"/>
    <row r="617" s="9" customFormat="1" ht="15" customHeight="1"/>
    <row r="618" s="9" customFormat="1" ht="15" customHeight="1"/>
    <row r="619" s="9" customFormat="1" ht="15" customHeight="1"/>
    <row r="620" s="9" customFormat="1" ht="15" customHeight="1"/>
    <row r="621" s="9" customFormat="1" ht="15" customHeight="1"/>
    <row r="622" s="9" customFormat="1" ht="15" customHeight="1"/>
    <row r="623" s="9" customFormat="1" ht="15" customHeight="1"/>
    <row r="624" s="9" customFormat="1" ht="15" customHeight="1"/>
    <row r="625" s="9" customFormat="1" ht="15" customHeight="1"/>
    <row r="626" s="9" customFormat="1" ht="15" customHeight="1"/>
    <row r="627" s="9" customFormat="1" ht="15" customHeight="1"/>
    <row r="628" s="9" customFormat="1" ht="15" customHeight="1"/>
    <row r="629" s="9" customFormat="1" ht="15" customHeight="1"/>
    <row r="630" s="9" customFormat="1" ht="15" customHeight="1"/>
    <row r="631" s="9" customFormat="1" ht="15" customHeight="1"/>
    <row r="632" s="9" customFormat="1" ht="15" customHeight="1"/>
    <row r="633" s="9" customFormat="1" ht="15" customHeight="1"/>
    <row r="634" s="9" customFormat="1" ht="15" customHeight="1"/>
    <row r="635" s="9" customFormat="1" ht="15" customHeight="1"/>
    <row r="636" s="9" customFormat="1" ht="15" customHeight="1"/>
    <row r="637" s="9" customFormat="1" ht="15" customHeight="1"/>
    <row r="638" s="9" customFormat="1" ht="15" customHeight="1"/>
    <row r="639" s="9" customFormat="1" ht="15" customHeight="1"/>
    <row r="640" s="9" customFormat="1" ht="15" customHeight="1"/>
    <row r="641" s="9" customFormat="1" ht="15" customHeight="1"/>
    <row r="642" s="9" customFormat="1" ht="15" customHeight="1"/>
    <row r="643" s="9" customFormat="1" ht="15" customHeight="1"/>
    <row r="644" s="9" customFormat="1" ht="15" customHeight="1"/>
    <row r="645" s="9" customFormat="1" ht="15" customHeight="1"/>
    <row r="646" s="9" customFormat="1" ht="15" customHeight="1"/>
    <row r="647" s="9" customFormat="1" ht="15" customHeight="1"/>
    <row r="648" s="9" customFormat="1" ht="15" customHeight="1"/>
    <row r="649" s="9" customFormat="1" ht="15" customHeight="1"/>
    <row r="650" s="9" customFormat="1" ht="15" customHeight="1"/>
    <row r="651" s="9" customFormat="1" ht="15" customHeight="1"/>
    <row r="652" s="9" customFormat="1" ht="15" customHeight="1"/>
    <row r="653" s="9" customFormat="1" ht="15" customHeight="1"/>
    <row r="654" s="9" customFormat="1" ht="15" customHeight="1"/>
    <row r="655" s="9" customFormat="1" ht="15" customHeight="1"/>
    <row r="656" s="9" customFormat="1" ht="15" customHeight="1"/>
    <row r="657" s="9" customFormat="1" ht="15" customHeight="1"/>
    <row r="658" s="9" customFormat="1" ht="15" customHeight="1"/>
    <row r="659" s="9" customFormat="1" ht="15" customHeight="1"/>
    <row r="660" s="9" customFormat="1" ht="15" customHeight="1"/>
    <row r="661" s="9" customFormat="1" ht="15" customHeight="1"/>
    <row r="662" s="9" customFormat="1" ht="15" customHeight="1"/>
    <row r="663" s="9" customFormat="1" ht="15" customHeight="1"/>
    <row r="664" s="9" customFormat="1" ht="15" customHeight="1"/>
    <row r="665" s="9" customFormat="1" ht="15" customHeight="1"/>
    <row r="666" s="9" customFormat="1" ht="15" customHeight="1"/>
    <row r="667" s="9" customFormat="1" ht="15" customHeight="1"/>
    <row r="668" s="9" customFormat="1" ht="15" customHeight="1"/>
    <row r="669" s="9" customFormat="1" ht="15" customHeight="1"/>
    <row r="670" s="9" customFormat="1" ht="15" customHeight="1"/>
    <row r="671" s="9" customFormat="1" ht="15" customHeight="1"/>
    <row r="672" s="9" customFormat="1" ht="15" customHeight="1"/>
    <row r="673" s="9" customFormat="1" ht="15" customHeight="1"/>
    <row r="674" s="9" customFormat="1" ht="15" customHeight="1"/>
    <row r="675" s="9" customFormat="1" ht="15" customHeight="1"/>
    <row r="676" s="9" customFormat="1" ht="15" customHeight="1"/>
    <row r="677" s="9" customFormat="1" ht="15" customHeight="1"/>
    <row r="678" s="9" customFormat="1" ht="15" customHeight="1"/>
    <row r="679" s="9" customFormat="1" ht="15" customHeight="1"/>
    <row r="680" s="9" customFormat="1" ht="15" customHeight="1"/>
    <row r="681" s="9" customFormat="1" ht="15" customHeight="1"/>
    <row r="682" s="9" customFormat="1" ht="15" customHeight="1"/>
    <row r="683" s="9" customFormat="1" ht="15" customHeight="1"/>
    <row r="684" s="9" customFormat="1" ht="15" customHeight="1"/>
    <row r="685" s="9" customFormat="1" ht="15" customHeight="1"/>
    <row r="686" s="9" customFormat="1" ht="15" customHeight="1"/>
    <row r="687" s="9" customFormat="1" ht="15" customHeight="1"/>
    <row r="688" s="9" customFormat="1" ht="15" customHeight="1"/>
    <row r="689" s="9" customFormat="1" ht="15" customHeight="1"/>
    <row r="690" s="9" customFormat="1" ht="15" customHeight="1"/>
    <row r="691" s="9" customFormat="1" ht="15" customHeight="1"/>
    <row r="692" s="9" customFormat="1" ht="15" customHeight="1"/>
    <row r="693" s="9" customFormat="1" ht="15" customHeight="1"/>
    <row r="694" s="9" customFormat="1" ht="15" customHeight="1"/>
    <row r="695" s="9" customFormat="1" ht="15" customHeight="1"/>
    <row r="696" s="9" customFormat="1" ht="15" customHeight="1"/>
    <row r="697" s="9" customFormat="1" ht="15" customHeight="1"/>
    <row r="698" s="9" customFormat="1" ht="15" customHeight="1"/>
    <row r="699" s="9" customFormat="1" ht="15" customHeight="1"/>
    <row r="700" s="9" customFormat="1" ht="15" customHeight="1"/>
    <row r="701" s="9" customFormat="1" ht="15" customHeight="1"/>
    <row r="702" s="9" customFormat="1" ht="15" customHeight="1"/>
    <row r="703" s="9" customFormat="1" ht="15" customHeight="1"/>
    <row r="704" s="9" customFormat="1" ht="15" customHeight="1"/>
    <row r="705" s="9" customFormat="1" ht="15" customHeight="1"/>
    <row r="706" s="9" customFormat="1" ht="15" customHeight="1"/>
    <row r="707" s="9" customFormat="1" ht="15" customHeight="1"/>
    <row r="708" s="9" customFormat="1" ht="15" customHeight="1"/>
    <row r="709" s="9" customFormat="1" ht="15" customHeight="1"/>
    <row r="710" s="9" customFormat="1" ht="15" customHeight="1"/>
    <row r="711" s="9" customFormat="1" ht="15" customHeight="1"/>
    <row r="712" s="9" customFormat="1" ht="15" customHeight="1"/>
    <row r="713" s="9" customFormat="1" ht="15" customHeight="1"/>
    <row r="714" s="9" customFormat="1" ht="15" customHeight="1"/>
    <row r="715" s="9" customFormat="1" ht="15" customHeight="1"/>
    <row r="716" s="9" customFormat="1" ht="15" customHeight="1"/>
    <row r="717" s="9" customFormat="1" ht="15" customHeight="1"/>
    <row r="718" s="9" customFormat="1" ht="15" customHeight="1"/>
    <row r="719" s="9" customFormat="1" ht="15" customHeight="1"/>
    <row r="720" s="9" customFormat="1" ht="15" customHeight="1"/>
    <row r="721" s="9" customFormat="1" ht="15" customHeight="1"/>
    <row r="722" s="9" customFormat="1" ht="15" customHeight="1"/>
    <row r="723" s="9" customFormat="1" ht="15" customHeight="1"/>
    <row r="724" s="9" customFormat="1" ht="15" customHeight="1"/>
    <row r="725" s="9" customFormat="1" ht="15" customHeight="1"/>
    <row r="726" s="9" customFormat="1" ht="15" customHeight="1"/>
    <row r="727" s="9" customFormat="1" ht="15" customHeight="1"/>
    <row r="728" s="9" customFormat="1" ht="15" customHeight="1"/>
    <row r="729" s="9" customFormat="1" ht="15" customHeight="1"/>
    <row r="730" s="9" customFormat="1" ht="15" customHeight="1"/>
    <row r="731" s="9" customFormat="1" ht="15" customHeight="1"/>
    <row r="732" s="9" customFormat="1" ht="15" customHeight="1"/>
    <row r="733" s="9" customFormat="1" ht="15" customHeight="1"/>
    <row r="734" s="9" customFormat="1" ht="15" customHeight="1"/>
    <row r="735" s="9" customFormat="1" ht="15" customHeight="1"/>
    <row r="736" s="9" customFormat="1" ht="15" customHeight="1"/>
    <row r="737" s="9" customFormat="1" ht="15" customHeight="1"/>
    <row r="738" s="9" customFormat="1" ht="15" customHeight="1"/>
    <row r="739" s="9" customFormat="1" ht="15" customHeight="1"/>
    <row r="740" s="9" customFormat="1" ht="15" customHeight="1"/>
    <row r="741" s="9" customFormat="1" ht="15" customHeight="1"/>
    <row r="742" s="9" customFormat="1" ht="15" customHeight="1"/>
    <row r="743" s="9" customFormat="1" ht="15" customHeight="1"/>
    <row r="744" s="9" customFormat="1" ht="15" customHeight="1"/>
    <row r="745" s="9" customFormat="1" ht="15" customHeight="1"/>
    <row r="746" s="9" customFormat="1" ht="15" customHeight="1"/>
    <row r="747" s="9" customFormat="1" ht="15" customHeight="1"/>
    <row r="748" s="9" customFormat="1" ht="15" customHeight="1"/>
    <row r="749" s="9" customFormat="1" ht="15" customHeight="1"/>
    <row r="750" s="9" customFormat="1" ht="15" customHeight="1"/>
    <row r="751" s="9" customFormat="1" ht="15" customHeight="1"/>
    <row r="752" s="9" customFormat="1" ht="15" customHeight="1"/>
    <row r="753" s="9" customFormat="1" ht="15" customHeight="1"/>
    <row r="754" s="9" customFormat="1" ht="15" customHeight="1"/>
    <row r="755" s="9" customFormat="1" ht="15" customHeight="1"/>
    <row r="756" s="9" customFormat="1" ht="15" customHeight="1"/>
    <row r="757" s="9" customFormat="1" ht="15" customHeight="1"/>
    <row r="758" s="9" customFormat="1" ht="15" customHeight="1"/>
    <row r="759" s="9" customFormat="1" ht="15" customHeight="1"/>
    <row r="760" s="9" customFormat="1" ht="15" customHeight="1"/>
    <row r="761" s="9" customFormat="1" ht="15" customHeight="1"/>
    <row r="762" s="9" customFormat="1" ht="15" customHeight="1"/>
    <row r="763" s="9" customFormat="1" ht="15" customHeight="1"/>
    <row r="764" s="9" customFormat="1" ht="15" customHeight="1"/>
    <row r="765" s="9" customFormat="1" ht="15" customHeight="1"/>
    <row r="766" s="9" customFormat="1" ht="15" customHeight="1"/>
    <row r="767" s="9" customFormat="1" ht="15" customHeight="1"/>
    <row r="768" s="9" customFormat="1" ht="15" customHeight="1"/>
    <row r="769" s="9" customFormat="1" ht="15" customHeight="1"/>
    <row r="770" s="9" customFormat="1" ht="15" customHeight="1"/>
    <row r="771" s="9" customFormat="1" ht="15" customHeight="1"/>
    <row r="772" s="9" customFormat="1" ht="15" customHeight="1"/>
    <row r="773" s="9" customFormat="1" ht="15" customHeight="1"/>
    <row r="774" s="9" customFormat="1" ht="15" customHeight="1"/>
    <row r="775" s="9" customFormat="1" ht="15" customHeight="1"/>
    <row r="776" s="9" customFormat="1" ht="15" customHeight="1"/>
    <row r="777" s="9" customFormat="1" ht="15" customHeight="1"/>
    <row r="778" s="9" customFormat="1" ht="15" customHeight="1"/>
    <row r="779" s="9" customFormat="1" ht="15" customHeight="1"/>
    <row r="780" s="9" customFormat="1" ht="15" customHeight="1"/>
    <row r="781" s="9" customFormat="1" ht="15" customHeight="1"/>
    <row r="782" s="9" customFormat="1" ht="15" customHeight="1"/>
    <row r="783" s="9" customFormat="1" ht="15" customHeight="1"/>
    <row r="784" s="9" customFormat="1" ht="15" customHeight="1"/>
    <row r="785" s="9" customFormat="1" ht="15" customHeight="1"/>
    <row r="786" s="9" customFormat="1" ht="15" customHeight="1"/>
    <row r="787" s="9" customFormat="1" ht="15" customHeight="1"/>
    <row r="788" s="9" customFormat="1" ht="15" customHeight="1"/>
    <row r="789" s="9" customFormat="1" ht="15" customHeight="1"/>
    <row r="790" s="9" customFormat="1" ht="15" customHeight="1"/>
    <row r="791" s="9" customFormat="1" ht="15" customHeight="1"/>
    <row r="792" s="9" customFormat="1" ht="15" customHeight="1"/>
    <row r="793" s="9" customFormat="1" ht="15" customHeight="1"/>
    <row r="794" s="9" customFormat="1" ht="15" customHeight="1"/>
    <row r="795" s="9" customFormat="1" ht="15" customHeight="1"/>
    <row r="796" s="9" customFormat="1" ht="15" customHeight="1"/>
    <row r="797" s="9" customFormat="1" ht="15" customHeight="1"/>
    <row r="798" s="9" customFormat="1" ht="15" customHeight="1"/>
    <row r="799" s="9" customFormat="1" ht="15" customHeight="1"/>
    <row r="800" s="9" customFormat="1" ht="15" customHeight="1"/>
    <row r="801" s="9" customFormat="1" ht="15" customHeight="1"/>
    <row r="802" s="9" customFormat="1" ht="15" customHeight="1"/>
    <row r="803" s="9" customFormat="1" ht="15" customHeight="1"/>
    <row r="804" s="9" customFormat="1" ht="15" customHeight="1"/>
    <row r="805" s="9" customFormat="1" ht="15" customHeight="1"/>
    <row r="806" s="9" customFormat="1" ht="15" customHeight="1"/>
    <row r="807" s="9" customFormat="1" ht="15" customHeight="1"/>
    <row r="808" s="9" customFormat="1" ht="15" customHeight="1"/>
    <row r="809" s="9" customFormat="1" ht="15" customHeight="1"/>
    <row r="810" s="9" customFormat="1" ht="15" customHeight="1"/>
    <row r="811" s="9" customFormat="1" ht="15" customHeight="1"/>
    <row r="812" s="9" customFormat="1" ht="15" customHeight="1"/>
    <row r="813" s="9" customFormat="1" ht="15" customHeight="1"/>
    <row r="814" s="9" customFormat="1" ht="15" customHeight="1"/>
    <row r="815" s="9" customFormat="1" ht="15" customHeight="1"/>
    <row r="816" s="9" customFormat="1" ht="15" customHeight="1"/>
    <row r="817" s="9" customFormat="1" ht="15" customHeight="1"/>
    <row r="818" s="9" customFormat="1" ht="15" customHeight="1"/>
    <row r="819" s="9" customFormat="1" ht="15" customHeight="1"/>
    <row r="820" s="9" customFormat="1" ht="15" customHeight="1"/>
    <row r="821" s="9" customFormat="1" ht="15" customHeight="1"/>
    <row r="822" s="9" customFormat="1" ht="15" customHeight="1"/>
    <row r="823" s="9" customFormat="1" ht="15" customHeight="1"/>
    <row r="824" s="9" customFormat="1" ht="15" customHeight="1"/>
    <row r="825" s="9" customFormat="1" ht="15" customHeight="1"/>
    <row r="826" s="9" customFormat="1" ht="15" customHeight="1"/>
    <row r="827" s="9" customFormat="1" ht="15" customHeight="1"/>
    <row r="828" s="9" customFormat="1" ht="15" customHeight="1"/>
    <row r="829" s="9" customFormat="1" ht="15" customHeight="1"/>
    <row r="830" s="9" customFormat="1" ht="15" customHeight="1"/>
    <row r="831" s="9" customFormat="1" ht="15" customHeight="1"/>
    <row r="832" s="9" customFormat="1" ht="15" customHeight="1"/>
    <row r="833" s="9" customFormat="1" ht="15" customHeight="1"/>
    <row r="834" s="9" customFormat="1" ht="15" customHeight="1"/>
    <row r="835" s="9" customFormat="1" ht="15" customHeight="1"/>
    <row r="836" s="9" customFormat="1" ht="15" customHeight="1"/>
    <row r="837" s="9" customFormat="1" ht="15" customHeight="1"/>
    <row r="838" s="9" customFormat="1" ht="15" customHeight="1"/>
    <row r="839" s="9" customFormat="1" ht="15" customHeight="1"/>
    <row r="840" s="9" customFormat="1" ht="15" customHeight="1"/>
    <row r="841" s="9" customFormat="1" ht="15" customHeight="1"/>
    <row r="842" s="9" customFormat="1" ht="15" customHeight="1"/>
    <row r="843" s="9" customFormat="1" ht="15" customHeight="1"/>
    <row r="844" s="9" customFormat="1" ht="15" customHeight="1"/>
    <row r="845" s="9" customFormat="1" ht="15" customHeight="1"/>
    <row r="846" s="9" customFormat="1" ht="15" customHeight="1"/>
    <row r="847" s="9" customFormat="1" ht="15" customHeight="1"/>
    <row r="848" s="9" customFormat="1" ht="15" customHeight="1"/>
    <row r="849" s="9" customFormat="1" ht="15" customHeight="1"/>
    <row r="850" s="9" customFormat="1" ht="15" customHeight="1"/>
    <row r="851" s="9" customFormat="1" ht="15" customHeight="1"/>
    <row r="852" s="9" customFormat="1" ht="15" customHeight="1"/>
    <row r="853" s="9" customFormat="1" ht="15" customHeight="1"/>
    <row r="854" s="9" customFormat="1" ht="15" customHeight="1"/>
    <row r="855" s="9" customFormat="1" ht="15" customHeight="1"/>
    <row r="856" s="9" customFormat="1" ht="15" customHeight="1"/>
    <row r="857" s="9" customFormat="1" ht="15" customHeight="1"/>
    <row r="858" s="9" customFormat="1" ht="15" customHeight="1"/>
    <row r="859" s="9" customFormat="1" ht="15" customHeight="1"/>
    <row r="860" s="9" customFormat="1" ht="15" customHeight="1"/>
    <row r="861" s="9" customFormat="1" ht="15" customHeight="1"/>
    <row r="862" s="9" customFormat="1" ht="15" customHeight="1"/>
    <row r="863" s="9" customFormat="1" ht="15" customHeight="1"/>
    <row r="864" s="9" customFormat="1" ht="15" customHeight="1"/>
    <row r="865" s="9" customFormat="1" ht="15" customHeight="1"/>
    <row r="866" s="9" customFormat="1" ht="15" customHeight="1"/>
    <row r="867" s="9" customFormat="1" ht="15" customHeight="1"/>
    <row r="868" s="9" customFormat="1" ht="15" customHeight="1"/>
    <row r="869" s="9" customFormat="1" ht="15" customHeight="1"/>
    <row r="870" s="9" customFormat="1" ht="15" customHeight="1"/>
    <row r="871" s="9" customFormat="1" ht="15" customHeight="1"/>
    <row r="872" s="9" customFormat="1" ht="15" customHeight="1"/>
    <row r="873" s="9" customFormat="1" ht="15" customHeight="1"/>
    <row r="874" s="9" customFormat="1" ht="15" customHeight="1"/>
    <row r="875" s="9" customFormat="1" ht="15" customHeight="1"/>
    <row r="876" s="9" customFormat="1" ht="15" customHeight="1"/>
    <row r="877" s="9" customFormat="1" ht="15" customHeight="1"/>
    <row r="878" s="9" customFormat="1" ht="15" customHeight="1"/>
    <row r="879" s="9" customFormat="1" ht="15" customHeight="1"/>
    <row r="880" s="9" customFormat="1" ht="15" customHeight="1"/>
    <row r="881" s="9" customFormat="1" ht="15" customHeight="1"/>
    <row r="882" s="9" customFormat="1" ht="15" customHeight="1"/>
    <row r="883" s="9" customFormat="1" ht="15" customHeight="1"/>
    <row r="884" s="9" customFormat="1" ht="15" customHeight="1"/>
    <row r="885" s="9" customFormat="1" ht="15" customHeight="1"/>
    <row r="886" s="9" customFormat="1" ht="15" customHeight="1"/>
    <row r="887" s="9" customFormat="1" ht="15" customHeight="1"/>
    <row r="888" s="9" customFormat="1" ht="15" customHeight="1"/>
    <row r="889" s="9" customFormat="1" ht="15" customHeight="1"/>
    <row r="890" s="9" customFormat="1" ht="15" customHeight="1"/>
    <row r="891" s="9" customFormat="1" ht="15" customHeight="1"/>
    <row r="892" s="9" customFormat="1" ht="15" customHeight="1"/>
    <row r="893" s="9" customFormat="1" ht="15" customHeight="1"/>
    <row r="894" s="9" customFormat="1" ht="15" customHeight="1"/>
    <row r="895" s="9" customFormat="1" ht="15" customHeight="1"/>
    <row r="896" s="9" customFormat="1" ht="15" customHeight="1"/>
    <row r="897" s="9" customFormat="1" ht="15" customHeight="1"/>
    <row r="898" s="9" customFormat="1" ht="15" customHeight="1"/>
    <row r="899" s="9" customFormat="1" ht="15" customHeight="1"/>
    <row r="900" s="9" customFormat="1" ht="15" customHeight="1"/>
    <row r="901" s="9" customFormat="1" ht="15" customHeight="1"/>
    <row r="902" s="9" customFormat="1" ht="15" customHeight="1"/>
    <row r="903" s="9" customFormat="1" ht="15" customHeight="1"/>
    <row r="904" s="9" customFormat="1" ht="15" customHeight="1"/>
    <row r="905" s="9" customFormat="1" ht="15" customHeight="1"/>
    <row r="906" s="9" customFormat="1" ht="15" customHeight="1"/>
    <row r="907" s="9" customFormat="1" ht="15" customHeight="1"/>
    <row r="908" s="9" customFormat="1" ht="15" customHeight="1"/>
    <row r="909" s="9" customFormat="1" ht="15" customHeight="1"/>
    <row r="910" s="9" customFormat="1" ht="15" customHeight="1"/>
    <row r="911" s="9" customFormat="1" ht="15" customHeight="1"/>
    <row r="912" s="9" customFormat="1" ht="15" customHeight="1"/>
    <row r="913" s="9" customFormat="1" ht="15" customHeight="1"/>
    <row r="914" s="9" customFormat="1" ht="15" customHeight="1"/>
    <row r="915" s="9" customFormat="1" ht="15" customHeight="1"/>
    <row r="916" s="9" customFormat="1" ht="15" customHeight="1"/>
    <row r="917" s="9" customFormat="1" ht="15" customHeight="1"/>
  </sheetData>
  <sheetProtection algorithmName="SHA-512" hashValue="FaZ5LkwpOCxBe+vuDHJPeOeMZw3LkUFvcXm+JeOTILtkr818Yc7oWLAAO2dU2Doedsxqao8/wCfSml/woGhraQ==" saltValue="K9Jf000knmWrPKu96HG0qQ==" spinCount="100000" sheet="1" objects="1" scenarios="1"/>
  <hyperlinks>
    <hyperlink ref="A1" location="'Start-Experte'!A1" display="zurück" xr:uid="{00000000-0004-0000-28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BFD936BA-07F5-4D0C-84CC-CE4DCF88FCEF}">
            <xm:f>ControlPanel!$D$59-1</xm:f>
            <x14:dxf>
              <font>
                <color rgb="FF9C6500"/>
              </font>
              <fill>
                <patternFill>
                  <bgColor rgb="FFFFEB9C"/>
                </patternFill>
              </fill>
            </x14:dxf>
          </x14:cfRule>
          <x14:cfRule type="cellIs" priority="2" operator="lessThan" id="{1BE11864-C84E-429B-A1E6-CFD7829F461C}">
            <xm:f>ControlPanel!$D$59</xm:f>
            <x14:dxf>
              <font>
                <color rgb="FF006100"/>
              </font>
              <fill>
                <patternFill>
                  <bgColor rgb="FFC6EFCE"/>
                </patternFill>
              </fill>
            </x14:dxf>
          </x14:cfRule>
          <x14:cfRule type="cellIs" priority="3" operator="lessThan" id="{5F090887-2A7E-4A9E-93AF-69E2F777AE56}">
            <xm:f>ControlPanel!$D$59+1</xm:f>
            <x14:dxf>
              <font>
                <color rgb="FF006100"/>
              </font>
              <fill>
                <patternFill>
                  <fgColor indexed="64"/>
                  <bgColor rgb="FFC6EFCE"/>
                </patternFill>
              </fill>
            </x14:dxf>
          </x14:cfRule>
          <xm:sqref>G4:AF4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65">
    <tabColor theme="9" tint="-0.499984740745262"/>
  </sheetPr>
  <dimension ref="A1:AF917"/>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0" width="8.7109375" style="9" customWidth="1" outlineLevel="1"/>
    <col min="11" max="11" width="11.42578125" style="9" customWidth="1" outlineLevel="1"/>
    <col min="12" max="15" width="9.7109375" style="9" bestFit="1" customWidth="1"/>
    <col min="16" max="32" width="9.7109375" style="9" bestFit="1" customWidth="1" outlineLevel="1"/>
    <col min="33" max="16384" width="11.5703125" style="9"/>
  </cols>
  <sheetData>
    <row r="1" spans="1:32">
      <c r="A1" s="41" t="s">
        <v>183</v>
      </c>
      <c r="B1" s="62" t="s">
        <v>383</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c r="AF5" s="330" t="s">
        <v>137</v>
      </c>
    </row>
    <row r="6" spans="1:32" ht="59.25" customHeight="1" thickBot="1">
      <c r="B6" s="172" t="s">
        <v>25</v>
      </c>
      <c r="C6" s="181" t="s">
        <v>77</v>
      </c>
      <c r="D6" s="15" t="s">
        <v>65</v>
      </c>
      <c r="E6" s="15" t="s">
        <v>659</v>
      </c>
      <c r="F6" s="602" t="s">
        <v>660</v>
      </c>
      <c r="G6" s="14"/>
      <c r="H6" s="14"/>
      <c r="I6" s="14"/>
      <c r="J6" s="14"/>
      <c r="K6" s="246">
        <v>6.3400577197004209</v>
      </c>
      <c r="L6" s="38">
        <v>6.3653839009576823</v>
      </c>
      <c r="M6" s="38">
        <v>6.3653839009576823</v>
      </c>
      <c r="N6" s="38">
        <v>6.3653839009576823</v>
      </c>
      <c r="O6" s="38">
        <v>6.3653839009576823</v>
      </c>
      <c r="P6" s="38">
        <v>6.3653839009576823</v>
      </c>
      <c r="Q6" s="38">
        <v>6.3653839009576823</v>
      </c>
      <c r="R6" s="38">
        <v>6.3653839009576823</v>
      </c>
      <c r="S6" s="38">
        <v>6.3653839009576823</v>
      </c>
      <c r="T6" s="38">
        <v>6.3653839009576823</v>
      </c>
      <c r="U6" s="38">
        <v>6.3653839009576823</v>
      </c>
      <c r="V6" s="38">
        <v>6.3653839009576823</v>
      </c>
      <c r="W6" s="38">
        <v>6.3653839009576823</v>
      </c>
      <c r="X6" s="38">
        <v>6.3653839009576823</v>
      </c>
      <c r="Y6" s="38">
        <v>6.3653839009576823</v>
      </c>
      <c r="Z6" s="38">
        <v>6.3653839009576823</v>
      </c>
      <c r="AA6" s="38">
        <v>5.8264018677620077</v>
      </c>
      <c r="AB6" s="38">
        <v>5.3606672290276043</v>
      </c>
      <c r="AC6" s="38">
        <v>5.0397223665748268</v>
      </c>
      <c r="AD6" s="38">
        <v>4.8537221589924613</v>
      </c>
      <c r="AE6" s="38">
        <v>4.2530569317466336</v>
      </c>
      <c r="AF6" s="38">
        <v>4.2024045692321126</v>
      </c>
    </row>
    <row r="7" spans="1:32" ht="59.25" customHeight="1" thickBot="1">
      <c r="B7" s="171" t="s">
        <v>27</v>
      </c>
      <c r="C7" s="181" t="s">
        <v>77</v>
      </c>
      <c r="D7" s="15" t="s">
        <v>65</v>
      </c>
      <c r="E7" s="15" t="s">
        <v>659</v>
      </c>
      <c r="F7" s="602" t="s">
        <v>660</v>
      </c>
      <c r="G7" s="14"/>
      <c r="H7" s="14"/>
      <c r="I7" s="14"/>
      <c r="J7" s="14"/>
      <c r="K7" s="246">
        <v>1.4340048917520307</v>
      </c>
      <c r="L7" s="38">
        <v>1.4380650412409677</v>
      </c>
      <c r="M7" s="38">
        <v>1.4380650412409677</v>
      </c>
      <c r="N7" s="38">
        <v>1.4380650412409677</v>
      </c>
      <c r="O7" s="38">
        <v>1.4380650412409677</v>
      </c>
      <c r="P7" s="38">
        <v>1.4380650412409677</v>
      </c>
      <c r="Q7" s="38">
        <v>1.4380650412409677</v>
      </c>
      <c r="R7" s="38">
        <v>1.1116422809573945</v>
      </c>
      <c r="S7" s="38">
        <v>1.0106083811612576</v>
      </c>
      <c r="T7" s="38">
        <v>0.74197769522039103</v>
      </c>
      <c r="U7" s="38">
        <v>0.43927686747089773</v>
      </c>
      <c r="V7" s="38">
        <v>0.15582886179697539</v>
      </c>
      <c r="W7" s="38">
        <v>0.12537230832477717</v>
      </c>
      <c r="X7" s="38">
        <v>0.10047524852672238</v>
      </c>
      <c r="Y7" s="38">
        <v>9.6752700738409095E-2</v>
      </c>
      <c r="Z7" s="38">
        <v>9.3619703214801536E-2</v>
      </c>
      <c r="AA7" s="38">
        <v>5.5079993384563354E-2</v>
      </c>
      <c r="AB7" s="38">
        <v>4.8352437199624974E-2</v>
      </c>
      <c r="AC7" s="38">
        <v>1.5104555416539968E-2</v>
      </c>
      <c r="AD7" s="38">
        <v>1.2367230452041226E-2</v>
      </c>
      <c r="AE7" s="38">
        <v>8.1202989778740627E-3</v>
      </c>
      <c r="AF7" s="38">
        <v>0</v>
      </c>
    </row>
    <row r="8" spans="1:32" ht="59.25" customHeight="1" thickBot="1">
      <c r="B8" s="171" t="s">
        <v>13</v>
      </c>
      <c r="C8" s="181" t="s">
        <v>77</v>
      </c>
      <c r="D8" s="15" t="s">
        <v>65</v>
      </c>
      <c r="E8" s="15" t="s">
        <v>659</v>
      </c>
      <c r="F8" s="602" t="s">
        <v>660</v>
      </c>
      <c r="G8" s="38"/>
      <c r="H8" s="38"/>
      <c r="I8" s="38"/>
      <c r="J8" s="38"/>
      <c r="K8" s="246">
        <f>'D-Bestand Kapazität'!K8*'D-Bestand Strommenge'!$K18/10^3</f>
        <v>38.108395000000002</v>
      </c>
      <c r="L8" s="246">
        <f>'D-Bestand Kapazität'!L8*'D-Bestand Strommenge'!$K18/10^3</f>
        <v>38.108395000000002</v>
      </c>
      <c r="M8" s="246">
        <f>'D-Bestand Kapazität'!M8*'D-Bestand Strommenge'!$K18/10^3</f>
        <v>38.108395000000002</v>
      </c>
      <c r="N8" s="246">
        <f>'D-Bestand Kapazität'!N8*'D-Bestand Strommenge'!$K18/10^3</f>
        <v>38.108395000000002</v>
      </c>
      <c r="O8" s="246">
        <f>'D-Bestand Kapazität'!O8*'D-Bestand Strommenge'!$K18/10^3</f>
        <v>38.108395000000002</v>
      </c>
      <c r="P8" s="246">
        <f>'D-Bestand Kapazität'!P8*'D-Bestand Strommenge'!$K18/10^3</f>
        <v>38.108395000000002</v>
      </c>
      <c r="Q8" s="246">
        <f>'D-Bestand Kapazität'!Q8*'D-Bestand Strommenge'!$K18/10^3</f>
        <v>38.108395000000002</v>
      </c>
      <c r="R8" s="246">
        <f>'D-Bestand Kapazität'!R8*'D-Bestand Strommenge'!$K18/10^3</f>
        <v>37.122975634150002</v>
      </c>
      <c r="S8" s="246">
        <f>'D-Bestand Kapazität'!S8*'D-Bestand Strommenge'!$K18/10^3</f>
        <v>36.067925185149996</v>
      </c>
      <c r="T8" s="246">
        <f>'D-Bestand Kapazität'!T8*'D-Bestand Strommenge'!$K18/10^3</f>
        <v>35.281828643349996</v>
      </c>
      <c r="U8" s="246">
        <f>'D-Bestand Kapazität'!U8*'D-Bestand Strommenge'!$K18/10^3</f>
        <v>33.981702091599999</v>
      </c>
      <c r="V8" s="246">
        <f>'D-Bestand Kapazität'!V8*'D-Bestand Strommenge'!$K18/10^3</f>
        <v>30.77280041265</v>
      </c>
      <c r="W8" s="246">
        <f>'D-Bestand Kapazität'!W8*'D-Bestand Strommenge'!$K18/10^3</f>
        <v>26.873186120149999</v>
      </c>
      <c r="X8" s="246">
        <f>'D-Bestand Kapazität'!X8*'D-Bestand Strommenge'!$K18/10^3</f>
        <v>22.120134741999994</v>
      </c>
      <c r="Y8" s="246">
        <f>'D-Bestand Kapazität'!Y8*'D-Bestand Strommenge'!$K18/10^3</f>
        <v>18.530174839999997</v>
      </c>
      <c r="Z8" s="246">
        <f>'D-Bestand Kapazität'!Z8*'D-Bestand Strommenge'!$K18/10^3</f>
        <v>16.527640617999996</v>
      </c>
      <c r="AA8" s="246">
        <f>'D-Bestand Kapazität'!AA8*'D-Bestand Strommenge'!$K18/10^3</f>
        <v>13.976199778</v>
      </c>
      <c r="AB8" s="246">
        <f>'D-Bestand Kapazität'!AB8*'D-Bestand Strommenge'!$K18/10^3</f>
        <v>10.405301360000001</v>
      </c>
      <c r="AC8" s="246">
        <f>'D-Bestand Kapazität'!AC8*'D-Bestand Strommenge'!$K18/10^3</f>
        <v>4.4854457537000005</v>
      </c>
      <c r="AD8" s="246">
        <f>'D-Bestand Kapazität'!AD8*'D-Bestand Strommenge'!$K18/10^3</f>
        <v>2.6141341102000002</v>
      </c>
      <c r="AE8" s="246">
        <f>'D-Bestand Kapazität'!AE8*'D-Bestand Strommenge'!$K18/10^3</f>
        <v>1.1772704446499997</v>
      </c>
      <c r="AF8" s="246">
        <f>'D-Bestand Kapazität'!AF8*'D-Bestand Strommenge'!$K18/10^3</f>
        <v>0</v>
      </c>
    </row>
    <row r="9" spans="1:32" ht="59.25" customHeight="1" thickBot="1">
      <c r="B9" s="171" t="s">
        <v>12</v>
      </c>
      <c r="C9" s="181" t="s">
        <v>77</v>
      </c>
      <c r="D9" s="15" t="s">
        <v>65</v>
      </c>
      <c r="E9" s="15" t="s">
        <v>659</v>
      </c>
      <c r="F9" s="602" t="s">
        <v>660</v>
      </c>
      <c r="G9" s="14"/>
      <c r="H9" s="14"/>
      <c r="I9" s="14"/>
      <c r="J9" s="14"/>
      <c r="K9" s="246">
        <v>0.14134193593954347</v>
      </c>
      <c r="L9" s="38">
        <v>0.14968884020373421</v>
      </c>
      <c r="M9" s="38">
        <v>0.14968884020373421</v>
      </c>
      <c r="N9" s="38">
        <v>0.14968884020373421</v>
      </c>
      <c r="O9" s="38">
        <v>0.14968884020373421</v>
      </c>
      <c r="P9" s="38">
        <v>0.14968884020373421</v>
      </c>
      <c r="Q9" s="38">
        <v>0.14968884020373421</v>
      </c>
      <c r="R9" s="38">
        <v>0.14968884020373421</v>
      </c>
      <c r="S9" s="38">
        <v>0.14968884020373421</v>
      </c>
      <c r="T9" s="38">
        <v>0.14968884020373421</v>
      </c>
      <c r="U9" s="38">
        <v>0.14968884020373421</v>
      </c>
      <c r="V9" s="38">
        <v>0.14968884020373421</v>
      </c>
      <c r="W9" s="38">
        <v>0.14968884020373421</v>
      </c>
      <c r="X9" s="38">
        <v>0.14968884020373421</v>
      </c>
      <c r="Y9" s="38">
        <v>0.14968884020373421</v>
      </c>
      <c r="Z9" s="38">
        <v>0.14968884020373421</v>
      </c>
      <c r="AA9" s="38">
        <v>0.14027279747116281</v>
      </c>
      <c r="AB9" s="38">
        <v>0.14027279747116281</v>
      </c>
      <c r="AC9" s="38">
        <v>0.14027279747116281</v>
      </c>
      <c r="AD9" s="38">
        <v>8.0174710482014119E-2</v>
      </c>
      <c r="AE9" s="38">
        <v>1.6693808528381489E-2</v>
      </c>
      <c r="AF9" s="38">
        <v>0</v>
      </c>
    </row>
    <row r="10" spans="1:32" ht="59.25" customHeight="1" thickBot="1">
      <c r="B10" s="171" t="s">
        <v>24</v>
      </c>
      <c r="C10" s="181" t="s">
        <v>77</v>
      </c>
      <c r="D10" s="15" t="s">
        <v>256</v>
      </c>
      <c r="E10" s="15" t="s">
        <v>659</v>
      </c>
      <c r="F10" s="602" t="s">
        <v>907</v>
      </c>
      <c r="G10" s="14">
        <v>0</v>
      </c>
      <c r="H10" s="14">
        <v>0</v>
      </c>
      <c r="I10" s="14">
        <v>0</v>
      </c>
      <c r="J10" s="14">
        <v>0</v>
      </c>
      <c r="K10" s="246">
        <f>'D-Bestand Kapazität'!K10*'D-Bestand Strommenge'!$K20/10^3</f>
        <v>61.583939999999998</v>
      </c>
      <c r="L10" s="246">
        <f>'D-Bestand Kapazität'!L10*'D-Bestand Strommenge'!$K20/10^3</f>
        <v>61.401528238759994</v>
      </c>
      <c r="M10" s="246">
        <f>'D-Bestand Kapazität'!M10*'D-Bestand Strommenge'!$K20/10^3</f>
        <v>60.838400238759995</v>
      </c>
      <c r="N10" s="246">
        <f>'D-Bestand Kapazität'!N10*'D-Bestand Strommenge'!$K20/10^3</f>
        <v>60.183600238759993</v>
      </c>
      <c r="O10" s="246">
        <f>'D-Bestand Kapazität'!O10*'D-Bestand Strommenge'!$K20/10^3</f>
        <v>59.365100238759993</v>
      </c>
      <c r="P10" s="246">
        <f>'D-Bestand Kapazität'!P10*'D-Bestand Strommenge'!$K20/10^3</f>
        <v>58.382900238759994</v>
      </c>
      <c r="Q10" s="246">
        <f>'D-Bestand Kapazität'!Q10*'D-Bestand Strommenge'!$K20/10^3</f>
        <v>57.237000238760004</v>
      </c>
      <c r="R10" s="246">
        <f>'D-Bestand Kapazität'!R10*'D-Bestand Strommenge'!$K20/10^3</f>
        <v>54.280916917689993</v>
      </c>
      <c r="S10" s="246">
        <f>'D-Bestand Kapazität'!S10*'D-Bestand Strommenge'!$K20/10^3</f>
        <v>50.035072907089997</v>
      </c>
      <c r="T10" s="246">
        <f>'D-Bestand Kapazität'!T10*'D-Bestand Strommenge'!$K20/10^3</f>
        <v>45.04189044876</v>
      </c>
      <c r="U10" s="246">
        <f>'D-Bestand Kapazität'!U10*'D-Bestand Strommenge'!$K20/10^3</f>
        <v>40.592740532759997</v>
      </c>
      <c r="V10" s="246">
        <f>'D-Bestand Kapazität'!V10*'D-Bestand Strommenge'!$K20/10^3</f>
        <v>37.230717405759997</v>
      </c>
      <c r="W10" s="246">
        <f>'D-Bestand Kapazität'!W10*'D-Bestand Strommenge'!$K20/10^3</f>
        <v>34.261128196259996</v>
      </c>
      <c r="X10" s="246">
        <f>'D-Bestand Kapazität'!X10*'D-Bestand Strommenge'!$K20/10^3</f>
        <v>30.610883390260007</v>
      </c>
      <c r="Y10" s="246">
        <f>'D-Bestand Kapazität'!Y10*'D-Bestand Strommenge'!$K20/10^3</f>
        <v>27.850498360859998</v>
      </c>
      <c r="Z10" s="246">
        <f>'D-Bestand Kapazität'!Z10*'D-Bestand Strommenge'!$K20/10^3</f>
        <v>26.586956992859999</v>
      </c>
      <c r="AA10" s="246">
        <f>'D-Bestand Kapazität'!AA10*'D-Bestand Strommenge'!$K20/10^3</f>
        <v>22.168137543819999</v>
      </c>
      <c r="AB10" s="246">
        <f>'D-Bestand Kapazität'!AB10*'D-Bestand Strommenge'!$K20/10^3</f>
        <v>19.832695696769999</v>
      </c>
      <c r="AC10" s="246">
        <f>'D-Bestand Kapazität'!AC10*'D-Bestand Strommenge'!$K20/10^3</f>
        <v>16.760894237149998</v>
      </c>
      <c r="AD10" s="246">
        <f>'D-Bestand Kapazität'!AD10*'D-Bestand Strommenge'!$K20/10^3</f>
        <v>12.797513381539998</v>
      </c>
      <c r="AE10" s="246">
        <f>'D-Bestand Kapazität'!AE10*'D-Bestand Strommenge'!$K20/10^3</f>
        <v>7.8334225413099983</v>
      </c>
      <c r="AF10" s="246">
        <f>'D-Bestand Kapazität'!AF10*'D-Bestand Strommenge'!$K20/10^3</f>
        <v>0</v>
      </c>
    </row>
    <row r="11" spans="1:32" ht="59.25" customHeight="1" thickBot="1">
      <c r="B11" s="171" t="s">
        <v>26</v>
      </c>
      <c r="C11" s="181" t="s">
        <v>77</v>
      </c>
      <c r="D11" s="15" t="s">
        <v>256</v>
      </c>
      <c r="E11" s="15" t="s">
        <v>659</v>
      </c>
      <c r="F11" s="602" t="s">
        <v>907</v>
      </c>
      <c r="G11" s="14"/>
      <c r="H11" s="14"/>
      <c r="I11" s="14"/>
      <c r="J11" s="14"/>
      <c r="K11" s="246">
        <f>'D-Bestand Kapazität'!K11*'D-Bestand Strommenge'!$K21/10^3</f>
        <v>3.4412280000000002</v>
      </c>
      <c r="L11" s="246">
        <f>'D-Bestand Kapazität'!L11*'D-Bestand Strommenge'!$K21/10^3</f>
        <v>3.4412280000000002</v>
      </c>
      <c r="M11" s="246">
        <f>'D-Bestand Kapazität'!M11*'D-Bestand Strommenge'!$K21/10^3</f>
        <v>3.4412280000000002</v>
      </c>
      <c r="N11" s="246">
        <f>'D-Bestand Kapazität'!N11*'D-Bestand Strommenge'!$K21/10^3</f>
        <v>3.4412280000000002</v>
      </c>
      <c r="O11" s="246">
        <f>'D-Bestand Kapazität'!O11*'D-Bestand Strommenge'!$K21/10^3</f>
        <v>3.4412280000000002</v>
      </c>
      <c r="P11" s="246">
        <f>'D-Bestand Kapazität'!P11*'D-Bestand Strommenge'!$K21/10^3</f>
        <v>3.4412280000000002</v>
      </c>
      <c r="Q11" s="246">
        <f>'D-Bestand Kapazität'!Q11*'D-Bestand Strommenge'!$K21/10^3</f>
        <v>3.4412280000000002</v>
      </c>
      <c r="R11" s="246">
        <f>'D-Bestand Kapazität'!R11*'D-Bestand Strommenge'!$K21/10^3</f>
        <v>3.4412280000000002</v>
      </c>
      <c r="S11" s="246">
        <f>'D-Bestand Kapazität'!S11*'D-Bestand Strommenge'!$K21/10^3</f>
        <v>3.4412280000000002</v>
      </c>
      <c r="T11" s="246">
        <f>'D-Bestand Kapazität'!T11*'D-Bestand Strommenge'!$K21/10^3</f>
        <v>3.4412280000000002</v>
      </c>
      <c r="U11" s="246">
        <f>'D-Bestand Kapazität'!U11*'D-Bestand Strommenge'!$K21/10^3</f>
        <v>3.4412280000000002</v>
      </c>
      <c r="V11" s="246">
        <f>'D-Bestand Kapazität'!V11*'D-Bestand Strommenge'!$K21/10^3</f>
        <v>3.4412280000000002</v>
      </c>
      <c r="W11" s="246">
        <f>'D-Bestand Kapazität'!W11*'D-Bestand Strommenge'!$K21/10^3</f>
        <v>3.4412280000000002</v>
      </c>
      <c r="X11" s="246">
        <f>'D-Bestand Kapazität'!X11*'D-Bestand Strommenge'!$K21/10^3</f>
        <v>3.4412280000000002</v>
      </c>
      <c r="Y11" s="246">
        <f>'D-Bestand Kapazität'!Y11*'D-Bestand Strommenge'!$K21/10^3</f>
        <v>3.4412280000000002</v>
      </c>
      <c r="Z11" s="246">
        <f>'D-Bestand Kapazität'!Z11*'D-Bestand Strommenge'!$K21/10^3</f>
        <v>3.4412280000000002</v>
      </c>
      <c r="AA11" s="246">
        <f>'D-Bestand Kapazität'!AA11*'D-Bestand Strommenge'!$K21/10^3</f>
        <v>3.3311363999999997</v>
      </c>
      <c r="AB11" s="246">
        <f>'D-Bestand Kapazität'!AB11*'D-Bestand Strommenge'!$K21/10^3</f>
        <v>3.1753463999999996</v>
      </c>
      <c r="AC11" s="246">
        <f>'D-Bestand Kapazität'!AC11*'D-Bestand Strommenge'!$K21/10^3</f>
        <v>2.8004118</v>
      </c>
      <c r="AD11" s="246">
        <f>'D-Bestand Kapazität'!AD11*'D-Bestand Strommenge'!$K21/10^3</f>
        <v>2.5234517999999997</v>
      </c>
      <c r="AE11" s="246">
        <f>'D-Bestand Kapazität'!AE11*'D-Bestand Strommenge'!$K21/10^3</f>
        <v>1.6925717999999998</v>
      </c>
      <c r="AF11" s="246">
        <f>'D-Bestand Kapazität'!AF11*'D-Bestand Strommenge'!$K21/10^3</f>
        <v>0</v>
      </c>
    </row>
    <row r="12" spans="1:32" ht="59.25" customHeight="1" thickBot="1">
      <c r="B12" s="171" t="s">
        <v>14</v>
      </c>
      <c r="C12" s="181" t="s">
        <v>77</v>
      </c>
      <c r="D12" s="15" t="s">
        <v>256</v>
      </c>
      <c r="E12" s="15" t="s">
        <v>659</v>
      </c>
      <c r="F12" s="602" t="s">
        <v>907</v>
      </c>
      <c r="G12" s="14"/>
      <c r="H12" s="14"/>
      <c r="I12" s="14"/>
      <c r="J12" s="14"/>
      <c r="K12" s="246">
        <f>'D-Bestand Kapazität'!K12*'D-Bestand Strommenge'!$K22/10^3</f>
        <v>36.384</v>
      </c>
      <c r="L12" s="246">
        <f>'D-Bestand Kapazität'!L12*'D-Bestand Strommenge'!$K22/10^3</f>
        <v>36.384</v>
      </c>
      <c r="M12" s="246">
        <f>'D-Bestand Kapazität'!M12*'D-Bestand Strommenge'!$K22/10^3</f>
        <v>36.384</v>
      </c>
      <c r="N12" s="246">
        <f>'D-Bestand Kapazität'!N12*'D-Bestand Strommenge'!$K22/10^3</f>
        <v>36.384</v>
      </c>
      <c r="O12" s="246">
        <f>'D-Bestand Kapazität'!O12*'D-Bestand Strommenge'!$K22/10^3</f>
        <v>36.384</v>
      </c>
      <c r="P12" s="246">
        <f>'D-Bestand Kapazität'!P12*'D-Bestand Strommenge'!$K22/10^3</f>
        <v>36.384</v>
      </c>
      <c r="Q12" s="246">
        <f>'D-Bestand Kapazität'!Q12*'D-Bestand Strommenge'!$K22/10^3</f>
        <v>36.384</v>
      </c>
      <c r="R12" s="246">
        <f>'D-Bestand Kapazität'!R12*'D-Bestand Strommenge'!$K22/10^3</f>
        <v>36.264986405760055</v>
      </c>
      <c r="S12" s="246">
        <f>'D-Bestand Kapazität'!S12*'D-Bestand Strommenge'!$K22/10^3</f>
        <v>36.160693263360059</v>
      </c>
      <c r="T12" s="246">
        <f>'D-Bestand Kapazität'!T12*'D-Bestand Strommenge'!$K22/10^3</f>
        <v>36.054880575360059</v>
      </c>
      <c r="U12" s="246">
        <f>'D-Bestand Kapazität'!U12*'D-Bestand Strommenge'!$K22/10^3</f>
        <v>35.918131887360062</v>
      </c>
      <c r="V12" s="246">
        <f>'D-Bestand Kapazität'!V12*'D-Bestand Strommenge'!$K22/10^3</f>
        <v>35.28834375936006</v>
      </c>
      <c r="W12" s="246">
        <f>'D-Bestand Kapazität'!W12*'D-Bestand Strommenge'!$K22/10^3</f>
        <v>34.400725781760059</v>
      </c>
      <c r="X12" s="246">
        <f>'D-Bestand Kapazität'!X12*'D-Bestand Strommenge'!$K22/10^3</f>
        <v>33.589914629760059</v>
      </c>
      <c r="Y12" s="246">
        <f>'D-Bestand Kapazität'!Y12*'D-Bestand Strommenge'!$K22/10^3</f>
        <v>32.386313548800054</v>
      </c>
      <c r="Z12" s="246">
        <f>'D-Bestand Kapazität'!Z12*'D-Bestand Strommenge'!$K22/10^3</f>
        <v>30.485952163200057</v>
      </c>
      <c r="AA12" s="246">
        <f>'D-Bestand Kapazität'!AA12*'D-Bestand Strommenge'!$K22/10^3</f>
        <v>26.225030716800042</v>
      </c>
      <c r="AB12" s="246">
        <f>'D-Bestand Kapazität'!AB12*'D-Bestand Strommenge'!$K22/10^3</f>
        <v>18.934909430400008</v>
      </c>
      <c r="AC12" s="246">
        <f>'D-Bestand Kapazität'!AC12*'D-Bestand Strommenge'!$K22/10^3</f>
        <v>11.254534972800007</v>
      </c>
      <c r="AD12" s="246">
        <f>'D-Bestand Kapazität'!AD12*'D-Bestand Strommenge'!$K22/10^3</f>
        <v>4.6859328479999851</v>
      </c>
      <c r="AE12" s="246">
        <f>'D-Bestand Kapazität'!AE12*'D-Bestand Strommenge'!$K22/10^3</f>
        <v>1.6757369183999977</v>
      </c>
      <c r="AF12" s="246">
        <f>'D-Bestand Kapazität'!AF12*'D-Bestand Strommenge'!$K22/10^3</f>
        <v>0</v>
      </c>
    </row>
    <row r="13" spans="1:32" ht="15" customHeight="1">
      <c r="B13" s="322"/>
      <c r="C13" s="10"/>
      <c r="D13" s="26"/>
      <c r="E13" s="26"/>
      <c r="F13" s="2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row>
    <row r="14" spans="1:32" ht="15" customHeight="1">
      <c r="D14" s="9"/>
      <c r="E14" s="9"/>
      <c r="F14" s="9"/>
    </row>
    <row r="15" spans="1:32" ht="15" customHeight="1" thickBot="1">
      <c r="B15" s="9" t="s">
        <v>900</v>
      </c>
      <c r="D15" s="9"/>
      <c r="E15" s="9"/>
      <c r="F15" s="9"/>
      <c r="K15" s="1237" t="s">
        <v>901</v>
      </c>
      <c r="L15" s="1237"/>
      <c r="M15" s="1237"/>
      <c r="N15" s="1237"/>
      <c r="O15" s="1237"/>
      <c r="P15" s="1237"/>
      <c r="Q15" s="1237"/>
      <c r="R15" s="1237"/>
      <c r="S15" s="1237"/>
      <c r="T15" s="1237"/>
      <c r="U15" s="1237"/>
      <c r="V15" s="1237"/>
      <c r="W15" s="1237"/>
      <c r="X15" s="1237"/>
      <c r="Y15" s="1237"/>
      <c r="Z15" s="1237"/>
      <c r="AA15" s="1237"/>
      <c r="AB15" s="1237"/>
      <c r="AC15" s="1237"/>
      <c r="AD15" s="1237"/>
      <c r="AE15" s="1237"/>
    </row>
    <row r="16" spans="1:32" ht="15" customHeight="1" thickBot="1">
      <c r="B16" s="172" t="s">
        <v>25</v>
      </c>
      <c r="C16" s="181"/>
      <c r="D16" s="15"/>
      <c r="E16" s="15"/>
      <c r="F16" s="602"/>
      <c r="G16" s="14"/>
      <c r="H16" s="14"/>
      <c r="I16" s="14"/>
      <c r="J16" s="14"/>
      <c r="K16" s="246"/>
    </row>
    <row r="17" spans="2:11" ht="15" customHeight="1" thickBot="1">
      <c r="B17" s="171" t="s">
        <v>27</v>
      </c>
      <c r="C17" s="181"/>
      <c r="D17" s="15"/>
      <c r="E17" s="15"/>
      <c r="F17" s="602"/>
      <c r="G17" s="14"/>
      <c r="H17" s="14"/>
      <c r="I17" s="14"/>
      <c r="J17" s="14"/>
      <c r="K17" s="246"/>
    </row>
    <row r="18" spans="2:11" ht="64.5" thickBot="1">
      <c r="B18" s="171" t="s">
        <v>13</v>
      </c>
      <c r="C18" s="181" t="s">
        <v>904</v>
      </c>
      <c r="D18" s="15" t="s">
        <v>256</v>
      </c>
      <c r="E18" s="15" t="s">
        <v>903</v>
      </c>
      <c r="F18" s="602" t="s">
        <v>921</v>
      </c>
      <c r="G18" s="14"/>
      <c r="H18" s="38"/>
      <c r="I18" s="38"/>
      <c r="J18" s="38"/>
      <c r="K18" s="246">
        <v>5605</v>
      </c>
    </row>
    <row r="19" spans="2:11" ht="15" customHeight="1" thickBot="1">
      <c r="B19" s="171" t="s">
        <v>12</v>
      </c>
      <c r="C19" s="181"/>
      <c r="D19" s="15"/>
      <c r="E19" s="15"/>
      <c r="F19" s="602"/>
      <c r="G19" s="14"/>
      <c r="H19" s="14"/>
      <c r="I19" s="14"/>
      <c r="J19" s="14"/>
      <c r="K19" s="246"/>
    </row>
    <row r="20" spans="2:11" ht="64.5" thickBot="1">
      <c r="B20" s="171" t="s">
        <v>24</v>
      </c>
      <c r="C20" s="181" t="s">
        <v>904</v>
      </c>
      <c r="D20" s="15" t="s">
        <v>256</v>
      </c>
      <c r="E20" s="15" t="s">
        <v>903</v>
      </c>
      <c r="F20" s="602" t="s">
        <v>902</v>
      </c>
      <c r="G20" s="14"/>
      <c r="H20" s="14"/>
      <c r="I20" s="14"/>
      <c r="J20" s="14"/>
      <c r="K20" s="246">
        <v>1637</v>
      </c>
    </row>
    <row r="21" spans="2:11" ht="64.5" thickBot="1">
      <c r="B21" s="171" t="s">
        <v>26</v>
      </c>
      <c r="C21" s="181" t="s">
        <v>904</v>
      </c>
      <c r="D21" s="15" t="s">
        <v>256</v>
      </c>
      <c r="E21" s="15" t="s">
        <v>903</v>
      </c>
      <c r="F21" s="602" t="s">
        <v>902</v>
      </c>
      <c r="G21" s="14"/>
      <c r="H21" s="14"/>
      <c r="I21" s="14"/>
      <c r="J21" s="14"/>
      <c r="K21" s="246">
        <v>3462</v>
      </c>
    </row>
    <row r="22" spans="2:11" ht="64.5" thickBot="1">
      <c r="B22" s="171" t="s">
        <v>14</v>
      </c>
      <c r="C22" s="181" t="s">
        <v>904</v>
      </c>
      <c r="D22" s="15" t="s">
        <v>256</v>
      </c>
      <c r="E22" s="15" t="s">
        <v>903</v>
      </c>
      <c r="F22" s="602" t="s">
        <v>902</v>
      </c>
      <c r="G22" s="14"/>
      <c r="H22" s="14"/>
      <c r="I22" s="14"/>
      <c r="J22" s="14"/>
      <c r="K22" s="246">
        <v>960</v>
      </c>
    </row>
    <row r="23" spans="2:11" ht="15" customHeight="1">
      <c r="D23" s="9"/>
      <c r="E23" s="9"/>
      <c r="F23" s="9"/>
    </row>
    <row r="24" spans="2:11" ht="15" customHeight="1">
      <c r="D24" s="9"/>
      <c r="E24" s="9"/>
      <c r="F24" s="9"/>
    </row>
    <row r="25" spans="2:11" ht="15" customHeight="1">
      <c r="D25" s="9"/>
      <c r="E25" s="9"/>
      <c r="F25" s="9"/>
    </row>
    <row r="26" spans="2:11" ht="15" customHeight="1"/>
    <row r="27" spans="2:11" ht="15" customHeight="1"/>
    <row r="28" spans="2:11" ht="15" customHeight="1"/>
    <row r="29" spans="2:11" ht="15" customHeight="1"/>
    <row r="30" spans="2:11" ht="15" customHeight="1"/>
    <row r="31" spans="2:11" ht="15" customHeight="1"/>
    <row r="32" spans="2:11" ht="15" customHeight="1"/>
    <row r="33" spans="4:10" ht="15" customHeight="1"/>
    <row r="34" spans="4:10" ht="15" customHeight="1">
      <c r="D34" s="9"/>
      <c r="E34" s="9"/>
      <c r="F34" s="9"/>
    </row>
    <row r="35" spans="4:10" ht="15" customHeight="1">
      <c r="D35" s="9"/>
      <c r="E35" s="9"/>
      <c r="F35" s="9"/>
      <c r="J35" s="322"/>
    </row>
    <row r="36" spans="4:10" ht="15" customHeight="1">
      <c r="D36" s="9"/>
      <c r="E36" s="9"/>
      <c r="F36" s="9"/>
      <c r="J36" s="322"/>
    </row>
    <row r="37" spans="4:10" ht="15" customHeight="1">
      <c r="D37" s="9"/>
      <c r="E37" s="9"/>
      <c r="F37" s="9"/>
      <c r="J37" s="322"/>
    </row>
    <row r="38" spans="4:10" ht="15" customHeight="1">
      <c r="D38" s="9"/>
      <c r="E38" s="9"/>
      <c r="F38" s="9"/>
      <c r="J38" s="322"/>
    </row>
    <row r="39" spans="4:10" ht="15" customHeight="1">
      <c r="D39" s="9"/>
      <c r="E39" s="9"/>
      <c r="F39" s="9"/>
      <c r="J39" s="322"/>
    </row>
    <row r="40" spans="4:10" ht="15" customHeight="1">
      <c r="D40" s="9"/>
      <c r="E40" s="9"/>
      <c r="F40" s="9"/>
      <c r="J40" s="322"/>
    </row>
    <row r="41" spans="4:10" ht="15" customHeight="1">
      <c r="D41" s="9"/>
      <c r="E41" s="9"/>
      <c r="F41" s="9"/>
      <c r="J41" s="322"/>
    </row>
    <row r="42" spans="4:10" ht="15" customHeight="1">
      <c r="D42" s="9"/>
      <c r="E42" s="9"/>
      <c r="F42" s="9"/>
    </row>
    <row r="43" spans="4:10" ht="15" customHeight="1">
      <c r="D43" s="9"/>
      <c r="E43" s="9"/>
      <c r="F43" s="9"/>
    </row>
    <row r="44" spans="4:10" ht="15" customHeight="1">
      <c r="D44" s="9"/>
      <c r="E44" s="9"/>
      <c r="F44" s="9"/>
    </row>
    <row r="45" spans="4:10" ht="15" customHeight="1">
      <c r="D45" s="9"/>
      <c r="E45" s="9"/>
      <c r="F45" s="9"/>
    </row>
    <row r="46" spans="4:10" ht="15" customHeight="1">
      <c r="D46" s="9"/>
      <c r="E46" s="9"/>
      <c r="F46" s="9"/>
    </row>
    <row r="47" spans="4:10" ht="15" customHeight="1">
      <c r="D47" s="9"/>
      <c r="E47" s="9"/>
      <c r="F47" s="9"/>
    </row>
    <row r="48" spans="4:10" ht="15" customHeight="1"/>
    <row r="49" spans="4:6" ht="15" customHeight="1"/>
    <row r="50" spans="4:6" ht="15" customHeight="1"/>
    <row r="51" spans="4:6" ht="15" customHeight="1"/>
    <row r="52" spans="4:6" ht="15" customHeight="1"/>
    <row r="53" spans="4:6" ht="15" customHeight="1"/>
    <row r="54" spans="4:6" ht="15" customHeight="1"/>
    <row r="55" spans="4:6" ht="15" customHeight="1">
      <c r="D55" s="9"/>
      <c r="E55" s="9"/>
      <c r="F55" s="9"/>
    </row>
    <row r="56" spans="4:6" ht="15" customHeight="1">
      <c r="D56" s="9"/>
      <c r="E56" s="9"/>
      <c r="F56" s="9"/>
    </row>
    <row r="57" spans="4:6" ht="15" customHeight="1">
      <c r="D57" s="9"/>
      <c r="E57" s="9"/>
      <c r="F57" s="9"/>
    </row>
    <row r="58" spans="4:6" ht="15" customHeight="1">
      <c r="D58" s="9"/>
      <c r="E58" s="9"/>
      <c r="F58" s="9"/>
    </row>
    <row r="59" spans="4:6" ht="15" customHeight="1">
      <c r="D59" s="9"/>
      <c r="E59" s="9"/>
      <c r="F59" s="9"/>
    </row>
    <row r="60" spans="4:6" ht="15" customHeight="1">
      <c r="D60" s="9"/>
      <c r="E60" s="9"/>
      <c r="F60" s="9"/>
    </row>
    <row r="61" spans="4:6" ht="15" customHeight="1">
      <c r="D61" s="9"/>
      <c r="E61" s="9"/>
      <c r="F61" s="9"/>
    </row>
    <row r="62" spans="4:6" ht="15" customHeight="1">
      <c r="D62" s="9"/>
      <c r="E62" s="9"/>
      <c r="F62" s="9"/>
    </row>
    <row r="63" spans="4:6" ht="15" customHeight="1">
      <c r="D63" s="9"/>
      <c r="E63" s="9"/>
      <c r="F63" s="9"/>
    </row>
    <row r="64" spans="4:6" ht="15" customHeight="1">
      <c r="D64" s="9"/>
      <c r="E64" s="9"/>
      <c r="F64" s="9"/>
    </row>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s="9" customFormat="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9" customFormat="1" ht="15" customHeight="1"/>
    <row r="194" s="9" customFormat="1" ht="15" customHeight="1"/>
    <row r="195" s="9" customFormat="1" ht="15" customHeight="1"/>
    <row r="196" s="9" customFormat="1" ht="15" customHeight="1"/>
    <row r="197" s="9" customFormat="1" ht="15" customHeight="1"/>
    <row r="198" s="9" customFormat="1" ht="15" customHeight="1"/>
    <row r="199" s="9" customFormat="1" ht="15" customHeight="1"/>
    <row r="200" s="9" customFormat="1" ht="15" customHeight="1"/>
    <row r="201" s="9" customFormat="1" ht="15" customHeight="1"/>
    <row r="202" s="9" customFormat="1" ht="15" customHeight="1"/>
    <row r="203" s="9" customFormat="1" ht="15" customHeight="1"/>
    <row r="204" s="9" customFormat="1" ht="15" customHeight="1"/>
    <row r="205" s="9" customFormat="1" ht="15" customHeight="1"/>
    <row r="206" s="9" customFormat="1" ht="15" customHeight="1"/>
    <row r="207" s="9" customFormat="1" ht="15" customHeight="1"/>
    <row r="208" s="9" customFormat="1" ht="15" customHeight="1"/>
    <row r="209" s="9" customFormat="1" ht="15" customHeight="1"/>
    <row r="210" s="9" customFormat="1" ht="15" customHeight="1"/>
    <row r="211" s="9" customFormat="1" ht="15" customHeight="1"/>
    <row r="212" s="9" customFormat="1" ht="15" customHeight="1"/>
    <row r="213" s="9" customFormat="1" ht="15" customHeight="1"/>
    <row r="214" s="9" customFormat="1" ht="15" customHeight="1"/>
    <row r="215" s="9" customFormat="1" ht="15" customHeight="1"/>
    <row r="216" s="9" customFormat="1" ht="15" customHeight="1"/>
    <row r="217" s="9" customFormat="1" ht="15" customHeight="1"/>
    <row r="218" s="9" customFormat="1" ht="15" customHeight="1"/>
    <row r="219" s="9" customFormat="1" ht="15" customHeight="1"/>
    <row r="220" s="9" customFormat="1" ht="15" customHeight="1"/>
    <row r="221" s="9" customFormat="1" ht="15" customHeight="1"/>
    <row r="222" s="9" customFormat="1" ht="15" customHeight="1"/>
    <row r="223" s="9" customFormat="1" ht="15" customHeight="1"/>
    <row r="224" s="9" customFormat="1" ht="15" customHeight="1"/>
    <row r="225" s="9" customFormat="1" ht="15" customHeight="1"/>
    <row r="226" s="9" customFormat="1" ht="15" customHeight="1"/>
    <row r="227" s="9" customFormat="1" ht="15" customHeight="1"/>
    <row r="228" s="9" customFormat="1" ht="15" customHeight="1"/>
    <row r="229" s="9" customFormat="1" ht="15" customHeight="1"/>
    <row r="230" s="9" customFormat="1" ht="15" customHeight="1"/>
    <row r="231" s="9" customFormat="1" ht="15" customHeight="1"/>
    <row r="232" s="9" customFormat="1" ht="15" customHeight="1"/>
    <row r="233" s="9" customFormat="1" ht="15" customHeight="1"/>
    <row r="234" s="9" customFormat="1" ht="15" customHeight="1"/>
    <row r="235" s="9" customFormat="1" ht="15" customHeight="1"/>
    <row r="236" s="9" customFormat="1" ht="15" customHeight="1"/>
    <row r="237" s="9" customFormat="1" ht="15" customHeight="1"/>
    <row r="238" s="9" customFormat="1" ht="15" customHeight="1"/>
    <row r="239" s="9" customFormat="1" ht="15" customHeight="1"/>
    <row r="240" s="9" customFormat="1" ht="15" customHeight="1"/>
    <row r="241" s="9" customFormat="1" ht="15" customHeight="1"/>
    <row r="242" s="9" customFormat="1" ht="15" customHeight="1"/>
    <row r="243" s="9" customFormat="1" ht="15" customHeight="1"/>
    <row r="244" s="9" customFormat="1" ht="15" customHeight="1"/>
    <row r="245" s="9" customFormat="1" ht="15" customHeight="1"/>
    <row r="246" s="9" customFormat="1" ht="15" customHeight="1"/>
    <row r="247" s="9" customFormat="1" ht="15" customHeight="1"/>
    <row r="248" s="9" customFormat="1" ht="15" customHeight="1"/>
    <row r="249" s="9" customFormat="1" ht="15" customHeight="1"/>
    <row r="250" s="9" customFormat="1" ht="15" customHeight="1"/>
    <row r="251" s="9" customFormat="1" ht="15" customHeight="1"/>
    <row r="252" s="9" customFormat="1" ht="15" customHeight="1"/>
    <row r="253" s="9" customFormat="1" ht="15" customHeight="1"/>
    <row r="254" s="9" customFormat="1" ht="15" customHeight="1"/>
    <row r="255" s="9" customFormat="1" ht="15" customHeight="1"/>
    <row r="256" s="9" customFormat="1" ht="15" customHeight="1"/>
    <row r="257" s="9" customFormat="1" ht="15" customHeight="1"/>
    <row r="258" s="9" customFormat="1" ht="15" customHeight="1"/>
    <row r="259" s="9" customFormat="1" ht="15" customHeight="1"/>
    <row r="260" s="9" customFormat="1" ht="15" customHeight="1"/>
    <row r="261" s="9" customFormat="1" ht="15" customHeight="1"/>
    <row r="262" s="9" customFormat="1" ht="15" customHeight="1"/>
    <row r="263" s="9" customFormat="1" ht="15" customHeight="1"/>
    <row r="264" s="9" customFormat="1" ht="15" customHeight="1"/>
    <row r="265" s="9" customFormat="1" ht="15" customHeight="1"/>
    <row r="266" s="9" customFormat="1" ht="15" customHeight="1"/>
    <row r="267" s="9" customFormat="1" ht="15" customHeight="1"/>
    <row r="268" s="9" customFormat="1" ht="15" customHeight="1"/>
    <row r="269" s="9" customFormat="1" ht="15" customHeight="1"/>
    <row r="270" s="9" customFormat="1" ht="15" customHeight="1"/>
    <row r="271" s="9" customFormat="1" ht="15" customHeight="1"/>
    <row r="272" s="9" customFormat="1" ht="15" customHeight="1"/>
    <row r="273" s="9" customFormat="1" ht="15" customHeight="1"/>
    <row r="274" s="9" customFormat="1" ht="15" customHeight="1"/>
    <row r="275" s="9" customFormat="1" ht="15" customHeight="1"/>
    <row r="276" s="9" customFormat="1" ht="15" customHeight="1"/>
    <row r="277" s="9" customFormat="1" ht="15" customHeight="1"/>
    <row r="278" s="9" customFormat="1" ht="15" customHeight="1"/>
    <row r="279" s="9" customFormat="1" ht="15" customHeight="1"/>
    <row r="280" s="9" customFormat="1" ht="15" customHeight="1"/>
    <row r="281" s="9" customFormat="1" ht="15" customHeight="1"/>
    <row r="282" s="9" customFormat="1" ht="15" customHeight="1"/>
    <row r="283" s="9" customFormat="1" ht="15" customHeight="1"/>
    <row r="284" s="9" customFormat="1" ht="15" customHeight="1"/>
    <row r="285" s="9" customFormat="1" ht="15" customHeight="1"/>
    <row r="286" s="9" customFormat="1" ht="15" customHeight="1"/>
    <row r="287" s="9" customFormat="1" ht="15" customHeight="1"/>
    <row r="288" s="9" customFormat="1" ht="15" customHeight="1"/>
    <row r="289" s="9" customFormat="1" ht="15" customHeight="1"/>
    <row r="290" s="9" customFormat="1" ht="15" customHeight="1"/>
    <row r="291" s="9" customFormat="1" ht="15" customHeight="1"/>
    <row r="292" s="9" customFormat="1" ht="15" customHeight="1"/>
    <row r="293" s="9" customFormat="1" ht="15" customHeight="1"/>
    <row r="294" s="9" customFormat="1" ht="15" customHeight="1"/>
    <row r="295" s="9" customFormat="1" ht="15" customHeight="1"/>
    <row r="296" s="9" customFormat="1" ht="15" customHeight="1"/>
    <row r="297" s="9" customFormat="1" ht="15" customHeight="1"/>
    <row r="298" s="9" customFormat="1" ht="15" customHeight="1"/>
    <row r="299" s="9" customFormat="1" ht="15" customHeight="1"/>
    <row r="300" s="9" customFormat="1" ht="15" customHeight="1"/>
    <row r="301" s="9" customFormat="1" ht="15" customHeight="1"/>
    <row r="302" s="9" customFormat="1" ht="15" customHeight="1"/>
    <row r="303" s="9" customFormat="1" ht="15" customHeight="1"/>
    <row r="304" s="9" customFormat="1" ht="15" customHeight="1"/>
    <row r="305" s="9" customFormat="1" ht="15" customHeight="1"/>
    <row r="306" s="9" customFormat="1" ht="15" customHeight="1"/>
    <row r="307" s="9" customFormat="1" ht="15" customHeight="1"/>
    <row r="308" s="9" customFormat="1" ht="15" customHeight="1"/>
    <row r="309" s="9" customFormat="1" ht="15" customHeight="1"/>
    <row r="310" s="9" customFormat="1" ht="15" customHeight="1"/>
    <row r="311" s="9" customFormat="1" ht="15" customHeight="1"/>
    <row r="312" s="9" customFormat="1" ht="15" customHeight="1"/>
    <row r="313" s="9" customFormat="1" ht="15" customHeight="1"/>
    <row r="314" s="9" customFormat="1" ht="15" customHeight="1"/>
    <row r="315" s="9" customFormat="1" ht="15" customHeight="1"/>
    <row r="316" s="9" customFormat="1" ht="15" customHeight="1"/>
    <row r="317" s="9" customFormat="1" ht="15" customHeight="1"/>
    <row r="318" s="9" customFormat="1" ht="15" customHeight="1"/>
    <row r="319" s="9" customFormat="1" ht="15" customHeight="1"/>
    <row r="320" s="9" customFormat="1" ht="15" customHeight="1"/>
    <row r="321" s="9" customFormat="1" ht="15" customHeight="1"/>
    <row r="322" s="9" customFormat="1" ht="15" customHeight="1"/>
    <row r="323" s="9" customFormat="1" ht="15" customHeight="1"/>
    <row r="324" s="9" customFormat="1" ht="15" customHeight="1"/>
    <row r="325" s="9" customFormat="1" ht="15" customHeight="1"/>
    <row r="326" s="9" customFormat="1" ht="15" customHeight="1"/>
    <row r="327" s="9" customFormat="1" ht="15" customHeight="1"/>
    <row r="328" s="9" customFormat="1" ht="15" customHeight="1"/>
    <row r="329" s="9" customFormat="1" ht="15" customHeight="1"/>
    <row r="330" s="9" customFormat="1" ht="15" customHeight="1"/>
    <row r="331" s="9" customFormat="1" ht="15" customHeight="1"/>
    <row r="332" s="9" customFormat="1" ht="15" customHeight="1"/>
    <row r="333" s="9" customFormat="1" ht="15" customHeight="1"/>
    <row r="334" s="9" customFormat="1" ht="15" customHeight="1"/>
    <row r="335" s="9" customFormat="1" ht="15" customHeight="1"/>
    <row r="336" s="9" customFormat="1" ht="15" customHeight="1"/>
    <row r="337" s="9" customFormat="1" ht="15" customHeight="1"/>
    <row r="338" s="9" customFormat="1" ht="15" customHeight="1"/>
    <row r="339" s="9" customFormat="1" ht="15" customHeight="1"/>
    <row r="340" s="9" customFormat="1" ht="15" customHeight="1"/>
    <row r="341" s="9" customFormat="1" ht="15" customHeight="1"/>
    <row r="342" s="9" customFormat="1" ht="15" customHeight="1"/>
    <row r="343" s="9" customFormat="1" ht="15" customHeight="1"/>
    <row r="344" s="9" customFormat="1" ht="15" customHeight="1"/>
    <row r="345" s="9" customFormat="1" ht="15" customHeight="1"/>
    <row r="346" s="9" customFormat="1" ht="15" customHeight="1"/>
    <row r="347" s="9" customFormat="1" ht="15" customHeight="1"/>
    <row r="348" s="9" customFormat="1" ht="15" customHeight="1"/>
    <row r="349" s="9" customFormat="1" ht="15" customHeight="1"/>
    <row r="350" s="9" customFormat="1" ht="15" customHeight="1"/>
    <row r="351" s="9" customFormat="1" ht="15" customHeight="1"/>
    <row r="352" s="9" customFormat="1" ht="15" customHeight="1"/>
    <row r="353" s="9" customFormat="1" ht="15" customHeight="1"/>
    <row r="354" s="9" customFormat="1" ht="15" customHeight="1"/>
    <row r="355" s="9" customFormat="1" ht="15" customHeight="1"/>
    <row r="356" s="9" customFormat="1" ht="15" customHeight="1"/>
    <row r="357" s="9" customFormat="1" ht="15" customHeight="1"/>
    <row r="358" s="9" customFormat="1" ht="15" customHeight="1"/>
    <row r="359" s="9" customFormat="1" ht="15" customHeight="1"/>
    <row r="360" s="9" customFormat="1" ht="15" customHeight="1"/>
    <row r="361" s="9" customFormat="1" ht="15" customHeight="1"/>
    <row r="362" s="9" customFormat="1" ht="15" customHeight="1"/>
    <row r="363" s="9" customFormat="1" ht="15" customHeight="1"/>
    <row r="364" s="9" customFormat="1" ht="15" customHeight="1"/>
    <row r="365" s="9" customFormat="1" ht="15" customHeight="1"/>
    <row r="366" s="9" customFormat="1" ht="15" customHeight="1"/>
    <row r="367" s="9" customFormat="1" ht="15" customHeight="1"/>
    <row r="368" s="9" customFormat="1" ht="15" customHeight="1"/>
    <row r="369" s="9" customFormat="1" ht="15" customHeight="1"/>
    <row r="370" s="9" customFormat="1" ht="15" customHeight="1"/>
    <row r="371" s="9" customFormat="1" ht="15" customHeight="1"/>
    <row r="372" s="9" customFormat="1" ht="15" customHeight="1"/>
    <row r="373" s="9" customFormat="1" ht="15" customHeight="1"/>
    <row r="374" s="9" customFormat="1" ht="15" customHeight="1"/>
    <row r="375" s="9" customFormat="1" ht="15" customHeight="1"/>
    <row r="376" s="9" customFormat="1" ht="15" customHeight="1"/>
    <row r="377" s="9" customFormat="1" ht="15" customHeight="1"/>
    <row r="378" s="9" customFormat="1" ht="15" customHeight="1"/>
    <row r="379" s="9" customFormat="1" ht="15" customHeight="1"/>
    <row r="380" s="9" customFormat="1" ht="15" customHeight="1"/>
    <row r="381" s="9" customFormat="1" ht="15" customHeight="1"/>
    <row r="382" s="9" customFormat="1" ht="15" customHeight="1"/>
    <row r="383" s="9" customFormat="1" ht="15" customHeight="1"/>
    <row r="384" s="9" customFormat="1" ht="15" customHeight="1"/>
    <row r="385" s="9" customFormat="1" ht="15" customHeight="1"/>
    <row r="386" s="9" customFormat="1" ht="15" customHeight="1"/>
    <row r="387" s="9" customFormat="1" ht="15" customHeight="1"/>
    <row r="388" s="9" customFormat="1" ht="15" customHeight="1"/>
    <row r="389" s="9" customFormat="1" ht="15" customHeight="1"/>
    <row r="390" s="9" customFormat="1" ht="15" customHeight="1"/>
    <row r="391" s="9" customFormat="1" ht="15" customHeight="1"/>
    <row r="392" s="9" customFormat="1" ht="15" customHeight="1"/>
    <row r="393" s="9" customFormat="1" ht="15" customHeight="1"/>
    <row r="394" s="9" customFormat="1" ht="15" customHeight="1"/>
    <row r="395" s="9" customFormat="1" ht="15" customHeight="1"/>
    <row r="396" s="9" customFormat="1" ht="15" customHeight="1"/>
    <row r="397" s="9" customFormat="1" ht="15" customHeight="1"/>
    <row r="398" s="9" customFormat="1" ht="15" customHeight="1"/>
    <row r="399" s="9" customFormat="1" ht="15" customHeight="1"/>
    <row r="400" s="9" customFormat="1" ht="15" customHeight="1"/>
    <row r="401" s="9" customFormat="1" ht="15" customHeight="1"/>
    <row r="402" s="9" customFormat="1" ht="15" customHeight="1"/>
    <row r="403" s="9" customFormat="1" ht="15" customHeight="1"/>
    <row r="404" s="9" customFormat="1" ht="15" customHeight="1"/>
    <row r="405" s="9" customFormat="1" ht="15" customHeight="1"/>
    <row r="406" s="9" customFormat="1" ht="15" customHeight="1"/>
    <row r="407" s="9" customFormat="1" ht="15" customHeight="1"/>
    <row r="408" s="9" customFormat="1" ht="15" customHeight="1"/>
    <row r="409" s="9" customFormat="1" ht="15" customHeight="1"/>
    <row r="410" s="9" customFormat="1" ht="15" customHeight="1"/>
    <row r="411" s="9" customFormat="1" ht="15" customHeight="1"/>
    <row r="412" s="9" customFormat="1" ht="15" customHeight="1"/>
    <row r="413" s="9" customFormat="1" ht="15" customHeight="1"/>
    <row r="414" s="9" customFormat="1" ht="15" customHeight="1"/>
    <row r="415" s="9" customFormat="1" ht="15" customHeight="1"/>
    <row r="416" s="9" customFormat="1" ht="15" customHeight="1"/>
    <row r="417" s="9" customFormat="1" ht="15" customHeight="1"/>
    <row r="418" s="9" customFormat="1" ht="15" customHeight="1"/>
    <row r="419" s="9" customFormat="1" ht="15" customHeight="1"/>
    <row r="420" s="9" customFormat="1" ht="15" customHeight="1"/>
    <row r="421" s="9" customFormat="1" ht="15" customHeight="1"/>
    <row r="422" s="9" customFormat="1" ht="15" customHeight="1"/>
    <row r="423" s="9" customFormat="1" ht="15" customHeight="1"/>
    <row r="424" s="9" customFormat="1" ht="15" customHeight="1"/>
    <row r="425" s="9" customFormat="1" ht="15" customHeight="1"/>
    <row r="426" s="9" customFormat="1" ht="15" customHeight="1"/>
    <row r="427" s="9" customFormat="1" ht="15" customHeight="1"/>
    <row r="428" s="9" customFormat="1" ht="15" customHeight="1"/>
    <row r="429" s="9" customFormat="1" ht="15" customHeight="1"/>
    <row r="430" s="9" customFormat="1" ht="15" customHeight="1"/>
    <row r="431" s="9" customFormat="1" ht="15" customHeight="1"/>
    <row r="432" s="9" customFormat="1" ht="15" customHeight="1"/>
    <row r="433" s="9" customFormat="1" ht="15" customHeight="1"/>
    <row r="434" s="9" customFormat="1" ht="15" customHeight="1"/>
    <row r="435" s="9" customFormat="1" ht="15" customHeight="1"/>
    <row r="436" s="9" customFormat="1" ht="15" customHeight="1"/>
    <row r="437" s="9" customFormat="1" ht="15" customHeight="1"/>
    <row r="438" s="9" customFormat="1" ht="15" customHeight="1"/>
    <row r="439" s="9" customFormat="1" ht="15" customHeight="1"/>
    <row r="440" s="9" customFormat="1" ht="15" customHeight="1"/>
    <row r="441" s="9" customFormat="1" ht="15" customHeight="1"/>
    <row r="442" s="9" customFormat="1" ht="15" customHeight="1"/>
    <row r="443" s="9" customFormat="1" ht="15" customHeight="1"/>
    <row r="444" s="9" customFormat="1" ht="15" customHeight="1"/>
    <row r="445" s="9" customFormat="1" ht="15" customHeight="1"/>
    <row r="446" s="9" customFormat="1" ht="15" customHeight="1"/>
    <row r="447" s="9" customFormat="1" ht="15" customHeight="1"/>
    <row r="448" s="9" customFormat="1" ht="15" customHeight="1"/>
    <row r="449" s="9" customFormat="1" ht="15" customHeight="1"/>
    <row r="450" s="9" customFormat="1" ht="15" customHeight="1"/>
    <row r="451" s="9" customFormat="1" ht="15" customHeight="1"/>
    <row r="452" s="9" customFormat="1" ht="15" customHeight="1"/>
    <row r="453" s="9" customFormat="1" ht="15" customHeight="1"/>
    <row r="454" s="9" customFormat="1" ht="15" customHeight="1"/>
    <row r="455" s="9" customFormat="1" ht="15" customHeight="1"/>
    <row r="456" s="9" customFormat="1" ht="15" customHeight="1"/>
    <row r="457" s="9" customFormat="1" ht="15" customHeight="1"/>
    <row r="458" s="9" customFormat="1" ht="15" customHeight="1"/>
    <row r="459" s="9" customFormat="1" ht="15" customHeight="1"/>
    <row r="460" s="9" customFormat="1" ht="15" customHeight="1"/>
    <row r="461" s="9" customFormat="1" ht="15" customHeight="1"/>
    <row r="462" s="9" customFormat="1" ht="15" customHeight="1"/>
    <row r="463" s="9" customFormat="1" ht="15" customHeight="1"/>
    <row r="464" s="9" customFormat="1" ht="15" customHeight="1"/>
    <row r="465" s="9" customFormat="1" ht="15" customHeight="1"/>
    <row r="466" s="9" customFormat="1" ht="15" customHeight="1"/>
    <row r="467" s="9" customFormat="1" ht="15" customHeight="1"/>
    <row r="468" s="9" customFormat="1" ht="15" customHeight="1"/>
    <row r="469" s="9" customFormat="1" ht="15" customHeight="1"/>
    <row r="470" s="9" customFormat="1" ht="15" customHeight="1"/>
    <row r="471" s="9" customFormat="1" ht="15" customHeight="1"/>
    <row r="472" s="9" customFormat="1" ht="15" customHeight="1"/>
    <row r="473" s="9" customFormat="1" ht="15" customHeight="1"/>
    <row r="474" s="9" customFormat="1" ht="15" customHeight="1"/>
    <row r="475" s="9" customFormat="1" ht="15" customHeight="1"/>
    <row r="476" s="9" customFormat="1" ht="15" customHeight="1"/>
    <row r="477" s="9" customFormat="1" ht="15" customHeight="1"/>
    <row r="478" s="9" customFormat="1" ht="15" customHeight="1"/>
    <row r="479" s="9" customFormat="1" ht="15" customHeight="1"/>
    <row r="480" s="9" customFormat="1" ht="15" customHeight="1"/>
    <row r="481" s="9" customFormat="1" ht="15" customHeight="1"/>
    <row r="482" s="9" customFormat="1" ht="15" customHeight="1"/>
    <row r="483" s="9" customFormat="1" ht="15" customHeight="1"/>
    <row r="484" s="9" customFormat="1" ht="15" customHeight="1"/>
    <row r="485" s="9" customFormat="1" ht="15" customHeight="1"/>
    <row r="486" s="9" customFormat="1" ht="15" customHeight="1"/>
    <row r="487" s="9" customFormat="1" ht="15" customHeight="1"/>
    <row r="488" s="9" customFormat="1" ht="15" customHeight="1"/>
    <row r="489" s="9" customFormat="1" ht="15" customHeight="1"/>
    <row r="490" s="9" customFormat="1" ht="15" customHeight="1"/>
    <row r="491" s="9" customFormat="1" ht="15" customHeight="1"/>
    <row r="492" s="9" customFormat="1" ht="15" customHeight="1"/>
    <row r="493" s="9" customFormat="1" ht="15" customHeight="1"/>
    <row r="494" s="9" customFormat="1" ht="15" customHeight="1"/>
    <row r="495" s="9" customFormat="1" ht="15" customHeight="1"/>
    <row r="496" s="9" customFormat="1" ht="15" customHeight="1"/>
    <row r="497" s="9" customFormat="1" ht="15" customHeight="1"/>
    <row r="498" s="9" customFormat="1" ht="15" customHeight="1"/>
    <row r="499" s="9" customFormat="1" ht="15" customHeight="1"/>
    <row r="500" s="9" customFormat="1" ht="15" customHeight="1"/>
    <row r="501" s="9" customFormat="1" ht="15" customHeight="1"/>
    <row r="502" s="9" customFormat="1" ht="15" customHeight="1"/>
    <row r="503" s="9" customFormat="1" ht="15" customHeight="1"/>
    <row r="504" s="9" customFormat="1" ht="15" customHeight="1"/>
    <row r="505" s="9" customFormat="1" ht="15" customHeight="1"/>
    <row r="506" s="9" customFormat="1" ht="15" customHeight="1"/>
    <row r="507" s="9" customFormat="1" ht="15" customHeight="1"/>
    <row r="508" s="9" customFormat="1" ht="15" customHeight="1"/>
    <row r="509" s="9" customFormat="1" ht="15" customHeight="1"/>
    <row r="510" s="9" customFormat="1" ht="15" customHeight="1"/>
    <row r="511" s="9" customFormat="1" ht="15" customHeight="1"/>
    <row r="512" s="9" customFormat="1" ht="15" customHeight="1"/>
    <row r="513" s="9" customFormat="1" ht="15" customHeight="1"/>
    <row r="514" s="9" customFormat="1" ht="15" customHeight="1"/>
    <row r="515" s="9" customFormat="1" ht="15" customHeight="1"/>
    <row r="516" s="9" customFormat="1" ht="15" customHeight="1"/>
    <row r="517" s="9" customFormat="1" ht="15" customHeight="1"/>
    <row r="518" s="9" customFormat="1" ht="15" customHeight="1"/>
    <row r="519" s="9" customFormat="1" ht="15" customHeight="1"/>
    <row r="520" s="9" customFormat="1" ht="15" customHeight="1"/>
    <row r="521" s="9" customFormat="1" ht="15" customHeight="1"/>
    <row r="522" s="9" customFormat="1" ht="15" customHeight="1"/>
    <row r="523" s="9" customFormat="1" ht="15" customHeight="1"/>
    <row r="524" s="9" customFormat="1" ht="15" customHeight="1"/>
    <row r="525" s="9" customFormat="1" ht="15" customHeight="1"/>
    <row r="526" s="9" customFormat="1" ht="15" customHeight="1"/>
    <row r="527" s="9" customFormat="1" ht="15" customHeight="1"/>
    <row r="528" s="9" customFormat="1" ht="15" customHeight="1"/>
    <row r="529" s="9" customFormat="1" ht="15" customHeight="1"/>
    <row r="530" s="9" customFormat="1" ht="15" customHeight="1"/>
    <row r="531" s="9" customFormat="1" ht="15" customHeight="1"/>
    <row r="532" s="9" customFormat="1" ht="15" customHeight="1"/>
    <row r="533" s="9" customFormat="1" ht="15" customHeight="1"/>
    <row r="534" s="9" customFormat="1" ht="15" customHeight="1"/>
    <row r="535" s="9" customFormat="1" ht="15" customHeight="1"/>
    <row r="536" s="9" customFormat="1" ht="15" customHeight="1"/>
    <row r="537" s="9" customFormat="1" ht="15" customHeight="1"/>
    <row r="538" s="9" customFormat="1" ht="15" customHeight="1"/>
    <row r="539" s="9" customFormat="1" ht="15" customHeight="1"/>
    <row r="540" s="9" customFormat="1" ht="15" customHeight="1"/>
    <row r="541" s="9" customFormat="1" ht="15" customHeight="1"/>
    <row r="542" s="9" customFormat="1" ht="15" customHeight="1"/>
    <row r="543" s="9" customFormat="1" ht="15" customHeight="1"/>
    <row r="544" s="9" customFormat="1" ht="15" customHeight="1"/>
    <row r="545" s="9" customFormat="1" ht="15" customHeight="1"/>
    <row r="546" s="9" customFormat="1" ht="15" customHeight="1"/>
    <row r="547" s="9" customFormat="1" ht="15" customHeight="1"/>
    <row r="548" s="9" customFormat="1" ht="15" customHeight="1"/>
    <row r="549" s="9" customFormat="1" ht="15" customHeight="1"/>
    <row r="550" s="9" customFormat="1" ht="15" customHeight="1"/>
    <row r="551" s="9" customFormat="1" ht="15" customHeight="1"/>
    <row r="552" s="9" customFormat="1" ht="15" customHeight="1"/>
    <row r="553" s="9" customFormat="1" ht="15" customHeight="1"/>
    <row r="554" s="9" customFormat="1" ht="15" customHeight="1"/>
    <row r="555" s="9" customFormat="1" ht="15" customHeight="1"/>
    <row r="556" s="9" customFormat="1" ht="15" customHeight="1"/>
    <row r="557" s="9" customFormat="1" ht="15" customHeight="1"/>
    <row r="558" s="9" customFormat="1" ht="15" customHeight="1"/>
    <row r="559" s="9" customFormat="1" ht="15" customHeight="1"/>
    <row r="560" s="9" customFormat="1" ht="15" customHeight="1"/>
    <row r="561" s="9" customFormat="1" ht="15" customHeight="1"/>
    <row r="562" s="9" customFormat="1" ht="15" customHeight="1"/>
    <row r="563" s="9" customFormat="1" ht="15" customHeight="1"/>
    <row r="564" s="9" customFormat="1" ht="15" customHeight="1"/>
    <row r="565" s="9" customFormat="1" ht="15" customHeight="1"/>
    <row r="566" s="9" customFormat="1" ht="15" customHeight="1"/>
    <row r="567" s="9" customFormat="1" ht="15" customHeight="1"/>
    <row r="568" s="9" customFormat="1" ht="15" customHeight="1"/>
    <row r="569" s="9" customFormat="1" ht="15" customHeight="1"/>
    <row r="570" s="9" customFormat="1" ht="15" customHeight="1"/>
    <row r="571" s="9" customFormat="1" ht="15" customHeight="1"/>
    <row r="572" s="9" customFormat="1" ht="15" customHeight="1"/>
    <row r="573" s="9" customFormat="1" ht="15" customHeight="1"/>
    <row r="574" s="9" customFormat="1" ht="15" customHeight="1"/>
    <row r="575" s="9" customFormat="1" ht="15" customHeight="1"/>
    <row r="576" s="9" customFormat="1" ht="15" customHeight="1"/>
    <row r="577" s="9" customFormat="1" ht="15" customHeight="1"/>
    <row r="578" s="9" customFormat="1" ht="15" customHeight="1"/>
    <row r="579" s="9" customFormat="1" ht="15" customHeight="1"/>
    <row r="580" s="9" customFormat="1" ht="15" customHeight="1"/>
    <row r="581" s="9" customFormat="1" ht="15" customHeight="1"/>
    <row r="582" s="9" customFormat="1" ht="15" customHeight="1"/>
    <row r="583" s="9" customFormat="1" ht="15" customHeight="1"/>
    <row r="584" s="9" customFormat="1" ht="15" customHeight="1"/>
    <row r="585" s="9" customFormat="1" ht="15" customHeight="1"/>
    <row r="586" s="9" customFormat="1" ht="15" customHeight="1"/>
    <row r="587" s="9" customFormat="1" ht="15" customHeight="1"/>
    <row r="588" s="9" customFormat="1" ht="15" customHeight="1"/>
    <row r="589" s="9" customFormat="1" ht="15" customHeight="1"/>
    <row r="590" s="9" customFormat="1" ht="15" customHeight="1"/>
    <row r="591" s="9" customFormat="1" ht="15" customHeight="1"/>
    <row r="592" s="9" customFormat="1" ht="15" customHeight="1"/>
    <row r="593" s="9" customFormat="1" ht="15" customHeight="1"/>
    <row r="594" s="9" customFormat="1" ht="15" customHeight="1"/>
    <row r="595" s="9" customFormat="1" ht="15" customHeight="1"/>
    <row r="596" s="9" customFormat="1" ht="15" customHeight="1"/>
    <row r="597" s="9" customFormat="1" ht="15" customHeight="1"/>
    <row r="598" s="9" customFormat="1" ht="15" customHeight="1"/>
    <row r="599" s="9" customFormat="1" ht="15" customHeight="1"/>
    <row r="600" s="9" customFormat="1" ht="15" customHeight="1"/>
    <row r="601" s="9" customFormat="1" ht="15" customHeight="1"/>
    <row r="602" s="9" customFormat="1" ht="15" customHeight="1"/>
    <row r="603" s="9" customFormat="1" ht="15" customHeight="1"/>
    <row r="604" s="9" customFormat="1" ht="15" customHeight="1"/>
    <row r="605" s="9" customFormat="1" ht="15" customHeight="1"/>
    <row r="606" s="9" customFormat="1" ht="15" customHeight="1"/>
    <row r="607" s="9" customFormat="1" ht="15" customHeight="1"/>
    <row r="608" s="9" customFormat="1" ht="15" customHeight="1"/>
    <row r="609" s="9" customFormat="1" ht="15" customHeight="1"/>
    <row r="610" s="9" customFormat="1" ht="15" customHeight="1"/>
    <row r="611" s="9" customFormat="1" ht="15" customHeight="1"/>
    <row r="612" s="9" customFormat="1" ht="15" customHeight="1"/>
    <row r="613" s="9" customFormat="1" ht="15" customHeight="1"/>
    <row r="614" s="9" customFormat="1" ht="15" customHeight="1"/>
    <row r="615" s="9" customFormat="1" ht="15" customHeight="1"/>
    <row r="616" s="9" customFormat="1" ht="15" customHeight="1"/>
    <row r="617" s="9" customFormat="1" ht="15" customHeight="1"/>
    <row r="618" s="9" customFormat="1" ht="15" customHeight="1"/>
    <row r="619" s="9" customFormat="1" ht="15" customHeight="1"/>
    <row r="620" s="9" customFormat="1" ht="15" customHeight="1"/>
    <row r="621" s="9" customFormat="1" ht="15" customHeight="1"/>
    <row r="622" s="9" customFormat="1" ht="15" customHeight="1"/>
    <row r="623" s="9" customFormat="1" ht="15" customHeight="1"/>
    <row r="624" s="9" customFormat="1" ht="15" customHeight="1"/>
    <row r="625" s="9" customFormat="1" ht="15" customHeight="1"/>
    <row r="626" s="9" customFormat="1" ht="15" customHeight="1"/>
    <row r="627" s="9" customFormat="1" ht="15" customHeight="1"/>
    <row r="628" s="9" customFormat="1" ht="15" customHeight="1"/>
    <row r="629" s="9" customFormat="1" ht="15" customHeight="1"/>
    <row r="630" s="9" customFormat="1" ht="15" customHeight="1"/>
    <row r="631" s="9" customFormat="1" ht="15" customHeight="1"/>
    <row r="632" s="9" customFormat="1" ht="15" customHeight="1"/>
    <row r="633" s="9" customFormat="1" ht="15" customHeight="1"/>
    <row r="634" s="9" customFormat="1" ht="15" customHeight="1"/>
    <row r="635" s="9" customFormat="1" ht="15" customHeight="1"/>
    <row r="636" s="9" customFormat="1" ht="15" customHeight="1"/>
    <row r="637" s="9" customFormat="1" ht="15" customHeight="1"/>
    <row r="638" s="9" customFormat="1" ht="15" customHeight="1"/>
    <row r="639" s="9" customFormat="1" ht="15" customHeight="1"/>
    <row r="640" s="9" customFormat="1" ht="15" customHeight="1"/>
    <row r="641" s="9" customFormat="1" ht="15" customHeight="1"/>
    <row r="642" s="9" customFormat="1" ht="15" customHeight="1"/>
    <row r="643" s="9" customFormat="1" ht="15" customHeight="1"/>
    <row r="644" s="9" customFormat="1" ht="15" customHeight="1"/>
    <row r="645" s="9" customFormat="1" ht="15" customHeight="1"/>
    <row r="646" s="9" customFormat="1" ht="15" customHeight="1"/>
    <row r="647" s="9" customFormat="1" ht="15" customHeight="1"/>
    <row r="648" s="9" customFormat="1" ht="15" customHeight="1"/>
    <row r="649" s="9" customFormat="1" ht="15" customHeight="1"/>
    <row r="650" s="9" customFormat="1" ht="15" customHeight="1"/>
    <row r="651" s="9" customFormat="1" ht="15" customHeight="1"/>
    <row r="652" s="9" customFormat="1" ht="15" customHeight="1"/>
    <row r="653" s="9" customFormat="1" ht="15" customHeight="1"/>
    <row r="654" s="9" customFormat="1" ht="15" customHeight="1"/>
    <row r="655" s="9" customFormat="1" ht="15" customHeight="1"/>
    <row r="656" s="9" customFormat="1" ht="15" customHeight="1"/>
    <row r="657" s="9" customFormat="1" ht="15" customHeight="1"/>
    <row r="658" s="9" customFormat="1" ht="15" customHeight="1"/>
    <row r="659" s="9" customFormat="1" ht="15" customHeight="1"/>
    <row r="660" s="9" customFormat="1" ht="15" customHeight="1"/>
    <row r="661" s="9" customFormat="1" ht="15" customHeight="1"/>
    <row r="662" s="9" customFormat="1" ht="15" customHeight="1"/>
    <row r="663" s="9" customFormat="1" ht="15" customHeight="1"/>
    <row r="664" s="9" customFormat="1" ht="15" customHeight="1"/>
    <row r="665" s="9" customFormat="1" ht="15" customHeight="1"/>
    <row r="666" s="9" customFormat="1" ht="15" customHeight="1"/>
    <row r="667" s="9" customFormat="1" ht="15" customHeight="1"/>
    <row r="668" s="9" customFormat="1" ht="15" customHeight="1"/>
    <row r="669" s="9" customFormat="1" ht="15" customHeight="1"/>
    <row r="670" s="9" customFormat="1" ht="15" customHeight="1"/>
    <row r="671" s="9" customFormat="1" ht="15" customHeight="1"/>
    <row r="672" s="9" customFormat="1" ht="15" customHeight="1"/>
    <row r="673" s="9" customFormat="1" ht="15" customHeight="1"/>
    <row r="674" s="9" customFormat="1" ht="15" customHeight="1"/>
    <row r="675" s="9" customFormat="1" ht="15" customHeight="1"/>
    <row r="676" s="9" customFormat="1" ht="15" customHeight="1"/>
    <row r="677" s="9" customFormat="1" ht="15" customHeight="1"/>
    <row r="678" s="9" customFormat="1" ht="15" customHeight="1"/>
    <row r="679" s="9" customFormat="1" ht="15" customHeight="1"/>
    <row r="680" s="9" customFormat="1" ht="15" customHeight="1"/>
    <row r="681" s="9" customFormat="1" ht="15" customHeight="1"/>
    <row r="682" s="9" customFormat="1" ht="15" customHeight="1"/>
    <row r="683" s="9" customFormat="1" ht="15" customHeight="1"/>
    <row r="684" s="9" customFormat="1" ht="15" customHeight="1"/>
    <row r="685" s="9" customFormat="1" ht="15" customHeight="1"/>
    <row r="686" s="9" customFormat="1" ht="15" customHeight="1"/>
    <row r="687" s="9" customFormat="1" ht="15" customHeight="1"/>
    <row r="688" s="9" customFormat="1" ht="15" customHeight="1"/>
    <row r="689" s="9" customFormat="1" ht="15" customHeight="1"/>
    <row r="690" s="9" customFormat="1" ht="15" customHeight="1"/>
    <row r="691" s="9" customFormat="1" ht="15" customHeight="1"/>
    <row r="692" s="9" customFormat="1" ht="15" customHeight="1"/>
    <row r="693" s="9" customFormat="1" ht="15" customHeight="1"/>
    <row r="694" s="9" customFormat="1" ht="15" customHeight="1"/>
    <row r="695" s="9" customFormat="1" ht="15" customHeight="1"/>
    <row r="696" s="9" customFormat="1" ht="15" customHeight="1"/>
    <row r="697" s="9" customFormat="1" ht="15" customHeight="1"/>
    <row r="698" s="9" customFormat="1" ht="15" customHeight="1"/>
    <row r="699" s="9" customFormat="1" ht="15" customHeight="1"/>
    <row r="700" s="9" customFormat="1" ht="15" customHeight="1"/>
    <row r="701" s="9" customFormat="1" ht="15" customHeight="1"/>
    <row r="702" s="9" customFormat="1" ht="15" customHeight="1"/>
    <row r="703" s="9" customFormat="1" ht="15" customHeight="1"/>
    <row r="704" s="9" customFormat="1" ht="15" customHeight="1"/>
    <row r="705" s="9" customFormat="1" ht="15" customHeight="1"/>
    <row r="706" s="9" customFormat="1" ht="15" customHeight="1"/>
    <row r="707" s="9" customFormat="1" ht="15" customHeight="1"/>
    <row r="708" s="9" customFormat="1" ht="15" customHeight="1"/>
    <row r="709" s="9" customFormat="1" ht="15" customHeight="1"/>
    <row r="710" s="9" customFormat="1" ht="15" customHeight="1"/>
    <row r="711" s="9" customFormat="1" ht="15" customHeight="1"/>
    <row r="712" s="9" customFormat="1" ht="15" customHeight="1"/>
    <row r="713" s="9" customFormat="1" ht="15" customHeight="1"/>
    <row r="714" s="9" customFormat="1" ht="15" customHeight="1"/>
    <row r="715" s="9" customFormat="1" ht="15" customHeight="1"/>
    <row r="716" s="9" customFormat="1" ht="15" customHeight="1"/>
    <row r="717" s="9" customFormat="1" ht="15" customHeight="1"/>
    <row r="718" s="9" customFormat="1" ht="15" customHeight="1"/>
    <row r="719" s="9" customFormat="1" ht="15" customHeight="1"/>
    <row r="720" s="9" customFormat="1" ht="15" customHeight="1"/>
    <row r="721" s="9" customFormat="1" ht="15" customHeight="1"/>
    <row r="722" s="9" customFormat="1" ht="15" customHeight="1"/>
    <row r="723" s="9" customFormat="1" ht="15" customHeight="1"/>
    <row r="724" s="9" customFormat="1" ht="15" customHeight="1"/>
    <row r="725" s="9" customFormat="1" ht="15" customHeight="1"/>
    <row r="726" s="9" customFormat="1" ht="15" customHeight="1"/>
    <row r="727" s="9" customFormat="1" ht="15" customHeight="1"/>
    <row r="728" s="9" customFormat="1" ht="15" customHeight="1"/>
    <row r="729" s="9" customFormat="1" ht="15" customHeight="1"/>
    <row r="730" s="9" customFormat="1" ht="15" customHeight="1"/>
    <row r="731" s="9" customFormat="1" ht="15" customHeight="1"/>
    <row r="732" s="9" customFormat="1" ht="15" customHeight="1"/>
    <row r="733" s="9" customFormat="1" ht="15" customHeight="1"/>
    <row r="734" s="9" customFormat="1" ht="15" customHeight="1"/>
    <row r="735" s="9" customFormat="1" ht="15" customHeight="1"/>
    <row r="736" s="9" customFormat="1" ht="15" customHeight="1"/>
    <row r="737" s="9" customFormat="1" ht="15" customHeight="1"/>
    <row r="738" s="9" customFormat="1" ht="15" customHeight="1"/>
    <row r="739" s="9" customFormat="1" ht="15" customHeight="1"/>
    <row r="740" s="9" customFormat="1" ht="15" customHeight="1"/>
    <row r="741" s="9" customFormat="1" ht="15" customHeight="1"/>
    <row r="742" s="9" customFormat="1" ht="15" customHeight="1"/>
    <row r="743" s="9" customFormat="1" ht="15" customHeight="1"/>
    <row r="744" s="9" customFormat="1" ht="15" customHeight="1"/>
    <row r="745" s="9" customFormat="1" ht="15" customHeight="1"/>
    <row r="746" s="9" customFormat="1" ht="15" customHeight="1"/>
    <row r="747" s="9" customFormat="1" ht="15" customHeight="1"/>
    <row r="748" s="9" customFormat="1" ht="15" customHeight="1"/>
    <row r="749" s="9" customFormat="1" ht="15" customHeight="1"/>
    <row r="750" s="9" customFormat="1" ht="15" customHeight="1"/>
    <row r="751" s="9" customFormat="1" ht="15" customHeight="1"/>
    <row r="752" s="9" customFormat="1" ht="15" customHeight="1"/>
    <row r="753" s="9" customFormat="1" ht="15" customHeight="1"/>
    <row r="754" s="9" customFormat="1" ht="15" customHeight="1"/>
    <row r="755" s="9" customFormat="1" ht="15" customHeight="1"/>
    <row r="756" s="9" customFormat="1" ht="15" customHeight="1"/>
    <row r="757" s="9" customFormat="1" ht="15" customHeight="1"/>
    <row r="758" s="9" customFormat="1" ht="15" customHeight="1"/>
    <row r="759" s="9" customFormat="1" ht="15" customHeight="1"/>
    <row r="760" s="9" customFormat="1" ht="15" customHeight="1"/>
    <row r="761" s="9" customFormat="1" ht="15" customHeight="1"/>
    <row r="762" s="9" customFormat="1" ht="15" customHeight="1"/>
    <row r="763" s="9" customFormat="1" ht="15" customHeight="1"/>
    <row r="764" s="9" customFormat="1" ht="15" customHeight="1"/>
    <row r="765" s="9" customFormat="1" ht="15" customHeight="1"/>
    <row r="766" s="9" customFormat="1" ht="15" customHeight="1"/>
    <row r="767" s="9" customFormat="1" ht="15" customHeight="1"/>
    <row r="768" s="9" customFormat="1" ht="15" customHeight="1"/>
    <row r="769" s="9" customFormat="1" ht="15" customHeight="1"/>
    <row r="770" s="9" customFormat="1" ht="15" customHeight="1"/>
    <row r="771" s="9" customFormat="1" ht="15" customHeight="1"/>
    <row r="772" s="9" customFormat="1" ht="15" customHeight="1"/>
    <row r="773" s="9" customFormat="1" ht="15" customHeight="1"/>
    <row r="774" s="9" customFormat="1" ht="15" customHeight="1"/>
    <row r="775" s="9" customFormat="1" ht="15" customHeight="1"/>
    <row r="776" s="9" customFormat="1" ht="15" customHeight="1"/>
    <row r="777" s="9" customFormat="1" ht="15" customHeight="1"/>
    <row r="778" s="9" customFormat="1" ht="15" customHeight="1"/>
    <row r="779" s="9" customFormat="1" ht="15" customHeight="1"/>
    <row r="780" s="9" customFormat="1" ht="15" customHeight="1"/>
    <row r="781" s="9" customFormat="1" ht="15" customHeight="1"/>
    <row r="782" s="9" customFormat="1" ht="15" customHeight="1"/>
    <row r="783" s="9" customFormat="1" ht="15" customHeight="1"/>
    <row r="784" s="9" customFormat="1" ht="15" customHeight="1"/>
    <row r="785" s="9" customFormat="1" ht="15" customHeight="1"/>
    <row r="786" s="9" customFormat="1" ht="15" customHeight="1"/>
    <row r="787" s="9" customFormat="1" ht="15" customHeight="1"/>
    <row r="788" s="9" customFormat="1" ht="15" customHeight="1"/>
    <row r="789" s="9" customFormat="1" ht="15" customHeight="1"/>
    <row r="790" s="9" customFormat="1" ht="15" customHeight="1"/>
    <row r="791" s="9" customFormat="1" ht="15" customHeight="1"/>
    <row r="792" s="9" customFormat="1" ht="15" customHeight="1"/>
    <row r="793" s="9" customFormat="1" ht="15" customHeight="1"/>
    <row r="794" s="9" customFormat="1" ht="15" customHeight="1"/>
    <row r="795" s="9" customFormat="1" ht="15" customHeight="1"/>
    <row r="796" s="9" customFormat="1" ht="15" customHeight="1"/>
    <row r="797" s="9" customFormat="1" ht="15" customHeight="1"/>
    <row r="798" s="9" customFormat="1" ht="15" customHeight="1"/>
    <row r="799" s="9" customFormat="1" ht="15" customHeight="1"/>
    <row r="800" s="9" customFormat="1" ht="15" customHeight="1"/>
    <row r="801" s="9" customFormat="1" ht="15" customHeight="1"/>
    <row r="802" s="9" customFormat="1" ht="15" customHeight="1"/>
    <row r="803" s="9" customFormat="1" ht="15" customHeight="1"/>
    <row r="804" s="9" customFormat="1" ht="15" customHeight="1"/>
    <row r="805" s="9" customFormat="1" ht="15" customHeight="1"/>
    <row r="806" s="9" customFormat="1" ht="15" customHeight="1"/>
    <row r="807" s="9" customFormat="1" ht="15" customHeight="1"/>
    <row r="808" s="9" customFormat="1" ht="15" customHeight="1"/>
    <row r="809" s="9" customFormat="1" ht="15" customHeight="1"/>
    <row r="810" s="9" customFormat="1" ht="15" customHeight="1"/>
    <row r="811" s="9" customFormat="1" ht="15" customHeight="1"/>
    <row r="812" s="9" customFormat="1" ht="15" customHeight="1"/>
    <row r="813" s="9" customFormat="1" ht="15" customHeight="1"/>
    <row r="814" s="9" customFormat="1" ht="15" customHeight="1"/>
    <row r="815" s="9" customFormat="1" ht="15" customHeight="1"/>
    <row r="816" s="9" customFormat="1" ht="15" customHeight="1"/>
    <row r="817" s="9" customFormat="1" ht="15" customHeight="1"/>
    <row r="818" s="9" customFormat="1" ht="15" customHeight="1"/>
    <row r="819" s="9" customFormat="1" ht="15" customHeight="1"/>
    <row r="820" s="9" customFormat="1" ht="15" customHeight="1"/>
    <row r="821" s="9" customFormat="1" ht="15" customHeight="1"/>
    <row r="822" s="9" customFormat="1" ht="15" customHeight="1"/>
    <row r="823" s="9" customFormat="1" ht="15" customHeight="1"/>
    <row r="824" s="9" customFormat="1" ht="15" customHeight="1"/>
    <row r="825" s="9" customFormat="1" ht="15" customHeight="1"/>
    <row r="826" s="9" customFormat="1" ht="15" customHeight="1"/>
    <row r="827" s="9" customFormat="1" ht="15" customHeight="1"/>
    <row r="828" s="9" customFormat="1" ht="15" customHeight="1"/>
    <row r="829" s="9" customFormat="1" ht="15" customHeight="1"/>
    <row r="830" s="9" customFormat="1" ht="15" customHeight="1"/>
    <row r="831" s="9" customFormat="1" ht="15" customHeight="1"/>
    <row r="832" s="9" customFormat="1" ht="15" customHeight="1"/>
    <row r="833" s="9" customFormat="1" ht="15" customHeight="1"/>
    <row r="834" s="9" customFormat="1" ht="15" customHeight="1"/>
    <row r="835" s="9" customFormat="1" ht="15" customHeight="1"/>
    <row r="836" s="9" customFormat="1" ht="15" customHeight="1"/>
    <row r="837" s="9" customFormat="1" ht="15" customHeight="1"/>
    <row r="838" s="9" customFormat="1" ht="15" customHeight="1"/>
    <row r="839" s="9" customFormat="1" ht="15" customHeight="1"/>
    <row r="840" s="9" customFormat="1" ht="15" customHeight="1"/>
    <row r="841" s="9" customFormat="1" ht="15" customHeight="1"/>
    <row r="842" s="9" customFormat="1" ht="15" customHeight="1"/>
    <row r="843" s="9" customFormat="1" ht="15" customHeight="1"/>
    <row r="844" s="9" customFormat="1" ht="15" customHeight="1"/>
    <row r="845" s="9" customFormat="1" ht="15" customHeight="1"/>
    <row r="846" s="9" customFormat="1" ht="15" customHeight="1"/>
    <row r="847" s="9" customFormat="1" ht="15" customHeight="1"/>
    <row r="848" s="9" customFormat="1" ht="15" customHeight="1"/>
    <row r="849" s="9" customFormat="1" ht="15" customHeight="1"/>
    <row r="850" s="9" customFormat="1" ht="15" customHeight="1"/>
    <row r="851" s="9" customFormat="1" ht="15" customHeight="1"/>
    <row r="852" s="9" customFormat="1" ht="15" customHeight="1"/>
    <row r="853" s="9" customFormat="1" ht="15" customHeight="1"/>
    <row r="854" s="9" customFormat="1" ht="15" customHeight="1"/>
    <row r="855" s="9" customFormat="1" ht="15" customHeight="1"/>
    <row r="856" s="9" customFormat="1" ht="15" customHeight="1"/>
    <row r="857" s="9" customFormat="1" ht="15" customHeight="1"/>
    <row r="858" s="9" customFormat="1" ht="15" customHeight="1"/>
    <row r="859" s="9" customFormat="1" ht="15" customHeight="1"/>
    <row r="860" s="9" customFormat="1" ht="15" customHeight="1"/>
    <row r="861" s="9" customFormat="1" ht="15" customHeight="1"/>
    <row r="862" s="9" customFormat="1" ht="15" customHeight="1"/>
    <row r="863" s="9" customFormat="1" ht="15" customHeight="1"/>
    <row r="864" s="9" customFormat="1" ht="15" customHeight="1"/>
    <row r="865" s="9" customFormat="1" ht="15" customHeight="1"/>
    <row r="866" s="9" customFormat="1" ht="15" customHeight="1"/>
    <row r="867" s="9" customFormat="1" ht="15" customHeight="1"/>
    <row r="868" s="9" customFormat="1" ht="15" customHeight="1"/>
    <row r="869" s="9" customFormat="1" ht="15" customHeight="1"/>
    <row r="870" s="9" customFormat="1" ht="15" customHeight="1"/>
    <row r="871" s="9" customFormat="1" ht="15" customHeight="1"/>
    <row r="872" s="9" customFormat="1" ht="15" customHeight="1"/>
    <row r="873" s="9" customFormat="1" ht="15" customHeight="1"/>
    <row r="874" s="9" customFormat="1" ht="15" customHeight="1"/>
    <row r="875" s="9" customFormat="1" ht="15" customHeight="1"/>
    <row r="876" s="9" customFormat="1" ht="15" customHeight="1"/>
    <row r="877" s="9" customFormat="1" ht="15" customHeight="1"/>
    <row r="878" s="9" customFormat="1" ht="15" customHeight="1"/>
    <row r="879" s="9" customFormat="1" ht="15" customHeight="1"/>
    <row r="880" s="9" customFormat="1" ht="15" customHeight="1"/>
    <row r="881" s="9" customFormat="1" ht="15" customHeight="1"/>
    <row r="882" s="9" customFormat="1" ht="15" customHeight="1"/>
    <row r="883" s="9" customFormat="1" ht="15" customHeight="1"/>
    <row r="884" s="9" customFormat="1" ht="15" customHeight="1"/>
    <row r="885" s="9" customFormat="1" ht="15" customHeight="1"/>
    <row r="886" s="9" customFormat="1" ht="15" customHeight="1"/>
    <row r="887" s="9" customFormat="1" ht="15" customHeight="1"/>
    <row r="888" s="9" customFormat="1" ht="15" customHeight="1"/>
    <row r="889" s="9" customFormat="1" ht="15" customHeight="1"/>
    <row r="890" s="9" customFormat="1" ht="15" customHeight="1"/>
    <row r="891" s="9" customFormat="1" ht="15" customHeight="1"/>
    <row r="892" s="9" customFormat="1" ht="15" customHeight="1"/>
    <row r="893" s="9" customFormat="1" ht="15" customHeight="1"/>
    <row r="894" s="9" customFormat="1" ht="15" customHeight="1"/>
    <row r="895" s="9" customFormat="1" ht="15" customHeight="1"/>
    <row r="896" s="9" customFormat="1" ht="15" customHeight="1"/>
    <row r="897" s="9" customFormat="1" ht="15" customHeight="1"/>
    <row r="898" s="9" customFormat="1" ht="15" customHeight="1"/>
    <row r="899" s="9" customFormat="1" ht="15" customHeight="1"/>
    <row r="900" s="9" customFormat="1" ht="15" customHeight="1"/>
    <row r="901" s="9" customFormat="1" ht="15" customHeight="1"/>
    <row r="902" s="9" customFormat="1" ht="15" customHeight="1"/>
    <row r="903" s="9" customFormat="1" ht="15" customHeight="1"/>
    <row r="904" s="9" customFormat="1" ht="15" customHeight="1"/>
    <row r="905" s="9" customFormat="1" ht="15" customHeight="1"/>
    <row r="906" s="9" customFormat="1" ht="15" customHeight="1"/>
    <row r="907" s="9" customFormat="1" ht="15" customHeight="1"/>
    <row r="908" s="9" customFormat="1" ht="15" customHeight="1"/>
    <row r="909" s="9" customFormat="1" ht="15" customHeight="1"/>
    <row r="910" s="9" customFormat="1" ht="15" customHeight="1"/>
    <row r="911" s="9" customFormat="1" ht="15" customHeight="1"/>
    <row r="912" s="9" customFormat="1" ht="15" customHeight="1"/>
    <row r="913" s="9" customFormat="1" ht="15" customHeight="1"/>
    <row r="914" s="9" customFormat="1" ht="15" customHeight="1"/>
    <row r="915" s="9" customFormat="1" ht="15" customHeight="1"/>
    <row r="916" s="9" customFormat="1" ht="15" customHeight="1"/>
    <row r="917" s="9" customFormat="1" ht="15" customHeight="1"/>
  </sheetData>
  <sheetProtection algorithmName="SHA-512" hashValue="kguSXWmBwig6Y3FcMuL6PVvCl5JBtgjt3Z1SeCTItgsVGX7L0S4hsPb39iFljcZLI15tUebZUfUo11thO1qT/w==" saltValue="JpPmkDJvNqwOEwUe7WheRg==" spinCount="100000" sheet="1" objects="1" scenarios="1"/>
  <hyperlinks>
    <hyperlink ref="A1" location="'Start-Experte'!A1" display="zurück" xr:uid="{00000000-0004-0000-29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DD7599F3-CBA0-428C-865A-2F5D974C211C}">
            <xm:f>ControlPanel!$D$59-1</xm:f>
            <x14:dxf>
              <font>
                <color rgb="FF9C6500"/>
              </font>
              <fill>
                <patternFill>
                  <bgColor rgb="FFFFEB9C"/>
                </patternFill>
              </fill>
            </x14:dxf>
          </x14:cfRule>
          <x14:cfRule type="cellIs" priority="2" operator="lessThan" id="{5CF79FE4-298F-498E-84A6-BBCC1EEC14C7}">
            <xm:f>ControlPanel!$D$59</xm:f>
            <x14:dxf>
              <font>
                <color rgb="FF006100"/>
              </font>
              <fill>
                <patternFill>
                  <bgColor rgb="FFC6EFCE"/>
                </patternFill>
              </fill>
            </x14:dxf>
          </x14:cfRule>
          <x14:cfRule type="cellIs" priority="3" operator="lessThan" id="{98866CA3-FF8C-4ADD-A281-0BF161FB7C63}">
            <xm:f>ControlPanel!$D$59+1</xm:f>
            <x14:dxf>
              <font>
                <color rgb="FF006100"/>
              </font>
              <fill>
                <patternFill>
                  <fgColor indexed="64"/>
                  <bgColor rgb="FFC6EFCE"/>
                </patternFill>
              </fill>
            </x14:dxf>
          </x14:cfRule>
          <xm:sqref>G4:AF4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54">
    <tabColor theme="9" tint="-0.499984740745262"/>
  </sheetPr>
  <dimension ref="A1:AF917"/>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1" width="8.7109375" style="9" customWidth="1" outlineLevel="1"/>
    <col min="12" max="15" width="9.7109375" style="9" bestFit="1" customWidth="1"/>
    <col min="16" max="32" width="9.7109375" style="9" bestFit="1" customWidth="1" outlineLevel="1"/>
    <col min="33" max="16384" width="11.5703125" style="9"/>
  </cols>
  <sheetData>
    <row r="1" spans="1:32">
      <c r="A1" s="41" t="s">
        <v>183</v>
      </c>
      <c r="B1" s="62" t="s">
        <v>662</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661</v>
      </c>
      <c r="H5" s="330" t="s">
        <v>661</v>
      </c>
      <c r="I5" s="330" t="s">
        <v>661</v>
      </c>
      <c r="J5" s="330" t="s">
        <v>661</v>
      </c>
      <c r="K5" s="330" t="s">
        <v>661</v>
      </c>
      <c r="L5" s="330" t="s">
        <v>661</v>
      </c>
      <c r="M5" s="330" t="s">
        <v>661</v>
      </c>
      <c r="N5" s="330" t="s">
        <v>661</v>
      </c>
      <c r="O5" s="330" t="s">
        <v>661</v>
      </c>
      <c r="P5" s="330" t="s">
        <v>661</v>
      </c>
      <c r="Q5" s="330" t="s">
        <v>661</v>
      </c>
      <c r="R5" s="330" t="s">
        <v>661</v>
      </c>
      <c r="S5" s="330" t="s">
        <v>661</v>
      </c>
      <c r="T5" s="330" t="s">
        <v>661</v>
      </c>
      <c r="U5" s="330" t="s">
        <v>661</v>
      </c>
      <c r="V5" s="330" t="s">
        <v>661</v>
      </c>
      <c r="W5" s="330" t="s">
        <v>661</v>
      </c>
      <c r="X5" s="330" t="s">
        <v>661</v>
      </c>
      <c r="Y5" s="330" t="s">
        <v>661</v>
      </c>
      <c r="Z5" s="330" t="s">
        <v>661</v>
      </c>
      <c r="AA5" s="330" t="s">
        <v>661</v>
      </c>
      <c r="AB5" s="330" t="s">
        <v>661</v>
      </c>
      <c r="AC5" s="330" t="s">
        <v>661</v>
      </c>
      <c r="AD5" s="330" t="s">
        <v>661</v>
      </c>
      <c r="AE5" s="330" t="s">
        <v>661</v>
      </c>
      <c r="AF5" s="330" t="s">
        <v>661</v>
      </c>
    </row>
    <row r="6" spans="1:32" ht="69" customHeight="1" thickBot="1">
      <c r="B6" s="172" t="s">
        <v>25</v>
      </c>
      <c r="C6" s="181" t="s">
        <v>77</v>
      </c>
      <c r="D6" s="15" t="s">
        <v>256</v>
      </c>
      <c r="E6" s="15" t="s">
        <v>659</v>
      </c>
      <c r="F6" s="602" t="s">
        <v>922</v>
      </c>
      <c r="G6" s="14"/>
      <c r="H6" s="14"/>
      <c r="I6" s="14"/>
      <c r="J6" s="14"/>
      <c r="K6" s="1250">
        <f>'D-Bestand Strommenge'!K6*'Nebenrechnung_Bestand Zahlungen'!K27</f>
        <v>0.59286870539361292</v>
      </c>
      <c r="L6" s="1250">
        <f>'D-Bestand Strommenge'!L6*'Nebenrechnung_Bestand Zahlungen'!L27</f>
        <v>0.59589834152286625</v>
      </c>
      <c r="M6" s="1250">
        <f>'D-Bestand Strommenge'!M6*'Nebenrechnung_Bestand Zahlungen'!M27</f>
        <v>0.59589834152286625</v>
      </c>
      <c r="N6" s="1250">
        <f>'D-Bestand Strommenge'!N6*'Nebenrechnung_Bestand Zahlungen'!N27</f>
        <v>0.59589834152286625</v>
      </c>
      <c r="O6" s="1250">
        <f>'D-Bestand Strommenge'!O6*'Nebenrechnung_Bestand Zahlungen'!O27</f>
        <v>0.59589834152286625</v>
      </c>
      <c r="P6" s="1250">
        <f>'D-Bestand Strommenge'!P6*'Nebenrechnung_Bestand Zahlungen'!P27</f>
        <v>0.59589834152286625</v>
      </c>
      <c r="Q6" s="1250">
        <f>'D-Bestand Strommenge'!Q6*'Nebenrechnung_Bestand Zahlungen'!Q27</f>
        <v>0.59589834152286625</v>
      </c>
      <c r="R6" s="1250">
        <f>'D-Bestand Strommenge'!R6*'Nebenrechnung_Bestand Zahlungen'!R27</f>
        <v>0.59589834152286625</v>
      </c>
      <c r="S6" s="1250">
        <f>'D-Bestand Strommenge'!S6*'Nebenrechnung_Bestand Zahlungen'!S27</f>
        <v>0.59589834152286625</v>
      </c>
      <c r="T6" s="1250">
        <f>'D-Bestand Strommenge'!T6*'Nebenrechnung_Bestand Zahlungen'!T27</f>
        <v>0.59589834152286625</v>
      </c>
      <c r="U6" s="1250">
        <f>'D-Bestand Strommenge'!U6*'Nebenrechnung_Bestand Zahlungen'!U27</f>
        <v>0.59589834152286625</v>
      </c>
      <c r="V6" s="1250">
        <f>'D-Bestand Strommenge'!V6*'Nebenrechnung_Bestand Zahlungen'!V27</f>
        <v>0.59589834152286625</v>
      </c>
      <c r="W6" s="1250">
        <f>'D-Bestand Strommenge'!W6*'Nebenrechnung_Bestand Zahlungen'!W27</f>
        <v>0.59589834152286625</v>
      </c>
      <c r="X6" s="1250">
        <f>'D-Bestand Strommenge'!X6*'Nebenrechnung_Bestand Zahlungen'!X27</f>
        <v>0.59589834152286625</v>
      </c>
      <c r="Y6" s="1250">
        <f>'D-Bestand Strommenge'!Y6*'Nebenrechnung_Bestand Zahlungen'!Y27</f>
        <v>0.59589834152286625</v>
      </c>
      <c r="Z6" s="1250">
        <f>'D-Bestand Strommenge'!Z6*'Nebenrechnung_Bestand Zahlungen'!Z27</f>
        <v>0.59589834152286625</v>
      </c>
      <c r="AA6" s="1250">
        <f>'D-Bestand Strommenge'!AA6*'Nebenrechnung_Bestand Zahlungen'!AA27</f>
        <v>0.54195695216777517</v>
      </c>
      <c r="AB6" s="1250">
        <f>'D-Bestand Strommenge'!AB6*'Nebenrechnung_Bestand Zahlungen'!AB27</f>
        <v>0.50533948832503828</v>
      </c>
      <c r="AC6" s="1250">
        <f>'D-Bestand Strommenge'!AC6*'Nebenrechnung_Bestand Zahlungen'!AC27</f>
        <v>0.47262537548595118</v>
      </c>
      <c r="AD6" s="1250">
        <f>'D-Bestand Strommenge'!AD6*'Nebenrechnung_Bestand Zahlungen'!AD27</f>
        <v>0.45094447604902621</v>
      </c>
      <c r="AE6" s="1250">
        <f>'D-Bestand Strommenge'!AE6*'Nebenrechnung_Bestand Zahlungen'!AE27</f>
        <v>0.40388984807890255</v>
      </c>
      <c r="AF6" s="1250">
        <f>'D-Bestand Strommenge'!AF6*'Nebenrechnung_Bestand Zahlungen'!AF27</f>
        <v>0.39783057582039583</v>
      </c>
    </row>
    <row r="7" spans="1:32" ht="69" customHeight="1" thickBot="1">
      <c r="B7" s="171" t="s">
        <v>27</v>
      </c>
      <c r="C7" s="181" t="s">
        <v>77</v>
      </c>
      <c r="D7" s="15" t="s">
        <v>256</v>
      </c>
      <c r="E7" s="15" t="s">
        <v>659</v>
      </c>
      <c r="F7" s="602" t="s">
        <v>922</v>
      </c>
      <c r="G7" s="14"/>
      <c r="H7" s="14"/>
      <c r="I7" s="14"/>
      <c r="J7" s="14"/>
      <c r="K7" s="1250">
        <f>'D-Bestand Strommenge'!K7*'Nebenrechnung_Bestand Zahlungen'!K28</f>
        <v>0.10088070045763399</v>
      </c>
      <c r="L7" s="1250">
        <f>'D-Bestand Strommenge'!L7*'Nebenrechnung_Bestand Zahlungen'!L28</f>
        <v>0.10116121574165485</v>
      </c>
      <c r="M7" s="1250">
        <f>'D-Bestand Strommenge'!M7*'Nebenrechnung_Bestand Zahlungen'!M28</f>
        <v>0.10116121574165485</v>
      </c>
      <c r="N7" s="1250">
        <f>'D-Bestand Strommenge'!N7*'Nebenrechnung_Bestand Zahlungen'!N28</f>
        <v>0.10116121574165485</v>
      </c>
      <c r="O7" s="1250">
        <f>'D-Bestand Strommenge'!O7*'Nebenrechnung_Bestand Zahlungen'!O28</f>
        <v>0.10116121574165485</v>
      </c>
      <c r="P7" s="1250">
        <f>'D-Bestand Strommenge'!P7*'Nebenrechnung_Bestand Zahlungen'!P28</f>
        <v>0.10116121574165485</v>
      </c>
      <c r="Q7" s="1250">
        <f>'D-Bestand Strommenge'!Q7*'Nebenrechnung_Bestand Zahlungen'!Q28</f>
        <v>0.10116121574165485</v>
      </c>
      <c r="R7" s="1250">
        <f>'D-Bestand Strommenge'!R7*'Nebenrechnung_Bestand Zahlungen'!R28</f>
        <v>7.9133545585612253E-2</v>
      </c>
      <c r="S7" s="1250">
        <f>'D-Bestand Strommenge'!S7*'Nebenrechnung_Bestand Zahlungen'!S28</f>
        <v>7.1727150881228011E-2</v>
      </c>
      <c r="T7" s="1250">
        <f>'D-Bestand Strommenge'!T7*'Nebenrechnung_Bestand Zahlungen'!T28</f>
        <v>5.2864086060311559E-2</v>
      </c>
      <c r="U7" s="1250">
        <f>'D-Bestand Strommenge'!U7*'Nebenrechnung_Bestand Zahlungen'!U28</f>
        <v>3.1357929537542545E-2</v>
      </c>
      <c r="V7" s="1250">
        <f>'D-Bestand Strommenge'!V7*'Nebenrechnung_Bestand Zahlungen'!V28</f>
        <v>1.1322285335139877E-2</v>
      </c>
      <c r="W7" s="1250">
        <f>'D-Bestand Strommenge'!W7*'Nebenrechnung_Bestand Zahlungen'!W28</f>
        <v>9.0650761329917826E-3</v>
      </c>
      <c r="X7" s="1250">
        <f>'D-Bestand Strommenge'!X7*'Nebenrechnung_Bestand Zahlungen'!X28</f>
        <v>7.244575089586645E-3</v>
      </c>
      <c r="Y7" s="1250">
        <f>'D-Bestand Strommenge'!Y7*'Nebenrechnung_Bestand Zahlungen'!Y28</f>
        <v>6.9699990613540114E-3</v>
      </c>
      <c r="Z7" s="1250">
        <f>'D-Bestand Strommenge'!Z7*'Nebenrechnung_Bestand Zahlungen'!Z28</f>
        <v>6.741430146899088E-3</v>
      </c>
      <c r="AA7" s="1250">
        <f>'D-Bestand Strommenge'!AA7*'Nebenrechnung_Bestand Zahlungen'!AA28</f>
        <v>3.8404013457238352E-3</v>
      </c>
      <c r="AB7" s="1250">
        <f>'D-Bestand Strommenge'!AB7*'Nebenrechnung_Bestand Zahlungen'!AB28</f>
        <v>3.1931576106920341E-3</v>
      </c>
      <c r="AC7" s="1250">
        <f>'D-Bestand Strommenge'!AC7*'Nebenrechnung_Bestand Zahlungen'!AC28</f>
        <v>1.0846120363654757E-3</v>
      </c>
      <c r="AD7" s="1250">
        <f>'D-Bestand Strommenge'!AD7*'Nebenrechnung_Bestand Zahlungen'!AD28</f>
        <v>8.5736373947492236E-4</v>
      </c>
      <c r="AE7" s="1250">
        <f>'D-Bestand Strommenge'!AE7*'Nebenrechnung_Bestand Zahlungen'!AE28</f>
        <v>5.6103056804173075E-4</v>
      </c>
      <c r="AF7" s="1250">
        <f>'D-Bestand Strommenge'!AF7*'Nebenrechnung_Bestand Zahlungen'!AF28</f>
        <v>0</v>
      </c>
    </row>
    <row r="8" spans="1:32" ht="69" customHeight="1" thickBot="1">
      <c r="B8" s="171" t="s">
        <v>13</v>
      </c>
      <c r="C8" s="181" t="s">
        <v>77</v>
      </c>
      <c r="D8" s="15" t="s">
        <v>256</v>
      </c>
      <c r="E8" s="15" t="s">
        <v>659</v>
      </c>
      <c r="F8" s="602" t="s">
        <v>922</v>
      </c>
      <c r="G8" s="38"/>
      <c r="H8" s="38"/>
      <c r="I8" s="38"/>
      <c r="J8" s="38"/>
      <c r="K8" s="1250">
        <f>'D-Bestand Strommenge'!K8*'Nebenrechnung_Bestand Zahlungen'!K29</f>
        <v>7.2799949454380881</v>
      </c>
      <c r="L8" s="1250">
        <f>'D-Bestand Strommenge'!L8*'Nebenrechnung_Bestand Zahlungen'!L29</f>
        <v>7.2822097617115737</v>
      </c>
      <c r="M8" s="1250">
        <f>'D-Bestand Strommenge'!M8*'Nebenrechnung_Bestand Zahlungen'!M29</f>
        <v>7.2822097617115737</v>
      </c>
      <c r="N8" s="1250">
        <f>'D-Bestand Strommenge'!N8*'Nebenrechnung_Bestand Zahlungen'!N29</f>
        <v>7.2822097617115737</v>
      </c>
      <c r="O8" s="1250">
        <f>'D-Bestand Strommenge'!O8*'Nebenrechnung_Bestand Zahlungen'!O29</f>
        <v>7.2822097617115737</v>
      </c>
      <c r="P8" s="1250">
        <f>'D-Bestand Strommenge'!P8*'Nebenrechnung_Bestand Zahlungen'!P29</f>
        <v>7.2822097617115737</v>
      </c>
      <c r="Q8" s="1250">
        <f>'D-Bestand Strommenge'!Q8*'Nebenrechnung_Bestand Zahlungen'!Q29</f>
        <v>7.2822097617115737</v>
      </c>
      <c r="R8" s="1250">
        <f>'D-Bestand Strommenge'!R8*'Nebenrechnung_Bestand Zahlungen'!R29</f>
        <v>7.1835599193497597</v>
      </c>
      <c r="S8" s="1250">
        <f>'D-Bestand Strommenge'!S8*'Nebenrechnung_Bestand Zahlungen'!S29</f>
        <v>7.0063821479103723</v>
      </c>
      <c r="T8" s="1250">
        <f>'D-Bestand Strommenge'!T8*'Nebenrechnung_Bestand Zahlungen'!T29</f>
        <v>6.8884682715222976</v>
      </c>
      <c r="U8" s="1250">
        <f>'D-Bestand Strommenge'!U8*'Nebenrechnung_Bestand Zahlungen'!U29</f>
        <v>6.7127656435478675</v>
      </c>
      <c r="V8" s="1250">
        <f>'D-Bestand Strommenge'!V8*'Nebenrechnung_Bestand Zahlungen'!V29</f>
        <v>6.2423181166542427</v>
      </c>
      <c r="W8" s="1250">
        <f>'D-Bestand Strommenge'!W8*'Nebenrechnung_Bestand Zahlungen'!W29</f>
        <v>5.4761455165830508</v>
      </c>
      <c r="X8" s="1250">
        <f>'D-Bestand Strommenge'!X8*'Nebenrechnung_Bestand Zahlungen'!X29</f>
        <v>4.5511637155272862</v>
      </c>
      <c r="Y8" s="1250">
        <f>'D-Bestand Strommenge'!Y8*'Nebenrechnung_Bestand Zahlungen'!Y29</f>
        <v>3.8293232180234993</v>
      </c>
      <c r="Z8" s="1250">
        <f>'D-Bestand Strommenge'!Z8*'Nebenrechnung_Bestand Zahlungen'!Z29</f>
        <v>3.4436416618349535</v>
      </c>
      <c r="AA8" s="1250">
        <f>'D-Bestand Strommenge'!AA8*'Nebenrechnung_Bestand Zahlungen'!AA29</f>
        <v>2.9305329049374462</v>
      </c>
      <c r="AB8" s="1250">
        <f>'D-Bestand Strommenge'!AB8*'Nebenrechnung_Bestand Zahlungen'!AB29</f>
        <v>2.1644259699180277</v>
      </c>
      <c r="AC8" s="1250">
        <f>'D-Bestand Strommenge'!AC8*'Nebenrechnung_Bestand Zahlungen'!AC29</f>
        <v>0.89513810954450024</v>
      </c>
      <c r="AD8" s="1250">
        <f>'D-Bestand Strommenge'!AD8*'Nebenrechnung_Bestand Zahlungen'!AD29</f>
        <v>0.51884364039180542</v>
      </c>
      <c r="AE8" s="1250">
        <f>'D-Bestand Strommenge'!AE8*'Nebenrechnung_Bestand Zahlungen'!AE29</f>
        <v>0.23001388790139352</v>
      </c>
      <c r="AF8" s="1250">
        <f>'D-Bestand Strommenge'!AF8*'Nebenrechnung_Bestand Zahlungen'!AF29</f>
        <v>0</v>
      </c>
    </row>
    <row r="9" spans="1:32" ht="69" customHeight="1" thickBot="1">
      <c r="B9" s="171" t="s">
        <v>12</v>
      </c>
      <c r="C9" s="181" t="s">
        <v>77</v>
      </c>
      <c r="D9" s="15" t="s">
        <v>256</v>
      </c>
      <c r="E9" s="15" t="s">
        <v>659</v>
      </c>
      <c r="F9" s="602" t="s">
        <v>922</v>
      </c>
      <c r="G9" s="14"/>
      <c r="H9" s="14"/>
      <c r="I9" s="14"/>
      <c r="J9" s="14"/>
      <c r="K9" s="1250">
        <f>'D-Bestand Strommenge'!K9*'Nebenrechnung_Bestand Zahlungen'!K30</f>
        <v>3.5347562923361824E-2</v>
      </c>
      <c r="L9" s="1250">
        <f>'D-Bestand Strommenge'!L9*'Nebenrechnung_Bestand Zahlungen'!L30</f>
        <v>3.7412390998028656E-2</v>
      </c>
      <c r="M9" s="1250">
        <f>'D-Bestand Strommenge'!M9*'Nebenrechnung_Bestand Zahlungen'!M30</f>
        <v>3.7412390998028656E-2</v>
      </c>
      <c r="N9" s="1250">
        <f>'D-Bestand Strommenge'!N9*'Nebenrechnung_Bestand Zahlungen'!N30</f>
        <v>3.7412390998028656E-2</v>
      </c>
      <c r="O9" s="1250">
        <f>'D-Bestand Strommenge'!O9*'Nebenrechnung_Bestand Zahlungen'!O30</f>
        <v>3.7412390998028656E-2</v>
      </c>
      <c r="P9" s="1250">
        <f>'D-Bestand Strommenge'!P9*'Nebenrechnung_Bestand Zahlungen'!P30</f>
        <v>3.7412390998028656E-2</v>
      </c>
      <c r="Q9" s="1250">
        <f>'D-Bestand Strommenge'!Q9*'Nebenrechnung_Bestand Zahlungen'!Q30</f>
        <v>3.7412390998028656E-2</v>
      </c>
      <c r="R9" s="1250">
        <f>'D-Bestand Strommenge'!R9*'Nebenrechnung_Bestand Zahlungen'!R30</f>
        <v>3.7412390998028656E-2</v>
      </c>
      <c r="S9" s="1250">
        <f>'D-Bestand Strommenge'!S9*'Nebenrechnung_Bestand Zahlungen'!S30</f>
        <v>3.7412390998028656E-2</v>
      </c>
      <c r="T9" s="1250">
        <f>'D-Bestand Strommenge'!T9*'Nebenrechnung_Bestand Zahlungen'!T30</f>
        <v>3.7412390998028656E-2</v>
      </c>
      <c r="U9" s="1250">
        <f>'D-Bestand Strommenge'!U9*'Nebenrechnung_Bestand Zahlungen'!U30</f>
        <v>3.7412390998028656E-2</v>
      </c>
      <c r="V9" s="1250">
        <f>'D-Bestand Strommenge'!V9*'Nebenrechnung_Bestand Zahlungen'!V30</f>
        <v>3.7412390998028656E-2</v>
      </c>
      <c r="W9" s="1250">
        <f>'D-Bestand Strommenge'!W9*'Nebenrechnung_Bestand Zahlungen'!W30</f>
        <v>3.7412390998028656E-2</v>
      </c>
      <c r="X9" s="1250">
        <f>'D-Bestand Strommenge'!X9*'Nebenrechnung_Bestand Zahlungen'!X30</f>
        <v>3.7412390998028656E-2</v>
      </c>
      <c r="Y9" s="1250">
        <f>'D-Bestand Strommenge'!Y9*'Nebenrechnung_Bestand Zahlungen'!Y30</f>
        <v>3.7412390998028656E-2</v>
      </c>
      <c r="Z9" s="1250">
        <f>'D-Bestand Strommenge'!Z9*'Nebenrechnung_Bestand Zahlungen'!Z30</f>
        <v>3.7412390998028656E-2</v>
      </c>
      <c r="AA9" s="1250">
        <f>'D-Bestand Strommenge'!AA9*'Nebenrechnung_Bestand Zahlungen'!AA30</f>
        <v>3.5255721675931898E-2</v>
      </c>
      <c r="AB9" s="1250">
        <f>'D-Bestand Strommenge'!AB9*'Nebenrechnung_Bestand Zahlungen'!AB30</f>
        <v>3.5255721675931898E-2</v>
      </c>
      <c r="AC9" s="1250">
        <f>'D-Bestand Strommenge'!AC9*'Nebenrechnung_Bestand Zahlungen'!AC30</f>
        <v>3.5255721675931898E-2</v>
      </c>
      <c r="AD9" s="1250">
        <f>'D-Bestand Strommenge'!AD9*'Nebenrechnung_Bestand Zahlungen'!AD30</f>
        <v>2.0118844946834122E-2</v>
      </c>
      <c r="AE9" s="1250">
        <f>'D-Bestand Strommenge'!AE9*'Nebenrechnung_Bestand Zahlungen'!AE30</f>
        <v>4.1296561493336659E-3</v>
      </c>
      <c r="AF9" s="1250">
        <f>'D-Bestand Strommenge'!AF9*'Nebenrechnung_Bestand Zahlungen'!AF30</f>
        <v>0</v>
      </c>
    </row>
    <row r="10" spans="1:32" ht="69" customHeight="1" thickBot="1">
      <c r="B10" s="171" t="s">
        <v>24</v>
      </c>
      <c r="C10" s="181" t="s">
        <v>77</v>
      </c>
      <c r="D10" s="15" t="s">
        <v>256</v>
      </c>
      <c r="E10" s="15" t="s">
        <v>659</v>
      </c>
      <c r="F10" s="602" t="s">
        <v>922</v>
      </c>
      <c r="G10" s="14">
        <v>0</v>
      </c>
      <c r="H10" s="14">
        <v>0</v>
      </c>
      <c r="I10" s="14">
        <v>0</v>
      </c>
      <c r="J10" s="14">
        <v>0</v>
      </c>
      <c r="K10" s="1250">
        <f>'D-Bestand Strommenge'!K10*'Nebenrechnung_Bestand Zahlungen'!K31</f>
        <v>5.913608732102106</v>
      </c>
      <c r="L10" s="1250">
        <f>'D-Bestand Strommenge'!L10*'Nebenrechnung_Bestand Zahlungen'!L31</f>
        <v>5.9080181485994006</v>
      </c>
      <c r="M10" s="1250">
        <f>'D-Bestand Strommenge'!M10*'Nebenrechnung_Bestand Zahlungen'!M31</f>
        <v>5.8559783800617975</v>
      </c>
      <c r="N10" s="1250">
        <f>'D-Bestand Strommenge'!N10*'Nebenrechnung_Bestand Zahlungen'!N31</f>
        <v>5.7958207532086137</v>
      </c>
      <c r="O10" s="1250">
        <f>'D-Bestand Strommenge'!O10*'Nebenrechnung_Bestand Zahlungen'!O31</f>
        <v>5.7206040650143537</v>
      </c>
      <c r="P10" s="1250">
        <f>'D-Bestand Strommenge'!P10*'Nebenrechnung_Bestand Zahlungen'!P31</f>
        <v>5.5391983038891324</v>
      </c>
      <c r="Q10" s="1250">
        <f>'D-Bestand Strommenge'!Q10*'Nebenrechnung_Bestand Zahlungen'!Q31</f>
        <v>5.3450702699699582</v>
      </c>
      <c r="R10" s="1250">
        <f>'D-Bestand Strommenge'!R10*'Nebenrechnung_Bestand Zahlungen'!R31</f>
        <v>5.0040482709215501</v>
      </c>
      <c r="S10" s="1250">
        <f>'D-Bestand Strommenge'!S10*'Nebenrechnung_Bestand Zahlungen'!S31</f>
        <v>4.5933769461465612</v>
      </c>
      <c r="T10" s="1250">
        <f>'D-Bestand Strommenge'!T10*'Nebenrechnung_Bestand Zahlungen'!T31</f>
        <v>4.1397134228611003</v>
      </c>
      <c r="U10" s="1250">
        <f>'D-Bestand Strommenge'!U10*'Nebenrechnung_Bestand Zahlungen'!U31</f>
        <v>3.7472829262103087</v>
      </c>
      <c r="V10" s="1250">
        <f>'D-Bestand Strommenge'!V10*'Nebenrechnung_Bestand Zahlungen'!V31</f>
        <v>3.4352475905939217</v>
      </c>
      <c r="W10" s="1250">
        <f>'D-Bestand Strommenge'!W10*'Nebenrechnung_Bestand Zahlungen'!W31</f>
        <v>3.1723216082086347</v>
      </c>
      <c r="X10" s="1250">
        <f>'D-Bestand Strommenge'!X10*'Nebenrechnung_Bestand Zahlungen'!X31</f>
        <v>2.9186027412083968</v>
      </c>
      <c r="Y10" s="1250">
        <f>'D-Bestand Strommenge'!Y10*'Nebenrechnung_Bestand Zahlungen'!Y31</f>
        <v>2.5442182293103834</v>
      </c>
      <c r="Z10" s="1250">
        <f>'D-Bestand Strommenge'!Z10*'Nebenrechnung_Bestand Zahlungen'!Z31</f>
        <v>2.3488502345062381</v>
      </c>
      <c r="AA10" s="1250">
        <f>'D-Bestand Strommenge'!AA10*'Nebenrechnung_Bestand Zahlungen'!AA31</f>
        <v>1.9616616738554147</v>
      </c>
      <c r="AB10" s="1250">
        <f>'D-Bestand Strommenge'!AB10*'Nebenrechnung_Bestand Zahlungen'!AB31</f>
        <v>1.6397653312195617</v>
      </c>
      <c r="AC10" s="1250">
        <f>'D-Bestand Strommenge'!AC10*'Nebenrechnung_Bestand Zahlungen'!AC31</f>
        <v>1.212221907437363</v>
      </c>
      <c r="AD10" s="1250">
        <f>'D-Bestand Strommenge'!AD10*'Nebenrechnung_Bestand Zahlungen'!AD31</f>
        <v>0.62948449664969264</v>
      </c>
      <c r="AE10" s="1250">
        <f>'D-Bestand Strommenge'!AE10*'Nebenrechnung_Bestand Zahlungen'!AE31</f>
        <v>0.38775441579484493</v>
      </c>
      <c r="AF10" s="1250">
        <f>'D-Bestand Strommenge'!AF10*'Nebenrechnung_Bestand Zahlungen'!AF31</f>
        <v>0</v>
      </c>
    </row>
    <row r="11" spans="1:32" ht="69" customHeight="1" thickBot="1">
      <c r="B11" s="171" t="s">
        <v>26</v>
      </c>
      <c r="C11" s="181" t="s">
        <v>77</v>
      </c>
      <c r="D11" s="15" t="s">
        <v>256</v>
      </c>
      <c r="E11" s="15" t="s">
        <v>659</v>
      </c>
      <c r="F11" s="602" t="s">
        <v>922</v>
      </c>
      <c r="G11" s="14"/>
      <c r="H11" s="14"/>
      <c r="I11" s="14"/>
      <c r="J11" s="14"/>
      <c r="K11" s="1250">
        <f>'D-Bestand Strommenge'!K11*'Nebenrechnung_Bestand Zahlungen'!K32</f>
        <v>0.60716545563098923</v>
      </c>
      <c r="L11" s="1250">
        <f>'D-Bestand Strommenge'!L11*'Nebenrechnung_Bestand Zahlungen'!L32</f>
        <v>0.60356357547678685</v>
      </c>
      <c r="M11" s="1250">
        <f>'D-Bestand Strommenge'!M11*'Nebenrechnung_Bestand Zahlungen'!M32</f>
        <v>0.60356357547678685</v>
      </c>
      <c r="N11" s="1250">
        <f>'D-Bestand Strommenge'!N11*'Nebenrechnung_Bestand Zahlungen'!N32</f>
        <v>0.60356357547678685</v>
      </c>
      <c r="O11" s="1250">
        <f>'D-Bestand Strommenge'!O11*'Nebenrechnung_Bestand Zahlungen'!O32</f>
        <v>0.60356357547678685</v>
      </c>
      <c r="P11" s="1250">
        <f>'D-Bestand Strommenge'!P11*'Nebenrechnung_Bestand Zahlungen'!P32</f>
        <v>0.60356357547678685</v>
      </c>
      <c r="Q11" s="1250">
        <f>'D-Bestand Strommenge'!Q11*'Nebenrechnung_Bestand Zahlungen'!Q32</f>
        <v>0.60356357547678685</v>
      </c>
      <c r="R11" s="1250">
        <f>'D-Bestand Strommenge'!R11*'Nebenrechnung_Bestand Zahlungen'!R32</f>
        <v>0.59254805064153393</v>
      </c>
      <c r="S11" s="1250">
        <f>'D-Bestand Strommenge'!S11*'Nebenrechnung_Bestand Zahlungen'!S32</f>
        <v>0.56103308229646875</v>
      </c>
      <c r="T11" s="1250">
        <f>'D-Bestand Strommenge'!T11*'Nebenrechnung_Bestand Zahlungen'!T32</f>
        <v>0.49277975552190662</v>
      </c>
      <c r="U11" s="1250">
        <f>'D-Bestand Strommenge'!U11*'Nebenrechnung_Bestand Zahlungen'!U32</f>
        <v>0.46000856913702937</v>
      </c>
      <c r="V11" s="1250">
        <f>'D-Bestand Strommenge'!V11*'Nebenrechnung_Bestand Zahlungen'!V32</f>
        <v>0.35126853272283842</v>
      </c>
      <c r="W11" s="1250">
        <f>'D-Bestand Strommenge'!W11*'Nebenrechnung_Bestand Zahlungen'!W32</f>
        <v>0.15540393694483204</v>
      </c>
      <c r="X11" s="1250">
        <f>'D-Bestand Strommenge'!X11*'Nebenrechnung_Bestand Zahlungen'!X32</f>
        <v>0.10890415353008552</v>
      </c>
      <c r="Y11" s="1250">
        <f>'D-Bestand Strommenge'!Y11*'Nebenrechnung_Bestand Zahlungen'!Y32</f>
        <v>0.10880177353992368</v>
      </c>
      <c r="Z11" s="1250">
        <f>'D-Bestand Strommenge'!Z11*'Nebenrechnung_Bestand Zahlungen'!Z32</f>
        <v>0.10865322218164962</v>
      </c>
      <c r="AA11" s="1250">
        <f>'D-Bestand Strommenge'!AA11*'Nebenrechnung_Bestand Zahlungen'!AA32</f>
        <v>0.1045481204783134</v>
      </c>
      <c r="AB11" s="1250">
        <f>'D-Bestand Strommenge'!AB11*'Nebenrechnung_Bestand Zahlungen'!AB32</f>
        <v>9.8851901663614142E-2</v>
      </c>
      <c r="AC11" s="1250">
        <f>'D-Bestand Strommenge'!AC11*'Nebenrechnung_Bestand Zahlungen'!AC32</f>
        <v>8.5362751275515861E-2</v>
      </c>
      <c r="AD11" s="1250">
        <f>'D-Bestand Strommenge'!AD11*'Nebenrechnung_Bestand Zahlungen'!AD32</f>
        <v>7.5324521014464643E-2</v>
      </c>
      <c r="AE11" s="1250">
        <f>'D-Bestand Strommenge'!AE11*'Nebenrechnung_Bestand Zahlungen'!AE32</f>
        <v>4.6121585919529411E-2</v>
      </c>
      <c r="AF11" s="1250">
        <f>'D-Bestand Strommenge'!AF11*'Nebenrechnung_Bestand Zahlungen'!AF32</f>
        <v>0</v>
      </c>
    </row>
    <row r="12" spans="1:32" ht="69" customHeight="1" thickBot="1">
      <c r="B12" s="171" t="s">
        <v>14</v>
      </c>
      <c r="C12" s="181" t="s">
        <v>77</v>
      </c>
      <c r="D12" s="15" t="s">
        <v>256</v>
      </c>
      <c r="E12" s="15" t="s">
        <v>659</v>
      </c>
      <c r="F12" s="602" t="s">
        <v>922</v>
      </c>
      <c r="G12" s="14"/>
      <c r="H12" s="14"/>
      <c r="I12" s="14"/>
      <c r="J12" s="14"/>
      <c r="K12" s="1250">
        <f>'D-Bestand Strommenge'!K12*'Nebenrechnung_Bestand Zahlungen'!K33</f>
        <v>11.066647591016324</v>
      </c>
      <c r="L12" s="1250">
        <f>'D-Bestand Strommenge'!L12*'Nebenrechnung_Bestand Zahlungen'!L33</f>
        <v>10.908026153270542</v>
      </c>
      <c r="M12" s="1250">
        <f>'D-Bestand Strommenge'!M12*'Nebenrechnung_Bestand Zahlungen'!M33</f>
        <v>10.908026153270542</v>
      </c>
      <c r="N12" s="1250">
        <f>'D-Bestand Strommenge'!N12*'Nebenrechnung_Bestand Zahlungen'!N33</f>
        <v>10.908026153270542</v>
      </c>
      <c r="O12" s="1250">
        <f>'D-Bestand Strommenge'!O12*'Nebenrechnung_Bestand Zahlungen'!O33</f>
        <v>10.908026153270542</v>
      </c>
      <c r="P12" s="1250">
        <f>'D-Bestand Strommenge'!P12*'Nebenrechnung_Bestand Zahlungen'!P33</f>
        <v>10.908026153270542</v>
      </c>
      <c r="Q12" s="1250">
        <f>'D-Bestand Strommenge'!Q12*'Nebenrechnung_Bestand Zahlungen'!Q33</f>
        <v>10.908026153270542</v>
      </c>
      <c r="R12" s="1250">
        <f>'D-Bestand Strommenge'!R12*'Nebenrechnung_Bestand Zahlungen'!R33</f>
        <v>10.86119713155138</v>
      </c>
      <c r="S12" s="1250">
        <f>'D-Bestand Strommenge'!S12*'Nebenrechnung_Bestand Zahlungen'!S33</f>
        <v>10.811821691314007</v>
      </c>
      <c r="T12" s="1250">
        <f>'D-Bestand Strommenge'!T12*'Nebenrechnung_Bestand Zahlungen'!T33</f>
        <v>10.762723491319454</v>
      </c>
      <c r="U12" s="1250">
        <f>'D-Bestand Strommenge'!U12*'Nebenrechnung_Bestand Zahlungen'!U33</f>
        <v>10.700911781188493</v>
      </c>
      <c r="V12" s="1250">
        <f>'D-Bestand Strommenge'!V12*'Nebenrechnung_Bestand Zahlungen'!V33</f>
        <v>10.350049468665192</v>
      </c>
      <c r="W12" s="1250">
        <f>'D-Bestand Strommenge'!W12*'Nebenrechnung_Bestand Zahlungen'!W33</f>
        <v>9.8807645450106261</v>
      </c>
      <c r="X12" s="1250">
        <f>'D-Bestand Strommenge'!X12*'Nebenrechnung_Bestand Zahlungen'!X33</f>
        <v>9.4713339193349313</v>
      </c>
      <c r="Y12" s="1250">
        <f>'D-Bestand Strommenge'!Y12*'Nebenrechnung_Bestand Zahlungen'!Y33</f>
        <v>8.8991898717387148</v>
      </c>
      <c r="Z12" s="1250">
        <f>'D-Bestand Strommenge'!Z12*'Nebenrechnung_Bestand Zahlungen'!Z33</f>
        <v>8.0374772613756083</v>
      </c>
      <c r="AA12" s="1250">
        <f>'D-Bestand Strommenge'!AA12*'Nebenrechnung_Bestand Zahlungen'!AA33</f>
        <v>6.2929346397361767</v>
      </c>
      <c r="AB12" s="1250">
        <f>'D-Bestand Strommenge'!AB12*'Nebenrechnung_Bestand Zahlungen'!AB33</f>
        <v>3.7425659024949911</v>
      </c>
      <c r="AC12" s="1250">
        <f>'D-Bestand Strommenge'!AC12*'Nebenrechnung_Bestand Zahlungen'!AC33</f>
        <v>1.7293195011654334</v>
      </c>
      <c r="AD12" s="1250">
        <f>'D-Bestand Strommenge'!AD12*'Nebenrechnung_Bestand Zahlungen'!AD33</f>
        <v>0.49607269647010133</v>
      </c>
      <c r="AE12" s="1250">
        <f>'D-Bestand Strommenge'!AE12*'Nebenrechnung_Bestand Zahlungen'!AE33</f>
        <v>0.15176649063590028</v>
      </c>
      <c r="AF12" s="1250">
        <f>'D-Bestand Strommenge'!AF12*'Nebenrechnung_Bestand Zahlungen'!AF33</f>
        <v>0</v>
      </c>
    </row>
    <row r="13" spans="1:32" ht="15" customHeight="1">
      <c r="B13" s="322"/>
      <c r="C13" s="10"/>
      <c r="D13" s="26"/>
      <c r="E13" s="26"/>
      <c r="F13" s="2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row>
    <row r="14" spans="1:32" ht="15" customHeight="1">
      <c r="D14" s="9"/>
      <c r="E14" s="9"/>
      <c r="F14" s="9"/>
    </row>
    <row r="15" spans="1:32" ht="15" customHeight="1">
      <c r="D15" s="9"/>
      <c r="E15" s="9"/>
      <c r="F15" s="9"/>
    </row>
    <row r="16" spans="1:32" ht="15" customHeight="1">
      <c r="D16" s="9"/>
      <c r="E16" s="9"/>
      <c r="F16" s="9"/>
    </row>
    <row r="17" spans="4:6" ht="15" customHeight="1">
      <c r="D17" s="9"/>
      <c r="E17" s="9"/>
      <c r="F17" s="9"/>
    </row>
    <row r="18" spans="4:6" ht="15" customHeight="1">
      <c r="D18" s="9"/>
      <c r="E18" s="9"/>
      <c r="F18" s="9"/>
    </row>
    <row r="19" spans="4:6" ht="15" customHeight="1">
      <c r="D19" s="9"/>
      <c r="E19" s="9"/>
      <c r="F19" s="9"/>
    </row>
    <row r="20" spans="4:6" ht="15" customHeight="1">
      <c r="D20" s="9"/>
      <c r="E20" s="9"/>
      <c r="F20" s="9"/>
    </row>
    <row r="21" spans="4:6" ht="15" customHeight="1">
      <c r="D21" s="9"/>
      <c r="E21" s="9"/>
      <c r="F21" s="9"/>
    </row>
    <row r="22" spans="4:6" ht="15" customHeight="1">
      <c r="D22" s="9"/>
      <c r="E22" s="9"/>
      <c r="F22" s="9"/>
    </row>
    <row r="23" spans="4:6" ht="15" customHeight="1">
      <c r="D23" s="9"/>
      <c r="E23" s="9"/>
      <c r="F23" s="9"/>
    </row>
    <row r="24" spans="4:6" ht="15" customHeight="1">
      <c r="D24" s="9"/>
      <c r="E24" s="9"/>
      <c r="F24" s="9"/>
    </row>
    <row r="25" spans="4:6" ht="15" customHeight="1">
      <c r="D25" s="9"/>
      <c r="E25" s="9"/>
      <c r="F25" s="9"/>
    </row>
    <row r="26" spans="4:6" ht="15" customHeight="1"/>
    <row r="27" spans="4:6" ht="15" customHeight="1"/>
    <row r="28" spans="4:6" ht="15" customHeight="1"/>
    <row r="29" spans="4:6" ht="15" customHeight="1"/>
    <row r="30" spans="4:6" ht="15" customHeight="1"/>
    <row r="31" spans="4:6" ht="15" customHeight="1"/>
    <row r="32" spans="4:6" ht="15" customHeight="1"/>
    <row r="33" spans="4:6" ht="15" customHeight="1"/>
    <row r="34" spans="4:6" ht="15" customHeight="1"/>
    <row r="35" spans="4:6" ht="15" customHeight="1"/>
    <row r="36" spans="4:6" ht="15" customHeight="1"/>
    <row r="37" spans="4:6" ht="15" customHeight="1"/>
    <row r="38" spans="4:6" ht="15" customHeight="1"/>
    <row r="39" spans="4:6" ht="15" customHeight="1"/>
    <row r="40" spans="4:6" ht="15" customHeight="1"/>
    <row r="41" spans="4:6" ht="15" customHeight="1"/>
    <row r="42" spans="4:6" ht="15" customHeight="1"/>
    <row r="43" spans="4:6" ht="15" customHeight="1">
      <c r="D43" s="9"/>
      <c r="E43" s="9"/>
      <c r="F43" s="9"/>
    </row>
    <row r="44" spans="4:6" ht="15" customHeight="1">
      <c r="D44" s="9"/>
      <c r="E44" s="9"/>
      <c r="F44" s="9"/>
    </row>
    <row r="45" spans="4:6" ht="15" customHeight="1">
      <c r="D45" s="9"/>
      <c r="E45" s="9"/>
      <c r="F45" s="9"/>
    </row>
    <row r="46" spans="4:6" ht="15" customHeight="1">
      <c r="D46" s="9"/>
      <c r="E46" s="9"/>
      <c r="F46" s="9"/>
    </row>
    <row r="47" spans="4:6" ht="15" customHeight="1">
      <c r="D47" s="9"/>
      <c r="E47" s="9"/>
      <c r="F47" s="9"/>
    </row>
    <row r="48" spans="4:6" ht="15" customHeight="1">
      <c r="D48" s="9"/>
      <c r="E48" s="9"/>
      <c r="F48" s="9"/>
    </row>
    <row r="49" s="9" customFormat="1" ht="15" customHeight="1"/>
    <row r="50" s="9" customFormat="1" ht="15" customHeight="1"/>
    <row r="51" s="9" customFormat="1" ht="15" customHeight="1"/>
    <row r="52" s="9" customFormat="1" ht="15" customHeight="1"/>
    <row r="53" s="9" customFormat="1" ht="15" customHeight="1"/>
    <row r="54" s="9" customFormat="1" ht="15" customHeight="1"/>
    <row r="55" s="9" customFormat="1" ht="15" customHeight="1"/>
    <row r="56" s="9" customFormat="1" ht="15" customHeight="1"/>
    <row r="57" s="9" customFormat="1" ht="15" customHeight="1"/>
    <row r="58" s="9" customFormat="1" ht="15" customHeight="1"/>
    <row r="59" s="9" customFormat="1" ht="15" customHeight="1"/>
    <row r="60" s="9" customFormat="1" ht="15" customHeight="1"/>
    <row r="61" s="9" customFormat="1" ht="15" customHeight="1"/>
    <row r="62" s="9" customFormat="1" ht="15" customHeight="1"/>
    <row r="63" s="9" customFormat="1" ht="15" customHeight="1"/>
    <row r="64" s="9" customFormat="1" ht="15" customHeight="1"/>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s="9" customFormat="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9" customFormat="1" ht="15" customHeight="1"/>
    <row r="194" s="9" customFormat="1" ht="15" customHeight="1"/>
    <row r="195" s="9" customFormat="1" ht="15" customHeight="1"/>
    <row r="196" s="9" customFormat="1" ht="15" customHeight="1"/>
    <row r="197" s="9" customFormat="1" ht="15" customHeight="1"/>
    <row r="198" s="9" customFormat="1" ht="15" customHeight="1"/>
    <row r="199" s="9" customFormat="1" ht="15" customHeight="1"/>
    <row r="200" s="9" customFormat="1" ht="15" customHeight="1"/>
    <row r="201" s="9" customFormat="1" ht="15" customHeight="1"/>
    <row r="202" s="9" customFormat="1" ht="15" customHeight="1"/>
    <row r="203" s="9" customFormat="1" ht="15" customHeight="1"/>
    <row r="204" s="9" customFormat="1" ht="15" customHeight="1"/>
    <row r="205" s="9" customFormat="1" ht="15" customHeight="1"/>
    <row r="206" s="9" customFormat="1" ht="15" customHeight="1"/>
    <row r="207" s="9" customFormat="1" ht="15" customHeight="1"/>
    <row r="208" s="9" customFormat="1" ht="15" customHeight="1"/>
    <row r="209" s="9" customFormat="1" ht="15" customHeight="1"/>
    <row r="210" s="9" customFormat="1" ht="15" customHeight="1"/>
    <row r="211" s="9" customFormat="1" ht="15" customHeight="1"/>
    <row r="212" s="9" customFormat="1" ht="15" customHeight="1"/>
    <row r="213" s="9" customFormat="1" ht="15" customHeight="1"/>
    <row r="214" s="9" customFormat="1" ht="15" customHeight="1"/>
    <row r="215" s="9" customFormat="1" ht="15" customHeight="1"/>
    <row r="216" s="9" customFormat="1" ht="15" customHeight="1"/>
    <row r="217" s="9" customFormat="1" ht="15" customHeight="1"/>
    <row r="218" s="9" customFormat="1" ht="15" customHeight="1"/>
    <row r="219" s="9" customFormat="1" ht="15" customHeight="1"/>
    <row r="220" s="9" customFormat="1" ht="15" customHeight="1"/>
    <row r="221" s="9" customFormat="1" ht="15" customHeight="1"/>
    <row r="222" s="9" customFormat="1" ht="15" customHeight="1"/>
    <row r="223" s="9" customFormat="1" ht="15" customHeight="1"/>
    <row r="224" s="9" customFormat="1" ht="15" customHeight="1"/>
    <row r="225" s="9" customFormat="1" ht="15" customHeight="1"/>
    <row r="226" s="9" customFormat="1" ht="15" customHeight="1"/>
    <row r="227" s="9" customFormat="1" ht="15" customHeight="1"/>
    <row r="228" s="9" customFormat="1" ht="15" customHeight="1"/>
    <row r="229" s="9" customFormat="1" ht="15" customHeight="1"/>
    <row r="230" s="9" customFormat="1" ht="15" customHeight="1"/>
    <row r="231" s="9" customFormat="1" ht="15" customHeight="1"/>
    <row r="232" s="9" customFormat="1" ht="15" customHeight="1"/>
    <row r="233" s="9" customFormat="1" ht="15" customHeight="1"/>
    <row r="234" s="9" customFormat="1" ht="15" customHeight="1"/>
    <row r="235" s="9" customFormat="1" ht="15" customHeight="1"/>
    <row r="236" s="9" customFormat="1" ht="15" customHeight="1"/>
    <row r="237" s="9" customFormat="1" ht="15" customHeight="1"/>
    <row r="238" s="9" customFormat="1" ht="15" customHeight="1"/>
    <row r="239" s="9" customFormat="1" ht="15" customHeight="1"/>
    <row r="240" s="9" customFormat="1" ht="15" customHeight="1"/>
    <row r="241" s="9" customFormat="1" ht="15" customHeight="1"/>
    <row r="242" s="9" customFormat="1" ht="15" customHeight="1"/>
    <row r="243" s="9" customFormat="1" ht="15" customHeight="1"/>
    <row r="244" s="9" customFormat="1" ht="15" customHeight="1"/>
    <row r="245" s="9" customFormat="1" ht="15" customHeight="1"/>
    <row r="246" s="9" customFormat="1" ht="15" customHeight="1"/>
    <row r="247" s="9" customFormat="1" ht="15" customHeight="1"/>
    <row r="248" s="9" customFormat="1" ht="15" customHeight="1"/>
    <row r="249" s="9" customFormat="1" ht="15" customHeight="1"/>
    <row r="250" s="9" customFormat="1" ht="15" customHeight="1"/>
    <row r="251" s="9" customFormat="1" ht="15" customHeight="1"/>
    <row r="252" s="9" customFormat="1" ht="15" customHeight="1"/>
    <row r="253" s="9" customFormat="1" ht="15" customHeight="1"/>
    <row r="254" s="9" customFormat="1" ht="15" customHeight="1"/>
    <row r="255" s="9" customFormat="1" ht="15" customHeight="1"/>
    <row r="256" s="9" customFormat="1" ht="15" customHeight="1"/>
    <row r="257" s="9" customFormat="1" ht="15" customHeight="1"/>
    <row r="258" s="9" customFormat="1" ht="15" customHeight="1"/>
    <row r="259" s="9" customFormat="1" ht="15" customHeight="1"/>
    <row r="260" s="9" customFormat="1" ht="15" customHeight="1"/>
    <row r="261" s="9" customFormat="1" ht="15" customHeight="1"/>
    <row r="262" s="9" customFormat="1" ht="15" customHeight="1"/>
    <row r="263" s="9" customFormat="1" ht="15" customHeight="1"/>
    <row r="264" s="9" customFormat="1" ht="15" customHeight="1"/>
    <row r="265" s="9" customFormat="1" ht="15" customHeight="1"/>
    <row r="266" s="9" customFormat="1" ht="15" customHeight="1"/>
    <row r="267" s="9" customFormat="1" ht="15" customHeight="1"/>
    <row r="268" s="9" customFormat="1" ht="15" customHeight="1"/>
    <row r="269" s="9" customFormat="1" ht="15" customHeight="1"/>
    <row r="270" s="9" customFormat="1" ht="15" customHeight="1"/>
    <row r="271" s="9" customFormat="1" ht="15" customHeight="1"/>
    <row r="272" s="9" customFormat="1" ht="15" customHeight="1"/>
    <row r="273" s="9" customFormat="1" ht="15" customHeight="1"/>
    <row r="274" s="9" customFormat="1" ht="15" customHeight="1"/>
    <row r="275" s="9" customFormat="1" ht="15" customHeight="1"/>
    <row r="276" s="9" customFormat="1" ht="15" customHeight="1"/>
    <row r="277" s="9" customFormat="1" ht="15" customHeight="1"/>
    <row r="278" s="9" customFormat="1" ht="15" customHeight="1"/>
    <row r="279" s="9" customFormat="1" ht="15" customHeight="1"/>
    <row r="280" s="9" customFormat="1" ht="15" customHeight="1"/>
    <row r="281" s="9" customFormat="1" ht="15" customHeight="1"/>
    <row r="282" s="9" customFormat="1" ht="15" customHeight="1"/>
    <row r="283" s="9" customFormat="1" ht="15" customHeight="1"/>
    <row r="284" s="9" customFormat="1" ht="15" customHeight="1"/>
    <row r="285" s="9" customFormat="1" ht="15" customHeight="1"/>
    <row r="286" s="9" customFormat="1" ht="15" customHeight="1"/>
    <row r="287" s="9" customFormat="1" ht="15" customHeight="1"/>
    <row r="288" s="9" customFormat="1" ht="15" customHeight="1"/>
    <row r="289" s="9" customFormat="1" ht="15" customHeight="1"/>
    <row r="290" s="9" customFormat="1" ht="15" customHeight="1"/>
    <row r="291" s="9" customFormat="1" ht="15" customHeight="1"/>
    <row r="292" s="9" customFormat="1" ht="15" customHeight="1"/>
    <row r="293" s="9" customFormat="1" ht="15" customHeight="1"/>
    <row r="294" s="9" customFormat="1" ht="15" customHeight="1"/>
    <row r="295" s="9" customFormat="1" ht="15" customHeight="1"/>
    <row r="296" s="9" customFormat="1" ht="15" customHeight="1"/>
    <row r="297" s="9" customFormat="1" ht="15" customHeight="1"/>
    <row r="298" s="9" customFormat="1" ht="15" customHeight="1"/>
    <row r="299" s="9" customFormat="1" ht="15" customHeight="1"/>
    <row r="300" s="9" customFormat="1" ht="15" customHeight="1"/>
    <row r="301" s="9" customFormat="1" ht="15" customHeight="1"/>
    <row r="302" s="9" customFormat="1" ht="15" customHeight="1"/>
    <row r="303" s="9" customFormat="1" ht="15" customHeight="1"/>
    <row r="304" s="9" customFormat="1" ht="15" customHeight="1"/>
    <row r="305" s="9" customFormat="1" ht="15" customHeight="1"/>
    <row r="306" s="9" customFormat="1" ht="15" customHeight="1"/>
    <row r="307" s="9" customFormat="1" ht="15" customHeight="1"/>
    <row r="308" s="9" customFormat="1" ht="15" customHeight="1"/>
    <row r="309" s="9" customFormat="1" ht="15" customHeight="1"/>
    <row r="310" s="9" customFormat="1" ht="15" customHeight="1"/>
    <row r="311" s="9" customFormat="1" ht="15" customHeight="1"/>
    <row r="312" s="9" customFormat="1" ht="15" customHeight="1"/>
    <row r="313" s="9" customFormat="1" ht="15" customHeight="1"/>
    <row r="314" s="9" customFormat="1" ht="15" customHeight="1"/>
    <row r="315" s="9" customFormat="1" ht="15" customHeight="1"/>
    <row r="316" s="9" customFormat="1" ht="15" customHeight="1"/>
    <row r="317" s="9" customFormat="1" ht="15" customHeight="1"/>
    <row r="318" s="9" customFormat="1" ht="15" customHeight="1"/>
    <row r="319" s="9" customFormat="1" ht="15" customHeight="1"/>
    <row r="320" s="9" customFormat="1" ht="15" customHeight="1"/>
    <row r="321" s="9" customFormat="1" ht="15" customHeight="1"/>
    <row r="322" s="9" customFormat="1" ht="15" customHeight="1"/>
    <row r="323" s="9" customFormat="1" ht="15" customHeight="1"/>
    <row r="324" s="9" customFormat="1" ht="15" customHeight="1"/>
    <row r="325" s="9" customFormat="1" ht="15" customHeight="1"/>
    <row r="326" s="9" customFormat="1" ht="15" customHeight="1"/>
    <row r="327" s="9" customFormat="1" ht="15" customHeight="1"/>
    <row r="328" s="9" customFormat="1" ht="15" customHeight="1"/>
    <row r="329" s="9" customFormat="1" ht="15" customHeight="1"/>
    <row r="330" s="9" customFormat="1" ht="15" customHeight="1"/>
    <row r="331" s="9" customFormat="1" ht="15" customHeight="1"/>
    <row r="332" s="9" customFormat="1" ht="15" customHeight="1"/>
    <row r="333" s="9" customFormat="1" ht="15" customHeight="1"/>
    <row r="334" s="9" customFormat="1" ht="15" customHeight="1"/>
    <row r="335" s="9" customFormat="1" ht="15" customHeight="1"/>
    <row r="336" s="9" customFormat="1" ht="15" customHeight="1"/>
    <row r="337" s="9" customFormat="1" ht="15" customHeight="1"/>
    <row r="338" s="9" customFormat="1" ht="15" customHeight="1"/>
    <row r="339" s="9" customFormat="1" ht="15" customHeight="1"/>
    <row r="340" s="9" customFormat="1" ht="15" customHeight="1"/>
    <row r="341" s="9" customFormat="1" ht="15" customHeight="1"/>
    <row r="342" s="9" customFormat="1" ht="15" customHeight="1"/>
    <row r="343" s="9" customFormat="1" ht="15" customHeight="1"/>
    <row r="344" s="9" customFormat="1" ht="15" customHeight="1"/>
    <row r="345" s="9" customFormat="1" ht="15" customHeight="1"/>
    <row r="346" s="9" customFormat="1" ht="15" customHeight="1"/>
    <row r="347" s="9" customFormat="1" ht="15" customHeight="1"/>
    <row r="348" s="9" customFormat="1" ht="15" customHeight="1"/>
    <row r="349" s="9" customFormat="1" ht="15" customHeight="1"/>
    <row r="350" s="9" customFormat="1" ht="15" customHeight="1"/>
    <row r="351" s="9" customFormat="1" ht="15" customHeight="1"/>
    <row r="352" s="9" customFormat="1" ht="15" customHeight="1"/>
    <row r="353" s="9" customFormat="1" ht="15" customHeight="1"/>
    <row r="354" s="9" customFormat="1" ht="15" customHeight="1"/>
    <row r="355" s="9" customFormat="1" ht="15" customHeight="1"/>
    <row r="356" s="9" customFormat="1" ht="15" customHeight="1"/>
    <row r="357" s="9" customFormat="1" ht="15" customHeight="1"/>
    <row r="358" s="9" customFormat="1" ht="15" customHeight="1"/>
    <row r="359" s="9" customFormat="1" ht="15" customHeight="1"/>
    <row r="360" s="9" customFormat="1" ht="15" customHeight="1"/>
    <row r="361" s="9" customFormat="1" ht="15" customHeight="1"/>
    <row r="362" s="9" customFormat="1" ht="15" customHeight="1"/>
    <row r="363" s="9" customFormat="1" ht="15" customHeight="1"/>
    <row r="364" s="9" customFormat="1" ht="15" customHeight="1"/>
    <row r="365" s="9" customFormat="1" ht="15" customHeight="1"/>
    <row r="366" s="9" customFormat="1" ht="15" customHeight="1"/>
    <row r="367" s="9" customFormat="1" ht="15" customHeight="1"/>
    <row r="368" s="9" customFormat="1" ht="15" customHeight="1"/>
    <row r="369" s="9" customFormat="1" ht="15" customHeight="1"/>
    <row r="370" s="9" customFormat="1" ht="15" customHeight="1"/>
    <row r="371" s="9" customFormat="1" ht="15" customHeight="1"/>
    <row r="372" s="9" customFormat="1" ht="15" customHeight="1"/>
    <row r="373" s="9" customFormat="1" ht="15" customHeight="1"/>
    <row r="374" s="9" customFormat="1" ht="15" customHeight="1"/>
    <row r="375" s="9" customFormat="1" ht="15" customHeight="1"/>
    <row r="376" s="9" customFormat="1" ht="15" customHeight="1"/>
    <row r="377" s="9" customFormat="1" ht="15" customHeight="1"/>
    <row r="378" s="9" customFormat="1" ht="15" customHeight="1"/>
    <row r="379" s="9" customFormat="1" ht="15" customHeight="1"/>
    <row r="380" s="9" customFormat="1" ht="15" customHeight="1"/>
    <row r="381" s="9" customFormat="1" ht="15" customHeight="1"/>
    <row r="382" s="9" customFormat="1" ht="15" customHeight="1"/>
    <row r="383" s="9" customFormat="1" ht="15" customHeight="1"/>
    <row r="384" s="9" customFormat="1" ht="15" customHeight="1"/>
    <row r="385" s="9" customFormat="1" ht="15" customHeight="1"/>
    <row r="386" s="9" customFormat="1" ht="15" customHeight="1"/>
    <row r="387" s="9" customFormat="1" ht="15" customHeight="1"/>
    <row r="388" s="9" customFormat="1" ht="15" customHeight="1"/>
    <row r="389" s="9" customFormat="1" ht="15" customHeight="1"/>
    <row r="390" s="9" customFormat="1" ht="15" customHeight="1"/>
    <row r="391" s="9" customFormat="1" ht="15" customHeight="1"/>
    <row r="392" s="9" customFormat="1" ht="15" customHeight="1"/>
    <row r="393" s="9" customFormat="1" ht="15" customHeight="1"/>
    <row r="394" s="9" customFormat="1" ht="15" customHeight="1"/>
    <row r="395" s="9" customFormat="1" ht="15" customHeight="1"/>
    <row r="396" s="9" customFormat="1" ht="15" customHeight="1"/>
    <row r="397" s="9" customFormat="1" ht="15" customHeight="1"/>
    <row r="398" s="9" customFormat="1" ht="15" customHeight="1"/>
    <row r="399" s="9" customFormat="1" ht="15" customHeight="1"/>
    <row r="400" s="9" customFormat="1" ht="15" customHeight="1"/>
    <row r="401" s="9" customFormat="1" ht="15" customHeight="1"/>
    <row r="402" s="9" customFormat="1" ht="15" customHeight="1"/>
    <row r="403" s="9" customFormat="1" ht="15" customHeight="1"/>
    <row r="404" s="9" customFormat="1" ht="15" customHeight="1"/>
    <row r="405" s="9" customFormat="1" ht="15" customHeight="1"/>
    <row r="406" s="9" customFormat="1" ht="15" customHeight="1"/>
    <row r="407" s="9" customFormat="1" ht="15" customHeight="1"/>
    <row r="408" s="9" customFormat="1" ht="15" customHeight="1"/>
    <row r="409" s="9" customFormat="1" ht="15" customHeight="1"/>
    <row r="410" s="9" customFormat="1" ht="15" customHeight="1"/>
    <row r="411" s="9" customFormat="1" ht="15" customHeight="1"/>
    <row r="412" s="9" customFormat="1" ht="15" customHeight="1"/>
    <row r="413" s="9" customFormat="1" ht="15" customHeight="1"/>
    <row r="414" s="9" customFormat="1" ht="15" customHeight="1"/>
    <row r="415" s="9" customFormat="1" ht="15" customHeight="1"/>
    <row r="416" s="9" customFormat="1" ht="15" customHeight="1"/>
    <row r="417" s="9" customFormat="1" ht="15" customHeight="1"/>
    <row r="418" s="9" customFormat="1" ht="15" customHeight="1"/>
    <row r="419" s="9" customFormat="1" ht="15" customHeight="1"/>
    <row r="420" s="9" customFormat="1" ht="15" customHeight="1"/>
    <row r="421" s="9" customFormat="1" ht="15" customHeight="1"/>
    <row r="422" s="9" customFormat="1" ht="15" customHeight="1"/>
    <row r="423" s="9" customFormat="1" ht="15" customHeight="1"/>
    <row r="424" s="9" customFormat="1" ht="15" customHeight="1"/>
    <row r="425" s="9" customFormat="1" ht="15" customHeight="1"/>
    <row r="426" s="9" customFormat="1" ht="15" customHeight="1"/>
    <row r="427" s="9" customFormat="1" ht="15" customHeight="1"/>
    <row r="428" s="9" customFormat="1" ht="15" customHeight="1"/>
    <row r="429" s="9" customFormat="1" ht="15" customHeight="1"/>
    <row r="430" s="9" customFormat="1" ht="15" customHeight="1"/>
    <row r="431" s="9" customFormat="1" ht="15" customHeight="1"/>
    <row r="432" s="9" customFormat="1" ht="15" customHeight="1"/>
    <row r="433" s="9" customFormat="1" ht="15" customHeight="1"/>
    <row r="434" s="9" customFormat="1" ht="15" customHeight="1"/>
    <row r="435" s="9" customFormat="1" ht="15" customHeight="1"/>
    <row r="436" s="9" customFormat="1" ht="15" customHeight="1"/>
    <row r="437" s="9" customFormat="1" ht="15" customHeight="1"/>
    <row r="438" s="9" customFormat="1" ht="15" customHeight="1"/>
    <row r="439" s="9" customFormat="1" ht="15" customHeight="1"/>
    <row r="440" s="9" customFormat="1" ht="15" customHeight="1"/>
    <row r="441" s="9" customFormat="1" ht="15" customHeight="1"/>
    <row r="442" s="9" customFormat="1" ht="15" customHeight="1"/>
    <row r="443" s="9" customFormat="1" ht="15" customHeight="1"/>
    <row r="444" s="9" customFormat="1" ht="15" customHeight="1"/>
    <row r="445" s="9" customFormat="1" ht="15" customHeight="1"/>
    <row r="446" s="9" customFormat="1" ht="15" customHeight="1"/>
    <row r="447" s="9" customFormat="1" ht="15" customHeight="1"/>
    <row r="448" s="9" customFormat="1" ht="15" customHeight="1"/>
    <row r="449" s="9" customFormat="1" ht="15" customHeight="1"/>
    <row r="450" s="9" customFormat="1" ht="15" customHeight="1"/>
    <row r="451" s="9" customFormat="1" ht="15" customHeight="1"/>
    <row r="452" s="9" customFormat="1" ht="15" customHeight="1"/>
    <row r="453" s="9" customFormat="1" ht="15" customHeight="1"/>
    <row r="454" s="9" customFormat="1" ht="15" customHeight="1"/>
    <row r="455" s="9" customFormat="1" ht="15" customHeight="1"/>
    <row r="456" s="9" customFormat="1" ht="15" customHeight="1"/>
    <row r="457" s="9" customFormat="1" ht="15" customHeight="1"/>
    <row r="458" s="9" customFormat="1" ht="15" customHeight="1"/>
    <row r="459" s="9" customFormat="1" ht="15" customHeight="1"/>
    <row r="460" s="9" customFormat="1" ht="15" customHeight="1"/>
    <row r="461" s="9" customFormat="1" ht="15" customHeight="1"/>
    <row r="462" s="9" customFormat="1" ht="15" customHeight="1"/>
    <row r="463" s="9" customFormat="1" ht="15" customHeight="1"/>
    <row r="464" s="9" customFormat="1" ht="15" customHeight="1"/>
    <row r="465" s="9" customFormat="1" ht="15" customHeight="1"/>
    <row r="466" s="9" customFormat="1" ht="15" customHeight="1"/>
    <row r="467" s="9" customFormat="1" ht="15" customHeight="1"/>
    <row r="468" s="9" customFormat="1" ht="15" customHeight="1"/>
    <row r="469" s="9" customFormat="1" ht="15" customHeight="1"/>
    <row r="470" s="9" customFormat="1" ht="15" customHeight="1"/>
    <row r="471" s="9" customFormat="1" ht="15" customHeight="1"/>
    <row r="472" s="9" customFormat="1" ht="15" customHeight="1"/>
    <row r="473" s="9" customFormat="1" ht="15" customHeight="1"/>
    <row r="474" s="9" customFormat="1" ht="15" customHeight="1"/>
    <row r="475" s="9" customFormat="1" ht="15" customHeight="1"/>
    <row r="476" s="9" customFormat="1" ht="15" customHeight="1"/>
    <row r="477" s="9" customFormat="1" ht="15" customHeight="1"/>
    <row r="478" s="9" customFormat="1" ht="15" customHeight="1"/>
    <row r="479" s="9" customFormat="1" ht="15" customHeight="1"/>
    <row r="480" s="9" customFormat="1" ht="15" customHeight="1"/>
    <row r="481" s="9" customFormat="1" ht="15" customHeight="1"/>
    <row r="482" s="9" customFormat="1" ht="15" customHeight="1"/>
    <row r="483" s="9" customFormat="1" ht="15" customHeight="1"/>
    <row r="484" s="9" customFormat="1" ht="15" customHeight="1"/>
    <row r="485" s="9" customFormat="1" ht="15" customHeight="1"/>
    <row r="486" s="9" customFormat="1" ht="15" customHeight="1"/>
    <row r="487" s="9" customFormat="1" ht="15" customHeight="1"/>
    <row r="488" s="9" customFormat="1" ht="15" customHeight="1"/>
    <row r="489" s="9" customFormat="1" ht="15" customHeight="1"/>
    <row r="490" s="9" customFormat="1" ht="15" customHeight="1"/>
    <row r="491" s="9" customFormat="1" ht="15" customHeight="1"/>
    <row r="492" s="9" customFormat="1" ht="15" customHeight="1"/>
    <row r="493" s="9" customFormat="1" ht="15" customHeight="1"/>
    <row r="494" s="9" customFormat="1" ht="15" customHeight="1"/>
    <row r="495" s="9" customFormat="1" ht="15" customHeight="1"/>
    <row r="496" s="9" customFormat="1" ht="15" customHeight="1"/>
    <row r="497" s="9" customFormat="1" ht="15" customHeight="1"/>
    <row r="498" s="9" customFormat="1" ht="15" customHeight="1"/>
    <row r="499" s="9" customFormat="1" ht="15" customHeight="1"/>
    <row r="500" s="9" customFormat="1" ht="15" customHeight="1"/>
    <row r="501" s="9" customFormat="1" ht="15" customHeight="1"/>
    <row r="502" s="9" customFormat="1" ht="15" customHeight="1"/>
    <row r="503" s="9" customFormat="1" ht="15" customHeight="1"/>
    <row r="504" s="9" customFormat="1" ht="15" customHeight="1"/>
    <row r="505" s="9" customFormat="1" ht="15" customHeight="1"/>
    <row r="506" s="9" customFormat="1" ht="15" customHeight="1"/>
    <row r="507" s="9" customFormat="1" ht="15" customHeight="1"/>
    <row r="508" s="9" customFormat="1" ht="15" customHeight="1"/>
    <row r="509" s="9" customFormat="1" ht="15" customHeight="1"/>
    <row r="510" s="9" customFormat="1" ht="15" customHeight="1"/>
    <row r="511" s="9" customFormat="1" ht="15" customHeight="1"/>
    <row r="512" s="9" customFormat="1" ht="15" customHeight="1"/>
    <row r="513" s="9" customFormat="1" ht="15" customHeight="1"/>
    <row r="514" s="9" customFormat="1" ht="15" customHeight="1"/>
    <row r="515" s="9" customFormat="1" ht="15" customHeight="1"/>
    <row r="516" s="9" customFormat="1" ht="15" customHeight="1"/>
    <row r="517" s="9" customFormat="1" ht="15" customHeight="1"/>
    <row r="518" s="9" customFormat="1" ht="15" customHeight="1"/>
    <row r="519" s="9" customFormat="1" ht="15" customHeight="1"/>
    <row r="520" s="9" customFormat="1" ht="15" customHeight="1"/>
    <row r="521" s="9" customFormat="1" ht="15" customHeight="1"/>
    <row r="522" s="9" customFormat="1" ht="15" customHeight="1"/>
    <row r="523" s="9" customFormat="1" ht="15" customHeight="1"/>
    <row r="524" s="9" customFormat="1" ht="15" customHeight="1"/>
    <row r="525" s="9" customFormat="1" ht="15" customHeight="1"/>
    <row r="526" s="9" customFormat="1" ht="15" customHeight="1"/>
    <row r="527" s="9" customFormat="1" ht="15" customHeight="1"/>
    <row r="528" s="9" customFormat="1" ht="15" customHeight="1"/>
    <row r="529" s="9" customFormat="1" ht="15" customHeight="1"/>
    <row r="530" s="9" customFormat="1" ht="15" customHeight="1"/>
    <row r="531" s="9" customFormat="1" ht="15" customHeight="1"/>
    <row r="532" s="9" customFormat="1" ht="15" customHeight="1"/>
    <row r="533" s="9" customFormat="1" ht="15" customHeight="1"/>
    <row r="534" s="9" customFormat="1" ht="15" customHeight="1"/>
    <row r="535" s="9" customFormat="1" ht="15" customHeight="1"/>
    <row r="536" s="9" customFormat="1" ht="15" customHeight="1"/>
    <row r="537" s="9" customFormat="1" ht="15" customHeight="1"/>
    <row r="538" s="9" customFormat="1" ht="15" customHeight="1"/>
    <row r="539" s="9" customFormat="1" ht="15" customHeight="1"/>
    <row r="540" s="9" customFormat="1" ht="15" customHeight="1"/>
    <row r="541" s="9" customFormat="1" ht="15" customHeight="1"/>
    <row r="542" s="9" customFormat="1" ht="15" customHeight="1"/>
    <row r="543" s="9" customFormat="1" ht="15" customHeight="1"/>
    <row r="544" s="9" customFormat="1" ht="15" customHeight="1"/>
    <row r="545" s="9" customFormat="1" ht="15" customHeight="1"/>
    <row r="546" s="9" customFormat="1" ht="15" customHeight="1"/>
    <row r="547" s="9" customFormat="1" ht="15" customHeight="1"/>
    <row r="548" s="9" customFormat="1" ht="15" customHeight="1"/>
    <row r="549" s="9" customFormat="1" ht="15" customHeight="1"/>
    <row r="550" s="9" customFormat="1" ht="15" customHeight="1"/>
    <row r="551" s="9" customFormat="1" ht="15" customHeight="1"/>
    <row r="552" s="9" customFormat="1" ht="15" customHeight="1"/>
    <row r="553" s="9" customFormat="1" ht="15" customHeight="1"/>
    <row r="554" s="9" customFormat="1" ht="15" customHeight="1"/>
    <row r="555" s="9" customFormat="1" ht="15" customHeight="1"/>
    <row r="556" s="9" customFormat="1" ht="15" customHeight="1"/>
    <row r="557" s="9" customFormat="1" ht="15" customHeight="1"/>
    <row r="558" s="9" customFormat="1" ht="15" customHeight="1"/>
    <row r="559" s="9" customFormat="1" ht="15" customHeight="1"/>
    <row r="560" s="9" customFormat="1" ht="15" customHeight="1"/>
    <row r="561" s="9" customFormat="1" ht="15" customHeight="1"/>
    <row r="562" s="9" customFormat="1" ht="15" customHeight="1"/>
    <row r="563" s="9" customFormat="1" ht="15" customHeight="1"/>
    <row r="564" s="9" customFormat="1" ht="15" customHeight="1"/>
    <row r="565" s="9" customFormat="1" ht="15" customHeight="1"/>
    <row r="566" s="9" customFormat="1" ht="15" customHeight="1"/>
    <row r="567" s="9" customFormat="1" ht="15" customHeight="1"/>
    <row r="568" s="9" customFormat="1" ht="15" customHeight="1"/>
    <row r="569" s="9" customFormat="1" ht="15" customHeight="1"/>
    <row r="570" s="9" customFormat="1" ht="15" customHeight="1"/>
    <row r="571" s="9" customFormat="1" ht="15" customHeight="1"/>
    <row r="572" s="9" customFormat="1" ht="15" customHeight="1"/>
    <row r="573" s="9" customFormat="1" ht="15" customHeight="1"/>
    <row r="574" s="9" customFormat="1" ht="15" customHeight="1"/>
    <row r="575" s="9" customFormat="1" ht="15" customHeight="1"/>
    <row r="576" s="9" customFormat="1" ht="15" customHeight="1"/>
    <row r="577" s="9" customFormat="1" ht="15" customHeight="1"/>
    <row r="578" s="9" customFormat="1" ht="15" customHeight="1"/>
    <row r="579" s="9" customFormat="1" ht="15" customHeight="1"/>
    <row r="580" s="9" customFormat="1" ht="15" customHeight="1"/>
    <row r="581" s="9" customFormat="1" ht="15" customHeight="1"/>
    <row r="582" s="9" customFormat="1" ht="15" customHeight="1"/>
    <row r="583" s="9" customFormat="1" ht="15" customHeight="1"/>
    <row r="584" s="9" customFormat="1" ht="15" customHeight="1"/>
    <row r="585" s="9" customFormat="1" ht="15" customHeight="1"/>
    <row r="586" s="9" customFormat="1" ht="15" customHeight="1"/>
    <row r="587" s="9" customFormat="1" ht="15" customHeight="1"/>
    <row r="588" s="9" customFormat="1" ht="15" customHeight="1"/>
    <row r="589" s="9" customFormat="1" ht="15" customHeight="1"/>
    <row r="590" s="9" customFormat="1" ht="15" customHeight="1"/>
    <row r="591" s="9" customFormat="1" ht="15" customHeight="1"/>
    <row r="592" s="9" customFormat="1" ht="15" customHeight="1"/>
    <row r="593" s="9" customFormat="1" ht="15" customHeight="1"/>
    <row r="594" s="9" customFormat="1" ht="15" customHeight="1"/>
    <row r="595" s="9" customFormat="1" ht="15" customHeight="1"/>
    <row r="596" s="9" customFormat="1" ht="15" customHeight="1"/>
    <row r="597" s="9" customFormat="1" ht="15" customHeight="1"/>
    <row r="598" s="9" customFormat="1" ht="15" customHeight="1"/>
    <row r="599" s="9" customFormat="1" ht="15" customHeight="1"/>
    <row r="600" s="9" customFormat="1" ht="15" customHeight="1"/>
    <row r="601" s="9" customFormat="1" ht="15" customHeight="1"/>
    <row r="602" s="9" customFormat="1" ht="15" customHeight="1"/>
    <row r="603" s="9" customFormat="1" ht="15" customHeight="1"/>
    <row r="604" s="9" customFormat="1" ht="15" customHeight="1"/>
    <row r="605" s="9" customFormat="1" ht="15" customHeight="1"/>
    <row r="606" s="9" customFormat="1" ht="15" customHeight="1"/>
    <row r="607" s="9" customFormat="1" ht="15" customHeight="1"/>
    <row r="608" s="9" customFormat="1" ht="15" customHeight="1"/>
    <row r="609" s="9" customFormat="1" ht="15" customHeight="1"/>
    <row r="610" s="9" customFormat="1" ht="15" customHeight="1"/>
    <row r="611" s="9" customFormat="1" ht="15" customHeight="1"/>
    <row r="612" s="9" customFormat="1" ht="15" customHeight="1"/>
    <row r="613" s="9" customFormat="1" ht="15" customHeight="1"/>
    <row r="614" s="9" customFormat="1" ht="15" customHeight="1"/>
    <row r="615" s="9" customFormat="1" ht="15" customHeight="1"/>
    <row r="616" s="9" customFormat="1" ht="15" customHeight="1"/>
    <row r="617" s="9" customFormat="1" ht="15" customHeight="1"/>
    <row r="618" s="9" customFormat="1" ht="15" customHeight="1"/>
    <row r="619" s="9" customFormat="1" ht="15" customHeight="1"/>
    <row r="620" s="9" customFormat="1" ht="15" customHeight="1"/>
    <row r="621" s="9" customFormat="1" ht="15" customHeight="1"/>
    <row r="622" s="9" customFormat="1" ht="15" customHeight="1"/>
    <row r="623" s="9" customFormat="1" ht="15" customHeight="1"/>
    <row r="624" s="9" customFormat="1" ht="15" customHeight="1"/>
    <row r="625" s="9" customFormat="1" ht="15" customHeight="1"/>
    <row r="626" s="9" customFormat="1" ht="15" customHeight="1"/>
    <row r="627" s="9" customFormat="1" ht="15" customHeight="1"/>
    <row r="628" s="9" customFormat="1" ht="15" customHeight="1"/>
    <row r="629" s="9" customFormat="1" ht="15" customHeight="1"/>
    <row r="630" s="9" customFormat="1" ht="15" customHeight="1"/>
    <row r="631" s="9" customFormat="1" ht="15" customHeight="1"/>
    <row r="632" s="9" customFormat="1" ht="15" customHeight="1"/>
    <row r="633" s="9" customFormat="1" ht="15" customHeight="1"/>
    <row r="634" s="9" customFormat="1" ht="15" customHeight="1"/>
    <row r="635" s="9" customFormat="1" ht="15" customHeight="1"/>
    <row r="636" s="9" customFormat="1" ht="15" customHeight="1"/>
    <row r="637" s="9" customFormat="1" ht="15" customHeight="1"/>
    <row r="638" s="9" customFormat="1" ht="15" customHeight="1"/>
    <row r="639" s="9" customFormat="1" ht="15" customHeight="1"/>
    <row r="640" s="9" customFormat="1" ht="15" customHeight="1"/>
    <row r="641" s="9" customFormat="1" ht="15" customHeight="1"/>
    <row r="642" s="9" customFormat="1" ht="15" customHeight="1"/>
    <row r="643" s="9" customFormat="1" ht="15" customHeight="1"/>
    <row r="644" s="9" customFormat="1" ht="15" customHeight="1"/>
    <row r="645" s="9" customFormat="1" ht="15" customHeight="1"/>
    <row r="646" s="9" customFormat="1" ht="15" customHeight="1"/>
    <row r="647" s="9" customFormat="1" ht="15" customHeight="1"/>
    <row r="648" s="9" customFormat="1" ht="15" customHeight="1"/>
    <row r="649" s="9" customFormat="1" ht="15" customHeight="1"/>
    <row r="650" s="9" customFormat="1" ht="15" customHeight="1"/>
    <row r="651" s="9" customFormat="1" ht="15" customHeight="1"/>
    <row r="652" s="9" customFormat="1" ht="15" customHeight="1"/>
    <row r="653" s="9" customFormat="1" ht="15" customHeight="1"/>
    <row r="654" s="9" customFormat="1" ht="15" customHeight="1"/>
    <row r="655" s="9" customFormat="1" ht="15" customHeight="1"/>
    <row r="656" s="9" customFormat="1" ht="15" customHeight="1"/>
    <row r="657" s="9" customFormat="1" ht="15" customHeight="1"/>
    <row r="658" s="9" customFormat="1" ht="15" customHeight="1"/>
    <row r="659" s="9" customFormat="1" ht="15" customHeight="1"/>
    <row r="660" s="9" customFormat="1" ht="15" customHeight="1"/>
    <row r="661" s="9" customFormat="1" ht="15" customHeight="1"/>
    <row r="662" s="9" customFormat="1" ht="15" customHeight="1"/>
    <row r="663" s="9" customFormat="1" ht="15" customHeight="1"/>
    <row r="664" s="9" customFormat="1" ht="15" customHeight="1"/>
    <row r="665" s="9" customFormat="1" ht="15" customHeight="1"/>
    <row r="666" s="9" customFormat="1" ht="15" customHeight="1"/>
    <row r="667" s="9" customFormat="1" ht="15" customHeight="1"/>
    <row r="668" s="9" customFormat="1" ht="15" customHeight="1"/>
    <row r="669" s="9" customFormat="1" ht="15" customHeight="1"/>
    <row r="670" s="9" customFormat="1" ht="15" customHeight="1"/>
    <row r="671" s="9" customFormat="1" ht="15" customHeight="1"/>
    <row r="672" s="9" customFormat="1" ht="15" customHeight="1"/>
    <row r="673" s="9" customFormat="1" ht="15" customHeight="1"/>
    <row r="674" s="9" customFormat="1" ht="15" customHeight="1"/>
    <row r="675" s="9" customFormat="1" ht="15" customHeight="1"/>
    <row r="676" s="9" customFormat="1" ht="15" customHeight="1"/>
    <row r="677" s="9" customFormat="1" ht="15" customHeight="1"/>
    <row r="678" s="9" customFormat="1" ht="15" customHeight="1"/>
    <row r="679" s="9" customFormat="1" ht="15" customHeight="1"/>
    <row r="680" s="9" customFormat="1" ht="15" customHeight="1"/>
    <row r="681" s="9" customFormat="1" ht="15" customHeight="1"/>
    <row r="682" s="9" customFormat="1" ht="15" customHeight="1"/>
    <row r="683" s="9" customFormat="1" ht="15" customHeight="1"/>
    <row r="684" s="9" customFormat="1" ht="15" customHeight="1"/>
    <row r="685" s="9" customFormat="1" ht="15" customHeight="1"/>
    <row r="686" s="9" customFormat="1" ht="15" customHeight="1"/>
    <row r="687" s="9" customFormat="1" ht="15" customHeight="1"/>
    <row r="688" s="9" customFormat="1" ht="15" customHeight="1"/>
    <row r="689" s="9" customFormat="1" ht="15" customHeight="1"/>
    <row r="690" s="9" customFormat="1" ht="15" customHeight="1"/>
    <row r="691" s="9" customFormat="1" ht="15" customHeight="1"/>
    <row r="692" s="9" customFormat="1" ht="15" customHeight="1"/>
    <row r="693" s="9" customFormat="1" ht="15" customHeight="1"/>
    <row r="694" s="9" customFormat="1" ht="15" customHeight="1"/>
    <row r="695" s="9" customFormat="1" ht="15" customHeight="1"/>
    <row r="696" s="9" customFormat="1" ht="15" customHeight="1"/>
    <row r="697" s="9" customFormat="1" ht="15" customHeight="1"/>
    <row r="698" s="9" customFormat="1" ht="15" customHeight="1"/>
    <row r="699" s="9" customFormat="1" ht="15" customHeight="1"/>
    <row r="700" s="9" customFormat="1" ht="15" customHeight="1"/>
    <row r="701" s="9" customFormat="1" ht="15" customHeight="1"/>
    <row r="702" s="9" customFormat="1" ht="15" customHeight="1"/>
    <row r="703" s="9" customFormat="1" ht="15" customHeight="1"/>
    <row r="704" s="9" customFormat="1" ht="15" customHeight="1"/>
    <row r="705" s="9" customFormat="1" ht="15" customHeight="1"/>
    <row r="706" s="9" customFormat="1" ht="15" customHeight="1"/>
    <row r="707" s="9" customFormat="1" ht="15" customHeight="1"/>
    <row r="708" s="9" customFormat="1" ht="15" customHeight="1"/>
    <row r="709" s="9" customFormat="1" ht="15" customHeight="1"/>
    <row r="710" s="9" customFormat="1" ht="15" customHeight="1"/>
    <row r="711" s="9" customFormat="1" ht="15" customHeight="1"/>
    <row r="712" s="9" customFormat="1" ht="15" customHeight="1"/>
    <row r="713" s="9" customFormat="1" ht="15" customHeight="1"/>
    <row r="714" s="9" customFormat="1" ht="15" customHeight="1"/>
    <row r="715" s="9" customFormat="1" ht="15" customHeight="1"/>
    <row r="716" s="9" customFormat="1" ht="15" customHeight="1"/>
    <row r="717" s="9" customFormat="1" ht="15" customHeight="1"/>
    <row r="718" s="9" customFormat="1" ht="15" customHeight="1"/>
    <row r="719" s="9" customFormat="1" ht="15" customHeight="1"/>
    <row r="720" s="9" customFormat="1" ht="15" customHeight="1"/>
    <row r="721" s="9" customFormat="1" ht="15" customHeight="1"/>
    <row r="722" s="9" customFormat="1" ht="15" customHeight="1"/>
    <row r="723" s="9" customFormat="1" ht="15" customHeight="1"/>
    <row r="724" s="9" customFormat="1" ht="15" customHeight="1"/>
    <row r="725" s="9" customFormat="1" ht="15" customHeight="1"/>
    <row r="726" s="9" customFormat="1" ht="15" customHeight="1"/>
    <row r="727" s="9" customFormat="1" ht="15" customHeight="1"/>
    <row r="728" s="9" customFormat="1" ht="15" customHeight="1"/>
    <row r="729" s="9" customFormat="1" ht="15" customHeight="1"/>
    <row r="730" s="9" customFormat="1" ht="15" customHeight="1"/>
    <row r="731" s="9" customFormat="1" ht="15" customHeight="1"/>
    <row r="732" s="9" customFormat="1" ht="15" customHeight="1"/>
    <row r="733" s="9" customFormat="1" ht="15" customHeight="1"/>
    <row r="734" s="9" customFormat="1" ht="15" customHeight="1"/>
    <row r="735" s="9" customFormat="1" ht="15" customHeight="1"/>
    <row r="736" s="9" customFormat="1" ht="15" customHeight="1"/>
    <row r="737" s="9" customFormat="1" ht="15" customHeight="1"/>
    <row r="738" s="9" customFormat="1" ht="15" customHeight="1"/>
    <row r="739" s="9" customFormat="1" ht="15" customHeight="1"/>
    <row r="740" s="9" customFormat="1" ht="15" customHeight="1"/>
    <row r="741" s="9" customFormat="1" ht="15" customHeight="1"/>
    <row r="742" s="9" customFormat="1" ht="15" customHeight="1"/>
    <row r="743" s="9" customFormat="1" ht="15" customHeight="1"/>
    <row r="744" s="9" customFormat="1" ht="15" customHeight="1"/>
    <row r="745" s="9" customFormat="1" ht="15" customHeight="1"/>
    <row r="746" s="9" customFormat="1" ht="15" customHeight="1"/>
    <row r="747" s="9" customFormat="1" ht="15" customHeight="1"/>
    <row r="748" s="9" customFormat="1" ht="15" customHeight="1"/>
    <row r="749" s="9" customFormat="1" ht="15" customHeight="1"/>
    <row r="750" s="9" customFormat="1" ht="15" customHeight="1"/>
    <row r="751" s="9" customFormat="1" ht="15" customHeight="1"/>
    <row r="752" s="9" customFormat="1" ht="15" customHeight="1"/>
    <row r="753" s="9" customFormat="1" ht="15" customHeight="1"/>
    <row r="754" s="9" customFormat="1" ht="15" customHeight="1"/>
    <row r="755" s="9" customFormat="1" ht="15" customHeight="1"/>
    <row r="756" s="9" customFormat="1" ht="15" customHeight="1"/>
    <row r="757" s="9" customFormat="1" ht="15" customHeight="1"/>
    <row r="758" s="9" customFormat="1" ht="15" customHeight="1"/>
    <row r="759" s="9" customFormat="1" ht="15" customHeight="1"/>
    <row r="760" s="9" customFormat="1" ht="15" customHeight="1"/>
    <row r="761" s="9" customFormat="1" ht="15" customHeight="1"/>
    <row r="762" s="9" customFormat="1" ht="15" customHeight="1"/>
    <row r="763" s="9" customFormat="1" ht="15" customHeight="1"/>
    <row r="764" s="9" customFormat="1" ht="15" customHeight="1"/>
    <row r="765" s="9" customFormat="1" ht="15" customHeight="1"/>
    <row r="766" s="9" customFormat="1" ht="15" customHeight="1"/>
    <row r="767" s="9" customFormat="1" ht="15" customHeight="1"/>
    <row r="768" s="9" customFormat="1" ht="15" customHeight="1"/>
    <row r="769" s="9" customFormat="1" ht="15" customHeight="1"/>
    <row r="770" s="9" customFormat="1" ht="15" customHeight="1"/>
    <row r="771" s="9" customFormat="1" ht="15" customHeight="1"/>
    <row r="772" s="9" customFormat="1" ht="15" customHeight="1"/>
    <row r="773" s="9" customFormat="1" ht="15" customHeight="1"/>
    <row r="774" s="9" customFormat="1" ht="15" customHeight="1"/>
    <row r="775" s="9" customFormat="1" ht="15" customHeight="1"/>
    <row r="776" s="9" customFormat="1" ht="15" customHeight="1"/>
    <row r="777" s="9" customFormat="1" ht="15" customHeight="1"/>
    <row r="778" s="9" customFormat="1" ht="15" customHeight="1"/>
    <row r="779" s="9" customFormat="1" ht="15" customHeight="1"/>
    <row r="780" s="9" customFormat="1" ht="15" customHeight="1"/>
    <row r="781" s="9" customFormat="1" ht="15" customHeight="1"/>
    <row r="782" s="9" customFormat="1" ht="15" customHeight="1"/>
    <row r="783" s="9" customFormat="1" ht="15" customHeight="1"/>
    <row r="784" s="9" customFormat="1" ht="15" customHeight="1"/>
    <row r="785" s="9" customFormat="1" ht="15" customHeight="1"/>
    <row r="786" s="9" customFormat="1" ht="15" customHeight="1"/>
    <row r="787" s="9" customFormat="1" ht="15" customHeight="1"/>
    <row r="788" s="9" customFormat="1" ht="15" customHeight="1"/>
    <row r="789" s="9" customFormat="1" ht="15" customHeight="1"/>
    <row r="790" s="9" customFormat="1" ht="15" customHeight="1"/>
    <row r="791" s="9" customFormat="1" ht="15" customHeight="1"/>
    <row r="792" s="9" customFormat="1" ht="15" customHeight="1"/>
    <row r="793" s="9" customFormat="1" ht="15" customHeight="1"/>
    <row r="794" s="9" customFormat="1" ht="15" customHeight="1"/>
    <row r="795" s="9" customFormat="1" ht="15" customHeight="1"/>
    <row r="796" s="9" customFormat="1" ht="15" customHeight="1"/>
    <row r="797" s="9" customFormat="1" ht="15" customHeight="1"/>
    <row r="798" s="9" customFormat="1" ht="15" customHeight="1"/>
    <row r="799" s="9" customFormat="1" ht="15" customHeight="1"/>
    <row r="800" s="9" customFormat="1" ht="15" customHeight="1"/>
    <row r="801" s="9" customFormat="1" ht="15" customHeight="1"/>
    <row r="802" s="9" customFormat="1" ht="15" customHeight="1"/>
    <row r="803" s="9" customFormat="1" ht="15" customHeight="1"/>
    <row r="804" s="9" customFormat="1" ht="15" customHeight="1"/>
    <row r="805" s="9" customFormat="1" ht="15" customHeight="1"/>
    <row r="806" s="9" customFormat="1" ht="15" customHeight="1"/>
    <row r="807" s="9" customFormat="1" ht="15" customHeight="1"/>
    <row r="808" s="9" customFormat="1" ht="15" customHeight="1"/>
    <row r="809" s="9" customFormat="1" ht="15" customHeight="1"/>
    <row r="810" s="9" customFormat="1" ht="15" customHeight="1"/>
    <row r="811" s="9" customFormat="1" ht="15" customHeight="1"/>
    <row r="812" s="9" customFormat="1" ht="15" customHeight="1"/>
    <row r="813" s="9" customFormat="1" ht="15" customHeight="1"/>
    <row r="814" s="9" customFormat="1" ht="15" customHeight="1"/>
    <row r="815" s="9" customFormat="1" ht="15" customHeight="1"/>
    <row r="816" s="9" customFormat="1" ht="15" customHeight="1"/>
    <row r="817" s="9" customFormat="1" ht="15" customHeight="1"/>
    <row r="818" s="9" customFormat="1" ht="15" customHeight="1"/>
    <row r="819" s="9" customFormat="1" ht="15" customHeight="1"/>
    <row r="820" s="9" customFormat="1" ht="15" customHeight="1"/>
    <row r="821" s="9" customFormat="1" ht="15" customHeight="1"/>
    <row r="822" s="9" customFormat="1" ht="15" customHeight="1"/>
    <row r="823" s="9" customFormat="1" ht="15" customHeight="1"/>
    <row r="824" s="9" customFormat="1" ht="15" customHeight="1"/>
    <row r="825" s="9" customFormat="1" ht="15" customHeight="1"/>
    <row r="826" s="9" customFormat="1" ht="15" customHeight="1"/>
    <row r="827" s="9" customFormat="1" ht="15" customHeight="1"/>
    <row r="828" s="9" customFormat="1" ht="15" customHeight="1"/>
    <row r="829" s="9" customFormat="1" ht="15" customHeight="1"/>
    <row r="830" s="9" customFormat="1" ht="15" customHeight="1"/>
    <row r="831" s="9" customFormat="1" ht="15" customHeight="1"/>
    <row r="832" s="9" customFormat="1" ht="15" customHeight="1"/>
    <row r="833" s="9" customFormat="1" ht="15" customHeight="1"/>
    <row r="834" s="9" customFormat="1" ht="15" customHeight="1"/>
    <row r="835" s="9" customFormat="1" ht="15" customHeight="1"/>
    <row r="836" s="9" customFormat="1" ht="15" customHeight="1"/>
    <row r="837" s="9" customFormat="1" ht="15" customHeight="1"/>
    <row r="838" s="9" customFormat="1" ht="15" customHeight="1"/>
    <row r="839" s="9" customFormat="1" ht="15" customHeight="1"/>
    <row r="840" s="9" customFormat="1" ht="15" customHeight="1"/>
    <row r="841" s="9" customFormat="1" ht="15" customHeight="1"/>
    <row r="842" s="9" customFormat="1" ht="15" customHeight="1"/>
    <row r="843" s="9" customFormat="1" ht="15" customHeight="1"/>
    <row r="844" s="9" customFormat="1" ht="15" customHeight="1"/>
    <row r="845" s="9" customFormat="1" ht="15" customHeight="1"/>
    <row r="846" s="9" customFormat="1" ht="15" customHeight="1"/>
    <row r="847" s="9" customFormat="1" ht="15" customHeight="1"/>
    <row r="848" s="9" customFormat="1" ht="15" customHeight="1"/>
    <row r="849" s="9" customFormat="1" ht="15" customHeight="1"/>
    <row r="850" s="9" customFormat="1" ht="15" customHeight="1"/>
    <row r="851" s="9" customFormat="1" ht="15" customHeight="1"/>
    <row r="852" s="9" customFormat="1" ht="15" customHeight="1"/>
    <row r="853" s="9" customFormat="1" ht="15" customHeight="1"/>
    <row r="854" s="9" customFormat="1" ht="15" customHeight="1"/>
    <row r="855" s="9" customFormat="1" ht="15" customHeight="1"/>
    <row r="856" s="9" customFormat="1" ht="15" customHeight="1"/>
    <row r="857" s="9" customFormat="1" ht="15" customHeight="1"/>
    <row r="858" s="9" customFormat="1" ht="15" customHeight="1"/>
    <row r="859" s="9" customFormat="1" ht="15" customHeight="1"/>
    <row r="860" s="9" customFormat="1" ht="15" customHeight="1"/>
    <row r="861" s="9" customFormat="1" ht="15" customHeight="1"/>
    <row r="862" s="9" customFormat="1" ht="15" customHeight="1"/>
    <row r="863" s="9" customFormat="1" ht="15" customHeight="1"/>
    <row r="864" s="9" customFormat="1" ht="15" customHeight="1"/>
    <row r="865" s="9" customFormat="1" ht="15" customHeight="1"/>
    <row r="866" s="9" customFormat="1" ht="15" customHeight="1"/>
    <row r="867" s="9" customFormat="1" ht="15" customHeight="1"/>
    <row r="868" s="9" customFormat="1" ht="15" customHeight="1"/>
    <row r="869" s="9" customFormat="1" ht="15" customHeight="1"/>
    <row r="870" s="9" customFormat="1" ht="15" customHeight="1"/>
    <row r="871" s="9" customFormat="1" ht="15" customHeight="1"/>
    <row r="872" s="9" customFormat="1" ht="15" customHeight="1"/>
    <row r="873" s="9" customFormat="1" ht="15" customHeight="1"/>
    <row r="874" s="9" customFormat="1" ht="15" customHeight="1"/>
    <row r="875" s="9" customFormat="1" ht="15" customHeight="1"/>
    <row r="876" s="9" customFormat="1" ht="15" customHeight="1"/>
    <row r="877" s="9" customFormat="1" ht="15" customHeight="1"/>
    <row r="878" s="9" customFormat="1" ht="15" customHeight="1"/>
    <row r="879" s="9" customFormat="1" ht="15" customHeight="1"/>
    <row r="880" s="9" customFormat="1" ht="15" customHeight="1"/>
    <row r="881" s="9" customFormat="1" ht="15" customHeight="1"/>
    <row r="882" s="9" customFormat="1" ht="15" customHeight="1"/>
    <row r="883" s="9" customFormat="1" ht="15" customHeight="1"/>
    <row r="884" s="9" customFormat="1" ht="15" customHeight="1"/>
    <row r="885" s="9" customFormat="1" ht="15" customHeight="1"/>
    <row r="886" s="9" customFormat="1" ht="15" customHeight="1"/>
    <row r="887" s="9" customFormat="1" ht="15" customHeight="1"/>
    <row r="888" s="9" customFormat="1" ht="15" customHeight="1"/>
    <row r="889" s="9" customFormat="1" ht="15" customHeight="1"/>
    <row r="890" s="9" customFormat="1" ht="15" customHeight="1"/>
    <row r="891" s="9" customFormat="1" ht="15" customHeight="1"/>
    <row r="892" s="9" customFormat="1" ht="15" customHeight="1"/>
    <row r="893" s="9" customFormat="1" ht="15" customHeight="1"/>
    <row r="894" s="9" customFormat="1" ht="15" customHeight="1"/>
    <row r="895" s="9" customFormat="1" ht="15" customHeight="1"/>
    <row r="896" s="9" customFormat="1" ht="15" customHeight="1"/>
    <row r="897" s="9" customFormat="1" ht="15" customHeight="1"/>
    <row r="898" s="9" customFormat="1" ht="15" customHeight="1"/>
    <row r="899" s="9" customFormat="1" ht="15" customHeight="1"/>
    <row r="900" s="9" customFormat="1" ht="15" customHeight="1"/>
    <row r="901" s="9" customFormat="1" ht="15" customHeight="1"/>
    <row r="902" s="9" customFormat="1" ht="15" customHeight="1"/>
    <row r="903" s="9" customFormat="1" ht="15" customHeight="1"/>
    <row r="904" s="9" customFormat="1" ht="15" customHeight="1"/>
    <row r="905" s="9" customFormat="1" ht="15" customHeight="1"/>
    <row r="906" s="9" customFormat="1" ht="15" customHeight="1"/>
    <row r="907" s="9" customFormat="1" ht="15" customHeight="1"/>
    <row r="908" s="9" customFormat="1" ht="15" customHeight="1"/>
    <row r="909" s="9" customFormat="1" ht="15" customHeight="1"/>
    <row r="910" s="9" customFormat="1" ht="15" customHeight="1"/>
    <row r="911" s="9" customFormat="1" ht="15" customHeight="1"/>
    <row r="912" s="9" customFormat="1" ht="15" customHeight="1"/>
    <row r="913" s="9" customFormat="1" ht="15" customHeight="1"/>
    <row r="914" s="9" customFormat="1" ht="15" customHeight="1"/>
    <row r="915" s="9" customFormat="1" ht="15" customHeight="1"/>
    <row r="916" s="9" customFormat="1" ht="15" customHeight="1"/>
    <row r="917" s="9" customFormat="1" ht="15" customHeight="1"/>
  </sheetData>
  <sheetProtection algorithmName="SHA-512" hashValue="r9ddi+GucnxBTdlvIxgiBhL/i4HEvfo1aGfbA1tWm1q55xfcA8OG9KLxPai1Vth1gU6elbrORAX6nyGNj6j4ow==" saltValue="he1FjHty7Uxulxhtr8eW0Q==" spinCount="100000" sheet="1" objects="1" scenarios="1"/>
  <hyperlinks>
    <hyperlink ref="A1" location="'Start-Experte'!A1" display="zurück" xr:uid="{00000000-0004-0000-2A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709D91A4-3530-4A64-B86E-F566904B20B7}">
            <xm:f>ControlPanel!$D$59-1</xm:f>
            <x14:dxf>
              <font>
                <color rgb="FF9C6500"/>
              </font>
              <fill>
                <patternFill>
                  <bgColor rgb="FFFFEB9C"/>
                </patternFill>
              </fill>
            </x14:dxf>
          </x14:cfRule>
          <x14:cfRule type="cellIs" priority="2" operator="lessThan" id="{98FD6C7F-A4DC-4D2B-9DD6-685E8762CACD}">
            <xm:f>ControlPanel!$D$59</xm:f>
            <x14:dxf>
              <font>
                <color rgb="FF006100"/>
              </font>
              <fill>
                <patternFill>
                  <bgColor rgb="FFC6EFCE"/>
                </patternFill>
              </fill>
            </x14:dxf>
          </x14:cfRule>
          <x14:cfRule type="cellIs" priority="3" operator="lessThan" id="{1B8AA86A-15FC-44C7-BAA6-F876DFE8536A}">
            <xm:f>ControlPanel!$D$59+1</xm:f>
            <x14:dxf>
              <font>
                <color rgb="FF006100"/>
              </font>
              <fill>
                <patternFill>
                  <fgColor indexed="64"/>
                  <bgColor rgb="FFC6EFCE"/>
                </patternFill>
              </fill>
            </x14:dxf>
          </x14:cfRule>
          <xm:sqref>G4:AF4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0306-6183-4AF6-92EC-C4105DB9883F}">
  <sheetPr codeName="Tabelle2">
    <tabColor theme="9" tint="-0.499984740745262"/>
  </sheetPr>
  <dimension ref="B4:AF33"/>
  <sheetViews>
    <sheetView workbookViewId="0"/>
  </sheetViews>
  <sheetFormatPr baseColWidth="10" defaultRowHeight="12.75"/>
  <cols>
    <col min="5" max="5" width="50.140625" customWidth="1"/>
    <col min="6" max="6" width="89.28515625" customWidth="1"/>
  </cols>
  <sheetData>
    <row r="4" spans="2:32">
      <c r="B4" s="1252" t="s">
        <v>388</v>
      </c>
    </row>
    <row r="5" spans="2:32" ht="13.5" thickBot="1">
      <c r="B5" s="9" t="s">
        <v>905</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26.25" thickBot="1">
      <c r="B6" s="172" t="s">
        <v>25</v>
      </c>
      <c r="C6" s="181" t="s">
        <v>77</v>
      </c>
      <c r="D6" s="15" t="s">
        <v>65</v>
      </c>
      <c r="E6" s="15" t="s">
        <v>659</v>
      </c>
      <c r="F6" s="602" t="s">
        <v>660</v>
      </c>
      <c r="G6" s="14"/>
      <c r="H6" s="14"/>
      <c r="I6" s="14"/>
      <c r="J6" s="14"/>
      <c r="K6" s="1253">
        <v>6.3400577197004209</v>
      </c>
      <c r="L6" s="1254">
        <v>6.3653839009576823</v>
      </c>
      <c r="M6" s="1254">
        <v>6.3653839009576823</v>
      </c>
      <c r="N6" s="1254">
        <v>6.3653839009576823</v>
      </c>
      <c r="O6" s="1254">
        <v>6.3653839009576823</v>
      </c>
      <c r="P6" s="1254">
        <v>6.3653839009576823</v>
      </c>
      <c r="Q6" s="1254">
        <v>6.3653839009576823</v>
      </c>
      <c r="R6" s="1254">
        <v>6.3653839009576823</v>
      </c>
      <c r="S6" s="1254">
        <v>6.3653839009576823</v>
      </c>
      <c r="T6" s="1254">
        <v>6.3653839009576823</v>
      </c>
      <c r="U6" s="1254">
        <v>6.3653839009576823</v>
      </c>
      <c r="V6" s="1254">
        <v>6.3653839009576823</v>
      </c>
      <c r="W6" s="1254">
        <v>6.3653839009576823</v>
      </c>
      <c r="X6" s="1254">
        <v>6.3653839009576823</v>
      </c>
      <c r="Y6" s="1254">
        <v>6.3653839009576823</v>
      </c>
      <c r="Z6" s="1254">
        <v>6.3653839009576823</v>
      </c>
      <c r="AA6" s="1254">
        <v>5.8264018677620077</v>
      </c>
      <c r="AB6" s="1254">
        <v>5.3606672290276043</v>
      </c>
      <c r="AC6" s="1254">
        <v>5.0397223665748268</v>
      </c>
      <c r="AD6" s="1254">
        <v>4.8537221589924613</v>
      </c>
      <c r="AE6" s="1254">
        <v>4.2530569317466336</v>
      </c>
      <c r="AF6" s="1254">
        <v>4.2024045692321126</v>
      </c>
    </row>
    <row r="7" spans="2:32" ht="26.25" thickBot="1">
      <c r="B7" s="171" t="s">
        <v>27</v>
      </c>
      <c r="C7" s="181" t="s">
        <v>77</v>
      </c>
      <c r="D7" s="15" t="s">
        <v>65</v>
      </c>
      <c r="E7" s="15" t="s">
        <v>659</v>
      </c>
      <c r="F7" s="602" t="s">
        <v>660</v>
      </c>
      <c r="G7" s="14"/>
      <c r="H7" s="14"/>
      <c r="I7" s="14"/>
      <c r="J7" s="14"/>
      <c r="K7" s="1253">
        <v>1.4340048917520307</v>
      </c>
      <c r="L7" s="1254">
        <v>1.4380650412409677</v>
      </c>
      <c r="M7" s="1254">
        <v>1.4380650412409677</v>
      </c>
      <c r="N7" s="1254">
        <v>1.4380650412409677</v>
      </c>
      <c r="O7" s="1254">
        <v>1.4380650412409677</v>
      </c>
      <c r="P7" s="1254">
        <v>1.4380650412409677</v>
      </c>
      <c r="Q7" s="1254">
        <v>1.4380650412409677</v>
      </c>
      <c r="R7" s="1254">
        <v>1.1116422809573945</v>
      </c>
      <c r="S7" s="1254">
        <v>1.0106083811612576</v>
      </c>
      <c r="T7" s="1254">
        <v>0.74197769522039103</v>
      </c>
      <c r="U7" s="1254">
        <v>0.43927686747089773</v>
      </c>
      <c r="V7" s="1254">
        <v>0.15582886179697539</v>
      </c>
      <c r="W7" s="1254">
        <v>0.12537230832477717</v>
      </c>
      <c r="X7" s="1254">
        <v>0.10047524852672238</v>
      </c>
      <c r="Y7" s="1254">
        <v>9.6752700738409095E-2</v>
      </c>
      <c r="Z7" s="1254">
        <v>9.3619703214801536E-2</v>
      </c>
      <c r="AA7" s="1254">
        <v>5.5079993384563354E-2</v>
      </c>
      <c r="AB7" s="1254">
        <v>4.8352437199624974E-2</v>
      </c>
      <c r="AC7" s="1254">
        <v>1.5104555416539968E-2</v>
      </c>
      <c r="AD7" s="1254">
        <v>1.2367230452041226E-2</v>
      </c>
      <c r="AE7" s="1254">
        <v>8.1202989778740627E-3</v>
      </c>
      <c r="AF7" s="1254">
        <v>0</v>
      </c>
    </row>
    <row r="8" spans="2:32" ht="26.25" thickBot="1">
      <c r="B8" s="171" t="s">
        <v>13</v>
      </c>
      <c r="C8" s="181" t="s">
        <v>77</v>
      </c>
      <c r="D8" s="15" t="s">
        <v>65</v>
      </c>
      <c r="E8" s="15" t="s">
        <v>659</v>
      </c>
      <c r="F8" s="602" t="s">
        <v>660</v>
      </c>
      <c r="G8" s="38"/>
      <c r="H8" s="38"/>
      <c r="I8" s="38"/>
      <c r="J8" s="38"/>
      <c r="K8" s="1253">
        <v>40.915066042624225</v>
      </c>
      <c r="L8" s="1254">
        <v>41.469756491772493</v>
      </c>
      <c r="M8" s="1254">
        <v>41.469756491772493</v>
      </c>
      <c r="N8" s="1254">
        <v>41.469756491772493</v>
      </c>
      <c r="O8" s="1254">
        <v>41.469756491772493</v>
      </c>
      <c r="P8" s="1254">
        <v>41.469756491772493</v>
      </c>
      <c r="Q8" s="1254">
        <v>41.469756491772493</v>
      </c>
      <c r="R8" s="1254">
        <v>39.812821991692502</v>
      </c>
      <c r="S8" s="1254">
        <v>38.829714281829894</v>
      </c>
      <c r="T8" s="1254">
        <v>38.049447462908155</v>
      </c>
      <c r="U8" s="1254">
        <v>36.913188946941609</v>
      </c>
      <c r="V8" s="1254">
        <v>33.879601480015921</v>
      </c>
      <c r="W8" s="1254">
        <v>29.979942877482884</v>
      </c>
      <c r="X8" s="1254">
        <v>24.884416561314495</v>
      </c>
      <c r="Y8" s="1254">
        <v>20.958547637788435</v>
      </c>
      <c r="Z8" s="1254">
        <v>18.738437533081804</v>
      </c>
      <c r="AA8" s="1254">
        <v>15.850866075480793</v>
      </c>
      <c r="AB8" s="1254">
        <v>11.467408760352546</v>
      </c>
      <c r="AC8" s="1254">
        <v>4.2173214392664056</v>
      </c>
      <c r="AD8" s="1254">
        <v>2.5538934635614163</v>
      </c>
      <c r="AE8" s="1254">
        <v>1.1093808982965405</v>
      </c>
      <c r="AF8" s="1254">
        <v>0</v>
      </c>
    </row>
    <row r="9" spans="2:32" ht="26.25" thickBot="1">
      <c r="B9" s="171" t="s">
        <v>12</v>
      </c>
      <c r="C9" s="181" t="s">
        <v>77</v>
      </c>
      <c r="D9" s="15" t="s">
        <v>65</v>
      </c>
      <c r="E9" s="15" t="s">
        <v>659</v>
      </c>
      <c r="F9" s="602" t="s">
        <v>660</v>
      </c>
      <c r="G9" s="14"/>
      <c r="H9" s="14"/>
      <c r="I9" s="14"/>
      <c r="J9" s="14"/>
      <c r="K9" s="1253">
        <v>0.14134193593954347</v>
      </c>
      <c r="L9" s="1254">
        <v>0.14968884020373421</v>
      </c>
      <c r="M9" s="1254">
        <v>0.14968884020373421</v>
      </c>
      <c r="N9" s="1254">
        <v>0.14968884020373421</v>
      </c>
      <c r="O9" s="1254">
        <v>0.14968884020373421</v>
      </c>
      <c r="P9" s="1254">
        <v>0.14968884020373421</v>
      </c>
      <c r="Q9" s="1254">
        <v>0.14968884020373421</v>
      </c>
      <c r="R9" s="1254">
        <v>0.14968884020373421</v>
      </c>
      <c r="S9" s="1254">
        <v>0.14968884020373421</v>
      </c>
      <c r="T9" s="1254">
        <v>0.14968884020373421</v>
      </c>
      <c r="U9" s="1254">
        <v>0.14968884020373421</v>
      </c>
      <c r="V9" s="1254">
        <v>0.14968884020373421</v>
      </c>
      <c r="W9" s="1254">
        <v>0.14968884020373421</v>
      </c>
      <c r="X9" s="1254">
        <v>0.14968884020373421</v>
      </c>
      <c r="Y9" s="1254">
        <v>0.14968884020373421</v>
      </c>
      <c r="Z9" s="1254">
        <v>0.14968884020373421</v>
      </c>
      <c r="AA9" s="1254">
        <v>0.14027279747116281</v>
      </c>
      <c r="AB9" s="1254">
        <v>0.14027279747116281</v>
      </c>
      <c r="AC9" s="1254">
        <v>0.14027279747116281</v>
      </c>
      <c r="AD9" s="1254">
        <v>8.0174710482014119E-2</v>
      </c>
      <c r="AE9" s="1254">
        <v>1.6693808528381489E-2</v>
      </c>
      <c r="AF9" s="1254">
        <v>0</v>
      </c>
    </row>
    <row r="10" spans="2:32" ht="26.25" thickBot="1">
      <c r="B10" s="171" t="s">
        <v>24</v>
      </c>
      <c r="C10" s="181" t="s">
        <v>77</v>
      </c>
      <c r="D10" s="15" t="s">
        <v>65</v>
      </c>
      <c r="E10" s="15" t="s">
        <v>659</v>
      </c>
      <c r="F10" s="602" t="s">
        <v>660</v>
      </c>
      <c r="G10" s="14">
        <v>0</v>
      </c>
      <c r="H10" s="14">
        <v>0</v>
      </c>
      <c r="I10" s="14">
        <v>0</v>
      </c>
      <c r="J10" s="14">
        <v>0</v>
      </c>
      <c r="K10" s="1253">
        <v>57.653383999388126</v>
      </c>
      <c r="L10" s="1254">
        <v>62.502124577836618</v>
      </c>
      <c r="M10" s="1254">
        <v>62.110842784472524</v>
      </c>
      <c r="N10" s="1254">
        <v>61.589133726653721</v>
      </c>
      <c r="O10" s="1254">
        <v>60.936997404380229</v>
      </c>
      <c r="P10" s="1254">
        <v>60.154433817652034</v>
      </c>
      <c r="Q10" s="1254">
        <v>59.241442966469144</v>
      </c>
      <c r="R10" s="1254">
        <v>56.886196411384716</v>
      </c>
      <c r="S10" s="1254">
        <v>53.273860613123752</v>
      </c>
      <c r="T10" s="1254">
        <v>48.985144127866754</v>
      </c>
      <c r="U10" s="1254">
        <v>44.953859251545786</v>
      </c>
      <c r="V10" s="1254">
        <v>41.695299693943618</v>
      </c>
      <c r="W10" s="1254">
        <v>38.889800126336475</v>
      </c>
      <c r="X10" s="1254">
        <v>35.265691742050741</v>
      </c>
      <c r="Y10" s="1254">
        <v>32.453041205988214</v>
      </c>
      <c r="Z10" s="1254">
        <v>31.191017671164577</v>
      </c>
      <c r="AA10" s="1254">
        <v>26.534990416467974</v>
      </c>
      <c r="AB10" s="1254">
        <v>23.848804711831974</v>
      </c>
      <c r="AC10" s="1254">
        <v>20.453990621840415</v>
      </c>
      <c r="AD10" s="1254">
        <v>15.896470455695573</v>
      </c>
      <c r="AE10" s="1254">
        <v>9.6974811568969788</v>
      </c>
      <c r="AF10" s="1254">
        <v>0</v>
      </c>
    </row>
    <row r="11" spans="2:32" ht="26.25" thickBot="1">
      <c r="B11" s="171" t="s">
        <v>26</v>
      </c>
      <c r="C11" s="181" t="s">
        <v>77</v>
      </c>
      <c r="D11" s="15" t="s">
        <v>65</v>
      </c>
      <c r="E11" s="15" t="s">
        <v>659</v>
      </c>
      <c r="F11" s="602" t="s">
        <v>660</v>
      </c>
      <c r="G11" s="14"/>
      <c r="H11" s="14"/>
      <c r="I11" s="14"/>
      <c r="J11" s="14"/>
      <c r="K11" s="1253">
        <v>3.0914397264392286</v>
      </c>
      <c r="L11" s="1254">
        <v>4.110547332443411</v>
      </c>
      <c r="M11" s="1254">
        <v>4.110547332443411</v>
      </c>
      <c r="N11" s="1254">
        <v>4.110547332443411</v>
      </c>
      <c r="O11" s="1254">
        <v>4.110547332443411</v>
      </c>
      <c r="P11" s="1254">
        <v>4.110547332443411</v>
      </c>
      <c r="Q11" s="1254">
        <v>4.110547332443411</v>
      </c>
      <c r="R11" s="1254">
        <v>4.110547332443411</v>
      </c>
      <c r="S11" s="1254">
        <v>4.110547332443411</v>
      </c>
      <c r="T11" s="1254">
        <v>4.110547332443411</v>
      </c>
      <c r="U11" s="1254">
        <v>4.110547332443411</v>
      </c>
      <c r="V11" s="1254">
        <v>4.110547332443411</v>
      </c>
      <c r="W11" s="1254">
        <v>4.110547332443411</v>
      </c>
      <c r="X11" s="1254">
        <v>4.110547332443411</v>
      </c>
      <c r="Y11" s="1254">
        <v>4.110547332443411</v>
      </c>
      <c r="Z11" s="1254">
        <v>4.110547332443411</v>
      </c>
      <c r="AA11" s="1254">
        <v>3.9601506745242956</v>
      </c>
      <c r="AB11" s="1254">
        <v>3.7744742876370232</v>
      </c>
      <c r="AC11" s="1254">
        <v>3.3082822149057258</v>
      </c>
      <c r="AD11" s="1254">
        <v>2.9793310655848093</v>
      </c>
      <c r="AE11" s="1254">
        <v>2.0382152120083648</v>
      </c>
      <c r="AF11" s="1254">
        <v>0</v>
      </c>
    </row>
    <row r="12" spans="2:32" ht="26.25" thickBot="1">
      <c r="B12" s="173" t="s">
        <v>14</v>
      </c>
      <c r="C12" s="181" t="s">
        <v>77</v>
      </c>
      <c r="D12" s="15" t="s">
        <v>65</v>
      </c>
      <c r="E12" s="15" t="s">
        <v>659</v>
      </c>
      <c r="F12" s="602" t="s">
        <v>660</v>
      </c>
      <c r="G12" s="14"/>
      <c r="H12" s="14"/>
      <c r="I12" s="14"/>
      <c r="J12" s="14"/>
      <c r="K12" s="1253">
        <v>32.345105654434903</v>
      </c>
      <c r="L12" s="1254">
        <v>33.019049930170183</v>
      </c>
      <c r="M12" s="1254">
        <v>33.019049930170183</v>
      </c>
      <c r="N12" s="1254">
        <v>33.019049930170183</v>
      </c>
      <c r="O12" s="1254">
        <v>33.019049930170183</v>
      </c>
      <c r="P12" s="1254">
        <v>33.019049930170183</v>
      </c>
      <c r="Q12" s="1254">
        <v>33.019049930170183</v>
      </c>
      <c r="R12" s="1254">
        <v>32.96986412434994</v>
      </c>
      <c r="S12" s="1254">
        <v>32.889992363151684</v>
      </c>
      <c r="T12" s="1254">
        <v>32.802643428256573</v>
      </c>
      <c r="U12" s="1254">
        <v>32.682146189674363</v>
      </c>
      <c r="V12" s="1254">
        <v>32.118403998686745</v>
      </c>
      <c r="W12" s="1254">
        <v>31.31927480670873</v>
      </c>
      <c r="X12" s="1254">
        <v>30.581886338374783</v>
      </c>
      <c r="Y12" s="1254">
        <v>29.468001652940707</v>
      </c>
      <c r="Z12" s="1254">
        <v>27.712738361025213</v>
      </c>
      <c r="AA12" s="1254">
        <v>23.700450799975101</v>
      </c>
      <c r="AB12" s="1254">
        <v>16.920444701113084</v>
      </c>
      <c r="AC12" s="1254">
        <v>9.8246758626833426</v>
      </c>
      <c r="AD12" s="1254">
        <v>3.8973169441729065</v>
      </c>
      <c r="AE12" s="1254">
        <v>1.3478885514705552</v>
      </c>
      <c r="AF12" s="1254">
        <v>0</v>
      </c>
    </row>
    <row r="15" spans="2:32">
      <c r="B15" s="1252" t="s">
        <v>927</v>
      </c>
    </row>
    <row r="16" spans="2:32" ht="13.5" thickBot="1">
      <c r="B16" s="9" t="s">
        <v>905</v>
      </c>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row>
    <row r="17" spans="2:32" ht="26.25" thickBot="1">
      <c r="B17" s="172" t="s">
        <v>25</v>
      </c>
      <c r="C17" s="181" t="s">
        <v>77</v>
      </c>
      <c r="D17" s="15" t="s">
        <v>65</v>
      </c>
      <c r="E17" s="15" t="s">
        <v>659</v>
      </c>
      <c r="F17" s="602" t="s">
        <v>660</v>
      </c>
      <c r="G17" s="14"/>
      <c r="H17" s="14"/>
      <c r="I17" s="14"/>
      <c r="J17" s="14"/>
      <c r="K17" s="1253">
        <v>0.59286870539361292</v>
      </c>
      <c r="L17" s="1255">
        <v>0.59589834152286625</v>
      </c>
      <c r="M17" s="1255">
        <v>0.59589834152286625</v>
      </c>
      <c r="N17" s="1255">
        <v>0.59589834152286625</v>
      </c>
      <c r="O17" s="1255">
        <v>0.59589834152286625</v>
      </c>
      <c r="P17" s="1255">
        <v>0.59589834152286625</v>
      </c>
      <c r="Q17" s="1255">
        <v>0.59589834152286625</v>
      </c>
      <c r="R17" s="1255">
        <v>0.59589834152286625</v>
      </c>
      <c r="S17" s="1255">
        <v>0.59589834152286625</v>
      </c>
      <c r="T17" s="1255">
        <v>0.59589834152286625</v>
      </c>
      <c r="U17" s="1255">
        <v>0.59589834152286625</v>
      </c>
      <c r="V17" s="1255">
        <v>0.59589834152286625</v>
      </c>
      <c r="W17" s="1255">
        <v>0.59589834152286625</v>
      </c>
      <c r="X17" s="1255">
        <v>0.59589834152286625</v>
      </c>
      <c r="Y17" s="1255">
        <v>0.59589834152286625</v>
      </c>
      <c r="Z17" s="1255">
        <v>0.59589834152286625</v>
      </c>
      <c r="AA17" s="1255">
        <v>0.54195695216777517</v>
      </c>
      <c r="AB17" s="1255">
        <v>0.50533948832503828</v>
      </c>
      <c r="AC17" s="1255">
        <v>0.47262537548595118</v>
      </c>
      <c r="AD17" s="1255">
        <v>0.45094447604902621</v>
      </c>
      <c r="AE17" s="1255">
        <v>0.4038898480789026</v>
      </c>
      <c r="AF17" s="1255">
        <v>0.39783057582039583</v>
      </c>
    </row>
    <row r="18" spans="2:32" ht="26.25" thickBot="1">
      <c r="B18" s="171" t="s">
        <v>27</v>
      </c>
      <c r="C18" s="181" t="s">
        <v>77</v>
      </c>
      <c r="D18" s="15" t="s">
        <v>65</v>
      </c>
      <c r="E18" s="15" t="s">
        <v>659</v>
      </c>
      <c r="F18" s="602" t="s">
        <v>660</v>
      </c>
      <c r="G18" s="14"/>
      <c r="H18" s="14"/>
      <c r="I18" s="14"/>
      <c r="J18" s="14"/>
      <c r="K18" s="1253">
        <v>0.10088070045763398</v>
      </c>
      <c r="L18" s="1255">
        <v>0.10116121574165485</v>
      </c>
      <c r="M18" s="1255">
        <v>0.10116121574165485</v>
      </c>
      <c r="N18" s="1255">
        <v>0.10116121574165485</v>
      </c>
      <c r="O18" s="1255">
        <v>0.10116121574165485</v>
      </c>
      <c r="P18" s="1255">
        <v>0.10116121574165485</v>
      </c>
      <c r="Q18" s="1255">
        <v>0.10116121574165485</v>
      </c>
      <c r="R18" s="1255">
        <v>7.9133545585612253E-2</v>
      </c>
      <c r="S18" s="1255">
        <v>7.1727150881228011E-2</v>
      </c>
      <c r="T18" s="1255">
        <v>5.2864086060311559E-2</v>
      </c>
      <c r="U18" s="1255">
        <v>3.1357929537542545E-2</v>
      </c>
      <c r="V18" s="1255">
        <v>1.1322285335139877E-2</v>
      </c>
      <c r="W18" s="1255">
        <v>9.0650761329917826E-3</v>
      </c>
      <c r="X18" s="1255">
        <v>7.2445750895866442E-3</v>
      </c>
      <c r="Y18" s="1255">
        <v>6.9699990613540114E-3</v>
      </c>
      <c r="Z18" s="1255">
        <v>6.741430146899088E-3</v>
      </c>
      <c r="AA18" s="1255">
        <v>3.8404013457238352E-3</v>
      </c>
      <c r="AB18" s="1255">
        <v>3.1931576106920346E-3</v>
      </c>
      <c r="AC18" s="1255">
        <v>1.0846120363654757E-3</v>
      </c>
      <c r="AD18" s="1255">
        <v>8.5736373947492247E-4</v>
      </c>
      <c r="AE18" s="1255">
        <v>5.6103056804173075E-4</v>
      </c>
      <c r="AF18" s="1255">
        <v>0</v>
      </c>
    </row>
    <row r="19" spans="2:32" ht="26.25" thickBot="1">
      <c r="B19" s="171" t="s">
        <v>13</v>
      </c>
      <c r="C19" s="181" t="s">
        <v>77</v>
      </c>
      <c r="D19" s="15" t="s">
        <v>65</v>
      </c>
      <c r="E19" s="15" t="s">
        <v>659</v>
      </c>
      <c r="F19" s="602" t="s">
        <v>660</v>
      </c>
      <c r="G19" s="38"/>
      <c r="H19" s="38"/>
      <c r="I19" s="38"/>
      <c r="J19" s="38"/>
      <c r="K19" s="1254">
        <v>7.8161642331714543</v>
      </c>
      <c r="L19" s="1255">
        <v>7.9245390822727533</v>
      </c>
      <c r="M19" s="1255">
        <v>7.9245390822727533</v>
      </c>
      <c r="N19" s="1255">
        <v>7.9245390822727533</v>
      </c>
      <c r="O19" s="1255">
        <v>7.9245390822727533</v>
      </c>
      <c r="P19" s="1255">
        <v>7.9245390822727533</v>
      </c>
      <c r="Q19" s="1255">
        <v>7.9245390822727533</v>
      </c>
      <c r="R19" s="1255">
        <v>7.7040643280932235</v>
      </c>
      <c r="S19" s="1255">
        <v>7.5428740510054375</v>
      </c>
      <c r="T19" s="1255">
        <v>7.4288216250548311</v>
      </c>
      <c r="U19" s="1255">
        <v>7.2918533006053305</v>
      </c>
      <c r="V19" s="1255">
        <v>6.8725383217574079</v>
      </c>
      <c r="W19" s="1255">
        <v>6.1092320442362009</v>
      </c>
      <c r="X19" s="1255">
        <v>5.1199079506909477</v>
      </c>
      <c r="Y19" s="1255">
        <v>4.3311546587347163</v>
      </c>
      <c r="Z19" s="1255">
        <v>3.9042756106600809</v>
      </c>
      <c r="AA19" s="1255">
        <v>3.3236133815912274</v>
      </c>
      <c r="AB19" s="1255">
        <v>2.3853568935530132</v>
      </c>
      <c r="AC19" s="1255">
        <v>0.84162987310065895</v>
      </c>
      <c r="AD19" s="1255">
        <v>0.50688730032510243</v>
      </c>
      <c r="AE19" s="1255">
        <v>0.21674969820259962</v>
      </c>
      <c r="AF19" s="1255">
        <v>0</v>
      </c>
    </row>
    <row r="20" spans="2:32" ht="26.25" thickBot="1">
      <c r="B20" s="171" t="s">
        <v>12</v>
      </c>
      <c r="C20" s="181" t="s">
        <v>77</v>
      </c>
      <c r="D20" s="15" t="s">
        <v>65</v>
      </c>
      <c r="E20" s="15" t="s">
        <v>659</v>
      </c>
      <c r="F20" s="602" t="s">
        <v>660</v>
      </c>
      <c r="G20" s="14"/>
      <c r="H20" s="14"/>
      <c r="I20" s="14"/>
      <c r="J20" s="14"/>
      <c r="K20" s="1253">
        <v>3.5347562923361824E-2</v>
      </c>
      <c r="L20" s="1255">
        <v>3.7412390998028656E-2</v>
      </c>
      <c r="M20" s="1255">
        <v>3.7412390998028656E-2</v>
      </c>
      <c r="N20" s="1255">
        <v>3.7412390998028656E-2</v>
      </c>
      <c r="O20" s="1255">
        <v>3.7412390998028656E-2</v>
      </c>
      <c r="P20" s="1255">
        <v>3.7412390998028656E-2</v>
      </c>
      <c r="Q20" s="1255">
        <v>3.7412390998028656E-2</v>
      </c>
      <c r="R20" s="1255">
        <v>3.7412390998028656E-2</v>
      </c>
      <c r="S20" s="1255">
        <v>3.7412390998028656E-2</v>
      </c>
      <c r="T20" s="1255">
        <v>3.7412390998028656E-2</v>
      </c>
      <c r="U20" s="1255">
        <v>3.7412390998028656E-2</v>
      </c>
      <c r="V20" s="1255">
        <v>3.7412390998028656E-2</v>
      </c>
      <c r="W20" s="1255">
        <v>3.7412390998028656E-2</v>
      </c>
      <c r="X20" s="1255">
        <v>3.7412390998028656E-2</v>
      </c>
      <c r="Y20" s="1255">
        <v>3.7412390998028656E-2</v>
      </c>
      <c r="Z20" s="1255">
        <v>3.7412390998028656E-2</v>
      </c>
      <c r="AA20" s="1255">
        <v>3.5255721675931898E-2</v>
      </c>
      <c r="AB20" s="1255">
        <v>3.5255721675931898E-2</v>
      </c>
      <c r="AC20" s="1255">
        <v>3.5255721675931898E-2</v>
      </c>
      <c r="AD20" s="1255">
        <v>2.0118844946834122E-2</v>
      </c>
      <c r="AE20" s="1255">
        <v>4.1296561493336659E-3</v>
      </c>
      <c r="AF20" s="1255">
        <v>0</v>
      </c>
    </row>
    <row r="21" spans="2:32" ht="26.25" thickBot="1">
      <c r="B21" s="171" t="s">
        <v>24</v>
      </c>
      <c r="C21" s="181" t="s">
        <v>77</v>
      </c>
      <c r="D21" s="15" t="s">
        <v>65</v>
      </c>
      <c r="E21" s="15" t="s">
        <v>659</v>
      </c>
      <c r="F21" s="602" t="s">
        <v>660</v>
      </c>
      <c r="G21" s="14">
        <v>0</v>
      </c>
      <c r="H21" s="14">
        <v>0</v>
      </c>
      <c r="I21" s="14">
        <v>0</v>
      </c>
      <c r="J21" s="14">
        <v>0</v>
      </c>
      <c r="K21" s="1253">
        <v>5.5361763968660895</v>
      </c>
      <c r="L21" s="1255">
        <v>6.0139168669547871</v>
      </c>
      <c r="M21" s="1255">
        <v>5.9784568806193468</v>
      </c>
      <c r="N21" s="1255">
        <v>5.9311768988387614</v>
      </c>
      <c r="O21" s="1255">
        <v>5.8720769216130293</v>
      </c>
      <c r="P21" s="1255">
        <v>5.7072762129233041</v>
      </c>
      <c r="Q21" s="1255">
        <v>5.5322549090503328</v>
      </c>
      <c r="R21" s="1255">
        <v>5.2442237337911122</v>
      </c>
      <c r="S21" s="1255">
        <v>4.8907078366197974</v>
      </c>
      <c r="T21" s="1255">
        <v>4.5021302757619548</v>
      </c>
      <c r="U21" s="1255">
        <v>4.1498757420585815</v>
      </c>
      <c r="V21" s="1255">
        <v>3.8471909163520843</v>
      </c>
      <c r="W21" s="1255">
        <v>3.6009016566231895</v>
      </c>
      <c r="X21" s="1255">
        <v>3.362416669808018</v>
      </c>
      <c r="Y21" s="1255">
        <v>2.9646729463510626</v>
      </c>
      <c r="Z21" s="1255">
        <v>2.755600394248884</v>
      </c>
      <c r="AA21" s="1255">
        <v>2.3480851114899872</v>
      </c>
      <c r="AB21" s="1255">
        <v>1.9718168299157017</v>
      </c>
      <c r="AC21" s="1255">
        <v>1.4793229511201422</v>
      </c>
      <c r="AD21" s="1255">
        <v>0.78191609611789203</v>
      </c>
      <c r="AE21" s="1255">
        <v>0.48002531726640046</v>
      </c>
      <c r="AF21" s="1255">
        <v>0</v>
      </c>
    </row>
    <row r="22" spans="2:32" ht="26.25" thickBot="1">
      <c r="B22" s="171" t="s">
        <v>26</v>
      </c>
      <c r="C22" s="181" t="s">
        <v>77</v>
      </c>
      <c r="D22" s="15" t="s">
        <v>65</v>
      </c>
      <c r="E22" s="15" t="s">
        <v>659</v>
      </c>
      <c r="F22" s="602" t="s">
        <v>660</v>
      </c>
      <c r="G22" s="14"/>
      <c r="H22" s="14"/>
      <c r="I22" s="14"/>
      <c r="J22" s="14"/>
      <c r="K22" s="1253">
        <v>0.54544930183620921</v>
      </c>
      <c r="L22" s="1255">
        <v>0.72095677622526411</v>
      </c>
      <c r="M22" s="1255">
        <v>0.72095677622526411</v>
      </c>
      <c r="N22" s="1255">
        <v>0.72095677622526411</v>
      </c>
      <c r="O22" s="1255">
        <v>0.72095677622526411</v>
      </c>
      <c r="P22" s="1255">
        <v>0.72095677622526411</v>
      </c>
      <c r="Q22" s="1255">
        <v>0.72095677622526411</v>
      </c>
      <c r="R22" s="1255">
        <v>0.70779873025242745</v>
      </c>
      <c r="S22" s="1255">
        <v>0.67015409610936971</v>
      </c>
      <c r="T22" s="1255">
        <v>0.5886254876290351</v>
      </c>
      <c r="U22" s="1255">
        <v>0.54948030085984612</v>
      </c>
      <c r="V22" s="1255">
        <v>0.41959031199187452</v>
      </c>
      <c r="W22" s="1255">
        <v>0.18563002464811498</v>
      </c>
      <c r="X22" s="1255">
        <v>0.13008602678610678</v>
      </c>
      <c r="Y22" s="1255">
        <v>0.12996373387338628</v>
      </c>
      <c r="Z22" s="1255">
        <v>0.12978628925492908</v>
      </c>
      <c r="AA22" s="1255">
        <v>0.12428980987762621</v>
      </c>
      <c r="AB22" s="1255">
        <v>0.1175033883274389</v>
      </c>
      <c r="AC22" s="1255">
        <v>0.10084376585622522</v>
      </c>
      <c r="AD22" s="1255">
        <v>8.893242401487135E-2</v>
      </c>
      <c r="AE22" s="1255">
        <v>5.5540165577103229E-2</v>
      </c>
      <c r="AF22" s="1255">
        <v>0</v>
      </c>
    </row>
    <row r="23" spans="2:32" ht="26.25" thickBot="1">
      <c r="B23" s="173" t="s">
        <v>14</v>
      </c>
      <c r="C23" s="181" t="s">
        <v>77</v>
      </c>
      <c r="D23" s="15" t="s">
        <v>65</v>
      </c>
      <c r="E23" s="15" t="s">
        <v>659</v>
      </c>
      <c r="F23" s="602" t="s">
        <v>660</v>
      </c>
      <c r="G23" s="14"/>
      <c r="H23" s="14"/>
      <c r="I23" s="14"/>
      <c r="J23" s="14"/>
      <c r="K23" s="1253">
        <v>9.8381674794365797</v>
      </c>
      <c r="L23" s="1255">
        <v>9.8992046007707302</v>
      </c>
      <c r="M23" s="1255">
        <v>9.8992046007707302</v>
      </c>
      <c r="N23" s="1255">
        <v>9.8992046007707302</v>
      </c>
      <c r="O23" s="1255">
        <v>9.8992046007707302</v>
      </c>
      <c r="P23" s="1255">
        <v>9.8992046007707302</v>
      </c>
      <c r="Q23" s="1255">
        <v>9.8992046007707302</v>
      </c>
      <c r="R23" s="1255">
        <v>9.8743231184046909</v>
      </c>
      <c r="S23" s="1255">
        <v>9.8339025269570541</v>
      </c>
      <c r="T23" s="1255">
        <v>9.7918998861958393</v>
      </c>
      <c r="U23" s="1255">
        <v>9.7368305315089039</v>
      </c>
      <c r="V23" s="1255">
        <v>9.4203080911896588</v>
      </c>
      <c r="W23" s="1255">
        <v>8.9956933481227033</v>
      </c>
      <c r="X23" s="1255">
        <v>8.6231614633896339</v>
      </c>
      <c r="Y23" s="1255">
        <v>8.0972890432583959</v>
      </c>
      <c r="Z23" s="1255">
        <v>7.306332544077935</v>
      </c>
      <c r="AA23" s="1255">
        <v>5.6871387273907796</v>
      </c>
      <c r="AB23" s="1255">
        <v>3.344398325548267</v>
      </c>
      <c r="AC23" s="1255">
        <v>1.5096140003144618</v>
      </c>
      <c r="AD23" s="1255">
        <v>0.41258647705966339</v>
      </c>
      <c r="AE23" s="1255">
        <v>0.12207424266830158</v>
      </c>
      <c r="AF23" s="1255">
        <v>0</v>
      </c>
    </row>
    <row r="24" spans="2:3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row>
    <row r="25" spans="2:32">
      <c r="B25" s="1146" t="s">
        <v>928</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row>
    <row r="26" spans="2:32" ht="13.5" thickBot="1">
      <c r="B26" s="9" t="s">
        <v>930</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row>
    <row r="27" spans="2:32" ht="18.75" customHeight="1" thickBot="1">
      <c r="B27" s="172" t="s">
        <v>25</v>
      </c>
      <c r="C27" s="181"/>
      <c r="D27" s="15" t="s">
        <v>256</v>
      </c>
      <c r="E27" s="15" t="s">
        <v>929</v>
      </c>
      <c r="F27" s="602"/>
      <c r="G27" s="14"/>
      <c r="H27" s="14"/>
      <c r="I27" s="14"/>
      <c r="J27" s="14"/>
      <c r="K27" s="1256">
        <f>K17/'Nebenrechnung_Bestand Zahlungen'!K6</f>
        <v>9.3511562765650508E-2</v>
      </c>
      <c r="L27" s="1257">
        <f>L17/'Nebenrechnung_Bestand Zahlungen'!L6</f>
        <v>9.3615459930580527E-2</v>
      </c>
      <c r="M27" s="1257">
        <f>M17/'Nebenrechnung_Bestand Zahlungen'!M6</f>
        <v>9.3615459930580527E-2</v>
      </c>
      <c r="N27" s="1257">
        <f>N17/'Nebenrechnung_Bestand Zahlungen'!N6</f>
        <v>9.3615459930580527E-2</v>
      </c>
      <c r="O27" s="1257">
        <f>O17/'Nebenrechnung_Bestand Zahlungen'!O6</f>
        <v>9.3615459930580527E-2</v>
      </c>
      <c r="P27" s="1257">
        <f>P17/'Nebenrechnung_Bestand Zahlungen'!P6</f>
        <v>9.3615459930580527E-2</v>
      </c>
      <c r="Q27" s="1257">
        <f>Q17/'Nebenrechnung_Bestand Zahlungen'!Q6</f>
        <v>9.3615459930580527E-2</v>
      </c>
      <c r="R27" s="1257">
        <f>R17/'Nebenrechnung_Bestand Zahlungen'!R6</f>
        <v>9.3615459930580527E-2</v>
      </c>
      <c r="S27" s="1257">
        <f>S17/'Nebenrechnung_Bestand Zahlungen'!S6</f>
        <v>9.3615459930580527E-2</v>
      </c>
      <c r="T27" s="1257">
        <f>T17/'Nebenrechnung_Bestand Zahlungen'!T6</f>
        <v>9.3615459930580527E-2</v>
      </c>
      <c r="U27" s="1257">
        <f>U17/'Nebenrechnung_Bestand Zahlungen'!U6</f>
        <v>9.3615459930580527E-2</v>
      </c>
      <c r="V27" s="1257">
        <f>V17/'Nebenrechnung_Bestand Zahlungen'!V6</f>
        <v>9.3615459930580527E-2</v>
      </c>
      <c r="W27" s="1257">
        <f>W17/'Nebenrechnung_Bestand Zahlungen'!W6</f>
        <v>9.3615459930580527E-2</v>
      </c>
      <c r="X27" s="1257">
        <f>X17/'Nebenrechnung_Bestand Zahlungen'!X6</f>
        <v>9.3615459930580527E-2</v>
      </c>
      <c r="Y27" s="1257">
        <f>Y17/'Nebenrechnung_Bestand Zahlungen'!Y6</f>
        <v>9.3615459930580527E-2</v>
      </c>
      <c r="Z27" s="1257">
        <f>Z17/'Nebenrechnung_Bestand Zahlungen'!Z6</f>
        <v>9.3615459930580527E-2</v>
      </c>
      <c r="AA27" s="1257">
        <f>AA17/'Nebenrechnung_Bestand Zahlungen'!AA6</f>
        <v>9.3017434167469715E-2</v>
      </c>
      <c r="AB27" s="1257">
        <f>AB17/'Nebenrechnung_Bestand Zahlungen'!AB6</f>
        <v>9.4268020515928225E-2</v>
      </c>
      <c r="AC27" s="1257">
        <f>AC17/'Nebenrechnung_Bestand Zahlungen'!AC6</f>
        <v>9.3780042055603169E-2</v>
      </c>
      <c r="AD27" s="1257">
        <f>AD17/'Nebenrechnung_Bestand Zahlungen'!AD6</f>
        <v>9.290694054532235E-2</v>
      </c>
      <c r="AE27" s="1257">
        <f>AE17/'Nebenrechnung_Bestand Zahlungen'!AE6</f>
        <v>9.4964599477636011E-2</v>
      </c>
      <c r="AF27" s="1257">
        <f>AF17/'Nebenrechnung_Bestand Zahlungen'!AF6</f>
        <v>9.4667367043409084E-2</v>
      </c>
    </row>
    <row r="28" spans="2:32" ht="18.75" customHeight="1" thickBot="1">
      <c r="B28" s="171" t="s">
        <v>27</v>
      </c>
      <c r="C28" s="181"/>
      <c r="D28" s="15" t="s">
        <v>256</v>
      </c>
      <c r="E28" s="15" t="s">
        <v>929</v>
      </c>
      <c r="F28" s="602"/>
      <c r="G28" s="14"/>
      <c r="H28" s="14"/>
      <c r="I28" s="14"/>
      <c r="J28" s="14"/>
      <c r="K28" s="1256">
        <f>K18/'Nebenrechnung_Bestand Zahlungen'!K7</f>
        <v>7.0348923520323917E-2</v>
      </c>
      <c r="L28" s="1257">
        <f>L18/'Nebenrechnung_Bestand Zahlungen'!L7</f>
        <v>7.0345368839756034E-2</v>
      </c>
      <c r="M28" s="1257">
        <f>M18/'Nebenrechnung_Bestand Zahlungen'!M7</f>
        <v>7.0345368839756034E-2</v>
      </c>
      <c r="N28" s="1257">
        <f>N18/'Nebenrechnung_Bestand Zahlungen'!N7</f>
        <v>7.0345368839756034E-2</v>
      </c>
      <c r="O28" s="1257">
        <f>O18/'Nebenrechnung_Bestand Zahlungen'!O7</f>
        <v>7.0345368839756034E-2</v>
      </c>
      <c r="P28" s="1257">
        <f>P18/'Nebenrechnung_Bestand Zahlungen'!P7</f>
        <v>7.0345368839756034E-2</v>
      </c>
      <c r="Q28" s="1257">
        <f>Q18/'Nebenrechnung_Bestand Zahlungen'!Q7</f>
        <v>7.0345368839756034E-2</v>
      </c>
      <c r="R28" s="1257">
        <f>R18/'Nebenrechnung_Bestand Zahlungen'!R7</f>
        <v>7.1186160279419222E-2</v>
      </c>
      <c r="S28" s="1257">
        <f>S18/'Nebenrechnung_Bestand Zahlungen'!S7</f>
        <v>7.0974229205192862E-2</v>
      </c>
      <c r="T28" s="1257">
        <f>T18/'Nebenrechnung_Bestand Zahlungen'!T7</f>
        <v>7.1247540729117528E-2</v>
      </c>
      <c r="U28" s="1257">
        <f>U18/'Nebenrechnung_Bestand Zahlungen'!U7</f>
        <v>7.1385342274186608E-2</v>
      </c>
      <c r="V28" s="1257">
        <f>V18/'Nebenrechnung_Bestand Zahlungen'!V7</f>
        <v>7.2658461369571783E-2</v>
      </c>
      <c r="W28" s="1257">
        <f>W18/'Nebenrechnung_Bestand Zahlungen'!W7</f>
        <v>7.2305250291066575E-2</v>
      </c>
      <c r="X28" s="1257">
        <f>X18/'Nebenrechnung_Bestand Zahlungen'!X7</f>
        <v>7.2103082060651774E-2</v>
      </c>
      <c r="Y28" s="1257">
        <f>Y18/'Nebenrechnung_Bestand Zahlungen'!Y7</f>
        <v>7.2039323017957332E-2</v>
      </c>
      <c r="Z28" s="1257">
        <f>Z18/'Nebenrechnung_Bestand Zahlungen'!Z7</f>
        <v>7.2008668211984345E-2</v>
      </c>
      <c r="AA28" s="1257">
        <f>AA18/'Nebenrechnung_Bestand Zahlungen'!AA7</f>
        <v>6.9724070569698746E-2</v>
      </c>
      <c r="AB28" s="1257">
        <f>AB18/'Nebenrechnung_Bestand Zahlungen'!AB7</f>
        <v>6.6039227712740831E-2</v>
      </c>
      <c r="AC28" s="1257">
        <f>AC18/'Nebenrechnung_Bestand Zahlungen'!AC7</f>
        <v>7.1806948728712072E-2</v>
      </c>
      <c r="AD28" s="1257">
        <f>AD18/'Nebenrechnung_Bestand Zahlungen'!AD7</f>
        <v>6.9325443784660254E-2</v>
      </c>
      <c r="AE28" s="1257">
        <f>AE18/'Nebenrechnung_Bestand Zahlungen'!AE7</f>
        <v>6.9089890602600887E-2</v>
      </c>
      <c r="AF28" s="1257">
        <v>0</v>
      </c>
    </row>
    <row r="29" spans="2:32" ht="18.75" customHeight="1" thickBot="1">
      <c r="B29" s="171" t="s">
        <v>13</v>
      </c>
      <c r="C29" s="181"/>
      <c r="D29" s="15" t="s">
        <v>256</v>
      </c>
      <c r="E29" s="15" t="s">
        <v>929</v>
      </c>
      <c r="F29" s="602"/>
      <c r="G29" s="38"/>
      <c r="H29" s="38"/>
      <c r="I29" s="38"/>
      <c r="J29" s="38"/>
      <c r="K29" s="1258">
        <f>K19/'Nebenrechnung_Bestand Zahlungen'!K8</f>
        <v>0.19103389018189004</v>
      </c>
      <c r="L29" s="1257">
        <f>L19/'Nebenrechnung_Bestand Zahlungen'!L8</f>
        <v>0.19109200903663284</v>
      </c>
      <c r="M29" s="1257">
        <f>M19/'Nebenrechnung_Bestand Zahlungen'!M8</f>
        <v>0.19109200903663284</v>
      </c>
      <c r="N29" s="1257">
        <f>N19/'Nebenrechnung_Bestand Zahlungen'!N8</f>
        <v>0.19109200903663284</v>
      </c>
      <c r="O29" s="1257">
        <f>O19/'Nebenrechnung_Bestand Zahlungen'!O8</f>
        <v>0.19109200903663284</v>
      </c>
      <c r="P29" s="1257">
        <f>P19/'Nebenrechnung_Bestand Zahlungen'!P8</f>
        <v>0.19109200903663284</v>
      </c>
      <c r="Q29" s="1257">
        <f>Q19/'Nebenrechnung_Bestand Zahlungen'!Q8</f>
        <v>0.19109200903663284</v>
      </c>
      <c r="R29" s="1257">
        <f>R19/'Nebenrechnung_Bestand Zahlungen'!R8</f>
        <v>0.19350711511233198</v>
      </c>
      <c r="S29" s="1257">
        <f>S19/'Nebenrechnung_Bestand Zahlungen'!S8</f>
        <v>0.19425520353455383</v>
      </c>
      <c r="T29" s="1257">
        <f>T19/'Nebenrechnung_Bestand Zahlungen'!T8</f>
        <v>0.19524124843854013</v>
      </c>
      <c r="U29" s="1257">
        <f>U19/'Nebenrechnung_Bestand Zahlungen'!U8</f>
        <v>0.19754059480167147</v>
      </c>
      <c r="V29" s="1257">
        <f>V19/'Nebenrechnung_Bestand Zahlungen'!V8</f>
        <v>0.20285180526138166</v>
      </c>
      <c r="W29" s="1257">
        <f>W19/'Nebenrechnung_Bestand Zahlungen'!W8</f>
        <v>0.2037773076887574</v>
      </c>
      <c r="X29" s="1257">
        <f>X19/'Nebenrechnung_Bestand Zahlungen'!X8</f>
        <v>0.20574755843986295</v>
      </c>
      <c r="Y29" s="1257">
        <f>Y19/'Nebenrechnung_Bestand Zahlungen'!Y8</f>
        <v>0.20665337759023</v>
      </c>
      <c r="Z29" s="1257">
        <f>Z19/'Nebenrechnung_Bestand Zahlungen'!Z8</f>
        <v>0.20835651872079897</v>
      </c>
      <c r="AA29" s="1257">
        <f>AA19/'Nebenrechnung_Bestand Zahlungen'!AA8</f>
        <v>0.20968023865474586</v>
      </c>
      <c r="AB29" s="1257">
        <f>AB19/'Nebenrechnung_Bestand Zahlungen'!AB8</f>
        <v>0.20801184848316853</v>
      </c>
      <c r="AC29" s="1257">
        <f>AC19/'Nebenrechnung_Bestand Zahlungen'!AC8</f>
        <v>0.19956502847149796</v>
      </c>
      <c r="AD29" s="1257">
        <f>AD19/'Nebenrechnung_Bestand Zahlungen'!AD8</f>
        <v>0.1984762902436211</v>
      </c>
      <c r="AE29" s="1257">
        <f>AE19/'Nebenrechnung_Bestand Zahlungen'!AE8</f>
        <v>0.19537897086151365</v>
      </c>
      <c r="AF29" s="1257">
        <v>0</v>
      </c>
    </row>
    <row r="30" spans="2:32" ht="18.75" customHeight="1" thickBot="1">
      <c r="B30" s="171" t="s">
        <v>12</v>
      </c>
      <c r="C30" s="181"/>
      <c r="D30" s="15" t="s">
        <v>256</v>
      </c>
      <c r="E30" s="15" t="s">
        <v>929</v>
      </c>
      <c r="F30" s="602"/>
      <c r="G30" s="14"/>
      <c r="H30" s="14"/>
      <c r="I30" s="14"/>
      <c r="J30" s="14"/>
      <c r="K30" s="1256">
        <f>K20/'Nebenrechnung_Bestand Zahlungen'!K9</f>
        <v>0.25008545898565532</v>
      </c>
      <c r="L30" s="1257">
        <f>L20/'Nebenrechnung_Bestand Zahlungen'!L9</f>
        <v>0.24993440357416402</v>
      </c>
      <c r="M30" s="1257">
        <f>M20/'Nebenrechnung_Bestand Zahlungen'!M9</f>
        <v>0.24993440357416402</v>
      </c>
      <c r="N30" s="1257">
        <f>N20/'Nebenrechnung_Bestand Zahlungen'!N9</f>
        <v>0.24993440357416402</v>
      </c>
      <c r="O30" s="1257">
        <f>O20/'Nebenrechnung_Bestand Zahlungen'!O9</f>
        <v>0.24993440357416402</v>
      </c>
      <c r="P30" s="1257">
        <f>P20/'Nebenrechnung_Bestand Zahlungen'!P9</f>
        <v>0.24993440357416402</v>
      </c>
      <c r="Q30" s="1257">
        <f>Q20/'Nebenrechnung_Bestand Zahlungen'!Q9</f>
        <v>0.24993440357416402</v>
      </c>
      <c r="R30" s="1257">
        <f>R20/'Nebenrechnung_Bestand Zahlungen'!R9</f>
        <v>0.24993440357416402</v>
      </c>
      <c r="S30" s="1257">
        <f>S20/'Nebenrechnung_Bestand Zahlungen'!S9</f>
        <v>0.24993440357416402</v>
      </c>
      <c r="T30" s="1257">
        <f>T20/'Nebenrechnung_Bestand Zahlungen'!T9</f>
        <v>0.24993440357416402</v>
      </c>
      <c r="U30" s="1257">
        <f>U20/'Nebenrechnung_Bestand Zahlungen'!U9</f>
        <v>0.24993440357416402</v>
      </c>
      <c r="V30" s="1257">
        <f>V20/'Nebenrechnung_Bestand Zahlungen'!V9</f>
        <v>0.24993440357416402</v>
      </c>
      <c r="W30" s="1257">
        <f>W20/'Nebenrechnung_Bestand Zahlungen'!W9</f>
        <v>0.24993440357416402</v>
      </c>
      <c r="X30" s="1257">
        <f>X20/'Nebenrechnung_Bestand Zahlungen'!X9</f>
        <v>0.24993440357416402</v>
      </c>
      <c r="Y30" s="1257">
        <f>Y20/'Nebenrechnung_Bestand Zahlungen'!Y9</f>
        <v>0.24993440357416402</v>
      </c>
      <c r="Z30" s="1257">
        <f>Z20/'Nebenrechnung_Bestand Zahlungen'!Z9</f>
        <v>0.24993440357416402</v>
      </c>
      <c r="AA30" s="1257">
        <f>AA20/'Nebenrechnung_Bestand Zahlungen'!AA9</f>
        <v>0.25133684015377072</v>
      </c>
      <c r="AB30" s="1257">
        <f>AB20/'Nebenrechnung_Bestand Zahlungen'!AB9</f>
        <v>0.25133684015377072</v>
      </c>
      <c r="AC30" s="1257">
        <f>AC20/'Nebenrechnung_Bestand Zahlungen'!AC9</f>
        <v>0.25133684015377072</v>
      </c>
      <c r="AD30" s="1257">
        <f>AD20/'Nebenrechnung_Bestand Zahlungen'!AD9</f>
        <v>0.25093754409437441</v>
      </c>
      <c r="AE30" s="1257">
        <f>AE20/'Nebenrechnung_Bestand Zahlungen'!AE9</f>
        <v>0.24737651341290706</v>
      </c>
      <c r="AF30" s="1257">
        <v>0</v>
      </c>
    </row>
    <row r="31" spans="2:32" ht="18.75" customHeight="1" thickBot="1">
      <c r="B31" s="171" t="s">
        <v>24</v>
      </c>
      <c r="C31" s="181"/>
      <c r="D31" s="15" t="s">
        <v>256</v>
      </c>
      <c r="E31" s="15" t="s">
        <v>929</v>
      </c>
      <c r="F31" s="602"/>
      <c r="G31" s="14"/>
      <c r="H31" s="14"/>
      <c r="I31" s="14"/>
      <c r="J31" s="14"/>
      <c r="K31" s="1256">
        <f>K21/'Nebenrechnung_Bestand Zahlungen'!K10</f>
        <v>9.6025176890307859E-2</v>
      </c>
      <c r="L31" s="1257">
        <f>L21/'Nebenrechnung_Bestand Zahlungen'!L10</f>
        <v>9.6219399061633404E-2</v>
      </c>
      <c r="M31" s="1257">
        <f>M21/'Nebenrechnung_Bestand Zahlungen'!M10</f>
        <v>9.6254641099700847E-2</v>
      </c>
      <c r="N31" s="1257">
        <f>N21/'Nebenrechnung_Bestand Zahlungen'!N10</f>
        <v>9.6302327049486422E-2</v>
      </c>
      <c r="O31" s="1257">
        <f>O21/'Nebenrechnung_Bestand Zahlungen'!O10</f>
        <v>9.6363082720431786E-2</v>
      </c>
      <c r="P31" s="1257">
        <f>P21/'Nebenrechnung_Bestand Zahlungen'!P10</f>
        <v>9.4877066422467612E-2</v>
      </c>
      <c r="Q31" s="1257">
        <f>Q21/'Nebenrechnung_Bestand Zahlungen'!Q10</f>
        <v>9.3384877748194081E-2</v>
      </c>
      <c r="R31" s="1257">
        <f>R21/'Nebenrechnung_Bestand Zahlungen'!R10</f>
        <v>9.2187983458524539E-2</v>
      </c>
      <c r="S31" s="1257">
        <f>S21/'Nebenrechnung_Bestand Zahlungen'!S10</f>
        <v>9.180314286092861E-2</v>
      </c>
      <c r="T31" s="1257">
        <f>T21/'Nebenrechnung_Bestand Zahlungen'!T10</f>
        <v>9.1908074497238743E-2</v>
      </c>
      <c r="U31" s="1257">
        <f>U21/'Nebenrechnung_Bestand Zahlungen'!U10</f>
        <v>9.2314115209494133E-2</v>
      </c>
      <c r="V31" s="1257">
        <f>V21/'Nebenrechnung_Bestand Zahlungen'!V10</f>
        <v>9.2269175292938391E-2</v>
      </c>
      <c r="W31" s="1257">
        <f>W21/'Nebenrechnung_Bestand Zahlungen'!W10</f>
        <v>9.2592444417955E-2</v>
      </c>
      <c r="X31" s="1257">
        <f>X21/'Nebenrechnung_Bestand Zahlungen'!X10</f>
        <v>9.5345263447609588E-2</v>
      </c>
      <c r="Y31" s="1257">
        <f>Y21/'Nebenrechnung_Bestand Zahlungen'!Y10</f>
        <v>9.1352700276485121E-2</v>
      </c>
      <c r="Z31" s="1257">
        <f>Z21/'Nebenrechnung_Bestand Zahlungen'!Z10</f>
        <v>8.8345959830492385E-2</v>
      </c>
      <c r="AA31" s="1257">
        <f>AA21/'Nebenrechnung_Bestand Zahlungen'!AA10</f>
        <v>8.849014356653899E-2</v>
      </c>
      <c r="AB31" s="1257">
        <f>AB21/'Nebenrechnung_Bestand Zahlungen'!AB10</f>
        <v>8.2679901728468397E-2</v>
      </c>
      <c r="AC31" s="1257">
        <f>AC21/'Nebenrechnung_Bestand Zahlungen'!AC10</f>
        <v>7.2324417199084223E-2</v>
      </c>
      <c r="AD31" s="1257">
        <f>AD21/'Nebenrechnung_Bestand Zahlungen'!AD10</f>
        <v>4.9188031915458189E-2</v>
      </c>
      <c r="AE31" s="1257">
        <f>AE21/'Nebenrechnung_Bestand Zahlungen'!AE10</f>
        <v>4.9500000000000002E-2</v>
      </c>
      <c r="AF31" s="1257">
        <v>0</v>
      </c>
    </row>
    <row r="32" spans="2:32" ht="18.75" customHeight="1" thickBot="1">
      <c r="B32" s="171" t="s">
        <v>26</v>
      </c>
      <c r="C32" s="181"/>
      <c r="D32" s="15" t="s">
        <v>256</v>
      </c>
      <c r="E32" s="15" t="s">
        <v>929</v>
      </c>
      <c r="F32" s="602"/>
      <c r="G32" s="14"/>
      <c r="H32" s="14"/>
      <c r="I32" s="14"/>
      <c r="J32" s="14"/>
      <c r="K32" s="1256">
        <f>K22/'Nebenrechnung_Bestand Zahlungen'!K11</f>
        <v>0.17643860146174248</v>
      </c>
      <c r="L32" s="1257">
        <f>L22/'Nebenrechnung_Bestand Zahlungen'!L11</f>
        <v>0.17539191691942144</v>
      </c>
      <c r="M32" s="1257">
        <f>M22/'Nebenrechnung_Bestand Zahlungen'!M11</f>
        <v>0.17539191691942144</v>
      </c>
      <c r="N32" s="1257">
        <f>N22/'Nebenrechnung_Bestand Zahlungen'!N11</f>
        <v>0.17539191691942144</v>
      </c>
      <c r="O32" s="1257">
        <f>O22/'Nebenrechnung_Bestand Zahlungen'!O11</f>
        <v>0.17539191691942144</v>
      </c>
      <c r="P32" s="1257">
        <f>P22/'Nebenrechnung_Bestand Zahlungen'!P11</f>
        <v>0.17539191691942144</v>
      </c>
      <c r="Q32" s="1257">
        <f>Q22/'Nebenrechnung_Bestand Zahlungen'!Q11</f>
        <v>0.17539191691942144</v>
      </c>
      <c r="R32" s="1257">
        <f>R22/'Nebenrechnung_Bestand Zahlungen'!R11</f>
        <v>0.17219087216584716</v>
      </c>
      <c r="S32" s="1257">
        <f>S22/'Nebenrechnung_Bestand Zahlungen'!S11</f>
        <v>0.16303281337257186</v>
      </c>
      <c r="T32" s="1257">
        <f>T22/'Nebenrechnung_Bestand Zahlungen'!T11</f>
        <v>0.14319881028571968</v>
      </c>
      <c r="U32" s="1257">
        <f>U22/'Nebenrechnung_Bestand Zahlungen'!U11</f>
        <v>0.13367570214383626</v>
      </c>
      <c r="V32" s="1257">
        <f>V22/'Nebenrechnung_Bestand Zahlungen'!V11</f>
        <v>0.10207650661997357</v>
      </c>
      <c r="W32" s="1257">
        <f>W22/'Nebenrechnung_Bestand Zahlungen'!W11</f>
        <v>4.5159442194714225E-2</v>
      </c>
      <c r="X32" s="1257">
        <f>X22/'Nebenrechnung_Bestand Zahlungen'!X11</f>
        <v>3.164688696305084E-2</v>
      </c>
      <c r="Y32" s="1257">
        <f>Y22/'Nebenrechnung_Bestand Zahlungen'!Y11</f>
        <v>3.1617135958420563E-2</v>
      </c>
      <c r="Z32" s="1257">
        <f>Z22/'Nebenrechnung_Bestand Zahlungen'!Z11</f>
        <v>3.1573967834055056E-2</v>
      </c>
      <c r="AA32" s="1257">
        <f>AA22/'Nebenrechnung_Bestand Zahlungen'!AA11</f>
        <v>3.1385121449338853E-2</v>
      </c>
      <c r="AB32" s="1257">
        <f>AB22/'Nebenrechnung_Bestand Zahlungen'!AB11</f>
        <v>3.1131060744621172E-2</v>
      </c>
      <c r="AC32" s="1257">
        <f>AC22/'Nebenrechnung_Bestand Zahlungen'!AC11</f>
        <v>3.048221382138008E-2</v>
      </c>
      <c r="AD32" s="1257">
        <f>AD22/'Nebenrechnung_Bestand Zahlungen'!AD11</f>
        <v>2.9849795829056315E-2</v>
      </c>
      <c r="AE32" s="1257">
        <f>AE22/'Nebenrechnung_Bestand Zahlungen'!AE11</f>
        <v>2.7249411764705883E-2</v>
      </c>
      <c r="AF32" s="1257">
        <v>0</v>
      </c>
    </row>
    <row r="33" spans="2:32" ht="18.75" customHeight="1" thickBot="1">
      <c r="B33" s="173" t="s">
        <v>14</v>
      </c>
      <c r="C33" s="181"/>
      <c r="D33" s="15" t="s">
        <v>256</v>
      </c>
      <c r="E33" s="15" t="s">
        <v>929</v>
      </c>
      <c r="F33" s="602"/>
      <c r="G33" s="14"/>
      <c r="H33" s="14"/>
      <c r="I33" s="14"/>
      <c r="J33" s="14"/>
      <c r="K33" s="1256">
        <f>K23/'Nebenrechnung_Bestand Zahlungen'!K12</f>
        <v>0.30416247776540029</v>
      </c>
      <c r="L33" s="1257">
        <f>L23/'Nebenrechnung_Bestand Zahlungen'!L12</f>
        <v>0.29980282963034693</v>
      </c>
      <c r="M33" s="1257">
        <f>M23/'Nebenrechnung_Bestand Zahlungen'!M12</f>
        <v>0.29980282963034693</v>
      </c>
      <c r="N33" s="1257">
        <f>N23/'Nebenrechnung_Bestand Zahlungen'!N12</f>
        <v>0.29980282963034693</v>
      </c>
      <c r="O33" s="1257">
        <f>O23/'Nebenrechnung_Bestand Zahlungen'!O12</f>
        <v>0.29980282963034693</v>
      </c>
      <c r="P33" s="1257">
        <f>P23/'Nebenrechnung_Bestand Zahlungen'!P12</f>
        <v>0.29980282963034693</v>
      </c>
      <c r="Q33" s="1257">
        <f>Q23/'Nebenrechnung_Bestand Zahlungen'!Q12</f>
        <v>0.29980282963034693</v>
      </c>
      <c r="R33" s="1257">
        <f>R23/'Nebenrechnung_Bestand Zahlungen'!R12</f>
        <v>0.29949541439304855</v>
      </c>
      <c r="S33" s="1257">
        <f>S23/'Nebenrechnung_Bestand Zahlungen'!S12</f>
        <v>0.29899376133557487</v>
      </c>
      <c r="T33" s="1257">
        <f>T23/'Nebenrechnung_Bestand Zahlungen'!T12</f>
        <v>0.29850947554308943</v>
      </c>
      <c r="U33" s="1257">
        <f>U23/'Nebenrechnung_Bestand Zahlungen'!U12</f>
        <v>0.29792506511047828</v>
      </c>
      <c r="V33" s="1257">
        <f>V23/'Nebenrechnung_Bestand Zahlungen'!V12</f>
        <v>0.29329938348041318</v>
      </c>
      <c r="W33" s="1257">
        <f>W23/'Nebenrechnung_Bestand Zahlungen'!W12</f>
        <v>0.28722546750015376</v>
      </c>
      <c r="X33" s="1257">
        <f>X23/'Nebenrechnung_Bestand Zahlungen'!X12</f>
        <v>0.28196957401444239</v>
      </c>
      <c r="Y33" s="1257">
        <f>Y23/'Nebenrechnung_Bestand Zahlungen'!Y12</f>
        <v>0.27478242802563241</v>
      </c>
      <c r="Z33" s="1257">
        <f>Z23/'Nebenrechnung_Bestand Zahlungen'!Z12</f>
        <v>0.26364527564527701</v>
      </c>
      <c r="AA33" s="1257">
        <f>AA23/'Nebenrechnung_Bestand Zahlungen'!AA12</f>
        <v>0.23995909509859426</v>
      </c>
      <c r="AB33" s="1257">
        <f>AB23/'Nebenrechnung_Bestand Zahlungen'!AB12</f>
        <v>0.19765428064241486</v>
      </c>
      <c r="AC33" s="1257">
        <f>AC23/'Nebenrechnung_Bestand Zahlungen'!AC12</f>
        <v>0.15365534918544904</v>
      </c>
      <c r="AD33" s="1257">
        <f>AD23/'Nebenrechnung_Bestand Zahlungen'!AD12</f>
        <v>0.10586423505446335</v>
      </c>
      <c r="AE33" s="1257">
        <f>AE23/'Nebenrechnung_Bestand Zahlungen'!AE12</f>
        <v>9.0567015006632251E-2</v>
      </c>
      <c r="AF33" s="1257">
        <v>0</v>
      </c>
    </row>
  </sheetData>
  <sheetProtection algorithmName="SHA-512" hashValue="0r4jrgbO0Y/nWfVf2a/yAXALvQGqk7Y7Mh1TtnkF+yWBbG7ODRkOX63HPVfPYAzhWzZN5JiiaUZrvwz24JnRAw==" saltValue="zbgxsgDlGzx6TiYRvwSEMw==" spinCount="100000" sheet="1" objects="1" scenarios="1"/>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31">
    <tabColor theme="9" tint="-0.499984740745262"/>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65" t="s">
        <v>84</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137</v>
      </c>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row>
    <row r="6" spans="1:31" ht="15" customHeight="1">
      <c r="B6" s="178" t="s">
        <v>138</v>
      </c>
      <c r="C6" s="40" t="s">
        <v>65</v>
      </c>
      <c r="D6" s="40" t="s">
        <v>267</v>
      </c>
      <c r="E6" s="538"/>
      <c r="F6" s="106">
        <v>0</v>
      </c>
      <c r="G6" s="106">
        <v>24.664059639999998</v>
      </c>
      <c r="H6" s="106">
        <v>6.3188509999999996</v>
      </c>
      <c r="I6" s="106">
        <v>2.5983429999999998</v>
      </c>
      <c r="J6" s="1161">
        <v>5.9772400000000001</v>
      </c>
      <c r="K6" s="106">
        <v>0</v>
      </c>
      <c r="L6" s="106">
        <v>0</v>
      </c>
      <c r="M6" s="106">
        <v>0</v>
      </c>
      <c r="N6" s="106">
        <v>0</v>
      </c>
      <c r="O6" s="106"/>
      <c r="P6" s="106"/>
      <c r="Q6" s="106"/>
      <c r="R6" s="106"/>
      <c r="S6" s="106"/>
      <c r="T6" s="106"/>
      <c r="U6" s="106"/>
      <c r="V6" s="106"/>
      <c r="W6" s="106"/>
      <c r="X6" s="106"/>
      <c r="Y6" s="106"/>
      <c r="Z6" s="106"/>
      <c r="AA6" s="106"/>
      <c r="AB6" s="106"/>
      <c r="AC6" s="106"/>
      <c r="AD6" s="106"/>
      <c r="AE6" s="106"/>
    </row>
    <row r="7" spans="1:31" ht="15" customHeight="1">
      <c r="B7" s="179"/>
      <c r="C7" s="22"/>
      <c r="D7" s="35"/>
      <c r="E7" s="548"/>
      <c r="F7" s="107"/>
      <c r="G7" s="107"/>
      <c r="H7" s="107"/>
      <c r="I7" s="107"/>
      <c r="J7" s="473"/>
      <c r="K7" s="107"/>
      <c r="L7" s="23"/>
      <c r="M7" s="23"/>
      <c r="N7" s="23"/>
      <c r="O7" s="23"/>
      <c r="P7" s="23"/>
      <c r="Q7" s="23"/>
      <c r="R7" s="23"/>
      <c r="S7" s="23"/>
      <c r="T7" s="23"/>
      <c r="U7" s="23"/>
      <c r="V7" s="23"/>
      <c r="W7" s="23"/>
      <c r="X7" s="23"/>
      <c r="Y7" s="23"/>
      <c r="Z7" s="23"/>
      <c r="AA7" s="23"/>
      <c r="AB7" s="23"/>
      <c r="AC7" s="23"/>
      <c r="AD7" s="23"/>
      <c r="AE7" s="23"/>
    </row>
    <row r="8" spans="1:31" ht="15" customHeight="1">
      <c r="B8" s="16"/>
      <c r="C8" s="329"/>
      <c r="D8" s="174"/>
      <c r="E8" s="542"/>
      <c r="F8" s="473"/>
      <c r="G8" s="473"/>
      <c r="H8" s="473"/>
      <c r="I8" s="473"/>
      <c r="J8" s="473"/>
      <c r="K8" s="473"/>
      <c r="L8" s="328"/>
      <c r="M8" s="328"/>
      <c r="N8" s="328"/>
      <c r="O8" s="328"/>
      <c r="P8" s="328"/>
      <c r="Q8" s="328"/>
      <c r="R8" s="328"/>
      <c r="S8" s="328"/>
      <c r="T8" s="328"/>
      <c r="U8" s="328"/>
      <c r="V8" s="328"/>
      <c r="W8" s="328"/>
      <c r="X8" s="328"/>
      <c r="Y8" s="328"/>
      <c r="Z8" s="328"/>
      <c r="AA8" s="328"/>
      <c r="AB8" s="328"/>
      <c r="AC8" s="328"/>
      <c r="AD8" s="328"/>
      <c r="AE8" s="328"/>
    </row>
    <row r="9" spans="1:31" ht="15" customHeight="1">
      <c r="B9" s="16"/>
      <c r="C9" s="329"/>
      <c r="D9" s="174"/>
      <c r="E9" s="542"/>
      <c r="F9" s="473"/>
      <c r="G9" s="473"/>
      <c r="H9" s="473"/>
      <c r="I9" s="473"/>
      <c r="J9" s="473"/>
      <c r="K9" s="473"/>
      <c r="L9" s="328"/>
      <c r="M9" s="328"/>
      <c r="N9" s="328"/>
      <c r="O9" s="328"/>
      <c r="P9" s="328"/>
      <c r="Q9" s="328"/>
      <c r="R9" s="328"/>
      <c r="S9" s="328"/>
      <c r="T9" s="328"/>
      <c r="U9" s="328"/>
      <c r="V9" s="328"/>
      <c r="W9" s="328"/>
      <c r="X9" s="328"/>
      <c r="Y9" s="328"/>
      <c r="Z9" s="328"/>
      <c r="AA9" s="328"/>
      <c r="AB9" s="328"/>
      <c r="AC9" s="328"/>
      <c r="AD9" s="328"/>
      <c r="AE9" s="328"/>
    </row>
    <row r="10" spans="1:31" ht="15" customHeight="1">
      <c r="B10" s="16"/>
      <c r="C10" s="329"/>
      <c r="D10" s="174"/>
      <c r="E10" s="542"/>
      <c r="F10" s="473"/>
      <c r="G10" s="473"/>
      <c r="H10" s="473"/>
      <c r="I10" s="473"/>
      <c r="J10" s="473"/>
      <c r="K10" s="473"/>
      <c r="L10" s="328"/>
      <c r="M10" s="328"/>
      <c r="N10" s="328"/>
      <c r="O10" s="328"/>
      <c r="P10" s="328"/>
      <c r="Q10" s="328"/>
      <c r="R10" s="328"/>
      <c r="S10" s="328"/>
      <c r="T10" s="328"/>
      <c r="U10" s="328"/>
      <c r="V10" s="328"/>
      <c r="W10" s="328"/>
      <c r="X10" s="328"/>
      <c r="Y10" s="328"/>
      <c r="Z10" s="328"/>
      <c r="AA10" s="328"/>
      <c r="AB10" s="328"/>
      <c r="AC10" s="328"/>
      <c r="AD10" s="328"/>
      <c r="AE10" s="328"/>
    </row>
    <row r="11" spans="1:31" ht="15" customHeight="1">
      <c r="B11" s="16"/>
      <c r="C11" s="329"/>
      <c r="D11" s="11"/>
      <c r="E11" s="222"/>
      <c r="F11" s="473"/>
      <c r="G11" s="473"/>
      <c r="H11" s="473"/>
      <c r="I11" s="473"/>
      <c r="J11" s="473"/>
      <c r="K11" s="473"/>
      <c r="L11" s="328"/>
      <c r="M11" s="328"/>
      <c r="N11" s="328"/>
      <c r="O11" s="328"/>
      <c r="P11" s="328"/>
      <c r="Q11" s="328"/>
      <c r="R11" s="328"/>
      <c r="S11" s="328"/>
      <c r="T11" s="328"/>
      <c r="U11" s="328"/>
      <c r="V11" s="328"/>
      <c r="W11" s="328"/>
      <c r="X11" s="328"/>
      <c r="Y11" s="328"/>
      <c r="Z11" s="328"/>
      <c r="AA11" s="328"/>
      <c r="AB11" s="328"/>
      <c r="AC11" s="328"/>
      <c r="AD11" s="328"/>
      <c r="AE11" s="328"/>
    </row>
    <row r="12" spans="1:31" ht="15" customHeight="1">
      <c r="B12" s="16"/>
      <c r="C12" s="329"/>
      <c r="D12" s="11"/>
      <c r="E12" s="222"/>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row>
    <row r="13" spans="1:31" ht="15" customHeight="1">
      <c r="B13" s="16"/>
      <c r="C13" s="329"/>
      <c r="D13" s="11"/>
      <c r="E13" s="222"/>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row>
    <row r="14" spans="1:31" ht="15" customHeight="1">
      <c r="B14" s="16"/>
      <c r="C14" s="329"/>
      <c r="D14" s="11"/>
      <c r="E14" s="222"/>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1" ht="15" customHeight="1">
      <c r="B15" s="16"/>
      <c r="C15" s="12"/>
      <c r="D15" s="11"/>
      <c r="E15" s="222"/>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row>
    <row r="16" spans="1:31" ht="15" customHeight="1">
      <c r="B16" s="16"/>
      <c r="C16" s="12"/>
      <c r="D16" s="11"/>
      <c r="E16" s="222"/>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row>
    <row r="17" spans="2:31" ht="15" customHeight="1">
      <c r="B17" s="16"/>
      <c r="C17" s="12"/>
      <c r="D17" s="11"/>
      <c r="E17" s="222"/>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row>
    <row r="18" spans="2:31" ht="15" customHeight="1">
      <c r="B18" s="16"/>
      <c r="C18" s="12"/>
      <c r="D18" s="11"/>
      <c r="E18" s="222"/>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row>
    <row r="19" spans="2:31" ht="15" customHeight="1">
      <c r="B19" s="16"/>
      <c r="C19" s="12"/>
      <c r="D19" s="11"/>
      <c r="E19" s="222"/>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2:31" ht="15" customHeight="1">
      <c r="B20" s="16"/>
      <c r="C20" s="12"/>
      <c r="D20" s="11"/>
      <c r="E20" s="222"/>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row>
    <row r="21" spans="2:31" ht="15" customHeight="1">
      <c r="B21" s="16"/>
      <c r="C21" s="12"/>
      <c r="D21" s="11"/>
      <c r="E21" s="222"/>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2:31" ht="15" customHeight="1">
      <c r="B22" s="16"/>
      <c r="C22" s="12"/>
      <c r="D22" s="11"/>
      <c r="E22" s="222"/>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row>
    <row r="23" spans="2:31" ht="15" customHeight="1">
      <c r="B23" s="16"/>
      <c r="C23" s="12"/>
      <c r="D23" s="11"/>
      <c r="E23" s="222"/>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row>
    <row r="24" spans="2:31" ht="15" customHeight="1">
      <c r="B24" s="16"/>
      <c r="C24" s="12"/>
      <c r="D24" s="11"/>
      <c r="E24" s="222"/>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row>
    <row r="25" spans="2:31" ht="15" customHeight="1">
      <c r="B25" s="303"/>
      <c r="C25" s="24"/>
      <c r="D25" s="469"/>
      <c r="E25" s="554"/>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3gDX72rPAJ9SDvg7vbA6Hh0vEaF8hhP9dheL3TgwTVhQPHSrrhYKuKxJtaE/Lxabe8+nJKCO3SXY/nclvGGWOA==" saltValue="Imz7w4gXL3AVAbgmSRKbvQ==" spinCount="100000" sheet="1" objects="1" scenarios="1"/>
  <hyperlinks>
    <hyperlink ref="A1" location="'Start-Experte'!A1" display="zurück" xr:uid="{00000000-0004-0000-2B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 &amp;R&amp;D  &amp;T</oddFooter>
  </headerFooter>
  <extLst>
    <ext xmlns:x14="http://schemas.microsoft.com/office/spreadsheetml/2009/9/main" uri="{78C0D931-6437-407d-A8EE-F0AAD7539E65}">
      <x14:conditionalFormattings>
        <x14:conditionalFormatting xmlns:xm="http://schemas.microsoft.com/office/excel/2006/main">
          <x14:cfRule type="cellIs" priority="717" operator="greaterThan" id="{00000000-0000-0000-0000-000000000000}">
            <xm:f>ControlPanel!$D$59-1</xm:f>
            <x14:dxf>
              <font>
                <color rgb="FF9C6500"/>
              </font>
              <fill>
                <patternFill>
                  <fgColor indexed="64"/>
                  <bgColor rgb="FFFFEB9C"/>
                </patternFill>
              </fill>
            </x14:dxf>
          </x14:cfRule>
          <x14:cfRule type="cellIs" priority="718"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9">
    <tabColor theme="9" tint="-0.499984740745262"/>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4" width="8.7109375" style="9" customWidth="1"/>
    <col min="15" max="31" width="8.7109375" style="9" customWidth="1" outlineLevel="1"/>
    <col min="32" max="16384" width="11.5703125" style="9"/>
  </cols>
  <sheetData>
    <row r="1" spans="1:31">
      <c r="A1" s="41" t="s">
        <v>183</v>
      </c>
      <c r="B1" s="20" t="s">
        <v>857</v>
      </c>
      <c r="C1" s="19"/>
      <c r="D1" s="19"/>
      <c r="E1" s="19"/>
    </row>
    <row r="3" spans="1:3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3.5" thickBot="1">
      <c r="B5" s="67"/>
      <c r="D5" s="16"/>
      <c r="F5" s="330" t="s">
        <v>137</v>
      </c>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row>
    <row r="6" spans="1:31" ht="26.25" thickBot="1">
      <c r="B6" s="176" t="s">
        <v>138</v>
      </c>
      <c r="C6" s="15" t="s">
        <v>845</v>
      </c>
      <c r="D6" s="494" t="s">
        <v>852</v>
      </c>
      <c r="E6" s="494" t="s">
        <v>852</v>
      </c>
      <c r="F6" s="14">
        <v>66.919000000000011</v>
      </c>
      <c r="G6" s="14">
        <v>54.256241999999979</v>
      </c>
      <c r="H6" s="14">
        <v>62.173272999999973</v>
      </c>
      <c r="I6" s="14">
        <v>52.680143000000065</v>
      </c>
      <c r="J6" s="14">
        <v>44.33</v>
      </c>
      <c r="K6" s="14">
        <v>57.291305999999999</v>
      </c>
      <c r="L6" s="14">
        <v>48.547290999999994</v>
      </c>
      <c r="M6" s="14">
        <v>60.951926519999994</v>
      </c>
      <c r="N6" s="14">
        <v>61.173551851607797</v>
      </c>
      <c r="O6" s="14">
        <v>69.750429999999994</v>
      </c>
      <c r="P6" s="14">
        <v>68.086641999999998</v>
      </c>
      <c r="Q6" s="14">
        <v>60.732941999999994</v>
      </c>
      <c r="R6" s="14">
        <v>47.785909999999994</v>
      </c>
      <c r="S6" s="14">
        <f t="shared" ref="S6:AE6" si="0">R6</f>
        <v>47.785909999999994</v>
      </c>
      <c r="T6" s="14">
        <f t="shared" si="0"/>
        <v>47.785909999999994</v>
      </c>
      <c r="U6" s="14">
        <f t="shared" si="0"/>
        <v>47.785909999999994</v>
      </c>
      <c r="V6" s="14">
        <f t="shared" si="0"/>
        <v>47.785909999999994</v>
      </c>
      <c r="W6" s="14">
        <f t="shared" si="0"/>
        <v>47.785909999999994</v>
      </c>
      <c r="X6" s="14">
        <f t="shared" si="0"/>
        <v>47.785909999999994</v>
      </c>
      <c r="Y6" s="14">
        <f t="shared" si="0"/>
        <v>47.785909999999994</v>
      </c>
      <c r="Z6" s="14">
        <f t="shared" si="0"/>
        <v>47.785909999999994</v>
      </c>
      <c r="AA6" s="14">
        <f t="shared" si="0"/>
        <v>47.785909999999994</v>
      </c>
      <c r="AB6" s="14">
        <f t="shared" si="0"/>
        <v>47.785909999999994</v>
      </c>
      <c r="AC6" s="14">
        <f t="shared" si="0"/>
        <v>47.785909999999994</v>
      </c>
      <c r="AD6" s="14">
        <f t="shared" si="0"/>
        <v>47.785909999999994</v>
      </c>
      <c r="AE6" s="14">
        <f t="shared" si="0"/>
        <v>47.785909999999994</v>
      </c>
    </row>
    <row r="7" spans="1:31">
      <c r="B7" s="183"/>
      <c r="C7" s="186"/>
      <c r="D7" s="525"/>
      <c r="E7" s="545"/>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c r="B8" s="183"/>
      <c r="C8" s="168"/>
      <c r="D8" s="1201"/>
      <c r="E8" s="61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c r="B9" s="183"/>
      <c r="C9" s="168"/>
      <c r="D9" s="1201"/>
      <c r="E9" s="61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c r="B10" s="183"/>
      <c r="C10" s="168"/>
      <c r="D10" s="1201"/>
      <c r="E10" s="61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c r="B11" s="183"/>
      <c r="C11" s="168"/>
      <c r="D11" s="1201"/>
      <c r="E11" s="61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c r="B12" s="183"/>
      <c r="C12" s="168"/>
      <c r="D12" s="1201"/>
      <c r="E12" s="61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c r="B13" s="183"/>
      <c r="C13" s="168"/>
      <c r="D13" s="1201"/>
      <c r="E13" s="61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c r="B14" s="183"/>
      <c r="C14" s="168"/>
      <c r="D14" s="1201"/>
      <c r="E14" s="61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c r="B15" s="183"/>
      <c r="C15" s="168"/>
      <c r="D15" s="1201"/>
      <c r="E15" s="61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c r="B16" s="183"/>
      <c r="C16" s="186"/>
      <c r="D16" s="525"/>
      <c r="E16" s="545"/>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c r="B17" s="183"/>
      <c r="C17" s="186"/>
      <c r="D17" s="525"/>
      <c r="E17" s="545"/>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c r="B18" s="183"/>
      <c r="C18" s="186"/>
      <c r="D18" s="525"/>
      <c r="E18" s="545"/>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c r="B19" s="183"/>
      <c r="C19" s="186"/>
      <c r="D19" s="525"/>
      <c r="E19" s="545"/>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c r="B20" s="183"/>
      <c r="C20" s="186"/>
      <c r="D20" s="525"/>
      <c r="E20" s="545"/>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c r="B21" s="183"/>
      <c r="C21" s="186"/>
      <c r="D21" s="525"/>
      <c r="E21" s="545"/>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c r="B22" s="183"/>
      <c r="C22" s="186"/>
      <c r="D22" s="525"/>
      <c r="E22" s="545"/>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c r="B23" s="183"/>
      <c r="C23" s="186"/>
      <c r="D23" s="525"/>
      <c r="E23" s="54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c r="B24" s="183"/>
      <c r="C24" s="186"/>
      <c r="D24" s="525"/>
      <c r="E24" s="54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c r="B25" s="185"/>
      <c r="C25" s="188"/>
      <c r="D25" s="601"/>
      <c r="E25" s="1027"/>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c r="B27" s="1220" t="s">
        <v>856</v>
      </c>
    </row>
    <row r="28" spans="2:31" ht="15" customHeight="1"/>
    <row r="29" spans="2:31" ht="15" customHeight="1">
      <c r="L29" s="519"/>
      <c r="M29" s="519"/>
      <c r="N29" s="519"/>
      <c r="O29" s="519"/>
      <c r="P29" s="519"/>
      <c r="Q29" s="519"/>
      <c r="R29" s="519"/>
      <c r="S29" s="519"/>
      <c r="T29" s="519"/>
      <c r="U29" s="519"/>
      <c r="V29" s="519"/>
      <c r="W29" s="519"/>
      <c r="X29" s="519"/>
      <c r="Y29" s="519"/>
      <c r="Z29" s="519"/>
      <c r="AA29" s="519"/>
      <c r="AB29" s="519"/>
      <c r="AC29" s="519"/>
      <c r="AD29" s="519"/>
      <c r="AE29" s="519"/>
    </row>
    <row r="30" spans="2:31" ht="15" customHeight="1"/>
    <row r="31" spans="2:31" ht="15" customHeight="1">
      <c r="M31" s="1107"/>
      <c r="N31" s="655"/>
      <c r="O31" s="655"/>
      <c r="P31" s="655"/>
      <c r="Q31" s="655"/>
    </row>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3W3wlXUsNaKDTiUnSZZZ6vOwlQZsji3oG9b7YRLPYmPbVsm73N2ErPLqAW8+RIOjSkcKsHCLSqhMhADTTH3uRA==" saltValue="CQDFr/XPWuTgrLUDi6dTqQ==" spinCount="100000" sheet="1" objects="1" scenarios="1"/>
  <hyperlinks>
    <hyperlink ref="A1" location="'Start-Experte'!A1" display="zurück" xr:uid="{00000000-0004-0000-2C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15" operator="greaterThan" id="{00000000-0000-0000-0000-000000000000}">
            <xm:f>ControlPanel!$D$59-1</xm:f>
            <x14:dxf>
              <font>
                <color rgb="FF9C6500"/>
              </font>
              <fill>
                <patternFill>
                  <fgColor indexed="64"/>
                  <bgColor rgb="FFFFEB9C"/>
                </patternFill>
              </fill>
            </x14:dxf>
          </x14:cfRule>
          <x14:cfRule type="cellIs" priority="716"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7">
    <tabColor theme="9" tint="-0.499984740745262"/>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260</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137</v>
      </c>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row>
    <row r="6" spans="1:31" ht="15" customHeight="1" thickBot="1">
      <c r="B6" s="176" t="s">
        <v>138</v>
      </c>
      <c r="C6" s="15" t="s">
        <v>845</v>
      </c>
      <c r="D6" s="15" t="s">
        <v>271</v>
      </c>
      <c r="E6" s="537"/>
      <c r="F6" s="14">
        <v>0</v>
      </c>
      <c r="G6" s="14">
        <v>0</v>
      </c>
      <c r="H6" s="14">
        <v>0</v>
      </c>
      <c r="I6" s="14">
        <v>0</v>
      </c>
      <c r="J6" s="14">
        <v>0</v>
      </c>
      <c r="K6" s="14">
        <v>0</v>
      </c>
      <c r="L6" s="14">
        <v>0</v>
      </c>
      <c r="M6" s="14">
        <v>1.1745889999999999</v>
      </c>
      <c r="N6" s="14">
        <v>1.5439479999999999</v>
      </c>
      <c r="O6" s="14">
        <v>2.5107649999999997</v>
      </c>
      <c r="P6" s="14">
        <v>3.6564139999999998</v>
      </c>
      <c r="Q6" s="14">
        <v>3.8827539999999998</v>
      </c>
      <c r="R6" s="14">
        <v>5.2223569999999997</v>
      </c>
      <c r="S6" s="14">
        <f t="shared" ref="S6:AE6" si="0">R6</f>
        <v>5.2223569999999997</v>
      </c>
      <c r="T6" s="14">
        <f t="shared" si="0"/>
        <v>5.2223569999999997</v>
      </c>
      <c r="U6" s="14">
        <f t="shared" si="0"/>
        <v>5.2223569999999997</v>
      </c>
      <c r="V6" s="14">
        <f t="shared" si="0"/>
        <v>5.2223569999999997</v>
      </c>
      <c r="W6" s="14">
        <f t="shared" si="0"/>
        <v>5.2223569999999997</v>
      </c>
      <c r="X6" s="14">
        <f t="shared" si="0"/>
        <v>5.2223569999999997</v>
      </c>
      <c r="Y6" s="14">
        <f t="shared" si="0"/>
        <v>5.2223569999999997</v>
      </c>
      <c r="Z6" s="14">
        <f t="shared" si="0"/>
        <v>5.2223569999999997</v>
      </c>
      <c r="AA6" s="14">
        <f t="shared" si="0"/>
        <v>5.2223569999999997</v>
      </c>
      <c r="AB6" s="14">
        <f t="shared" si="0"/>
        <v>5.2223569999999997</v>
      </c>
      <c r="AC6" s="14">
        <f t="shared" si="0"/>
        <v>5.2223569999999997</v>
      </c>
      <c r="AD6" s="14">
        <f t="shared" si="0"/>
        <v>5.2223569999999997</v>
      </c>
      <c r="AE6" s="14">
        <f t="shared" si="0"/>
        <v>5.2223569999999997</v>
      </c>
    </row>
    <row r="7" spans="1:31" ht="15" customHeight="1">
      <c r="B7" s="183"/>
      <c r="C7" s="186"/>
      <c r="D7" s="169"/>
      <c r="E7" s="540"/>
      <c r="F7" s="187"/>
      <c r="G7" s="187"/>
      <c r="H7" s="187"/>
      <c r="I7" s="187"/>
      <c r="J7" s="187"/>
      <c r="K7" s="187"/>
      <c r="L7" s="187"/>
      <c r="M7" s="187"/>
      <c r="N7" s="1214"/>
      <c r="O7" s="187"/>
      <c r="P7" s="187"/>
      <c r="Q7" s="187"/>
      <c r="R7" s="187"/>
      <c r="S7" s="187"/>
      <c r="T7" s="187"/>
      <c r="U7" s="187"/>
      <c r="V7" s="187"/>
      <c r="W7" s="187"/>
      <c r="X7" s="187"/>
      <c r="Y7" s="187"/>
      <c r="Z7" s="187"/>
      <c r="AA7" s="187"/>
      <c r="AB7" s="187"/>
      <c r="AC7" s="187"/>
      <c r="AD7" s="187"/>
      <c r="AE7" s="187"/>
    </row>
    <row r="8" spans="1:31" ht="15" customHeight="1">
      <c r="B8" s="290"/>
      <c r="C8" s="291"/>
      <c r="D8" s="292"/>
      <c r="E8" s="552"/>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row>
    <row r="9" spans="1:31" ht="15" customHeight="1">
      <c r="B9" s="290"/>
      <c r="C9" s="291"/>
      <c r="D9" s="292"/>
      <c r="E9" s="552"/>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row>
    <row r="10" spans="1:31" ht="15" customHeight="1">
      <c r="B10" s="290"/>
      <c r="C10" s="291"/>
      <c r="D10" s="292"/>
      <c r="E10" s="552"/>
      <c r="F10" s="293"/>
      <c r="G10" s="293"/>
      <c r="H10" s="29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row>
    <row r="11" spans="1:31" ht="15" customHeight="1">
      <c r="B11" s="290"/>
      <c r="C11" s="291"/>
      <c r="D11" s="292"/>
      <c r="E11" s="552"/>
      <c r="F11" s="293"/>
      <c r="G11" s="293"/>
      <c r="H11" s="29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row>
    <row r="12" spans="1:31" ht="15" customHeight="1">
      <c r="B12" s="290"/>
      <c r="C12" s="291"/>
      <c r="D12" s="292"/>
      <c r="E12" s="552"/>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row>
    <row r="13" spans="1:31" ht="15" customHeight="1">
      <c r="B13" s="290"/>
      <c r="C13" s="291"/>
      <c r="D13" s="292"/>
      <c r="E13" s="552"/>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row>
    <row r="14" spans="1:31" ht="15" customHeight="1">
      <c r="B14" s="290"/>
      <c r="C14" s="291"/>
      <c r="D14" s="292"/>
      <c r="E14" s="552"/>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row>
    <row r="15" spans="1:31" ht="15" customHeight="1">
      <c r="B15" s="290"/>
      <c r="C15" s="291"/>
      <c r="D15" s="292"/>
      <c r="E15" s="552"/>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1" ht="15" customHeight="1">
      <c r="B16" s="183"/>
      <c r="C16" s="186"/>
      <c r="D16" s="169"/>
      <c r="E16" s="540"/>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ht="15" customHeight="1">
      <c r="B17" s="183"/>
      <c r="C17" s="186"/>
      <c r="D17" s="169"/>
      <c r="E17" s="540"/>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ht="15" customHeight="1">
      <c r="B18" s="183"/>
      <c r="C18" s="186"/>
      <c r="D18" s="169"/>
      <c r="E18" s="540"/>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ht="15" customHeight="1">
      <c r="B19" s="183"/>
      <c r="C19" s="186"/>
      <c r="D19" s="169"/>
      <c r="E19" s="540"/>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ht="15" customHeight="1">
      <c r="B20" s="183"/>
      <c r="C20" s="186"/>
      <c r="D20" s="169"/>
      <c r="E20" s="540"/>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ht="15" customHeight="1">
      <c r="B21" s="183"/>
      <c r="C21" s="186"/>
      <c r="D21" s="169"/>
      <c r="E21" s="540"/>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ht="15" customHeight="1">
      <c r="B22" s="183"/>
      <c r="C22" s="186"/>
      <c r="D22" s="169"/>
      <c r="E22" s="540"/>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ht="15" customHeight="1">
      <c r="B23" s="183"/>
      <c r="C23" s="186"/>
      <c r="D23" s="169"/>
      <c r="E23" s="540"/>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ht="15" customHeight="1">
      <c r="B24" s="183"/>
      <c r="C24" s="186"/>
      <c r="D24" s="169"/>
      <c r="E24" s="540"/>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ht="15" customHeight="1">
      <c r="B25" s="185"/>
      <c r="C25" s="188"/>
      <c r="D25" s="189"/>
      <c r="E25" s="541"/>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p06nbIb5Zrq/rt96sQeXuM0lt99ew0PaGbaY0TCbi6YTw8G+bIBif6BKHR1jr7tWDavNLzDwxz6x4f3vX4eXzA==" saltValue="hApYjYR1JkJ0YfDTuQ5FXg==" spinCount="100000" sheet="1" objects="1" scenarios="1"/>
  <hyperlinks>
    <hyperlink ref="A1" location="'Start-Experte'!A1" display="zurück" xr:uid="{00000000-0004-0000-2D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33A4913F-EA98-4091-B032-55DABC1C9557}">
            <xm:f>ControlPanel!$D$59-1</xm:f>
            <x14:dxf>
              <font>
                <color rgb="FF9C6500"/>
              </font>
              <fill>
                <patternFill>
                  <fgColor indexed="64"/>
                  <bgColor rgb="FFFFEB9C"/>
                </patternFill>
              </fill>
            </x14:dxf>
          </x14:cfRule>
          <x14:cfRule type="cellIs" priority="2" operator="lessThan" id="{060B1F47-ADC6-49FD-91D5-7BD2C6773793}">
            <xm:f>ControlPanel!$D$59</xm:f>
            <x14:dxf>
              <font>
                <color rgb="FF006100"/>
              </font>
              <fill>
                <patternFill>
                  <fgColor indexed="64"/>
                  <bgColor rgb="FFC6EFCE"/>
                </patternFill>
              </fill>
            </x14:dxf>
          </x14:cfRule>
          <xm:sqref>F4:AE4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4"/>
  </sheetPr>
  <dimension ref="A1:AN210"/>
  <sheetViews>
    <sheetView topLeftCell="A67" workbookViewId="0">
      <selection activeCell="P58" sqref="P58"/>
    </sheetView>
  </sheetViews>
  <sheetFormatPr baseColWidth="10" defaultRowHeight="12.75"/>
  <cols>
    <col min="1" max="1" width="3.7109375" customWidth="1"/>
    <col min="2" max="2" width="7" customWidth="1"/>
    <col min="3" max="3" width="29" customWidth="1"/>
    <col min="6" max="6" width="12" customWidth="1"/>
    <col min="13" max="13" width="31.28515625" customWidth="1"/>
    <col min="14" max="14" width="12.140625" customWidth="1"/>
    <col min="15" max="15" width="14.85546875" customWidth="1"/>
    <col min="16" max="16" width="12" customWidth="1"/>
    <col min="21" max="21" width="11.42578125" customWidth="1"/>
    <col min="24" max="24" width="3" customWidth="1"/>
  </cols>
  <sheetData>
    <row r="1" spans="1:40">
      <c r="A1" s="858" t="s">
        <v>183</v>
      </c>
      <c r="B1" s="858"/>
      <c r="C1" s="858"/>
      <c r="D1" s="858"/>
      <c r="E1" s="858"/>
      <c r="F1" s="858"/>
      <c r="G1" s="858"/>
      <c r="H1" s="858"/>
      <c r="I1" s="858"/>
      <c r="J1" s="858"/>
      <c r="K1" s="858"/>
      <c r="L1" s="858"/>
      <c r="M1" s="858"/>
      <c r="N1" s="858"/>
      <c r="O1" s="858"/>
      <c r="P1" s="858"/>
      <c r="Q1" s="858"/>
      <c r="R1" s="858"/>
      <c r="S1" s="858"/>
      <c r="T1" s="858"/>
      <c r="U1" s="858"/>
      <c r="V1" s="858"/>
      <c r="W1" s="858"/>
      <c r="X1" s="858"/>
      <c r="Y1" s="859"/>
      <c r="Z1" s="859"/>
      <c r="AA1" s="859"/>
      <c r="AB1" s="859"/>
      <c r="AC1" s="859"/>
      <c r="AD1" s="859"/>
      <c r="AE1" s="859"/>
      <c r="AF1" s="859"/>
      <c r="AG1" s="859"/>
      <c r="AH1" s="859"/>
      <c r="AI1" s="859"/>
      <c r="AJ1" s="859"/>
      <c r="AK1" s="859"/>
      <c r="AL1" s="859"/>
      <c r="AM1" s="859"/>
      <c r="AN1" s="859"/>
    </row>
    <row r="2" spans="1:40" ht="18.75" customHeight="1">
      <c r="A2" s="858"/>
      <c r="B2" s="890"/>
      <c r="C2" s="1512" t="s">
        <v>230</v>
      </c>
      <c r="D2" s="898"/>
      <c r="E2" s="898"/>
      <c r="F2" s="898"/>
      <c r="G2" s="898"/>
      <c r="H2" s="898"/>
      <c r="I2" s="898"/>
      <c r="J2" s="898"/>
      <c r="K2" s="898"/>
      <c r="L2" s="898"/>
      <c r="M2" s="898"/>
      <c r="N2" s="898"/>
      <c r="O2" s="898"/>
      <c r="P2" s="898"/>
      <c r="Q2" s="898"/>
      <c r="R2" s="898"/>
      <c r="S2" s="898"/>
      <c r="T2" s="1405" t="str">
        <f>CONCATENATE("Modellversion ",Impressum!$C$17)</f>
        <v>Modellversion 4.3.6</v>
      </c>
      <c r="U2" s="1405"/>
      <c r="V2" s="899"/>
      <c r="W2" s="900"/>
      <c r="X2" s="858"/>
    </row>
    <row r="3" spans="1:40" ht="14.25" customHeight="1">
      <c r="A3" s="858"/>
      <c r="B3" s="894"/>
      <c r="C3" s="1513"/>
      <c r="D3" s="863"/>
      <c r="E3" s="863"/>
      <c r="F3" s="863"/>
      <c r="G3" s="863"/>
      <c r="H3" s="863"/>
      <c r="I3" s="863"/>
      <c r="J3" s="863"/>
      <c r="K3" s="863"/>
      <c r="L3" s="863"/>
      <c r="M3" s="863"/>
      <c r="N3" s="863"/>
      <c r="O3" s="863"/>
      <c r="P3" s="863"/>
      <c r="Q3" s="863"/>
      <c r="R3" s="863"/>
      <c r="S3" s="863"/>
      <c r="T3" s="1406"/>
      <c r="U3" s="1406"/>
      <c r="V3" s="901"/>
      <c r="W3" s="902"/>
      <c r="X3" s="858"/>
    </row>
    <row r="4" spans="1:40" ht="15" customHeight="1">
      <c r="A4" s="858"/>
      <c r="B4" s="716" t="s">
        <v>615</v>
      </c>
      <c r="C4" s="717"/>
      <c r="D4" s="717"/>
      <c r="E4" s="717"/>
      <c r="F4" s="717"/>
      <c r="G4" s="717"/>
      <c r="H4" s="717"/>
      <c r="I4" s="717"/>
      <c r="J4" s="717"/>
      <c r="K4" s="717"/>
      <c r="L4" s="717"/>
      <c r="M4" s="717"/>
      <c r="N4" s="717"/>
      <c r="O4" s="717"/>
      <c r="P4" s="717"/>
      <c r="Q4" s="717"/>
      <c r="R4" s="717"/>
      <c r="S4" s="717"/>
      <c r="T4" s="717"/>
      <c r="U4" s="717"/>
      <c r="V4" s="717"/>
      <c r="W4" s="718"/>
      <c r="X4" s="858"/>
    </row>
    <row r="5" spans="1:40" ht="15" thickBot="1">
      <c r="A5" s="858"/>
      <c r="B5" s="158"/>
      <c r="C5" s="159"/>
      <c r="D5" s="130"/>
      <c r="E5" s="130"/>
      <c r="F5" s="130"/>
      <c r="G5" s="130"/>
      <c r="H5" s="130"/>
      <c r="I5" s="130"/>
      <c r="J5" s="130"/>
      <c r="K5" s="130"/>
      <c r="L5" s="130"/>
      <c r="M5" s="130"/>
      <c r="N5" s="130"/>
      <c r="O5" s="130"/>
      <c r="P5" s="130"/>
      <c r="Q5" s="130"/>
      <c r="R5" s="130"/>
      <c r="S5" s="130"/>
      <c r="T5" s="130"/>
      <c r="U5" s="130"/>
      <c r="V5" s="130"/>
      <c r="W5" s="160"/>
      <c r="X5" s="858"/>
    </row>
    <row r="6" spans="1:40" ht="15" customHeight="1">
      <c r="A6" s="858"/>
      <c r="B6" s="158"/>
      <c r="C6" s="159"/>
      <c r="D6" s="130"/>
      <c r="E6" s="130"/>
      <c r="F6" s="130"/>
      <c r="G6" s="130"/>
      <c r="H6" s="130"/>
      <c r="I6" s="130"/>
      <c r="J6" s="130"/>
      <c r="K6" s="130"/>
      <c r="L6" s="130"/>
      <c r="M6" s="130"/>
      <c r="N6" s="130"/>
      <c r="O6" s="130"/>
      <c r="P6" s="130"/>
      <c r="Q6" s="130"/>
      <c r="R6" s="130"/>
      <c r="S6" s="130"/>
      <c r="T6" s="130"/>
      <c r="U6" s="1514" t="s">
        <v>539</v>
      </c>
      <c r="V6" s="1515"/>
      <c r="W6" s="160"/>
      <c r="X6" s="858"/>
    </row>
    <row r="7" spans="1:40" ht="14.25">
      <c r="A7" s="858"/>
      <c r="B7" s="158"/>
      <c r="C7" s="159"/>
      <c r="D7" s="130"/>
      <c r="E7" s="130"/>
      <c r="F7" s="130"/>
      <c r="G7" s="130"/>
      <c r="H7" s="130"/>
      <c r="I7" s="130"/>
      <c r="J7" s="130"/>
      <c r="K7" s="130"/>
      <c r="L7" s="130"/>
      <c r="M7" s="130"/>
      <c r="N7" s="130"/>
      <c r="O7" s="130"/>
      <c r="P7" s="130"/>
      <c r="Q7" s="130"/>
      <c r="R7" s="130"/>
      <c r="S7" s="130"/>
      <c r="T7" s="130"/>
      <c r="U7" s="1516"/>
      <c r="V7" s="1517"/>
      <c r="W7" s="160"/>
      <c r="X7" s="858"/>
    </row>
    <row r="8" spans="1:40" ht="15" thickBot="1">
      <c r="A8" s="858"/>
      <c r="B8" s="158"/>
      <c r="C8" s="159"/>
      <c r="D8" s="130"/>
      <c r="E8" s="130"/>
      <c r="F8" s="130"/>
      <c r="G8" s="130"/>
      <c r="H8" s="130"/>
      <c r="I8" s="130"/>
      <c r="J8" s="130"/>
      <c r="K8" s="130"/>
      <c r="L8" s="130"/>
      <c r="M8" s="130"/>
      <c r="N8" s="130"/>
      <c r="O8" s="130"/>
      <c r="P8" s="130"/>
      <c r="Q8" s="130"/>
      <c r="R8" s="130"/>
      <c r="S8" s="130"/>
      <c r="T8" s="130"/>
      <c r="U8" s="1518"/>
      <c r="V8" s="1519"/>
      <c r="W8" s="160"/>
      <c r="X8" s="858"/>
    </row>
    <row r="9" spans="1:40" ht="15" thickBot="1">
      <c r="A9" s="858"/>
      <c r="B9" s="158"/>
      <c r="C9" s="159"/>
      <c r="D9" s="130"/>
      <c r="E9" s="130"/>
      <c r="F9" s="130"/>
      <c r="G9" s="130"/>
      <c r="H9" s="130"/>
      <c r="I9" s="130"/>
      <c r="J9" s="130"/>
      <c r="K9" s="130"/>
      <c r="L9" s="130"/>
      <c r="M9" s="130"/>
      <c r="N9" s="130"/>
      <c r="O9" s="130"/>
      <c r="P9" s="130"/>
      <c r="Q9" s="130"/>
      <c r="R9" s="130"/>
      <c r="S9" s="130"/>
      <c r="T9" s="130"/>
      <c r="U9" s="1520" t="str">
        <f>ControlPanel!$T$5</f>
        <v>nominal</v>
      </c>
      <c r="V9" s="1521"/>
      <c r="W9" s="160"/>
      <c r="X9" s="858"/>
    </row>
    <row r="10" spans="1:40" ht="14.25">
      <c r="A10" s="858"/>
      <c r="B10" s="158"/>
      <c r="C10" s="159"/>
      <c r="D10" s="130"/>
      <c r="E10" s="130"/>
      <c r="F10" s="130"/>
      <c r="G10" s="130"/>
      <c r="H10" s="130"/>
      <c r="I10" s="130"/>
      <c r="J10" s="130"/>
      <c r="K10" s="130"/>
      <c r="L10" s="130"/>
      <c r="M10" s="130"/>
      <c r="N10" s="130"/>
      <c r="O10" s="130"/>
      <c r="P10" s="130"/>
      <c r="Q10" s="130"/>
      <c r="R10" s="130"/>
      <c r="S10" s="130"/>
      <c r="T10" s="130"/>
      <c r="U10" s="1522"/>
      <c r="V10" s="1523"/>
      <c r="W10" s="160"/>
      <c r="X10" s="858"/>
    </row>
    <row r="11" spans="1:40" ht="14.25">
      <c r="A11" s="858"/>
      <c r="B11" s="158"/>
      <c r="C11" s="159"/>
      <c r="D11" s="130"/>
      <c r="E11" s="130"/>
      <c r="F11" s="130"/>
      <c r="G11" s="130"/>
      <c r="H11" s="130"/>
      <c r="I11" s="130"/>
      <c r="J11" s="130"/>
      <c r="K11" s="130"/>
      <c r="L11" s="130"/>
      <c r="M11" s="130"/>
      <c r="N11" s="130"/>
      <c r="O11" s="130"/>
      <c r="P11" s="130"/>
      <c r="Q11" s="130"/>
      <c r="R11" s="130"/>
      <c r="S11" s="130"/>
      <c r="T11" s="130"/>
      <c r="U11" s="647"/>
      <c r="V11" s="648"/>
      <c r="W11" s="160"/>
      <c r="X11" s="858"/>
    </row>
    <row r="12" spans="1:40" ht="15" thickBot="1">
      <c r="A12" s="858"/>
      <c r="B12" s="158"/>
      <c r="C12" s="159"/>
      <c r="D12" s="130"/>
      <c r="E12" s="130"/>
      <c r="F12" s="130"/>
      <c r="G12" s="130"/>
      <c r="H12" s="130"/>
      <c r="I12" s="130"/>
      <c r="J12" s="130"/>
      <c r="K12" s="130"/>
      <c r="L12" s="130"/>
      <c r="M12" s="130"/>
      <c r="N12" s="130"/>
      <c r="O12" s="130"/>
      <c r="P12" s="130"/>
      <c r="Q12" s="130"/>
      <c r="R12" s="130"/>
      <c r="S12" s="130"/>
      <c r="T12" s="130"/>
      <c r="U12" s="649"/>
      <c r="V12" s="650"/>
      <c r="W12" s="160"/>
      <c r="X12" s="858"/>
    </row>
    <row r="13" spans="1:40" ht="14.25">
      <c r="A13" s="858"/>
      <c r="B13" s="158"/>
      <c r="C13" s="159"/>
      <c r="D13" s="130"/>
      <c r="E13" s="130"/>
      <c r="F13" s="130"/>
      <c r="G13" s="130"/>
      <c r="H13" s="130"/>
      <c r="I13" s="130"/>
      <c r="J13" s="130"/>
      <c r="K13" s="130"/>
      <c r="L13" s="130"/>
      <c r="M13" s="130"/>
      <c r="N13" s="130"/>
      <c r="O13" s="130"/>
      <c r="P13" s="130"/>
      <c r="Q13" s="130"/>
      <c r="R13" s="130"/>
      <c r="S13" s="130"/>
      <c r="T13" s="130"/>
      <c r="U13" s="130"/>
      <c r="V13" s="130"/>
      <c r="W13" s="160"/>
      <c r="X13" s="858"/>
    </row>
    <row r="14" spans="1:40" ht="14.25">
      <c r="A14" s="858"/>
      <c r="B14" s="158"/>
      <c r="C14" s="159"/>
      <c r="D14" s="130"/>
      <c r="E14" s="130"/>
      <c r="F14" s="130"/>
      <c r="G14" s="130"/>
      <c r="H14" s="130"/>
      <c r="I14" s="130"/>
      <c r="J14" s="130"/>
      <c r="K14" s="130"/>
      <c r="L14" s="130"/>
      <c r="M14" s="130"/>
      <c r="N14" s="130"/>
      <c r="O14" s="130"/>
      <c r="P14" s="130"/>
      <c r="Q14" s="130"/>
      <c r="R14" s="130"/>
      <c r="S14" s="130"/>
      <c r="T14" s="130"/>
      <c r="U14" s="130"/>
      <c r="V14" s="130"/>
      <c r="W14" s="160"/>
      <c r="X14" s="858"/>
    </row>
    <row r="15" spans="1:40" ht="14.25">
      <c r="A15" s="858"/>
      <c r="B15" s="158"/>
      <c r="C15" s="159"/>
      <c r="D15" s="130"/>
      <c r="E15" s="130"/>
      <c r="F15" s="130"/>
      <c r="G15" s="130"/>
      <c r="H15" s="130"/>
      <c r="I15" s="130"/>
      <c r="J15" s="130"/>
      <c r="K15" s="130"/>
      <c r="L15" s="130"/>
      <c r="M15" s="130"/>
      <c r="N15" s="130"/>
      <c r="O15" s="130"/>
      <c r="P15" s="130"/>
      <c r="Q15" s="130"/>
      <c r="R15" s="130"/>
      <c r="S15" s="130"/>
      <c r="T15" s="130"/>
      <c r="U15" s="130"/>
      <c r="V15" s="130"/>
      <c r="W15" s="160"/>
      <c r="X15" s="858"/>
    </row>
    <row r="16" spans="1:40" ht="14.25">
      <c r="A16" s="858"/>
      <c r="B16" s="158"/>
      <c r="C16" s="159"/>
      <c r="D16" s="130"/>
      <c r="E16" s="130"/>
      <c r="F16" s="130"/>
      <c r="G16" s="130"/>
      <c r="H16" s="130"/>
      <c r="I16" s="130"/>
      <c r="J16" s="130"/>
      <c r="K16" s="130"/>
      <c r="L16" s="130"/>
      <c r="M16" s="130"/>
      <c r="N16" s="130"/>
      <c r="O16" s="130"/>
      <c r="P16" s="130"/>
      <c r="Q16" s="130"/>
      <c r="R16" s="130"/>
      <c r="S16" s="130"/>
      <c r="T16" s="130"/>
      <c r="U16" s="130"/>
      <c r="V16" s="130"/>
      <c r="W16" s="160"/>
      <c r="X16" s="858"/>
    </row>
    <row r="17" spans="1:24" ht="14.25">
      <c r="A17" s="858"/>
      <c r="B17" s="158"/>
      <c r="C17" s="159"/>
      <c r="D17" s="130"/>
      <c r="E17" s="130"/>
      <c r="F17" s="130"/>
      <c r="G17" s="130"/>
      <c r="H17" s="130"/>
      <c r="I17" s="130"/>
      <c r="J17" s="130"/>
      <c r="K17" s="130"/>
      <c r="L17" s="130"/>
      <c r="M17" s="130"/>
      <c r="N17" s="130"/>
      <c r="O17" s="130"/>
      <c r="P17" s="130"/>
      <c r="Q17" s="130"/>
      <c r="R17" s="130"/>
      <c r="S17" s="130"/>
      <c r="T17" s="130"/>
      <c r="U17" s="130"/>
      <c r="V17" s="130"/>
      <c r="W17" s="160"/>
      <c r="X17" s="858"/>
    </row>
    <row r="18" spans="1:24" ht="14.25">
      <c r="A18" s="858"/>
      <c r="B18" s="158"/>
      <c r="C18" s="159"/>
      <c r="D18" s="130"/>
      <c r="E18" s="130"/>
      <c r="F18" s="130"/>
      <c r="G18" s="130"/>
      <c r="H18" s="130"/>
      <c r="I18" s="130"/>
      <c r="J18" s="130"/>
      <c r="K18" s="130"/>
      <c r="L18" s="130"/>
      <c r="M18" s="130"/>
      <c r="N18" s="130"/>
      <c r="O18" s="130"/>
      <c r="P18" s="130"/>
      <c r="Q18" s="130"/>
      <c r="R18" s="130"/>
      <c r="S18" s="130"/>
      <c r="T18" s="130"/>
      <c r="U18" s="130"/>
      <c r="V18" s="130"/>
      <c r="W18" s="160"/>
      <c r="X18" s="858"/>
    </row>
    <row r="19" spans="1:24" ht="14.25">
      <c r="A19" s="858"/>
      <c r="B19" s="158"/>
      <c r="C19" s="159"/>
      <c r="D19" s="130"/>
      <c r="E19" s="130"/>
      <c r="F19" s="130"/>
      <c r="G19" s="130"/>
      <c r="H19" s="130"/>
      <c r="I19" s="130"/>
      <c r="J19" s="130"/>
      <c r="K19" s="130"/>
      <c r="L19" s="130"/>
      <c r="M19" s="130"/>
      <c r="N19" s="130"/>
      <c r="O19" s="130"/>
      <c r="P19" s="130"/>
      <c r="Q19" s="130"/>
      <c r="R19" s="130"/>
      <c r="S19" s="130"/>
      <c r="T19" s="130"/>
      <c r="U19" s="130"/>
      <c r="V19" s="130"/>
      <c r="W19" s="160"/>
      <c r="X19" s="858"/>
    </row>
    <row r="20" spans="1:24" ht="14.25">
      <c r="A20" s="858"/>
      <c r="B20" s="158"/>
      <c r="C20" s="159"/>
      <c r="D20" s="130"/>
      <c r="E20" s="130"/>
      <c r="F20" s="130"/>
      <c r="G20" s="130"/>
      <c r="H20" s="130"/>
      <c r="I20" s="130"/>
      <c r="J20" s="130"/>
      <c r="K20" s="130"/>
      <c r="L20" s="130"/>
      <c r="M20" s="130"/>
      <c r="N20" s="130"/>
      <c r="O20" s="130"/>
      <c r="P20" s="130"/>
      <c r="Q20" s="130"/>
      <c r="R20" s="130"/>
      <c r="S20" s="130"/>
      <c r="T20" s="130"/>
      <c r="U20" s="130"/>
      <c r="V20" s="130"/>
      <c r="W20" s="160"/>
      <c r="X20" s="858"/>
    </row>
    <row r="21" spans="1:24" ht="14.25">
      <c r="A21" s="858"/>
      <c r="B21" s="158"/>
      <c r="C21" s="159"/>
      <c r="D21" s="130"/>
      <c r="E21" s="130"/>
      <c r="F21" s="130"/>
      <c r="G21" s="130"/>
      <c r="H21" s="130"/>
      <c r="I21" s="130"/>
      <c r="J21" s="130"/>
      <c r="K21" s="130"/>
      <c r="L21" s="130"/>
      <c r="M21" s="130"/>
      <c r="N21" s="130"/>
      <c r="O21" s="130"/>
      <c r="P21" s="130"/>
      <c r="Q21" s="130"/>
      <c r="R21" s="130"/>
      <c r="S21" s="130"/>
      <c r="T21" s="130"/>
      <c r="U21" s="130"/>
      <c r="V21" s="130"/>
      <c r="W21" s="160"/>
      <c r="X21" s="858"/>
    </row>
    <row r="22" spans="1:24" ht="14.25">
      <c r="A22" s="858"/>
      <c r="B22" s="158"/>
      <c r="C22" s="159"/>
      <c r="D22" s="130"/>
      <c r="E22" s="130"/>
      <c r="F22" s="130"/>
      <c r="G22" s="130"/>
      <c r="H22" s="130"/>
      <c r="I22" s="130"/>
      <c r="J22" s="130"/>
      <c r="K22" s="130"/>
      <c r="L22" s="130"/>
      <c r="M22" s="130"/>
      <c r="N22" s="130"/>
      <c r="O22" s="130"/>
      <c r="P22" s="130"/>
      <c r="Q22" s="130"/>
      <c r="R22" s="130"/>
      <c r="S22" s="130"/>
      <c r="T22" s="130"/>
      <c r="U22" s="130"/>
      <c r="V22" s="130"/>
      <c r="W22" s="160"/>
      <c r="X22" s="858"/>
    </row>
    <row r="23" spans="1:24" ht="14.25">
      <c r="A23" s="858"/>
      <c r="B23" s="158"/>
      <c r="C23" s="159"/>
      <c r="D23" s="130"/>
      <c r="E23" s="130"/>
      <c r="F23" s="130"/>
      <c r="G23" s="130"/>
      <c r="H23" s="130"/>
      <c r="I23" s="130"/>
      <c r="J23" s="130"/>
      <c r="K23" s="130"/>
      <c r="L23" s="130"/>
      <c r="M23" s="130"/>
      <c r="N23" s="130"/>
      <c r="O23" s="130"/>
      <c r="P23" s="130"/>
      <c r="Q23" s="130"/>
      <c r="R23" s="130"/>
      <c r="S23" s="130"/>
      <c r="T23" s="130"/>
      <c r="U23" s="130"/>
      <c r="V23" s="130"/>
      <c r="W23" s="160"/>
      <c r="X23" s="858"/>
    </row>
    <row r="24" spans="1:24" ht="14.25">
      <c r="A24" s="858"/>
      <c r="B24" s="158"/>
      <c r="C24" s="159"/>
      <c r="D24" s="130"/>
      <c r="E24" s="130"/>
      <c r="F24" s="130"/>
      <c r="G24" s="130"/>
      <c r="H24" s="130"/>
      <c r="I24" s="130"/>
      <c r="J24" s="130"/>
      <c r="K24" s="130"/>
      <c r="L24" s="130"/>
      <c r="M24" s="130"/>
      <c r="N24" s="130"/>
      <c r="O24" s="130"/>
      <c r="P24" s="130"/>
      <c r="Q24" s="130"/>
      <c r="R24" s="130"/>
      <c r="S24" s="130"/>
      <c r="T24" s="130"/>
      <c r="U24" s="130"/>
      <c r="V24" s="130"/>
      <c r="W24" s="160"/>
      <c r="X24" s="858"/>
    </row>
    <row r="25" spans="1:24" ht="14.25">
      <c r="A25" s="858"/>
      <c r="B25" s="158"/>
      <c r="C25" s="159"/>
      <c r="D25" s="130"/>
      <c r="E25" s="130"/>
      <c r="F25" s="130"/>
      <c r="G25" s="130"/>
      <c r="H25" s="130"/>
      <c r="I25" s="130"/>
      <c r="J25" s="130"/>
      <c r="K25" s="130"/>
      <c r="L25" s="130"/>
      <c r="M25" s="130"/>
      <c r="N25" s="130"/>
      <c r="O25" s="130"/>
      <c r="P25" s="130"/>
      <c r="Q25" s="130"/>
      <c r="R25" s="130"/>
      <c r="S25" s="130"/>
      <c r="T25" s="130"/>
      <c r="U25" s="130"/>
      <c r="V25" s="130"/>
      <c r="W25" s="160"/>
      <c r="X25" s="858"/>
    </row>
    <row r="26" spans="1:24" ht="14.25">
      <c r="A26" s="858"/>
      <c r="B26" s="158"/>
      <c r="C26" s="159"/>
      <c r="D26" s="130"/>
      <c r="E26" s="130"/>
      <c r="F26" s="130"/>
      <c r="G26" s="130"/>
      <c r="H26" s="130"/>
      <c r="I26" s="130"/>
      <c r="J26" s="130"/>
      <c r="K26" s="130"/>
      <c r="L26" s="130"/>
      <c r="M26" s="130"/>
      <c r="N26" s="130"/>
      <c r="O26" s="130"/>
      <c r="P26" s="130"/>
      <c r="Q26" s="130"/>
      <c r="R26" s="130"/>
      <c r="S26" s="130"/>
      <c r="T26" s="130"/>
      <c r="U26" s="130"/>
      <c r="V26" s="130"/>
      <c r="W26" s="160"/>
      <c r="X26" s="858"/>
    </row>
    <row r="27" spans="1:24" ht="14.25">
      <c r="A27" s="858"/>
      <c r="B27" s="158"/>
      <c r="C27" s="159"/>
      <c r="D27" s="130"/>
      <c r="E27" s="130"/>
      <c r="F27" s="130"/>
      <c r="G27" s="130"/>
      <c r="H27" s="130"/>
      <c r="I27" s="130"/>
      <c r="J27" s="130"/>
      <c r="K27" s="130"/>
      <c r="L27" s="130"/>
      <c r="M27" s="130"/>
      <c r="N27" s="130"/>
      <c r="O27" s="130"/>
      <c r="P27" s="130"/>
      <c r="Q27" s="130"/>
      <c r="R27" s="130"/>
      <c r="S27" s="130"/>
      <c r="T27" s="130"/>
      <c r="U27" s="130"/>
      <c r="V27" s="130"/>
      <c r="W27" s="160"/>
      <c r="X27" s="858"/>
    </row>
    <row r="28" spans="1:24" ht="14.25">
      <c r="A28" s="858"/>
      <c r="B28" s="158"/>
      <c r="C28" s="159"/>
      <c r="D28" s="130"/>
      <c r="E28" s="130"/>
      <c r="F28" s="130"/>
      <c r="G28" s="130"/>
      <c r="H28" s="130"/>
      <c r="I28" s="130"/>
      <c r="J28" s="130"/>
      <c r="K28" s="130"/>
      <c r="L28" s="130"/>
      <c r="M28" s="130"/>
      <c r="N28" s="130"/>
      <c r="O28" s="130"/>
      <c r="P28" s="130"/>
      <c r="Q28" s="130"/>
      <c r="R28" s="130"/>
      <c r="S28" s="130"/>
      <c r="T28" s="130"/>
      <c r="U28" s="130"/>
      <c r="V28" s="130"/>
      <c r="W28" s="160"/>
      <c r="X28" s="858"/>
    </row>
    <row r="29" spans="1:24" ht="14.25">
      <c r="A29" s="858"/>
      <c r="B29" s="158"/>
      <c r="C29" s="159"/>
      <c r="D29" s="130"/>
      <c r="E29" s="130"/>
      <c r="F29" s="130"/>
      <c r="G29" s="130"/>
      <c r="H29" s="130"/>
      <c r="I29" s="130"/>
      <c r="J29" s="130"/>
      <c r="K29" s="130"/>
      <c r="L29" s="130"/>
      <c r="M29" s="130"/>
      <c r="N29" s="130"/>
      <c r="O29" s="130"/>
      <c r="P29" s="130"/>
      <c r="Q29" s="130"/>
      <c r="R29" s="130"/>
      <c r="S29" s="130"/>
      <c r="T29" s="130"/>
      <c r="U29" s="130"/>
      <c r="V29" s="130"/>
      <c r="W29" s="160"/>
      <c r="X29" s="858"/>
    </row>
    <row r="30" spans="1:24" ht="14.25">
      <c r="A30" s="858"/>
      <c r="B30" s="158"/>
      <c r="C30" s="159"/>
      <c r="D30" s="130"/>
      <c r="E30" s="130"/>
      <c r="F30" s="130"/>
      <c r="G30" s="130"/>
      <c r="H30" s="130"/>
      <c r="I30" s="130"/>
      <c r="J30" s="130"/>
      <c r="K30" s="130"/>
      <c r="L30" s="130"/>
      <c r="M30" s="130"/>
      <c r="N30" s="130"/>
      <c r="O30" s="130"/>
      <c r="P30" s="130"/>
      <c r="Q30" s="130"/>
      <c r="R30" s="130"/>
      <c r="S30" s="130"/>
      <c r="T30" s="130"/>
      <c r="U30" s="130"/>
      <c r="V30" s="130"/>
      <c r="W30" s="160"/>
      <c r="X30" s="858"/>
    </row>
    <row r="31" spans="1:24" ht="14.25">
      <c r="A31" s="858"/>
      <c r="B31" s="158"/>
      <c r="C31" s="159"/>
      <c r="D31" s="130"/>
      <c r="E31" s="130"/>
      <c r="F31" s="130"/>
      <c r="G31" s="130"/>
      <c r="H31" s="130"/>
      <c r="I31" s="130"/>
      <c r="J31" s="130"/>
      <c r="K31" s="130"/>
      <c r="L31" s="130"/>
      <c r="M31" s="130"/>
      <c r="N31" s="130"/>
      <c r="O31" s="130"/>
      <c r="P31" s="130"/>
      <c r="Q31" s="130"/>
      <c r="R31" s="130"/>
      <c r="S31" s="130"/>
      <c r="T31" s="130"/>
      <c r="U31" s="130"/>
      <c r="V31" s="130"/>
      <c r="W31" s="160"/>
      <c r="X31" s="858"/>
    </row>
    <row r="32" spans="1:24" ht="14.25">
      <c r="A32" s="858"/>
      <c r="B32" s="158"/>
      <c r="C32" s="159"/>
      <c r="D32" s="130"/>
      <c r="E32" s="130"/>
      <c r="F32" s="130"/>
      <c r="G32" s="130"/>
      <c r="H32" s="130"/>
      <c r="I32" s="130"/>
      <c r="J32" s="130"/>
      <c r="K32" s="130"/>
      <c r="L32" s="130"/>
      <c r="M32" s="130"/>
      <c r="N32" s="130"/>
      <c r="O32" s="130"/>
      <c r="P32" s="130"/>
      <c r="Q32" s="130"/>
      <c r="R32" s="130"/>
      <c r="S32" s="130"/>
      <c r="T32" s="130"/>
      <c r="U32" s="130"/>
      <c r="V32" s="130"/>
      <c r="W32" s="160"/>
      <c r="X32" s="858"/>
    </row>
    <row r="33" spans="1:24" ht="14.25">
      <c r="A33" s="858"/>
      <c r="B33" s="158"/>
      <c r="C33" s="159"/>
      <c r="D33" s="130"/>
      <c r="E33" s="130"/>
      <c r="F33" s="130"/>
      <c r="G33" s="130"/>
      <c r="H33" s="130"/>
      <c r="I33" s="130"/>
      <c r="J33" s="130"/>
      <c r="K33" s="130"/>
      <c r="L33" s="130"/>
      <c r="M33" s="130"/>
      <c r="N33" s="130"/>
      <c r="O33" s="130"/>
      <c r="P33" s="130"/>
      <c r="Q33" s="130"/>
      <c r="R33" s="130"/>
      <c r="S33" s="130"/>
      <c r="T33" s="130"/>
      <c r="U33" s="130"/>
      <c r="V33" s="130"/>
      <c r="W33" s="160"/>
      <c r="X33" s="858"/>
    </row>
    <row r="34" spans="1:24" ht="14.25">
      <c r="A34" s="858"/>
      <c r="B34" s="158"/>
      <c r="C34" s="159"/>
      <c r="D34" s="130"/>
      <c r="E34" s="130"/>
      <c r="F34" s="130"/>
      <c r="G34" s="130"/>
      <c r="H34" s="130"/>
      <c r="I34" s="130"/>
      <c r="J34" s="130"/>
      <c r="K34" s="130"/>
      <c r="L34" s="130"/>
      <c r="M34" s="130"/>
      <c r="N34" s="130"/>
      <c r="O34" s="130"/>
      <c r="P34" s="130"/>
      <c r="Q34" s="130"/>
      <c r="R34" s="130"/>
      <c r="S34" s="130"/>
      <c r="T34" s="130"/>
      <c r="U34" s="130"/>
      <c r="V34" s="130"/>
      <c r="W34" s="160"/>
      <c r="X34" s="858"/>
    </row>
    <row r="35" spans="1:24" ht="14.25">
      <c r="A35" s="858"/>
      <c r="B35" s="158"/>
      <c r="C35" s="159"/>
      <c r="D35" s="130"/>
      <c r="E35" s="130"/>
      <c r="F35" s="130"/>
      <c r="G35" s="130"/>
      <c r="H35" s="130"/>
      <c r="I35" s="130"/>
      <c r="J35" s="130"/>
      <c r="K35" s="130"/>
      <c r="L35" s="130"/>
      <c r="M35" s="130"/>
      <c r="N35" s="130"/>
      <c r="O35" s="130"/>
      <c r="P35" s="130"/>
      <c r="Q35" s="130"/>
      <c r="R35" s="130"/>
      <c r="S35" s="130"/>
      <c r="T35" s="130"/>
      <c r="U35" s="130"/>
      <c r="V35" s="130"/>
      <c r="W35" s="160"/>
      <c r="X35" s="858"/>
    </row>
    <row r="36" spans="1:24" ht="14.25">
      <c r="A36" s="858"/>
      <c r="B36" s="158"/>
      <c r="C36" s="159"/>
      <c r="D36" s="130"/>
      <c r="E36" s="130"/>
      <c r="F36" s="130"/>
      <c r="G36" s="130"/>
      <c r="H36" s="130"/>
      <c r="I36" s="130"/>
      <c r="J36" s="130"/>
      <c r="K36" s="130"/>
      <c r="L36" s="130"/>
      <c r="M36" s="130"/>
      <c r="N36" s="130"/>
      <c r="O36" s="130"/>
      <c r="P36" s="130"/>
      <c r="Q36" s="130"/>
      <c r="R36" s="130"/>
      <c r="S36" s="130"/>
      <c r="T36" s="130"/>
      <c r="U36" s="130"/>
      <c r="V36" s="130"/>
      <c r="W36" s="160"/>
      <c r="X36" s="858"/>
    </row>
    <row r="37" spans="1:24" ht="14.25">
      <c r="A37" s="858"/>
      <c r="B37" s="158"/>
      <c r="C37" s="159"/>
      <c r="D37" s="130"/>
      <c r="E37" s="130"/>
      <c r="F37" s="130"/>
      <c r="G37" s="130"/>
      <c r="H37" s="130"/>
      <c r="I37" s="130"/>
      <c r="J37" s="130"/>
      <c r="K37" s="130"/>
      <c r="L37" s="130"/>
      <c r="M37" s="130"/>
      <c r="N37" s="130"/>
      <c r="O37" s="130"/>
      <c r="P37" s="130"/>
      <c r="Q37" s="130"/>
      <c r="R37" s="130"/>
      <c r="S37" s="130"/>
      <c r="T37" s="130"/>
      <c r="U37" s="130"/>
      <c r="V37" s="130"/>
      <c r="W37" s="160"/>
      <c r="X37" s="858"/>
    </row>
    <row r="38" spans="1:24" ht="14.25">
      <c r="A38" s="858"/>
      <c r="B38" s="158"/>
      <c r="C38" s="159"/>
      <c r="D38" s="130"/>
      <c r="E38" s="130"/>
      <c r="F38" s="130"/>
      <c r="G38" s="130"/>
      <c r="H38" s="130"/>
      <c r="I38" s="130"/>
      <c r="J38" s="130"/>
      <c r="K38" s="130"/>
      <c r="L38" s="130"/>
      <c r="M38" s="130"/>
      <c r="N38" s="130"/>
      <c r="O38" s="130"/>
      <c r="P38" s="130"/>
      <c r="Q38" s="130"/>
      <c r="R38" s="130"/>
      <c r="S38" s="130"/>
      <c r="T38" s="130"/>
      <c r="U38" s="130"/>
      <c r="V38" s="130"/>
      <c r="W38" s="160"/>
      <c r="X38" s="858"/>
    </row>
    <row r="39" spans="1:24" ht="14.25">
      <c r="A39" s="858"/>
      <c r="B39" s="158"/>
      <c r="C39" s="159"/>
      <c r="D39" s="130"/>
      <c r="E39" s="130"/>
      <c r="F39" s="130"/>
      <c r="G39" s="130"/>
      <c r="H39" s="130"/>
      <c r="I39" s="130"/>
      <c r="J39" s="130"/>
      <c r="K39" s="130"/>
      <c r="L39" s="130"/>
      <c r="M39" s="130"/>
      <c r="N39" s="130"/>
      <c r="O39" s="130"/>
      <c r="P39" s="130"/>
      <c r="Q39" s="130"/>
      <c r="R39" s="130"/>
      <c r="S39" s="130"/>
      <c r="T39" s="130"/>
      <c r="U39" s="130"/>
      <c r="V39" s="130"/>
      <c r="W39" s="160"/>
      <c r="X39" s="858"/>
    </row>
    <row r="40" spans="1:24" ht="14.25">
      <c r="A40" s="858"/>
      <c r="B40" s="158"/>
      <c r="C40" s="159"/>
      <c r="D40" s="130"/>
      <c r="E40" s="130"/>
      <c r="F40" s="130"/>
      <c r="G40" s="130"/>
      <c r="H40" s="130"/>
      <c r="I40" s="130"/>
      <c r="J40" s="130"/>
      <c r="K40" s="130"/>
      <c r="L40" s="130"/>
      <c r="M40" s="130"/>
      <c r="N40" s="130"/>
      <c r="O40" s="130"/>
      <c r="P40" s="130"/>
      <c r="Q40" s="130"/>
      <c r="R40" s="130"/>
      <c r="S40" s="130"/>
      <c r="T40" s="130"/>
      <c r="U40" s="130"/>
      <c r="V40" s="130"/>
      <c r="W40" s="160"/>
      <c r="X40" s="858"/>
    </row>
    <row r="41" spans="1:24" ht="14.25">
      <c r="A41" s="858"/>
      <c r="B41" s="158"/>
      <c r="C41" s="159"/>
      <c r="D41" s="130"/>
      <c r="E41" s="130"/>
      <c r="F41" s="130"/>
      <c r="G41" s="130"/>
      <c r="H41" s="130"/>
      <c r="I41" s="130"/>
      <c r="J41" s="130"/>
      <c r="K41" s="130"/>
      <c r="L41" s="130"/>
      <c r="M41" s="130"/>
      <c r="N41" s="130"/>
      <c r="O41" s="130"/>
      <c r="P41" s="130"/>
      <c r="Q41" s="130"/>
      <c r="R41" s="130"/>
      <c r="S41" s="130"/>
      <c r="T41" s="130"/>
      <c r="U41" s="130"/>
      <c r="V41" s="130"/>
      <c r="W41" s="160"/>
      <c r="X41" s="858"/>
    </row>
    <row r="42" spans="1:24" ht="14.25">
      <c r="A42" s="858"/>
      <c r="B42" s="158"/>
      <c r="C42" s="159"/>
      <c r="D42" s="130"/>
      <c r="E42" s="130"/>
      <c r="F42" s="130"/>
      <c r="G42" s="130"/>
      <c r="H42" s="130"/>
      <c r="I42" s="130"/>
      <c r="J42" s="130"/>
      <c r="K42" s="130"/>
      <c r="L42" s="130"/>
      <c r="M42" s="130"/>
      <c r="N42" s="130"/>
      <c r="O42" s="130"/>
      <c r="P42" s="130"/>
      <c r="Q42" s="130"/>
      <c r="R42" s="130"/>
      <c r="S42" s="130"/>
      <c r="T42" s="130"/>
      <c r="U42" s="130"/>
      <c r="V42" s="130"/>
      <c r="W42" s="160"/>
      <c r="X42" s="858"/>
    </row>
    <row r="43" spans="1:24" ht="14.25">
      <c r="A43" s="858"/>
      <c r="B43" s="158"/>
      <c r="C43" s="159"/>
      <c r="D43" s="130"/>
      <c r="E43" s="130"/>
      <c r="F43" s="130"/>
      <c r="G43" s="130"/>
      <c r="H43" s="130"/>
      <c r="I43" s="130"/>
      <c r="J43" s="130"/>
      <c r="K43" s="130"/>
      <c r="L43" s="130"/>
      <c r="M43" s="130"/>
      <c r="N43" s="130"/>
      <c r="O43" s="130"/>
      <c r="P43" s="130"/>
      <c r="Q43" s="130"/>
      <c r="R43" s="130"/>
      <c r="S43" s="130"/>
      <c r="T43" s="130"/>
      <c r="U43" s="130"/>
      <c r="V43" s="130"/>
      <c r="W43" s="160"/>
      <c r="X43" s="858"/>
    </row>
    <row r="44" spans="1:24" ht="14.25">
      <c r="A44" s="858"/>
      <c r="B44" s="158"/>
      <c r="C44" s="159"/>
      <c r="D44" s="130"/>
      <c r="E44" s="130"/>
      <c r="F44" s="130"/>
      <c r="G44" s="130"/>
      <c r="H44" s="130"/>
      <c r="I44" s="130"/>
      <c r="J44" s="130"/>
      <c r="K44" s="130"/>
      <c r="L44" s="130"/>
      <c r="M44" s="130"/>
      <c r="N44" s="130"/>
      <c r="O44" s="130"/>
      <c r="P44" s="130"/>
      <c r="Q44" s="130"/>
      <c r="R44" s="130"/>
      <c r="S44" s="130"/>
      <c r="T44" s="130"/>
      <c r="U44" s="130"/>
      <c r="V44" s="130"/>
      <c r="W44" s="160"/>
      <c r="X44" s="858"/>
    </row>
    <row r="45" spans="1:24" ht="14.25">
      <c r="A45" s="858"/>
      <c r="B45" s="158"/>
      <c r="C45" s="159"/>
      <c r="D45" s="130"/>
      <c r="E45" s="130"/>
      <c r="F45" s="130"/>
      <c r="G45" s="130"/>
      <c r="H45" s="130"/>
      <c r="I45" s="130"/>
      <c r="J45" s="130"/>
      <c r="K45" s="130"/>
      <c r="L45" s="130"/>
      <c r="M45" s="130"/>
      <c r="N45" s="130"/>
      <c r="O45" s="130"/>
      <c r="P45" s="130"/>
      <c r="Q45" s="130"/>
      <c r="R45" s="130"/>
      <c r="S45" s="130"/>
      <c r="T45" s="130"/>
      <c r="U45" s="130"/>
      <c r="V45" s="130"/>
      <c r="W45" s="160"/>
      <c r="X45" s="858"/>
    </row>
    <row r="46" spans="1:24" ht="14.25">
      <c r="A46" s="858"/>
      <c r="B46" s="158"/>
      <c r="C46" s="159"/>
      <c r="D46" s="130"/>
      <c r="E46" s="130"/>
      <c r="F46" s="130"/>
      <c r="G46" s="130"/>
      <c r="H46" s="130"/>
      <c r="I46" s="130"/>
      <c r="J46" s="130"/>
      <c r="K46" s="130"/>
      <c r="L46" s="130"/>
      <c r="M46" s="130"/>
      <c r="N46" s="130"/>
      <c r="O46" s="130"/>
      <c r="P46" s="130"/>
      <c r="Q46" s="130"/>
      <c r="R46" s="130"/>
      <c r="S46" s="130"/>
      <c r="T46" s="130"/>
      <c r="U46" s="130"/>
      <c r="V46" s="130"/>
      <c r="W46" s="160"/>
      <c r="X46" s="858"/>
    </row>
    <row r="47" spans="1:24" ht="14.25">
      <c r="A47" s="858"/>
      <c r="B47" s="158"/>
      <c r="C47" s="159"/>
      <c r="D47" s="130"/>
      <c r="E47" s="130"/>
      <c r="F47" s="130"/>
      <c r="G47" s="130"/>
      <c r="H47" s="130"/>
      <c r="I47" s="130"/>
      <c r="J47" s="130"/>
      <c r="K47" s="130"/>
      <c r="L47" s="130"/>
      <c r="M47" s="130"/>
      <c r="N47" s="130"/>
      <c r="O47" s="130"/>
      <c r="P47" s="130"/>
      <c r="Q47" s="130"/>
      <c r="R47" s="130"/>
      <c r="S47" s="130"/>
      <c r="T47" s="130"/>
      <c r="U47" s="130"/>
      <c r="V47" s="130"/>
      <c r="W47" s="160"/>
      <c r="X47" s="858"/>
    </row>
    <row r="48" spans="1:24" ht="14.25">
      <c r="A48" s="858"/>
      <c r="B48" s="158"/>
      <c r="C48" s="159"/>
      <c r="D48" s="130"/>
      <c r="E48" s="130"/>
      <c r="F48" s="130"/>
      <c r="G48" s="130"/>
      <c r="H48" s="130"/>
      <c r="I48" s="130"/>
      <c r="J48" s="130"/>
      <c r="K48" s="130"/>
      <c r="L48" s="130"/>
      <c r="M48" s="130"/>
      <c r="N48" s="130"/>
      <c r="O48" s="130"/>
      <c r="P48" s="130"/>
      <c r="Q48" s="130"/>
      <c r="R48" s="130"/>
      <c r="S48" s="130"/>
      <c r="T48" s="130"/>
      <c r="U48" s="130"/>
      <c r="V48" s="130"/>
      <c r="W48" s="160"/>
      <c r="X48" s="858"/>
    </row>
    <row r="49" spans="1:24" ht="14.25">
      <c r="A49" s="858"/>
      <c r="B49" s="158"/>
      <c r="C49" s="159"/>
      <c r="D49" s="130"/>
      <c r="E49" s="130"/>
      <c r="F49" s="130"/>
      <c r="G49" s="130"/>
      <c r="H49" s="130"/>
      <c r="I49" s="130"/>
      <c r="J49" s="130"/>
      <c r="K49" s="130"/>
      <c r="L49" s="130"/>
      <c r="M49" s="130"/>
      <c r="N49" s="130"/>
      <c r="O49" s="130"/>
      <c r="P49" s="130"/>
      <c r="Q49" s="130"/>
      <c r="R49" s="130"/>
      <c r="S49" s="130"/>
      <c r="T49" s="130"/>
      <c r="U49" s="130"/>
      <c r="V49" s="130"/>
      <c r="W49" s="160"/>
      <c r="X49" s="858"/>
    </row>
    <row r="50" spans="1:24" ht="14.25">
      <c r="A50" s="858"/>
      <c r="B50" s="158"/>
      <c r="C50" s="159"/>
      <c r="D50" s="130"/>
      <c r="E50" s="130"/>
      <c r="F50" s="130"/>
      <c r="G50" s="130"/>
      <c r="H50" s="130"/>
      <c r="I50" s="130"/>
      <c r="J50" s="130"/>
      <c r="K50" s="130"/>
      <c r="L50" s="130"/>
      <c r="M50" s="130"/>
      <c r="N50" s="130"/>
      <c r="O50" s="130"/>
      <c r="P50" s="130"/>
      <c r="Q50" s="130"/>
      <c r="R50" s="130"/>
      <c r="S50" s="130"/>
      <c r="T50" s="130"/>
      <c r="U50" s="130"/>
      <c r="V50" s="130"/>
      <c r="W50" s="160"/>
      <c r="X50" s="858"/>
    </row>
    <row r="51" spans="1:24" ht="14.25">
      <c r="A51" s="858"/>
      <c r="B51" s="158"/>
      <c r="C51" s="159"/>
      <c r="D51" s="130"/>
      <c r="E51" s="130"/>
      <c r="F51" s="130"/>
      <c r="G51" s="130"/>
      <c r="H51" s="130"/>
      <c r="I51" s="130"/>
      <c r="J51" s="130"/>
      <c r="K51" s="130"/>
      <c r="L51" s="130"/>
      <c r="M51" s="130"/>
      <c r="N51" s="130"/>
      <c r="O51" s="130"/>
      <c r="P51" s="130"/>
      <c r="Q51" s="130"/>
      <c r="R51" s="130"/>
      <c r="S51" s="130"/>
      <c r="T51" s="130"/>
      <c r="U51" s="130"/>
      <c r="V51" s="130"/>
      <c r="W51" s="160"/>
      <c r="X51" s="858"/>
    </row>
    <row r="52" spans="1:24" ht="14.25">
      <c r="A52" s="858"/>
      <c r="B52" s="158"/>
      <c r="C52" s="159"/>
      <c r="D52" s="130"/>
      <c r="E52" s="130"/>
      <c r="F52" s="130"/>
      <c r="G52" s="130"/>
      <c r="H52" s="130"/>
      <c r="I52" s="130"/>
      <c r="J52" s="130"/>
      <c r="K52" s="130"/>
      <c r="L52" s="130"/>
      <c r="M52" s="130"/>
      <c r="N52" s="130"/>
      <c r="O52" s="130"/>
      <c r="P52" s="130"/>
      <c r="Q52" s="130"/>
      <c r="R52" s="130"/>
      <c r="S52" s="130"/>
      <c r="T52" s="130"/>
      <c r="U52" s="130"/>
      <c r="V52" s="130"/>
      <c r="W52" s="160"/>
      <c r="X52" s="858"/>
    </row>
    <row r="53" spans="1:24" ht="14.25">
      <c r="A53" s="858"/>
      <c r="B53" s="158"/>
      <c r="C53" s="159"/>
      <c r="D53" s="130"/>
      <c r="E53" s="130"/>
      <c r="F53" s="130"/>
      <c r="G53" s="130"/>
      <c r="H53" s="130"/>
      <c r="I53" s="130"/>
      <c r="J53" s="130"/>
      <c r="K53" s="130"/>
      <c r="L53" s="130"/>
      <c r="M53" s="130"/>
      <c r="N53" s="130"/>
      <c r="O53" s="130"/>
      <c r="P53" s="130"/>
      <c r="Q53" s="130"/>
      <c r="R53" s="130"/>
      <c r="S53" s="130"/>
      <c r="T53" s="130"/>
      <c r="U53" s="130"/>
      <c r="V53" s="130"/>
      <c r="W53" s="160"/>
      <c r="X53" s="858"/>
    </row>
    <row r="54" spans="1:24" ht="14.25">
      <c r="A54" s="858"/>
      <c r="B54" s="158"/>
      <c r="C54" s="159"/>
      <c r="D54" s="130"/>
      <c r="E54" s="130"/>
      <c r="F54" s="130"/>
      <c r="G54" s="130"/>
      <c r="H54" s="130"/>
      <c r="I54" s="130"/>
      <c r="J54" s="130"/>
      <c r="K54" s="130"/>
      <c r="L54" s="130"/>
      <c r="M54" s="130"/>
      <c r="N54" s="130"/>
      <c r="O54" s="130"/>
      <c r="P54" s="130"/>
      <c r="Q54" s="130"/>
      <c r="R54" s="130"/>
      <c r="S54" s="130"/>
      <c r="T54" s="130"/>
      <c r="U54" s="130"/>
      <c r="V54" s="130"/>
      <c r="W54" s="160"/>
      <c r="X54" s="858"/>
    </row>
    <row r="55" spans="1:24" ht="14.25">
      <c r="A55" s="858"/>
      <c r="B55" s="158"/>
      <c r="C55" s="159"/>
      <c r="D55" s="130"/>
      <c r="E55" s="130"/>
      <c r="F55" s="130"/>
      <c r="G55" s="130"/>
      <c r="H55" s="130"/>
      <c r="I55" s="130"/>
      <c r="J55" s="130"/>
      <c r="K55" s="130"/>
      <c r="L55" s="130"/>
      <c r="M55" s="130"/>
      <c r="N55" s="130"/>
      <c r="O55" s="130"/>
      <c r="P55" s="130"/>
      <c r="Q55" s="130"/>
      <c r="R55" s="130"/>
      <c r="S55" s="130"/>
      <c r="T55" s="130"/>
      <c r="U55" s="130"/>
      <c r="V55" s="130"/>
      <c r="W55" s="160"/>
      <c r="X55" s="858"/>
    </row>
    <row r="56" spans="1:24" ht="15" thickBot="1">
      <c r="A56" s="858"/>
      <c r="B56" s="158"/>
      <c r="C56" s="159"/>
      <c r="D56" s="130"/>
      <c r="E56" s="130"/>
      <c r="F56" s="130"/>
      <c r="G56" s="130"/>
      <c r="H56" s="130"/>
      <c r="I56" s="130"/>
      <c r="J56" s="130"/>
      <c r="K56" s="130"/>
      <c r="L56" s="130"/>
      <c r="M56" s="130"/>
      <c r="N56" s="130"/>
      <c r="O56" s="130"/>
      <c r="P56" s="130"/>
      <c r="Q56" s="130"/>
      <c r="R56" s="130"/>
      <c r="S56" s="130"/>
      <c r="T56" s="130"/>
      <c r="U56" s="130"/>
      <c r="V56" s="130"/>
      <c r="W56" s="160"/>
      <c r="X56" s="858"/>
    </row>
    <row r="57" spans="1:24" ht="39.75" customHeight="1" thickBot="1">
      <c r="A57" s="858"/>
      <c r="B57" s="158"/>
      <c r="C57" s="159"/>
      <c r="D57" s="130"/>
      <c r="E57" s="130"/>
      <c r="F57" s="130"/>
      <c r="G57" s="130"/>
      <c r="H57" s="130"/>
      <c r="I57" s="130"/>
      <c r="J57" s="130"/>
      <c r="K57" s="130"/>
      <c r="L57" s="130"/>
      <c r="M57" s="130"/>
      <c r="N57" s="130"/>
      <c r="O57" s="130"/>
      <c r="P57" s="580" t="s">
        <v>418</v>
      </c>
      <c r="Q57" s="130"/>
      <c r="R57" s="130"/>
      <c r="T57" s="130"/>
      <c r="U57" s="130"/>
      <c r="V57" s="130"/>
      <c r="W57" s="160"/>
      <c r="X57" s="858"/>
    </row>
    <row r="58" spans="1:24" ht="27" customHeight="1" thickBot="1">
      <c r="A58" s="858"/>
      <c r="B58" s="158"/>
      <c r="C58" s="159"/>
      <c r="D58" s="130"/>
      <c r="E58" s="130"/>
      <c r="F58" s="130"/>
      <c r="G58" s="130"/>
      <c r="H58" s="130"/>
      <c r="I58" s="130"/>
      <c r="J58" s="130"/>
      <c r="K58" s="130"/>
      <c r="L58" s="130"/>
      <c r="M58" s="130"/>
      <c r="N58" s="130"/>
      <c r="O58" s="130"/>
      <c r="P58" s="1288" t="s">
        <v>74</v>
      </c>
      <c r="Q58" s="130"/>
      <c r="R58" s="130"/>
      <c r="T58" s="130"/>
      <c r="U58" s="130"/>
      <c r="V58" s="130"/>
      <c r="W58" s="160"/>
      <c r="X58" s="858"/>
    </row>
    <row r="59" spans="1:24" ht="14.25">
      <c r="A59" s="858"/>
      <c r="B59" s="158"/>
      <c r="C59" s="159"/>
      <c r="D59" s="130"/>
      <c r="E59" s="130"/>
      <c r="F59" s="130"/>
      <c r="G59" s="130"/>
      <c r="H59" s="130"/>
      <c r="I59" s="130"/>
      <c r="J59" s="130"/>
      <c r="K59" s="130"/>
      <c r="L59" s="130"/>
      <c r="M59" s="130"/>
      <c r="N59" s="130"/>
      <c r="O59" s="130"/>
      <c r="P59" s="130"/>
      <c r="Q59" s="130"/>
      <c r="R59" s="130"/>
      <c r="S59" s="130"/>
      <c r="T59" s="130"/>
      <c r="U59" s="130"/>
      <c r="V59" s="130"/>
      <c r="W59" s="160"/>
      <c r="X59" s="858"/>
    </row>
    <row r="60" spans="1:24" ht="14.25">
      <c r="A60" s="858"/>
      <c r="B60" s="158"/>
      <c r="C60" s="159"/>
      <c r="D60" s="130"/>
      <c r="E60" s="130"/>
      <c r="F60" s="130"/>
      <c r="G60" s="130"/>
      <c r="H60" s="130"/>
      <c r="I60" s="130"/>
      <c r="J60" s="130"/>
      <c r="K60" s="130"/>
      <c r="L60" s="130"/>
      <c r="M60" s="130"/>
      <c r="N60" s="130"/>
      <c r="O60" s="130"/>
      <c r="P60" s="130"/>
      <c r="Q60" s="130"/>
      <c r="R60" s="130"/>
      <c r="S60" s="130"/>
      <c r="T60" s="130"/>
      <c r="U60" s="130"/>
      <c r="V60" s="130"/>
      <c r="W60" s="160"/>
      <c r="X60" s="858"/>
    </row>
    <row r="61" spans="1:24" ht="14.25">
      <c r="A61" s="858"/>
      <c r="B61" s="158"/>
      <c r="C61" s="159"/>
      <c r="D61" s="130"/>
      <c r="E61" s="130"/>
      <c r="F61" s="130"/>
      <c r="G61" s="130"/>
      <c r="H61" s="130"/>
      <c r="I61" s="130"/>
      <c r="J61" s="130"/>
      <c r="K61" s="130"/>
      <c r="L61" s="130"/>
      <c r="M61" s="130"/>
      <c r="N61" s="130"/>
      <c r="O61" s="130"/>
      <c r="P61" s="130"/>
      <c r="Q61" s="130"/>
      <c r="R61" s="130"/>
      <c r="S61" s="130"/>
      <c r="T61" s="130"/>
      <c r="U61" s="130"/>
      <c r="V61" s="130"/>
      <c r="W61" s="160"/>
      <c r="X61" s="858"/>
    </row>
    <row r="62" spans="1:24" ht="14.25">
      <c r="A62" s="858"/>
      <c r="B62" s="158"/>
      <c r="C62" s="159"/>
      <c r="D62" s="130"/>
      <c r="E62" s="130"/>
      <c r="F62" s="130"/>
      <c r="G62" s="130"/>
      <c r="H62" s="130"/>
      <c r="I62" s="130"/>
      <c r="J62" s="130"/>
      <c r="K62" s="130"/>
      <c r="L62" s="130"/>
      <c r="M62" s="130"/>
      <c r="N62" s="130"/>
      <c r="O62" s="130"/>
      <c r="P62" s="130"/>
      <c r="Q62" s="130"/>
      <c r="R62" s="130"/>
      <c r="S62" s="130"/>
      <c r="T62" s="130"/>
      <c r="U62" s="130"/>
      <c r="V62" s="130"/>
      <c r="W62" s="160"/>
      <c r="X62" s="858"/>
    </row>
    <row r="63" spans="1:24" ht="14.25">
      <c r="A63" s="858"/>
      <c r="B63" s="158"/>
      <c r="C63" s="159"/>
      <c r="D63" s="130"/>
      <c r="E63" s="130"/>
      <c r="F63" s="130"/>
      <c r="G63" s="130"/>
      <c r="H63" s="130"/>
      <c r="I63" s="130"/>
      <c r="J63" s="130"/>
      <c r="K63" s="130"/>
      <c r="L63" s="130"/>
      <c r="M63" s="130"/>
      <c r="N63" s="130"/>
      <c r="O63" s="130"/>
      <c r="P63" s="130"/>
      <c r="Q63" s="130"/>
      <c r="R63" s="130"/>
      <c r="S63" s="130"/>
      <c r="T63" s="130"/>
      <c r="U63" s="130"/>
      <c r="V63" s="130"/>
      <c r="W63" s="160"/>
      <c r="X63" s="858"/>
    </row>
    <row r="64" spans="1:24" ht="14.25">
      <c r="A64" s="858"/>
      <c r="B64" s="158"/>
      <c r="C64" s="159"/>
      <c r="D64" s="130"/>
      <c r="E64" s="130"/>
      <c r="F64" s="130"/>
      <c r="G64" s="130"/>
      <c r="H64" s="130"/>
      <c r="I64" s="130"/>
      <c r="J64" s="130"/>
      <c r="K64" s="130"/>
      <c r="L64" s="130"/>
      <c r="M64" s="130"/>
      <c r="N64" s="130"/>
      <c r="O64" s="130"/>
      <c r="P64" s="130"/>
      <c r="Q64" s="130"/>
      <c r="R64" s="130"/>
      <c r="S64" s="130"/>
      <c r="T64" s="130"/>
      <c r="U64" s="130"/>
      <c r="V64" s="130"/>
      <c r="W64" s="160"/>
      <c r="X64" s="858"/>
    </row>
    <row r="65" spans="1:31" ht="14.25">
      <c r="A65" s="858"/>
      <c r="B65" s="158"/>
      <c r="C65" s="159"/>
      <c r="D65" s="130"/>
      <c r="E65" s="130"/>
      <c r="F65" s="130"/>
      <c r="G65" s="130"/>
      <c r="H65" s="130"/>
      <c r="I65" s="130"/>
      <c r="J65" s="130"/>
      <c r="K65" s="130"/>
      <c r="L65" s="130"/>
      <c r="M65" s="130"/>
      <c r="N65" s="130"/>
      <c r="O65" s="130"/>
      <c r="P65" s="130"/>
      <c r="Q65" s="130"/>
      <c r="R65" s="130"/>
      <c r="S65" s="130"/>
      <c r="T65" s="130"/>
      <c r="U65" s="130"/>
      <c r="V65" s="130"/>
      <c r="W65" s="160"/>
      <c r="X65" s="858"/>
    </row>
    <row r="66" spans="1:31" ht="14.25">
      <c r="A66" s="858"/>
      <c r="B66" s="158"/>
      <c r="C66" s="159"/>
      <c r="D66" s="130"/>
      <c r="E66" s="130"/>
      <c r="F66" s="130"/>
      <c r="G66" s="130"/>
      <c r="H66" s="130"/>
      <c r="I66" s="130"/>
      <c r="J66" s="130"/>
      <c r="K66" s="130"/>
      <c r="L66" s="130"/>
      <c r="M66" s="130"/>
      <c r="N66" s="130"/>
      <c r="O66" s="130"/>
      <c r="P66" s="130"/>
      <c r="Q66" s="130"/>
      <c r="R66" s="130"/>
      <c r="S66" s="130"/>
      <c r="T66" s="130"/>
      <c r="U66" s="130"/>
      <c r="V66" s="130"/>
      <c r="W66" s="160"/>
      <c r="X66" s="858"/>
    </row>
    <row r="67" spans="1:31" ht="14.25">
      <c r="A67" s="858"/>
      <c r="B67" s="158"/>
      <c r="C67" s="159"/>
      <c r="D67" s="130"/>
      <c r="E67" s="130"/>
      <c r="F67" s="130"/>
      <c r="G67" s="130"/>
      <c r="H67" s="130"/>
      <c r="I67" s="130"/>
      <c r="J67" s="130"/>
      <c r="K67" s="130"/>
      <c r="L67" s="130"/>
      <c r="M67" s="130"/>
      <c r="N67" s="130"/>
      <c r="O67" s="130"/>
      <c r="P67" s="130"/>
      <c r="Q67" s="130"/>
      <c r="R67" s="130"/>
      <c r="S67" s="130"/>
      <c r="T67" s="130"/>
      <c r="U67" s="130"/>
      <c r="V67" s="130"/>
      <c r="W67" s="160"/>
      <c r="X67" s="858"/>
    </row>
    <row r="68" spans="1:31" ht="14.25">
      <c r="A68" s="858"/>
      <c r="B68" s="158"/>
      <c r="C68" s="159"/>
      <c r="D68" s="130"/>
      <c r="E68" s="130"/>
      <c r="F68" s="130"/>
      <c r="G68" s="130"/>
      <c r="H68" s="130"/>
      <c r="I68" s="130"/>
      <c r="J68" s="130"/>
      <c r="K68" s="130"/>
      <c r="L68" s="130"/>
      <c r="M68" s="130"/>
      <c r="N68" s="130"/>
      <c r="O68" s="130"/>
      <c r="P68" s="130"/>
      <c r="Q68" s="130"/>
      <c r="R68" s="130"/>
      <c r="S68" s="130"/>
      <c r="T68" s="130"/>
      <c r="U68" s="130"/>
      <c r="V68" s="130"/>
      <c r="W68" s="160"/>
      <c r="X68" s="858"/>
    </row>
    <row r="69" spans="1:31" ht="14.25">
      <c r="A69" s="858"/>
      <c r="B69" s="158"/>
      <c r="C69" s="159"/>
      <c r="D69" s="130"/>
      <c r="E69" s="130"/>
      <c r="F69" s="130"/>
      <c r="G69" s="130"/>
      <c r="H69" s="130"/>
      <c r="I69" s="130"/>
      <c r="J69" s="130"/>
      <c r="K69" s="130"/>
      <c r="L69" s="130"/>
      <c r="M69" s="130"/>
      <c r="N69" s="130"/>
      <c r="O69" s="130"/>
      <c r="P69" s="130"/>
      <c r="Q69" s="130"/>
      <c r="R69" s="130"/>
      <c r="S69" s="130"/>
      <c r="T69" s="130"/>
      <c r="U69" s="130"/>
      <c r="V69" s="130"/>
      <c r="W69" s="160"/>
      <c r="X69" s="858"/>
    </row>
    <row r="70" spans="1:31" ht="14.25">
      <c r="A70" s="858"/>
      <c r="B70" s="158"/>
      <c r="C70" s="159"/>
      <c r="D70" s="130"/>
      <c r="E70" s="130"/>
      <c r="F70" s="130"/>
      <c r="G70" s="130"/>
      <c r="H70" s="130"/>
      <c r="I70" s="130"/>
      <c r="J70" s="130"/>
      <c r="K70" s="130"/>
      <c r="L70" s="130"/>
      <c r="M70" s="130"/>
      <c r="N70" s="130"/>
      <c r="O70" s="130"/>
      <c r="P70" s="130"/>
      <c r="Q70" s="130"/>
      <c r="R70" s="130"/>
      <c r="S70" s="130"/>
      <c r="T70" s="130"/>
      <c r="U70" s="130"/>
      <c r="V70" s="130"/>
      <c r="W70" s="160"/>
      <c r="X70" s="858"/>
    </row>
    <row r="71" spans="1:31" ht="14.25">
      <c r="A71" s="858"/>
      <c r="B71" s="158"/>
      <c r="C71" s="159"/>
      <c r="D71" s="130"/>
      <c r="E71" s="130"/>
      <c r="F71" s="130"/>
      <c r="G71" s="130"/>
      <c r="H71" s="130"/>
      <c r="I71" s="130"/>
      <c r="J71" s="130"/>
      <c r="K71" s="130"/>
      <c r="L71" s="130"/>
      <c r="M71" s="130"/>
      <c r="N71" s="130"/>
      <c r="O71" s="130"/>
      <c r="P71" s="130"/>
      <c r="Q71" s="130"/>
      <c r="R71" s="130"/>
      <c r="S71" s="130"/>
      <c r="T71" s="130"/>
      <c r="U71" s="130"/>
      <c r="V71" s="130"/>
      <c r="W71" s="160"/>
      <c r="X71" s="858"/>
    </row>
    <row r="72" spans="1:31" ht="14.25">
      <c r="A72" s="858"/>
      <c r="B72" s="158"/>
      <c r="C72" s="159"/>
      <c r="D72" s="130"/>
      <c r="E72" s="130"/>
      <c r="F72" s="130"/>
      <c r="G72" s="130"/>
      <c r="H72" s="130"/>
      <c r="I72" s="130"/>
      <c r="J72" s="130"/>
      <c r="K72" s="130"/>
      <c r="L72" s="130"/>
      <c r="M72" s="130"/>
      <c r="N72" s="130"/>
      <c r="O72" s="130"/>
      <c r="P72" s="130"/>
      <c r="Q72" s="130"/>
      <c r="R72" s="130"/>
      <c r="S72" s="130"/>
      <c r="T72" s="130"/>
      <c r="U72" s="130"/>
      <c r="V72" s="130"/>
      <c r="W72" s="160"/>
      <c r="X72" s="858"/>
    </row>
    <row r="73" spans="1:31" ht="14.25">
      <c r="A73" s="858"/>
      <c r="B73" s="158"/>
      <c r="C73" s="159"/>
      <c r="D73" s="130"/>
      <c r="E73" s="130"/>
      <c r="F73" s="130"/>
      <c r="G73" s="130"/>
      <c r="H73" s="130"/>
      <c r="I73" s="130"/>
      <c r="J73" s="130"/>
      <c r="K73" s="130"/>
      <c r="L73" s="130"/>
      <c r="M73" s="130"/>
      <c r="N73" s="130"/>
      <c r="O73" s="130"/>
      <c r="P73" s="130"/>
      <c r="Q73" s="130"/>
      <c r="R73" s="130"/>
      <c r="S73" s="130"/>
      <c r="T73" s="130"/>
      <c r="U73" s="130"/>
      <c r="V73" s="130"/>
      <c r="W73" s="160"/>
      <c r="X73" s="858"/>
    </row>
    <row r="74" spans="1:31" ht="14.25">
      <c r="A74" s="858"/>
      <c r="B74" s="158"/>
      <c r="C74" s="159"/>
      <c r="D74" s="130"/>
      <c r="E74" s="130"/>
      <c r="F74" s="130"/>
      <c r="G74" s="130"/>
      <c r="H74" s="130"/>
      <c r="I74" s="130"/>
      <c r="J74" s="130"/>
      <c r="K74" s="130"/>
      <c r="L74" s="130"/>
      <c r="M74" s="130"/>
      <c r="N74" s="130"/>
      <c r="O74" s="130"/>
      <c r="P74" s="130"/>
      <c r="Q74" s="130"/>
      <c r="R74" s="130"/>
      <c r="S74" s="130"/>
      <c r="T74" s="130"/>
      <c r="U74" s="130"/>
      <c r="V74" s="130"/>
      <c r="W74" s="160"/>
      <c r="X74" s="858"/>
      <c r="AE74" s="618" t="s">
        <v>508</v>
      </c>
    </row>
    <row r="75" spans="1:31" ht="14.25">
      <c r="A75" s="858"/>
      <c r="B75" s="158"/>
      <c r="C75" s="159"/>
      <c r="D75" s="130"/>
      <c r="E75" s="130"/>
      <c r="F75" s="130"/>
      <c r="G75" s="130"/>
      <c r="H75" s="130"/>
      <c r="I75" s="130"/>
      <c r="J75" s="130"/>
      <c r="K75" s="130"/>
      <c r="L75" s="130"/>
      <c r="M75" s="130"/>
      <c r="N75" s="130"/>
      <c r="O75" s="130"/>
      <c r="P75" s="130"/>
      <c r="Q75" s="130"/>
      <c r="R75" s="130"/>
      <c r="S75" s="130"/>
      <c r="T75" s="130"/>
      <c r="U75" s="130"/>
      <c r="V75" s="130"/>
      <c r="W75" s="160"/>
      <c r="X75" s="858"/>
    </row>
    <row r="76" spans="1:31" ht="14.25">
      <c r="A76" s="858"/>
      <c r="B76" s="158"/>
      <c r="C76" s="159"/>
      <c r="D76" s="130"/>
      <c r="E76" s="130"/>
      <c r="F76" s="130"/>
      <c r="G76" s="130"/>
      <c r="H76" s="130"/>
      <c r="I76" s="130"/>
      <c r="J76" s="130"/>
      <c r="K76" s="130"/>
      <c r="L76" s="130"/>
      <c r="M76" s="130"/>
      <c r="N76" s="130"/>
      <c r="O76" s="130"/>
      <c r="P76" s="130"/>
      <c r="Q76" s="130"/>
      <c r="R76" s="130"/>
      <c r="S76" s="130"/>
      <c r="T76" s="130"/>
      <c r="U76" s="130"/>
      <c r="V76" s="130"/>
      <c r="W76" s="160"/>
      <c r="X76" s="858"/>
    </row>
    <row r="77" spans="1:31" ht="14.25">
      <c r="A77" s="858"/>
      <c r="B77" s="158"/>
      <c r="C77" s="159"/>
      <c r="D77" s="130"/>
      <c r="E77" s="130"/>
      <c r="F77" s="130"/>
      <c r="G77" s="130"/>
      <c r="H77" s="130"/>
      <c r="I77" s="130"/>
      <c r="J77" s="130"/>
      <c r="K77" s="130"/>
      <c r="L77" s="130"/>
      <c r="M77" s="130"/>
      <c r="N77" s="130"/>
      <c r="O77" s="130"/>
      <c r="P77" s="130"/>
      <c r="Q77" s="130"/>
      <c r="R77" s="130"/>
      <c r="S77" s="130"/>
      <c r="T77" s="130"/>
      <c r="U77" s="130"/>
      <c r="V77" s="130"/>
      <c r="W77" s="160"/>
      <c r="X77" s="858"/>
    </row>
    <row r="78" spans="1:31" ht="14.25">
      <c r="A78" s="858"/>
      <c r="B78" s="158"/>
      <c r="C78" s="159"/>
      <c r="D78" s="130"/>
      <c r="E78" s="130"/>
      <c r="F78" s="130"/>
      <c r="G78" s="130"/>
      <c r="H78" s="130"/>
      <c r="I78" s="130"/>
      <c r="J78" s="130"/>
      <c r="K78" s="130"/>
      <c r="L78" s="130"/>
      <c r="M78" s="130"/>
      <c r="N78" s="130"/>
      <c r="O78" s="130"/>
      <c r="P78" s="130"/>
      <c r="Q78" s="130"/>
      <c r="R78" s="130"/>
      <c r="S78" s="130"/>
      <c r="T78" s="130"/>
      <c r="U78" s="130"/>
      <c r="V78" s="130"/>
      <c r="W78" s="160"/>
      <c r="X78" s="858"/>
    </row>
    <row r="79" spans="1:31" ht="14.25">
      <c r="A79" s="858"/>
      <c r="B79" s="158"/>
      <c r="C79" s="159"/>
      <c r="D79" s="130"/>
      <c r="E79" s="130"/>
      <c r="F79" s="130"/>
      <c r="G79" s="130"/>
      <c r="H79" s="130"/>
      <c r="I79" s="130"/>
      <c r="J79" s="130"/>
      <c r="K79" s="130"/>
      <c r="L79" s="130"/>
      <c r="M79" s="130"/>
      <c r="N79" s="130"/>
      <c r="O79" s="130"/>
      <c r="P79" s="130"/>
      <c r="Q79" s="130"/>
      <c r="R79" s="130"/>
      <c r="S79" s="130"/>
      <c r="T79" s="130"/>
      <c r="U79" s="130"/>
      <c r="V79" s="130"/>
      <c r="W79" s="160"/>
      <c r="X79" s="858"/>
    </row>
    <row r="80" spans="1:31" ht="14.25">
      <c r="A80" s="858"/>
      <c r="B80" s="158"/>
      <c r="C80" s="159"/>
      <c r="D80" s="130"/>
      <c r="E80" s="130"/>
      <c r="F80" s="130"/>
      <c r="G80" s="130"/>
      <c r="H80" s="130"/>
      <c r="I80" s="130"/>
      <c r="J80" s="130"/>
      <c r="K80" s="130"/>
      <c r="L80" s="130"/>
      <c r="M80" s="130"/>
      <c r="N80" s="130"/>
      <c r="O80" s="130"/>
      <c r="P80" s="130"/>
      <c r="Q80" s="130"/>
      <c r="R80" s="130"/>
      <c r="S80" s="130"/>
      <c r="T80" s="130"/>
      <c r="U80" s="130"/>
      <c r="V80" s="130"/>
      <c r="W80" s="160"/>
      <c r="X80" s="858"/>
    </row>
    <row r="81" spans="1:24" ht="14.25">
      <c r="A81" s="858"/>
      <c r="B81" s="158"/>
      <c r="C81" s="159"/>
      <c r="D81" s="130"/>
      <c r="E81" s="130"/>
      <c r="F81" s="130"/>
      <c r="G81" s="130"/>
      <c r="H81" s="130"/>
      <c r="I81" s="130"/>
      <c r="J81" s="130"/>
      <c r="K81" s="130"/>
      <c r="L81" s="130"/>
      <c r="M81" s="130"/>
      <c r="N81" s="130"/>
      <c r="O81" s="130"/>
      <c r="P81" s="130"/>
      <c r="Q81" s="130"/>
      <c r="R81" s="130"/>
      <c r="S81" s="130"/>
      <c r="T81" s="130"/>
      <c r="U81" s="130"/>
      <c r="V81" s="130"/>
      <c r="W81" s="160"/>
      <c r="X81" s="858"/>
    </row>
    <row r="82" spans="1:24" ht="14.25">
      <c r="A82" s="858"/>
      <c r="B82" s="158"/>
      <c r="C82" s="159"/>
      <c r="D82" s="130"/>
      <c r="E82" s="130"/>
      <c r="F82" s="130"/>
      <c r="G82" s="130"/>
      <c r="H82" s="130"/>
      <c r="I82" s="130"/>
      <c r="J82" s="130"/>
      <c r="K82" s="130"/>
      <c r="L82" s="130"/>
      <c r="M82" s="130"/>
      <c r="N82" s="130"/>
      <c r="O82" s="130"/>
      <c r="P82" s="130"/>
      <c r="Q82" s="130"/>
      <c r="R82" s="130"/>
      <c r="S82" s="130"/>
      <c r="T82" s="130"/>
      <c r="U82" s="130"/>
      <c r="V82" s="130"/>
      <c r="W82" s="160"/>
      <c r="X82" s="858"/>
    </row>
    <row r="83" spans="1:24" ht="14.25">
      <c r="A83" s="858"/>
      <c r="B83" s="158"/>
      <c r="C83" s="159"/>
      <c r="D83" s="130"/>
      <c r="E83" s="130"/>
      <c r="F83" s="130"/>
      <c r="G83" s="130"/>
      <c r="H83" s="130"/>
      <c r="I83" s="130"/>
      <c r="J83" s="130"/>
      <c r="K83" s="130"/>
      <c r="L83" s="130"/>
      <c r="M83" s="130"/>
      <c r="N83" s="130"/>
      <c r="O83" s="130"/>
      <c r="P83" s="130"/>
      <c r="Q83" s="130"/>
      <c r="R83" s="130"/>
      <c r="S83" s="130"/>
      <c r="T83" s="130"/>
      <c r="U83" s="130"/>
      <c r="V83" s="130"/>
      <c r="W83" s="160"/>
      <c r="X83" s="858"/>
    </row>
    <row r="84" spans="1:24" ht="14.25">
      <c r="A84" s="858"/>
      <c r="B84" s="158"/>
      <c r="C84" s="159"/>
      <c r="D84" s="130"/>
      <c r="E84" s="130"/>
      <c r="F84" s="130"/>
      <c r="G84" s="130"/>
      <c r="H84" s="130"/>
      <c r="I84" s="130"/>
      <c r="J84" s="130"/>
      <c r="K84" s="130"/>
      <c r="L84" s="130"/>
      <c r="M84" s="130"/>
      <c r="N84" s="130"/>
      <c r="O84" s="130"/>
      <c r="P84" s="130"/>
      <c r="Q84" s="130"/>
      <c r="R84" s="130"/>
      <c r="S84" s="130"/>
      <c r="T84" s="130"/>
      <c r="U84" s="130"/>
      <c r="V84" s="130"/>
      <c r="W84" s="160"/>
      <c r="X84" s="858"/>
    </row>
    <row r="85" spans="1:24" ht="14.25">
      <c r="A85" s="858"/>
      <c r="B85" s="158"/>
      <c r="C85" s="159"/>
      <c r="D85" s="130"/>
      <c r="E85" s="130"/>
      <c r="F85" s="130"/>
      <c r="G85" s="130"/>
      <c r="H85" s="130"/>
      <c r="I85" s="130"/>
      <c r="J85" s="130"/>
      <c r="K85" s="130"/>
      <c r="L85" s="130"/>
      <c r="M85" s="130"/>
      <c r="N85" s="130"/>
      <c r="O85" s="130"/>
      <c r="P85" s="130"/>
      <c r="Q85" s="130"/>
      <c r="R85" s="130"/>
      <c r="S85" s="130"/>
      <c r="T85" s="130"/>
      <c r="U85" s="130"/>
      <c r="V85" s="130"/>
      <c r="W85" s="160"/>
      <c r="X85" s="858"/>
    </row>
    <row r="86" spans="1:24" ht="14.25">
      <c r="A86" s="858"/>
      <c r="B86" s="158"/>
      <c r="C86" s="159"/>
      <c r="D86" s="130"/>
      <c r="E86" s="130"/>
      <c r="F86" s="130"/>
      <c r="G86" s="130"/>
      <c r="H86" s="130"/>
      <c r="I86" s="130"/>
      <c r="J86" s="130"/>
      <c r="K86" s="130"/>
      <c r="L86" s="130"/>
      <c r="M86" s="130"/>
      <c r="N86" s="130"/>
      <c r="O86" s="130"/>
      <c r="P86" s="130"/>
      <c r="Q86" s="130"/>
      <c r="R86" s="130"/>
      <c r="S86" s="130"/>
      <c r="T86" s="130"/>
      <c r="U86" s="130"/>
      <c r="V86" s="130"/>
      <c r="W86" s="160"/>
      <c r="X86" s="858"/>
    </row>
    <row r="87" spans="1:24" ht="14.25">
      <c r="A87" s="858"/>
      <c r="B87" s="158"/>
      <c r="C87" s="159"/>
      <c r="D87" s="130"/>
      <c r="E87" s="130"/>
      <c r="F87" s="130"/>
      <c r="G87" s="130"/>
      <c r="H87" s="130"/>
      <c r="I87" s="130"/>
      <c r="J87" s="130"/>
      <c r="K87" s="130"/>
      <c r="L87" s="130"/>
      <c r="M87" s="130"/>
      <c r="N87" s="130"/>
      <c r="O87" s="130"/>
      <c r="P87" s="130"/>
      <c r="Q87" s="130"/>
      <c r="R87" s="130"/>
      <c r="S87" s="130"/>
      <c r="T87" s="130"/>
      <c r="U87" s="130"/>
      <c r="V87" s="130"/>
      <c r="W87" s="160"/>
      <c r="X87" s="858"/>
    </row>
    <row r="88" spans="1:24" ht="14.25">
      <c r="A88" s="858"/>
      <c r="B88" s="158"/>
      <c r="C88" s="159"/>
      <c r="D88" s="130"/>
      <c r="E88" s="130"/>
      <c r="F88" s="130"/>
      <c r="G88" s="130"/>
      <c r="H88" s="130"/>
      <c r="I88" s="130"/>
      <c r="J88" s="130"/>
      <c r="K88" s="130"/>
      <c r="L88" s="130"/>
      <c r="M88" s="130"/>
      <c r="N88" s="130"/>
      <c r="O88" s="130"/>
      <c r="P88" s="130"/>
      <c r="Q88" s="130"/>
      <c r="R88" s="130"/>
      <c r="S88" s="130"/>
      <c r="T88" s="130"/>
      <c r="U88" s="130"/>
      <c r="V88" s="130"/>
      <c r="W88" s="160"/>
      <c r="X88" s="858"/>
    </row>
    <row r="89" spans="1:24" ht="14.25">
      <c r="A89" s="858"/>
      <c r="B89" s="158"/>
      <c r="C89" s="159"/>
      <c r="D89" s="130"/>
      <c r="E89" s="130"/>
      <c r="F89" s="130"/>
      <c r="G89" s="130"/>
      <c r="H89" s="130"/>
      <c r="I89" s="130"/>
      <c r="J89" s="130"/>
      <c r="K89" s="130"/>
      <c r="L89" s="130"/>
      <c r="M89" s="130"/>
      <c r="N89" s="130"/>
      <c r="O89" s="130"/>
      <c r="P89" s="130"/>
      <c r="Q89" s="130"/>
      <c r="R89" s="130"/>
      <c r="S89" s="130"/>
      <c r="T89" s="130"/>
      <c r="U89" s="130"/>
      <c r="V89" s="130"/>
      <c r="W89" s="160"/>
      <c r="X89" s="858"/>
    </row>
    <row r="90" spans="1:24" ht="14.25">
      <c r="A90" s="858"/>
      <c r="B90" s="158"/>
      <c r="C90" s="159"/>
      <c r="D90" s="130"/>
      <c r="E90" s="130"/>
      <c r="F90" s="130"/>
      <c r="G90" s="130"/>
      <c r="H90" s="130"/>
      <c r="I90" s="130"/>
      <c r="J90" s="130"/>
      <c r="K90" s="130"/>
      <c r="L90" s="130"/>
      <c r="M90" s="130"/>
      <c r="N90" s="130"/>
      <c r="O90" s="130"/>
      <c r="P90" s="130"/>
      <c r="Q90" s="130"/>
      <c r="R90" s="130"/>
      <c r="S90" s="130"/>
      <c r="T90" s="130"/>
      <c r="U90" s="130"/>
      <c r="V90" s="130"/>
      <c r="W90" s="160"/>
      <c r="X90" s="858"/>
    </row>
    <row r="91" spans="1:24" ht="14.25">
      <c r="A91" s="858"/>
      <c r="B91" s="158"/>
      <c r="C91" s="159"/>
      <c r="D91" s="130"/>
      <c r="E91" s="130"/>
      <c r="F91" s="130"/>
      <c r="G91" s="130"/>
      <c r="H91" s="130"/>
      <c r="I91" s="130"/>
      <c r="J91" s="130"/>
      <c r="K91" s="130"/>
      <c r="L91" s="130"/>
      <c r="M91" s="130"/>
      <c r="N91" s="130"/>
      <c r="O91" s="130"/>
      <c r="P91" s="130"/>
      <c r="Q91" s="130"/>
      <c r="R91" s="130"/>
      <c r="S91" s="130"/>
      <c r="T91" s="130"/>
      <c r="U91" s="130"/>
      <c r="V91" s="130"/>
      <c r="W91" s="160"/>
      <c r="X91" s="858"/>
    </row>
    <row r="92" spans="1:24" ht="14.25">
      <c r="A92" s="858"/>
      <c r="B92" s="158"/>
      <c r="C92" s="159"/>
      <c r="D92" s="130"/>
      <c r="E92" s="130"/>
      <c r="F92" s="130"/>
      <c r="G92" s="130"/>
      <c r="H92" s="130"/>
      <c r="I92" s="130"/>
      <c r="J92" s="130"/>
      <c r="K92" s="130"/>
      <c r="L92" s="130"/>
      <c r="M92" s="130"/>
      <c r="N92" s="130"/>
      <c r="O92" s="130"/>
      <c r="P92" s="130"/>
      <c r="Q92" s="130"/>
      <c r="R92" s="130"/>
      <c r="S92" s="130"/>
      <c r="T92" s="130"/>
      <c r="U92" s="130"/>
      <c r="V92" s="130"/>
      <c r="W92" s="160"/>
      <c r="X92" s="858"/>
    </row>
    <row r="93" spans="1:24" ht="14.25">
      <c r="A93" s="858"/>
      <c r="B93" s="158"/>
      <c r="C93" s="159"/>
      <c r="D93" s="130"/>
      <c r="E93" s="130"/>
      <c r="F93" s="130"/>
      <c r="G93" s="130"/>
      <c r="H93" s="130"/>
      <c r="I93" s="130"/>
      <c r="J93" s="130"/>
      <c r="K93" s="130"/>
      <c r="L93" s="130"/>
      <c r="M93" s="130"/>
      <c r="N93" s="130"/>
      <c r="O93" s="130"/>
      <c r="P93" s="130"/>
      <c r="Q93" s="130"/>
      <c r="R93" s="130"/>
      <c r="S93" s="130"/>
      <c r="T93" s="130"/>
      <c r="U93" s="130"/>
      <c r="V93" s="130"/>
      <c r="W93" s="160"/>
      <c r="X93" s="858"/>
    </row>
    <row r="94" spans="1:24" ht="14.25">
      <c r="A94" s="858"/>
      <c r="B94" s="158"/>
      <c r="C94" s="159"/>
      <c r="D94" s="130"/>
      <c r="E94" s="130"/>
      <c r="F94" s="130"/>
      <c r="G94" s="130"/>
      <c r="H94" s="130"/>
      <c r="I94" s="130"/>
      <c r="J94" s="130"/>
      <c r="K94" s="130"/>
      <c r="L94" s="130"/>
      <c r="M94" s="130"/>
      <c r="N94" s="130"/>
      <c r="O94" s="130"/>
      <c r="P94" s="130"/>
      <c r="Q94" s="130"/>
      <c r="R94" s="130"/>
      <c r="S94" s="130"/>
      <c r="T94" s="130"/>
      <c r="U94" s="130"/>
      <c r="V94" s="130"/>
      <c r="W94" s="160"/>
      <c r="X94" s="858"/>
    </row>
    <row r="95" spans="1:24" ht="14.25">
      <c r="A95" s="858"/>
      <c r="B95" s="158"/>
      <c r="C95" s="159"/>
      <c r="D95" s="130"/>
      <c r="E95" s="130"/>
      <c r="F95" s="130"/>
      <c r="G95" s="130"/>
      <c r="H95" s="130"/>
      <c r="I95" s="130"/>
      <c r="J95" s="130"/>
      <c r="K95" s="130"/>
      <c r="L95" s="130"/>
      <c r="M95" s="130"/>
      <c r="N95" s="130"/>
      <c r="O95" s="130"/>
      <c r="P95" s="130"/>
      <c r="Q95" s="130"/>
      <c r="R95" s="130"/>
      <c r="S95" s="130"/>
      <c r="T95" s="130"/>
      <c r="U95" s="130"/>
      <c r="V95" s="130"/>
      <c r="W95" s="160"/>
      <c r="X95" s="858"/>
    </row>
    <row r="96" spans="1:24" ht="14.25">
      <c r="A96" s="858"/>
      <c r="B96" s="158"/>
      <c r="C96" s="159"/>
      <c r="D96" s="130"/>
      <c r="E96" s="130"/>
      <c r="F96" s="130"/>
      <c r="G96" s="130"/>
      <c r="H96" s="130"/>
      <c r="I96" s="130"/>
      <c r="J96" s="130"/>
      <c r="K96" s="130"/>
      <c r="L96" s="130"/>
      <c r="M96" s="130"/>
      <c r="N96" s="130"/>
      <c r="O96" s="130"/>
      <c r="P96" s="130"/>
      <c r="Q96" s="130"/>
      <c r="R96" s="130"/>
      <c r="S96" s="130"/>
      <c r="T96" s="130"/>
      <c r="U96" s="130"/>
      <c r="V96" s="130"/>
      <c r="W96" s="160"/>
      <c r="X96" s="858"/>
    </row>
    <row r="97" spans="1:24" ht="14.25">
      <c r="A97" s="858"/>
      <c r="B97" s="162"/>
      <c r="C97" s="856"/>
      <c r="D97" s="163"/>
      <c r="E97" s="163"/>
      <c r="F97" s="163"/>
      <c r="G97" s="163"/>
      <c r="H97" s="163"/>
      <c r="I97" s="163"/>
      <c r="J97" s="163"/>
      <c r="K97" s="163"/>
      <c r="L97" s="163"/>
      <c r="M97" s="163"/>
      <c r="N97" s="163"/>
      <c r="O97" s="163"/>
      <c r="P97" s="163"/>
      <c r="Q97" s="163"/>
      <c r="R97" s="163"/>
      <c r="S97" s="163"/>
      <c r="T97" s="163"/>
      <c r="U97" s="163"/>
      <c r="V97" s="163"/>
      <c r="W97" s="164"/>
      <c r="X97" s="858"/>
    </row>
    <row r="98" spans="1:24">
      <c r="A98" s="858"/>
      <c r="B98" s="858"/>
      <c r="C98" s="858"/>
      <c r="D98" s="858"/>
      <c r="E98" s="858"/>
      <c r="F98" s="858"/>
      <c r="G98" s="858"/>
      <c r="H98" s="858"/>
      <c r="I98" s="858"/>
      <c r="J98" s="858"/>
      <c r="K98" s="858"/>
      <c r="L98" s="858"/>
      <c r="M98" s="858"/>
      <c r="N98" s="858"/>
      <c r="O98" s="858"/>
      <c r="P98" s="858"/>
      <c r="Q98" s="858"/>
      <c r="R98" s="858"/>
      <c r="S98" s="858"/>
      <c r="T98" s="858"/>
      <c r="U98" s="858"/>
      <c r="V98" s="858"/>
      <c r="W98" s="858"/>
      <c r="X98" s="858"/>
    </row>
    <row r="99" spans="1:24" ht="17.25" customHeight="1">
      <c r="A99" s="858"/>
      <c r="B99" s="716" t="s">
        <v>587</v>
      </c>
      <c r="C99" s="717"/>
      <c r="D99" s="717"/>
      <c r="E99" s="717"/>
      <c r="F99" s="717"/>
      <c r="G99" s="717"/>
      <c r="H99" s="717"/>
      <c r="I99" s="717"/>
      <c r="J99" s="717"/>
      <c r="K99" s="717"/>
      <c r="L99" s="717"/>
      <c r="M99" s="717"/>
      <c r="N99" s="717"/>
      <c r="O99" s="717"/>
      <c r="P99" s="717"/>
      <c r="Q99" s="717"/>
      <c r="R99" s="717"/>
      <c r="S99" s="717"/>
      <c r="T99" s="717"/>
      <c r="U99" s="717"/>
      <c r="V99" s="717"/>
      <c r="W99" s="860"/>
      <c r="X99" s="1357"/>
    </row>
    <row r="100" spans="1:24" ht="13.5" thickBot="1">
      <c r="A100" s="858"/>
      <c r="B100" s="719"/>
      <c r="C100" s="720"/>
      <c r="D100" s="720"/>
      <c r="E100" s="720"/>
      <c r="F100" s="720"/>
      <c r="G100" s="720"/>
      <c r="H100" s="720"/>
      <c r="I100" s="720"/>
      <c r="J100" s="720"/>
      <c r="K100" s="720"/>
      <c r="L100" s="720"/>
      <c r="M100" s="720"/>
      <c r="N100" s="720"/>
      <c r="O100" s="720"/>
      <c r="P100" s="720"/>
      <c r="Q100" s="720"/>
      <c r="R100" s="720"/>
      <c r="S100" s="720"/>
      <c r="T100" s="720"/>
      <c r="U100" s="720"/>
      <c r="V100" s="720"/>
      <c r="W100" s="721"/>
      <c r="X100" s="1358"/>
    </row>
    <row r="101" spans="1:24" ht="13.5" thickBot="1">
      <c r="A101" s="858"/>
      <c r="B101" s="722"/>
      <c r="C101" s="1385" t="s">
        <v>344</v>
      </c>
      <c r="D101" s="1386"/>
      <c r="E101" s="1386"/>
      <c r="F101" s="1386"/>
      <c r="G101" s="1386"/>
      <c r="H101" s="1386"/>
      <c r="I101" s="1386"/>
      <c r="J101" s="1387"/>
      <c r="K101" s="723"/>
      <c r="L101" s="723"/>
      <c r="M101" s="723"/>
      <c r="N101" s="723"/>
      <c r="O101" s="1385" t="s">
        <v>349</v>
      </c>
      <c r="P101" s="1386"/>
      <c r="Q101" s="1386"/>
      <c r="R101" s="1386"/>
      <c r="S101" s="1386"/>
      <c r="T101" s="1386"/>
      <c r="U101" s="1386"/>
      <c r="V101" s="1387"/>
      <c r="W101" s="724"/>
      <c r="X101" s="1358"/>
    </row>
    <row r="102" spans="1:24" ht="13.5" thickBot="1">
      <c r="A102" s="858"/>
      <c r="B102" s="722"/>
      <c r="C102" s="1344"/>
      <c r="D102" s="1354"/>
      <c r="E102" s="814">
        <f>ControlPanel!$D$59-1</f>
        <v>2022</v>
      </c>
      <c r="F102" s="814">
        <f>ControlPanel!$D$59</f>
        <v>2023</v>
      </c>
      <c r="G102" s="815">
        <f>ControlPanel!$D$59+1</f>
        <v>2024</v>
      </c>
      <c r="H102" s="815">
        <f>ControlPanel!$D$59+2</f>
        <v>2025</v>
      </c>
      <c r="I102" s="815">
        <v>2030</v>
      </c>
      <c r="J102" s="815">
        <v>2035</v>
      </c>
      <c r="K102" s="723"/>
      <c r="L102" s="723"/>
      <c r="M102" s="723"/>
      <c r="N102" s="723"/>
      <c r="O102" s="1392"/>
      <c r="P102" s="1393"/>
      <c r="Q102" s="814">
        <f>E102</f>
        <v>2022</v>
      </c>
      <c r="R102" s="814">
        <f>F102</f>
        <v>2023</v>
      </c>
      <c r="S102" s="814">
        <f>G102</f>
        <v>2024</v>
      </c>
      <c r="T102" s="814">
        <f>H102</f>
        <v>2025</v>
      </c>
      <c r="U102" s="814">
        <f t="shared" ref="U102:V102" si="0">I102</f>
        <v>2030</v>
      </c>
      <c r="V102" s="814">
        <f t="shared" si="0"/>
        <v>2035</v>
      </c>
      <c r="W102" s="724"/>
      <c r="X102" s="1358"/>
    </row>
    <row r="103" spans="1:24" ht="13.5" thickBot="1">
      <c r="A103" s="858"/>
      <c r="B103" s="722"/>
      <c r="C103" s="1392" t="s">
        <v>347</v>
      </c>
      <c r="D103" s="1412"/>
      <c r="E103" s="1412"/>
      <c r="F103" s="1412"/>
      <c r="G103" s="1412"/>
      <c r="H103" s="1412"/>
      <c r="I103" s="1412"/>
      <c r="J103" s="1402"/>
      <c r="K103" s="723"/>
      <c r="L103" s="723"/>
      <c r="M103" s="723"/>
      <c r="N103" s="723"/>
      <c r="O103" s="1392" t="s">
        <v>348</v>
      </c>
      <c r="P103" s="1412"/>
      <c r="Q103" s="1412"/>
      <c r="R103" s="1412"/>
      <c r="S103" s="1412"/>
      <c r="T103" s="1412"/>
      <c r="U103" s="1412"/>
      <c r="V103" s="1402"/>
      <c r="W103" s="724"/>
      <c r="X103" s="1358"/>
    </row>
    <row r="104" spans="1:24" ht="12.75" customHeight="1">
      <c r="A104" s="858"/>
      <c r="B104" s="722"/>
      <c r="C104" s="1355" t="s">
        <v>166</v>
      </c>
      <c r="D104" s="1356"/>
      <c r="E104" s="732">
        <f ca="1">IF(ControlPanel!$T$5="nominal",OFFSET('GrD-Grafikdaten'!$J8,0,E$102-2014),OFFSET('GrD-Grafikdaten'!$J26,0,E$102-2014))</f>
        <v>3.7230827721473405</v>
      </c>
      <c r="F104" s="733">
        <f ca="1">IF(ControlPanel!$T$5="nominal",OFFSET('GrD-Grafikdaten'!$J8,0,F$102-2014),OFFSET('GrD-Grafikdaten'!$J26,0,F$102-2014))</f>
        <v>2.2272344363967198</v>
      </c>
      <c r="G104" s="733">
        <f ca="1">IF(ControlPanel!$T$5="nominal",OFFSET('GrD-Grafikdaten'!$J8,0,G$102-2014),OFFSET('GrD-Grafikdaten'!$J26,0,G$102-2014))</f>
        <v>3.997717348887194</v>
      </c>
      <c r="H104" s="733">
        <f ca="1">IF(ControlPanel!$T$5="nominal",OFFSET('GrD-Grafikdaten'!$J8,0,H$102-2014),OFFSET('GrD-Grafikdaten'!$J26,0,H$102-2014))</f>
        <v>3.5327567363462515</v>
      </c>
      <c r="I104" s="733">
        <f ca="1">IF(ControlPanel!$T$5="nominal",OFFSET('GrD-Grafikdaten'!$J8,0,I$102-2014),OFFSET('GrD-Grafikdaten'!$J26,0,I$102-2014))</f>
        <v>1.5260557430647477</v>
      </c>
      <c r="J104" s="734">
        <f ca="1">IF(ControlPanel!$T$5="nominal",OFFSET('GrD-Grafikdaten'!$J8,0,J$102-2014),OFFSET('GrD-Grafikdaten'!$J26,0,J$102-2014))</f>
        <v>0.34336969445583421</v>
      </c>
      <c r="K104" s="723"/>
      <c r="L104" s="723"/>
      <c r="M104" s="723"/>
      <c r="N104" s="723"/>
      <c r="O104" s="1509" t="s">
        <v>173</v>
      </c>
      <c r="P104" s="834" t="s">
        <v>24</v>
      </c>
      <c r="Q104" s="729">
        <f ca="1">IF(ControlPanel!$T$5="nominal",OFFSET('GrD-Grafikdaten'!$J13,0,E$102-2014),OFFSET('GrD-Grafikdaten'!$J31,0,E$102-2014))</f>
        <v>2.5635095979447229</v>
      </c>
      <c r="R104" s="729">
        <f ca="1">IF(ControlPanel!$T$5="nominal",OFFSET('GrD-Grafikdaten'!$J13,0,F$102-2014),OFFSET('GrD-Grafikdaten'!$J31,0,F$102-2014))</f>
        <v>0.98915395948168694</v>
      </c>
      <c r="S104" s="729">
        <f ca="1">IF(ControlPanel!$T$5="nominal",OFFSET('GrD-Grafikdaten'!$J13,0,G$102-2014),OFFSET('GrD-Grafikdaten'!$J31,0,G$102-2014))</f>
        <v>1.7619668179237324</v>
      </c>
      <c r="T104" s="729">
        <f ca="1">IF(ControlPanel!$T$5="nominal",OFFSET('GrD-Grafikdaten'!$J13,0,H$102-2014),OFFSET('GrD-Grafikdaten'!$J31,0,H$102-2014))</f>
        <v>2.1002090028872349</v>
      </c>
      <c r="U104" s="729">
        <f ca="1">IF(ControlPanel!$T$5="nominal",OFFSET('GrD-Grafikdaten'!$J13,0,I$102-2014),OFFSET('GrD-Grafikdaten'!$J31,0,I$102-2014))</f>
        <v>2.1915690458960633</v>
      </c>
      <c r="V104" s="804">
        <f ca="1">IF(ControlPanel!$T$5="nominal",OFFSET('GrD-Grafikdaten'!$J13,0,J$102-2014),OFFSET('GrD-Grafikdaten'!$J31,0,J$102-2014))</f>
        <v>2.8073316410300828</v>
      </c>
      <c r="W104" s="724"/>
      <c r="X104" s="1358"/>
    </row>
    <row r="105" spans="1:24">
      <c r="A105" s="858"/>
      <c r="B105" s="722"/>
      <c r="C105" s="1350" t="s">
        <v>180</v>
      </c>
      <c r="D105" s="1351"/>
      <c r="E105" s="735">
        <f ca="1">IF(ControlPanel!$T$5="nominal",OFFSET('GrD-Grafikdaten'!$J20,0,E$102-2014),OFFSET('GrD-Grafikdaten'!$J38,0,E$102-2014))</f>
        <v>11.563082772147341</v>
      </c>
      <c r="F105" s="736">
        <f ca="1">IF(ControlPanel!$T$5="nominal",OFFSET('GrD-Grafikdaten'!$J20,0,F$102-2014),OFFSET('GrD-Grafikdaten'!$J38,0,F$102-2014))</f>
        <v>10.97923443639672</v>
      </c>
      <c r="G105" s="736">
        <f ca="1">IF(ControlPanel!$T$5="nominal",OFFSET('GrD-Grafikdaten'!$J20,0,G$102-2014),OFFSET('GrD-Grafikdaten'!$J38,0,G$102-2014))</f>
        <v>11.250717348887195</v>
      </c>
      <c r="H105" s="736">
        <f ca="1">IF(ControlPanel!$T$5="nominal",OFFSET('GrD-Grafikdaten'!$J20,0,H$102-2014),OFFSET('GrD-Grafikdaten'!$J38,0,H$102-2014))</f>
        <v>10.692756736346251</v>
      </c>
      <c r="I105" s="736">
        <f ca="1">IF(ControlPanel!$T$5="nominal",OFFSET('GrD-Grafikdaten'!$J20,0,I$102-2014),OFFSET('GrD-Grafikdaten'!$J38,0,I$102-2014))</f>
        <v>8.3840557430647475</v>
      </c>
      <c r="J105" s="737">
        <f ca="1">IF(ControlPanel!$T$5="nominal",OFFSET('GrD-Grafikdaten'!$J20,0,J$102-2014),OFFSET('GrD-Grafikdaten'!$J38,0,J$102-2014))</f>
        <v>6.8433696944558342</v>
      </c>
      <c r="K105" s="723"/>
      <c r="L105" s="723"/>
      <c r="M105" s="723"/>
      <c r="N105" s="723"/>
      <c r="O105" s="1510"/>
      <c r="P105" s="835" t="s">
        <v>26</v>
      </c>
      <c r="Q105" s="730">
        <f ca="1">IF(ControlPanel!$T$5="nominal",OFFSET('GrD-Grafikdaten'!$J14,0,E$102-2014),OFFSET('GrD-Grafikdaten'!$J32,0,E$102-2014))</f>
        <v>3.6909425960000002</v>
      </c>
      <c r="R105" s="730">
        <f ca="1">IF(ControlPanel!$T$5="nominal",OFFSET('GrD-Grafikdaten'!$J14,0,F$102-2014),OFFSET('GrD-Grafikdaten'!$J32,0,F$102-2014))</f>
        <v>2.1668723227346516</v>
      </c>
      <c r="S105" s="730">
        <f ca="1">IF(ControlPanel!$T$5="nominal",OFFSET('GrD-Grafikdaten'!$J14,0,G$102-2014),OFFSET('GrD-Grafikdaten'!$J32,0,G$102-2014))</f>
        <v>2.240108393263915</v>
      </c>
      <c r="T105" s="730">
        <f ca="1">IF(ControlPanel!$T$5="nominal",OFFSET('GrD-Grafikdaten'!$J14,0,H$102-2014),OFFSET('GrD-Grafikdaten'!$J32,0,H$102-2014))</f>
        <v>2.0613563390696852</v>
      </c>
      <c r="U105" s="730">
        <f ca="1">IF(ControlPanel!$T$5="nominal",OFFSET('GrD-Grafikdaten'!$J14,0,I$102-2014),OFFSET('GrD-Grafikdaten'!$J32,0,I$102-2014))</f>
        <v>5.0700894998887414E-2</v>
      </c>
      <c r="V105" s="805">
        <f ca="1">IF(ControlPanel!$T$5="nominal",OFFSET('GrD-Grafikdaten'!$J14,0,J$102-2014),OFFSET('GrD-Grafikdaten'!$J32,0,J$102-2014))</f>
        <v>0.64478200320588019</v>
      </c>
      <c r="W105" s="724"/>
      <c r="X105" s="1358"/>
    </row>
    <row r="106" spans="1:24" ht="13.5" thickBot="1">
      <c r="A106" s="858"/>
      <c r="B106" s="722"/>
      <c r="C106" s="1352" t="s">
        <v>509</v>
      </c>
      <c r="D106" s="1353"/>
      <c r="E106" s="738">
        <f ca="1">OFFSET('GrD-Grafikdaten'!$J48,0,E$102-2014)</f>
        <v>0.46571829833782635</v>
      </c>
      <c r="F106" s="739">
        <f ca="1">OFFSET('GrD-Grafikdaten'!$J48,0,F$102-2014)</f>
        <v>0.50142246529592194</v>
      </c>
      <c r="G106" s="739">
        <f ca="1">OFFSET('GrD-Grafikdaten'!$J48,0,G$102-2014)</f>
        <v>0.532142255999694</v>
      </c>
      <c r="H106" s="739">
        <f ca="1">OFFSET('GrD-Grafikdaten'!$J48,0,H$102-2014)</f>
        <v>0.56203262172263801</v>
      </c>
      <c r="I106" s="739">
        <f ca="1">OFFSET('GrD-Grafikdaten'!$J48,0,I$102-2014)</f>
        <v>0.55575636455364708</v>
      </c>
      <c r="J106" s="740">
        <f ca="1">OFFSET('GrD-Grafikdaten'!$J48,0,J$102-2014)</f>
        <v>0.5210230381623282</v>
      </c>
      <c r="K106" s="723"/>
      <c r="L106" s="723"/>
      <c r="M106" s="723"/>
      <c r="N106" s="723"/>
      <c r="O106" s="1510"/>
      <c r="P106" s="835" t="s">
        <v>74</v>
      </c>
      <c r="Q106" s="730">
        <f ca="1">IF(ControlPanel!$T$5="nominal",OFFSET('GrD-Grafikdaten'!$J15,0,E$102-2014),OFFSET('GrD-Grafikdaten'!$J33,0,E$102-2014))</f>
        <v>8.7942608065317263</v>
      </c>
      <c r="R106" s="730">
        <f ca="1">IF(ControlPanel!$T$5="nominal",OFFSET('GrD-Grafikdaten'!$J15,0,F$102-2014),OFFSET('GrD-Grafikdaten'!$J33,0,F$102-2014))</f>
        <v>8.4271545798572518</v>
      </c>
      <c r="S106" s="730">
        <f ca="1">IF(ControlPanel!$T$5="nominal",OFFSET('GrD-Grafikdaten'!$J15,0,G$102-2014),OFFSET('GrD-Grafikdaten'!$J33,0,G$102-2014))</f>
        <v>9.3907374932728676</v>
      </c>
      <c r="T106" s="730">
        <f ca="1">IF(ControlPanel!$T$5="nominal",OFFSET('GrD-Grafikdaten'!$J15,0,H$102-2014),OFFSET('GrD-Grafikdaten'!$J33,0,H$102-2014))</f>
        <v>9.4205248014053833</v>
      </c>
      <c r="U106" s="730">
        <f ca="1">IF(ControlPanel!$T$5="nominal",OFFSET('GrD-Grafikdaten'!$J15,0,I$102-2014),OFFSET('GrD-Grafikdaten'!$J33,0,I$102-2014))</f>
        <v>6.9391789509553812</v>
      </c>
      <c r="V106" s="805">
        <f ca="1">IF(ControlPanel!$T$5="nominal",OFFSET('GrD-Grafikdaten'!$J15,0,J$102-2014),OFFSET('GrD-Grafikdaten'!$J33,0,J$102-2014))</f>
        <v>2.5063051102483587</v>
      </c>
      <c r="W106" s="724"/>
      <c r="X106" s="1358"/>
    </row>
    <row r="107" spans="1:24" ht="13.5" thickBot="1">
      <c r="A107" s="858"/>
      <c r="B107" s="722"/>
      <c r="C107" s="1392" t="s">
        <v>343</v>
      </c>
      <c r="D107" s="1412"/>
      <c r="E107" s="1412"/>
      <c r="F107" s="1412"/>
      <c r="G107" s="1412"/>
      <c r="H107" s="1412"/>
      <c r="I107" s="1412"/>
      <c r="J107" s="1402"/>
      <c r="K107" s="723"/>
      <c r="L107" s="723"/>
      <c r="M107" s="723"/>
      <c r="N107" s="723"/>
      <c r="O107" s="1510"/>
      <c r="P107" s="835" t="s">
        <v>13</v>
      </c>
      <c r="Q107" s="730">
        <f ca="1">IF(ControlPanel!$T$5="nominal",OFFSET('GrD-Grafikdaten'!$J11,0,E$102-2014),OFFSET('GrD-Grafikdaten'!$J29,0,E$102-2014))</f>
        <v>4.9186771040000004</v>
      </c>
      <c r="R107" s="730">
        <f ca="1">IF(ControlPanel!$T$5="nominal",OFFSET('GrD-Grafikdaten'!$J11,0,F$102-2014),OFFSET('GrD-Grafikdaten'!$J29,0,F$102-2014))</f>
        <v>4.42186470501656</v>
      </c>
      <c r="S107" s="730">
        <f ca="1">IF(ControlPanel!$T$5="nominal",OFFSET('GrD-Grafikdaten'!$J11,0,G$102-2014),OFFSET('GrD-Grafikdaten'!$J29,0,G$102-2014))</f>
        <v>5.1116376904387089</v>
      </c>
      <c r="T107" s="730">
        <f ca="1">IF(ControlPanel!$T$5="nominal",OFFSET('GrD-Grafikdaten'!$J11,0,H$102-2014),OFFSET('GrD-Grafikdaten'!$J29,0,H$102-2014))</f>
        <v>5.0010796783223412</v>
      </c>
      <c r="U107" s="730">
        <f ca="1">IF(ControlPanel!$T$5="nominal",OFFSET('GrD-Grafikdaten'!$J11,0,I$102-2014),OFFSET('GrD-Grafikdaten'!$J29,0,I$102-2014))</f>
        <v>3.2751925750661717</v>
      </c>
      <c r="V107" s="805">
        <f ca="1">IF(ControlPanel!$T$5="nominal",OFFSET('GrD-Grafikdaten'!$J11,0,J$102-2014),OFFSET('GrD-Grafikdaten'!$J29,0,J$102-2014))</f>
        <v>1.6050230074876106</v>
      </c>
      <c r="W107" s="724"/>
      <c r="X107" s="1358"/>
    </row>
    <row r="108" spans="1:24">
      <c r="A108" s="858"/>
      <c r="B108" s="722"/>
      <c r="C108" s="1355" t="s">
        <v>169</v>
      </c>
      <c r="D108" s="1356"/>
      <c r="E108" s="741">
        <f ca="1">OFFSET('GrD-Grafikdaten'!$J132,0,E$102-2014)</f>
        <v>0</v>
      </c>
      <c r="F108" s="742">
        <f ca="1">OFFSET('GrD-Grafikdaten'!$J132,0,F$102-2014)</f>
        <v>0</v>
      </c>
      <c r="G108" s="742">
        <f ca="1">OFFSET('GrD-Grafikdaten'!$J132,0,G$102-2014)</f>
        <v>0</v>
      </c>
      <c r="H108" s="742">
        <f ca="1">OFFSET('GrD-Grafikdaten'!$J132,0,H$102-2014)</f>
        <v>0</v>
      </c>
      <c r="I108" s="742">
        <f ca="1">OFFSET('GrD-Grafikdaten'!$J132,0,I$102-2014)</f>
        <v>0</v>
      </c>
      <c r="J108" s="743">
        <f ca="1">OFFSET('GrD-Grafikdaten'!$J132,0,J$102-2014)</f>
        <v>0</v>
      </c>
      <c r="K108" s="723"/>
      <c r="L108" s="723"/>
      <c r="M108" s="723"/>
      <c r="N108" s="723"/>
      <c r="O108" s="1510"/>
      <c r="P108" s="835" t="s">
        <v>12</v>
      </c>
      <c r="Q108" s="730">
        <f ca="1">IF(ControlPanel!$T$5="nominal",OFFSET('GrD-Grafikdaten'!$J12,0,E$102-2014),OFFSET('GrD-Grafikdaten'!$J30,0,E$102-2014))</f>
        <v>6.4352222000000014E-2</v>
      </c>
      <c r="R108" s="730">
        <f ca="1">IF(ControlPanel!$T$5="nominal",OFFSET('GrD-Grafikdaten'!$J12,0,F$102-2014),OFFSET('GrD-Grafikdaten'!$J30,0,F$102-2014))</f>
        <v>7.3789647999846053E-2</v>
      </c>
      <c r="S108" s="730">
        <f ca="1">IF(ControlPanel!$T$5="nominal",OFFSET('GrD-Grafikdaten'!$J12,0,G$102-2014),OFFSET('GrD-Grafikdaten'!$J30,0,G$102-2014))</f>
        <v>0.1015826024425627</v>
      </c>
      <c r="T108" s="730">
        <f ca="1">IF(ControlPanel!$T$5="nominal",OFFSET('GrD-Grafikdaten'!$J12,0,H$102-2014),OFFSET('GrD-Grafikdaten'!$J30,0,H$102-2014))</f>
        <v>0.12241827574942685</v>
      </c>
      <c r="U108" s="730">
        <f ca="1">IF(ControlPanel!$T$5="nominal",OFFSET('GrD-Grafikdaten'!$J12,0,I$102-2014),OFFSET('GrD-Grafikdaten'!$J30,0,I$102-2014))</f>
        <v>0.16797271614117462</v>
      </c>
      <c r="V108" s="805">
        <f ca="1">IF(ControlPanel!$T$5="nominal",OFFSET('GrD-Grafikdaten'!$J12,0,J$102-2014),OFFSET('GrD-Grafikdaten'!$J30,0,J$102-2014))</f>
        <v>0.15943973788247814</v>
      </c>
      <c r="W108" s="724"/>
      <c r="X108" s="1358"/>
    </row>
    <row r="109" spans="1:24">
      <c r="A109" s="858"/>
      <c r="B109" s="722"/>
      <c r="C109" s="1350" t="s">
        <v>180</v>
      </c>
      <c r="D109" s="1351"/>
      <c r="E109" s="744">
        <f ca="1">OFFSET('GrD-Grafikdaten'!$J144,0,E$102-2014)</f>
        <v>0</v>
      </c>
      <c r="F109" s="745">
        <f ca="1">OFFSET('GrD-Grafikdaten'!$J144,0,F$102-2014)</f>
        <v>0</v>
      </c>
      <c r="G109" s="745">
        <f ca="1">OFFSET('GrD-Grafikdaten'!$J144,0,G$102-2014)</f>
        <v>0</v>
      </c>
      <c r="H109" s="745">
        <f ca="1">OFFSET('GrD-Grafikdaten'!$J144,0,H$102-2014)</f>
        <v>0</v>
      </c>
      <c r="I109" s="745">
        <f ca="1">OFFSET('GrD-Grafikdaten'!$J144,0,I$102-2014)</f>
        <v>0</v>
      </c>
      <c r="J109" s="746">
        <f ca="1">OFFSET('GrD-Grafikdaten'!$J144,0,J$102-2014)</f>
        <v>0</v>
      </c>
      <c r="K109" s="723"/>
      <c r="L109" s="723"/>
      <c r="M109" s="723"/>
      <c r="N109" s="723"/>
      <c r="O109" s="1510"/>
      <c r="P109" s="835" t="s">
        <v>25</v>
      </c>
      <c r="Q109" s="730">
        <f ca="1">IF(ControlPanel!$T$5="nominal",OFFSET('GrD-Grafikdaten'!$J9,0,E$102-2014),OFFSET('GrD-Grafikdaten'!$J27,0,E$102-2014))</f>
        <v>0.15405119179999999</v>
      </c>
      <c r="R109" s="730">
        <f ca="1">IF(ControlPanel!$T$5="nominal",OFFSET('GrD-Grafikdaten'!$J9,0,F$102-2014),OFFSET('GrD-Grafikdaten'!$J27,0,F$102-2014))</f>
        <v>7.2850887905401618E-2</v>
      </c>
      <c r="S109" s="730">
        <f ca="1">IF(ControlPanel!$T$5="nominal",OFFSET('GrD-Grafikdaten'!$J9,0,G$102-2014),OFFSET('GrD-Grafikdaten'!$J27,0,G$102-2014))</f>
        <v>0.19288878527829945</v>
      </c>
      <c r="T109" s="730">
        <f ca="1">IF(ControlPanel!$T$5="nominal",OFFSET('GrD-Grafikdaten'!$J9,0,H$102-2014),OFFSET('GrD-Grafikdaten'!$J27,0,H$102-2014))</f>
        <v>0.20165175324113038</v>
      </c>
      <c r="U109" s="730">
        <f ca="1">IF(ControlPanel!$T$5="nominal",OFFSET('GrD-Grafikdaten'!$J9,0,I$102-2014),OFFSET('GrD-Grafikdaten'!$J27,0,I$102-2014))</f>
        <v>0.21594840351927369</v>
      </c>
      <c r="V109" s="805">
        <f ca="1">IF(ControlPanel!$T$5="nominal",OFFSET('GrD-Grafikdaten'!$J9,0,J$102-2014),OFFSET('GrD-Grafikdaten'!$J27,0,J$102-2014))</f>
        <v>0.2121679200180443</v>
      </c>
      <c r="W109" s="724"/>
      <c r="X109" s="1358"/>
    </row>
    <row r="110" spans="1:24" ht="13.5" thickBot="1">
      <c r="A110" s="858"/>
      <c r="B110" s="722"/>
      <c r="C110" s="1352" t="s">
        <v>509</v>
      </c>
      <c r="D110" s="1353"/>
      <c r="E110" s="747">
        <f ca="1">OFFSET('GrD-Grafikdaten'!$J92,0,E$102-2014) - OFFSET('GrD-Grafikdaten'!$J48,0,E$102-2014)</f>
        <v>0</v>
      </c>
      <c r="F110" s="739">
        <f ca="1">OFFSET('GrD-Grafikdaten'!$J92,0,F$102-2014) - OFFSET('GrD-Grafikdaten'!$J48,0,F$102-2014)</f>
        <v>0</v>
      </c>
      <c r="G110" s="739">
        <f ca="1">OFFSET('GrD-Grafikdaten'!$J92,0,G$102-2014) - OFFSET('GrD-Grafikdaten'!$J48,0,G$102-2014)</f>
        <v>0</v>
      </c>
      <c r="H110" s="739">
        <f ca="1">OFFSET('GrD-Grafikdaten'!$J92,0,H$102-2014) - OFFSET('GrD-Grafikdaten'!$J48,0,H$102-2014)</f>
        <v>0</v>
      </c>
      <c r="I110" s="739">
        <f ca="1">OFFSET('GrD-Grafikdaten'!$J92,0,I$102-2014) - OFFSET('GrD-Grafikdaten'!$J48,0,I$102-2014)</f>
        <v>0</v>
      </c>
      <c r="J110" s="740">
        <f ca="1">OFFSET('GrD-Grafikdaten'!$J92,0,J$102-2014) - OFFSET('GrD-Grafikdaten'!$J48,0,J$102-2014)</f>
        <v>0</v>
      </c>
      <c r="K110" s="723"/>
      <c r="L110" s="723"/>
      <c r="M110" s="723"/>
      <c r="N110" s="723"/>
      <c r="O110" s="1511"/>
      <c r="P110" s="836" t="s">
        <v>27</v>
      </c>
      <c r="Q110" s="731">
        <f ca="1">IF(ControlPanel!$T$5="nominal",OFFSET('GrD-Grafikdaten'!$J10,0,E$102-2014),OFFSET('GrD-Grafikdaten'!$J28,0,E$102-2014))</f>
        <v>5.5437765999999944E-3</v>
      </c>
      <c r="R110" s="731">
        <f ca="1">IF(ControlPanel!$T$5="nominal",OFFSET('GrD-Grafikdaten'!$J10,0,F$102-2014),OFFSET('GrD-Grafikdaten'!$J28,0,F$102-2014))</f>
        <v>0</v>
      </c>
      <c r="S110" s="731">
        <f ca="1">IF(ControlPanel!$T$5="nominal",OFFSET('GrD-Grafikdaten'!$J10,0,G$102-2014),OFFSET('GrD-Grafikdaten'!$J28,0,G$102-2014))</f>
        <v>1.2568987892947192E-3</v>
      </c>
      <c r="T110" s="731">
        <f ca="1">IF(ControlPanel!$T$5="nominal",OFFSET('GrD-Grafikdaten'!$J10,0,H$102-2014),OFFSET('GrD-Grafikdaten'!$J28,0,H$102-2014))</f>
        <v>1.8986535589654921E-3</v>
      </c>
      <c r="U110" s="731">
        <f ca="1">IF(ControlPanel!$T$5="nominal",OFFSET('GrD-Grafikdaten'!$J10,0,I$102-2014),OFFSET('GrD-Grafikdaten'!$J28,0,I$102-2014))</f>
        <v>1.6723539974382792E-3</v>
      </c>
      <c r="V110" s="806">
        <f ca="1">IF(ControlPanel!$T$5="nominal",OFFSET('GrD-Grafikdaten'!$J10,0,J$102-2014),OFFSET('GrD-Grafikdaten'!$J28,0,J$102-2014))</f>
        <v>1.4938851706931405E-3</v>
      </c>
      <c r="W110" s="724"/>
      <c r="X110" s="1358"/>
    </row>
    <row r="111" spans="1:24" ht="17.25" customHeight="1">
      <c r="A111" s="858"/>
      <c r="B111" s="722"/>
      <c r="C111" s="723"/>
      <c r="D111" s="723"/>
      <c r="E111" s="723"/>
      <c r="F111" s="723"/>
      <c r="G111" s="723"/>
      <c r="H111" s="723"/>
      <c r="I111" s="723"/>
      <c r="J111" s="723"/>
      <c r="K111" s="723"/>
      <c r="L111" s="723"/>
      <c r="M111" s="723"/>
      <c r="N111" s="723"/>
      <c r="O111" s="1509" t="s">
        <v>172</v>
      </c>
      <c r="P111" s="835" t="s">
        <v>170</v>
      </c>
      <c r="Q111" s="730">
        <f ca="1">IF(ControlPanel!$T$5="nominal",OFFSET('GrD-Grafikdaten'!$J16,0,E$102-2014),OFFSET('GrD-Grafikdaten'!$J34,0,E$102-2014))</f>
        <v>12.434418620167067</v>
      </c>
      <c r="R111" s="730">
        <f ca="1">IF(ControlPanel!$T$5="nominal",OFFSET('GrD-Grafikdaten'!$J16,0,F$102-2014),OFFSET('GrD-Grafikdaten'!$J34,0,F$102-2014))</f>
        <v>7.4573205629005477</v>
      </c>
      <c r="S111" s="730">
        <f ca="1">IF(ControlPanel!$T$5="nominal",OFFSET('GrD-Grafikdaten'!$J16,0,G$102-2014),OFFSET('GrD-Grafikdaten'!$J34,0,G$102-2014))</f>
        <v>13.206036125008161</v>
      </c>
      <c r="T111" s="730">
        <f ca="1">IF(ControlPanel!$T$5="nominal",OFFSET('GrD-Grafikdaten'!$J16,0,H$102-2014),OFFSET('GrD-Grafikdaten'!$J34,0,H$102-2014))</f>
        <v>11.533481966867591</v>
      </c>
      <c r="U111" s="730">
        <f ca="1">IF(ControlPanel!$T$5="nominal",OFFSET('GrD-Grafikdaten'!$J16,0,I$102-2014),OFFSET('GrD-Grafikdaten'!$J34,0,I$102-2014))</f>
        <v>6.2758863589680152</v>
      </c>
      <c r="V111" s="805">
        <f ca="1">IF(ControlPanel!$T$5="nominal",OFFSET('GrD-Grafikdaten'!$J16,0,J$102-2014),OFFSET('GrD-Grafikdaten'!$J34,0,J$102-2014))</f>
        <v>1.788399695292934</v>
      </c>
      <c r="W111" s="724"/>
      <c r="X111" s="1358"/>
    </row>
    <row r="112" spans="1:24" ht="18.75" customHeight="1" thickBot="1">
      <c r="A112" s="858"/>
      <c r="B112" s="722"/>
      <c r="C112" s="725"/>
      <c r="D112" s="725"/>
      <c r="E112" s="725"/>
      <c r="F112" s="725"/>
      <c r="G112" s="725"/>
      <c r="H112" s="725"/>
      <c r="I112" s="725"/>
      <c r="J112" s="725"/>
      <c r="K112" s="723"/>
      <c r="L112" s="723"/>
      <c r="M112" s="723"/>
      <c r="N112" s="723"/>
      <c r="O112" s="1510"/>
      <c r="P112" s="835" t="s">
        <v>171</v>
      </c>
      <c r="Q112" s="730">
        <f ca="1">IF(ControlPanel!$T$5="nominal",OFFSET('GrD-Grafikdaten'!$J17,0,E$102-2014),OFFSET('GrD-Grafikdaten'!$J35,0,E$102-2014))</f>
        <v>0.26105747067618412</v>
      </c>
      <c r="R112" s="730">
        <f ca="1">IF(ControlPanel!$T$5="nominal",OFFSET('GrD-Grafikdaten'!$J17,0,F$102-2014),OFFSET('GrD-Grafikdaten'!$J35,0,F$102-2014))</f>
        <v>0.15349801007635749</v>
      </c>
      <c r="S112" s="730">
        <f ca="1">IF(ControlPanel!$T$5="nominal",OFFSET('GrD-Grafikdaten'!$J17,0,G$102-2014),OFFSET('GrD-Grafikdaten'!$J35,0,G$102-2014))</f>
        <v>0.28251218231608166</v>
      </c>
      <c r="T112" s="730">
        <f ca="1">IF(ControlPanel!$T$5="nominal",OFFSET('GrD-Grafikdaten'!$J17,0,H$102-2014),OFFSET('GrD-Grafikdaten'!$J35,0,H$102-2014))</f>
        <v>0.25019712558611273</v>
      </c>
      <c r="U112" s="730">
        <f ca="1">IF(ControlPanel!$T$5="nominal",OFFSET('GrD-Grafikdaten'!$J17,0,I$102-2014),OFFSET('GrD-Grafikdaten'!$J35,0,I$102-2014))</f>
        <v>0.10921504137276689</v>
      </c>
      <c r="V112" s="805">
        <f ca="1">IF(ControlPanel!$T$5="nominal",OFFSET('GrD-Grafikdaten'!$J17,0,J$102-2014),OFFSET('GrD-Grafikdaten'!$J35,0,J$102-2014))</f>
        <v>2.4573896174221961E-2</v>
      </c>
      <c r="W112" s="724"/>
      <c r="X112" s="1358"/>
    </row>
    <row r="113" spans="1:24" ht="31.5" customHeight="1" thickBot="1">
      <c r="A113" s="858"/>
      <c r="B113" s="722"/>
      <c r="C113" s="1383" t="s">
        <v>324</v>
      </c>
      <c r="D113" s="1396"/>
      <c r="E113" s="1396"/>
      <c r="F113" s="1396"/>
      <c r="G113" s="1396"/>
      <c r="H113" s="1396"/>
      <c r="I113" s="1396"/>
      <c r="J113" s="1384"/>
      <c r="K113" s="723"/>
      <c r="L113" s="723"/>
      <c r="M113" s="723"/>
      <c r="N113" s="723"/>
      <c r="O113" s="1511"/>
      <c r="P113" s="836" t="s">
        <v>281</v>
      </c>
      <c r="Q113" s="731">
        <f ca="1">IF(ControlPanel!$T$5="nominal",OFFSET('GrD-Grafikdaten'!$J18,0,E$102-2014),OFFSET('GrD-Grafikdaten'!$J36,0,E$102-2014))</f>
        <v>9.4375536482462941E-2</v>
      </c>
      <c r="R113" s="731">
        <f ca="1">IF(ControlPanel!$T$5="nominal",OFFSET('GrD-Grafikdaten'!$J18,0,F$102-2014),OFFSET('GrD-Grafikdaten'!$J36,0,F$102-2014))</f>
        <v>9.9406123510297609E-2</v>
      </c>
      <c r="S113" s="731">
        <f ca="1">IF(ControlPanel!$T$5="nominal",OFFSET('GrD-Grafikdaten'!$J18,0,G$102-2014),OFFSET('GrD-Grafikdaten'!$J36,0,G$102-2014))</f>
        <v>0.10485662162788723</v>
      </c>
      <c r="T113" s="731">
        <f ca="1">IF(ControlPanel!$T$5="nominal",OFFSET('GrD-Grafikdaten'!$J18,0,H$102-2014),OFFSET('GrD-Grafikdaten'!$J36,0,H$102-2014))</f>
        <v>0.11029423598039961</v>
      </c>
      <c r="U113" s="731">
        <f ca="1">IF(ControlPanel!$T$5="nominal",OFFSET('GrD-Grafikdaten'!$J18,0,I$102-2014),OFFSET('GrD-Grafikdaten'!$J36,0,I$102-2014))</f>
        <v>0.12178503392374677</v>
      </c>
      <c r="V113" s="806">
        <f ca="1">IF(ControlPanel!$T$5="nominal",OFFSET('GrD-Grafikdaten'!$J18,0,J$102-2014),OFFSET('GrD-Grafikdaten'!$J36,0,J$102-2014))</f>
        <v>0.12834840331938507</v>
      </c>
      <c r="W113" s="724"/>
      <c r="X113" s="1358"/>
    </row>
    <row r="114" spans="1:24" ht="13.5" thickBot="1">
      <c r="A114" s="858"/>
      <c r="B114" s="722"/>
      <c r="C114" s="1355" t="s">
        <v>357</v>
      </c>
      <c r="D114" s="1356"/>
      <c r="E114" s="831">
        <f>E102</f>
        <v>2022</v>
      </c>
      <c r="F114" s="831">
        <f t="shared" ref="F114:J114" si="1">F102</f>
        <v>2023</v>
      </c>
      <c r="G114" s="831">
        <f t="shared" si="1"/>
        <v>2024</v>
      </c>
      <c r="H114" s="831">
        <f t="shared" si="1"/>
        <v>2025</v>
      </c>
      <c r="I114" s="831">
        <f t="shared" si="1"/>
        <v>2030</v>
      </c>
      <c r="J114" s="831">
        <f t="shared" si="1"/>
        <v>2035</v>
      </c>
      <c r="K114" s="723"/>
      <c r="L114" s="723"/>
      <c r="M114" s="723"/>
      <c r="N114" s="723"/>
      <c r="O114" s="1392" t="s">
        <v>350</v>
      </c>
      <c r="P114" s="1412"/>
      <c r="Q114" s="1412"/>
      <c r="R114" s="1412"/>
      <c r="S114" s="1412"/>
      <c r="T114" s="1412"/>
      <c r="U114" s="1412"/>
      <c r="V114" s="1402"/>
      <c r="W114" s="724"/>
      <c r="X114" s="1358"/>
    </row>
    <row r="115" spans="1:24" ht="13.5" customHeight="1" thickBot="1">
      <c r="A115" s="858"/>
      <c r="B115" s="722"/>
      <c r="C115" s="1350" t="s">
        <v>356</v>
      </c>
      <c r="D115" s="1351"/>
      <c r="E115" s="832" t="str">
        <f t="shared" ref="E115:J115" si="2">CONCATENATE("30.9.",E$102-1)</f>
        <v>30.9.2021</v>
      </c>
      <c r="F115" s="832" t="str">
        <f t="shared" si="2"/>
        <v>30.9.2022</v>
      </c>
      <c r="G115" s="832" t="str">
        <f t="shared" si="2"/>
        <v>30.9.2023</v>
      </c>
      <c r="H115" s="832" t="str">
        <f t="shared" si="2"/>
        <v>30.9.2024</v>
      </c>
      <c r="I115" s="832" t="str">
        <f t="shared" si="2"/>
        <v>30.9.2029</v>
      </c>
      <c r="J115" s="833" t="str">
        <f t="shared" si="2"/>
        <v>30.9.2034</v>
      </c>
      <c r="K115" s="723"/>
      <c r="L115" s="723"/>
      <c r="M115" s="723"/>
      <c r="N115" s="723"/>
      <c r="O115" s="1509" t="s">
        <v>173</v>
      </c>
      <c r="P115" s="834" t="s">
        <v>24</v>
      </c>
      <c r="Q115" s="749">
        <f ca="1">OFFSET('GrD-Grafikdaten'!$J137,0,E$102-2014)</f>
        <v>0</v>
      </c>
      <c r="R115" s="749">
        <f ca="1">OFFSET('GrD-Grafikdaten'!$J137,0,F$102-2014)</f>
        <v>0</v>
      </c>
      <c r="S115" s="749">
        <f ca="1">OFFSET('GrD-Grafikdaten'!$J137,0,G$102-2014)</f>
        <v>0</v>
      </c>
      <c r="T115" s="749">
        <f ca="1">OFFSET('GrD-Grafikdaten'!$J137,0,H$102-2014)</f>
        <v>0</v>
      </c>
      <c r="U115" s="749">
        <f ca="1">OFFSET('GrD-Grafikdaten'!$J137,0,I$102-2014)</f>
        <v>0</v>
      </c>
      <c r="V115" s="750">
        <f ca="1">OFFSET('GrD-Grafikdaten'!$J137,0,J$102-2014)</f>
        <v>0</v>
      </c>
      <c r="W115" s="724"/>
      <c r="X115" s="1358"/>
    </row>
    <row r="116" spans="1:24">
      <c r="A116" s="858"/>
      <c r="B116" s="722"/>
      <c r="C116" s="1350" t="s">
        <v>234</v>
      </c>
      <c r="D116" s="1351"/>
      <c r="E116" s="733">
        <f ca="1">IF(ControlPanel!$T$5="nominal",OFFSET('GrD-Grafikdaten'!$J23,0,E$102-2014),OFFSET('GrD-Grafikdaten'!$J41,0,E$102-2014))</f>
        <v>4.5469536436400002</v>
      </c>
      <c r="F116" s="733">
        <f ca="1">IF(ControlPanel!$T$5="nominal",OFFSET('GrD-Grafikdaten'!$J23,0,F$102-2014),OFFSET('GrD-Grafikdaten'!$J41,0,F$102-2014))</f>
        <v>5.9271580274705027</v>
      </c>
      <c r="G116" s="733">
        <f ca="1">IF(ControlPanel!$T$5="nominal",OFFSET('GrD-Grafikdaten'!$J23,0,G$102-2014),OFFSET('GrD-Grafikdaten'!$J41,0,G$102-2014))</f>
        <v>0.95430437784443045</v>
      </c>
      <c r="H116" s="733">
        <f ca="1">IF(ControlPanel!$T$5="nominal",OFFSET('GrD-Grafikdaten'!$J23,0,H$102-2014),OFFSET('GrD-Grafikdaten'!$J41,0,H$102-2014))</f>
        <v>1.1129456502224246</v>
      </c>
      <c r="I116" s="733">
        <f ca="1">IF(ControlPanel!$T$5="nominal",OFFSET('GrD-Grafikdaten'!$J23,0,I$102-2014),OFFSET('GrD-Grafikdaten'!$J41,0,I$102-2014))</f>
        <v>0.85278811952497868</v>
      </c>
      <c r="J116" s="733">
        <f ca="1">IF(ControlPanel!$T$5="nominal",OFFSET('GrD-Grafikdaten'!$J23,0,J$102-2014),OFFSET('GrD-Grafikdaten'!$J41,0,J$102-2014))</f>
        <v>0.44188094067101513</v>
      </c>
      <c r="K116" s="723"/>
      <c r="L116" s="723"/>
      <c r="M116" s="723"/>
      <c r="N116" s="723"/>
      <c r="O116" s="1510"/>
      <c r="P116" s="835" t="s">
        <v>26</v>
      </c>
      <c r="Q116" s="751">
        <f ca="1">OFFSET('GrD-Grafikdaten'!$J138,0,E$102-2014)</f>
        <v>0</v>
      </c>
      <c r="R116" s="751">
        <f ca="1">OFFSET('GrD-Grafikdaten'!$J138,0,F$102-2014)</f>
        <v>0</v>
      </c>
      <c r="S116" s="751">
        <f ca="1">OFFSET('GrD-Grafikdaten'!$J138,0,G$102-2014)</f>
        <v>0</v>
      </c>
      <c r="T116" s="751">
        <f ca="1">OFFSET('GrD-Grafikdaten'!$J138,0,H$102-2014)</f>
        <v>0</v>
      </c>
      <c r="U116" s="751">
        <f ca="1">OFFSET('GrD-Grafikdaten'!$J138,0,I$102-2014)</f>
        <v>0</v>
      </c>
      <c r="V116" s="752">
        <f ca="1">OFFSET('GrD-Grafikdaten'!$J138,0,J$102-2014)</f>
        <v>0</v>
      </c>
      <c r="W116" s="724"/>
      <c r="X116" s="1358"/>
    </row>
    <row r="117" spans="1:24" ht="13.5" thickBot="1">
      <c r="A117" s="858"/>
      <c r="B117" s="722"/>
      <c r="C117" s="1350" t="s">
        <v>235</v>
      </c>
      <c r="D117" s="1351"/>
      <c r="E117" s="748">
        <f ca="1">IF(ControlPanel!$T$5="nominal",OFFSET('GrD-Grafikdaten'!$J67,0,E$102-2014),OFFSET('GrD-Grafikdaten'!$J85,0,E$102-2014))</f>
        <v>4.5469536436400002</v>
      </c>
      <c r="F117" s="748">
        <f ca="1">IF(ControlPanel!$T$5="nominal",OFFSET('GrD-Grafikdaten'!$J67,0,F$102-2014),OFFSET('GrD-Grafikdaten'!$J85,0,F$102-2014))</f>
        <v>5.9271580274705027</v>
      </c>
      <c r="G117" s="748">
        <f ca="1">IF(ControlPanel!$T$5="nominal",OFFSET('GrD-Grafikdaten'!$J67,0,G$102-2014),OFFSET('GrD-Grafikdaten'!$J85,0,G$102-2014))</f>
        <v>0.95430437784443045</v>
      </c>
      <c r="H117" s="748">
        <f ca="1">IF(ControlPanel!$T$5="nominal",OFFSET('GrD-Grafikdaten'!$J67,0,H$102-2014),OFFSET('GrD-Grafikdaten'!$J85,0,H$102-2014))</f>
        <v>1.1129456502224246</v>
      </c>
      <c r="I117" s="748">
        <f ca="1">IF(ControlPanel!$T$5="nominal",OFFSET('GrD-Grafikdaten'!$J67,0,I$102-2014),OFFSET('GrD-Grafikdaten'!$J85,0,I$102-2014))</f>
        <v>0.85278811952497868</v>
      </c>
      <c r="J117" s="748">
        <f ca="1">IF(ControlPanel!$T$5="nominal",OFFSET('GrD-Grafikdaten'!$J67,0,J$102-2014),OFFSET('GrD-Grafikdaten'!$J85,0,J$102-2014))</f>
        <v>0.44188094067101513</v>
      </c>
      <c r="K117" s="723"/>
      <c r="L117" s="723"/>
      <c r="M117" s="723"/>
      <c r="N117" s="723"/>
      <c r="O117" s="1510"/>
      <c r="P117" s="835" t="s">
        <v>74</v>
      </c>
      <c r="Q117" s="751">
        <f ca="1">OFFSET('GrD-Grafikdaten'!$J139,0,E$102-2014)</f>
        <v>0</v>
      </c>
      <c r="R117" s="751">
        <f ca="1">OFFSET('GrD-Grafikdaten'!$J139,0,F$102-2014)</f>
        <v>0</v>
      </c>
      <c r="S117" s="751">
        <f ca="1">OFFSET('GrD-Grafikdaten'!$J139,0,G$102-2014)</f>
        <v>0</v>
      </c>
      <c r="T117" s="751">
        <f ca="1">OFFSET('GrD-Grafikdaten'!$J139,0,H$102-2014)</f>
        <v>0</v>
      </c>
      <c r="U117" s="751">
        <f ca="1">OFFSET('GrD-Grafikdaten'!$J139,0,I$102-2014)</f>
        <v>0</v>
      </c>
      <c r="V117" s="752">
        <f ca="1">OFFSET('GrD-Grafikdaten'!$J139,0,J$102-2014)</f>
        <v>0</v>
      </c>
      <c r="W117" s="724"/>
      <c r="X117" s="1358"/>
    </row>
    <row r="118" spans="1:24">
      <c r="A118" s="858"/>
      <c r="B118" s="722"/>
      <c r="C118" s="723"/>
      <c r="D118" s="723"/>
      <c r="E118" s="723"/>
      <c r="F118" s="723"/>
      <c r="G118" s="723"/>
      <c r="H118" s="723"/>
      <c r="I118" s="723"/>
      <c r="J118" s="723"/>
      <c r="K118" s="723"/>
      <c r="L118" s="723"/>
      <c r="M118" s="723"/>
      <c r="N118" s="723"/>
      <c r="O118" s="1510"/>
      <c r="P118" s="835" t="s">
        <v>13</v>
      </c>
      <c r="Q118" s="751">
        <f ca="1">OFFSET('GrD-Grafikdaten'!$J135,0,E$102-2014)</f>
        <v>0</v>
      </c>
      <c r="R118" s="751">
        <f ca="1">OFFSET('GrD-Grafikdaten'!$J135,0,F$102-2014)</f>
        <v>0</v>
      </c>
      <c r="S118" s="751">
        <f ca="1">OFFSET('GrD-Grafikdaten'!$J135,0,G$102-2014)</f>
        <v>0</v>
      </c>
      <c r="T118" s="751">
        <f ca="1">OFFSET('GrD-Grafikdaten'!$J135,0,H$102-2014)</f>
        <v>0</v>
      </c>
      <c r="U118" s="751">
        <f ca="1">OFFSET('GrD-Grafikdaten'!$J135,0,I$102-2014)</f>
        <v>0</v>
      </c>
      <c r="V118" s="752">
        <f ca="1">OFFSET('GrD-Grafikdaten'!$J135,0,J$102-2014)</f>
        <v>0</v>
      </c>
      <c r="W118" s="861"/>
      <c r="X118" s="165"/>
    </row>
    <row r="119" spans="1:24">
      <c r="A119" s="858"/>
      <c r="B119" s="722"/>
      <c r="C119" s="723"/>
      <c r="D119" s="723"/>
      <c r="E119" s="723"/>
      <c r="F119" s="723"/>
      <c r="G119" s="723"/>
      <c r="H119" s="723"/>
      <c r="I119" s="723"/>
      <c r="J119" s="723"/>
      <c r="K119" s="723"/>
      <c r="L119" s="723"/>
      <c r="M119" s="723"/>
      <c r="N119" s="723"/>
      <c r="O119" s="1510"/>
      <c r="P119" s="835" t="s">
        <v>12</v>
      </c>
      <c r="Q119" s="751">
        <f ca="1">OFFSET('GrD-Grafikdaten'!$J136,0,E$102-2014)</f>
        <v>0</v>
      </c>
      <c r="R119" s="751">
        <f ca="1">OFFSET('GrD-Grafikdaten'!$J136,0,F$102-2014)</f>
        <v>0</v>
      </c>
      <c r="S119" s="751">
        <f ca="1">OFFSET('GrD-Grafikdaten'!$J136,0,G$102-2014)</f>
        <v>0</v>
      </c>
      <c r="T119" s="751">
        <f ca="1">OFFSET('GrD-Grafikdaten'!$J136,0,H$102-2014)</f>
        <v>0</v>
      </c>
      <c r="U119" s="751">
        <f ca="1">OFFSET('GrD-Grafikdaten'!$J136,0,I$102-2014)</f>
        <v>0</v>
      </c>
      <c r="V119" s="752">
        <f ca="1">OFFSET('GrD-Grafikdaten'!$J136,0,J$102-2014)</f>
        <v>0</v>
      </c>
      <c r="W119" s="861"/>
      <c r="X119" s="165"/>
    </row>
    <row r="120" spans="1:24">
      <c r="A120" s="858"/>
      <c r="B120" s="722"/>
      <c r="C120" s="723"/>
      <c r="D120" s="723"/>
      <c r="E120" s="723"/>
      <c r="F120" s="723"/>
      <c r="G120" s="723"/>
      <c r="H120" s="723"/>
      <c r="I120" s="723"/>
      <c r="J120" s="723"/>
      <c r="K120" s="723"/>
      <c r="L120" s="723"/>
      <c r="M120" s="723"/>
      <c r="N120" s="723"/>
      <c r="O120" s="1510"/>
      <c r="P120" s="835" t="s">
        <v>25</v>
      </c>
      <c r="Q120" s="751">
        <f ca="1">OFFSET('GrD-Grafikdaten'!$J133,0,E$102-2014)</f>
        <v>0</v>
      </c>
      <c r="R120" s="751">
        <f ca="1">OFFSET('GrD-Grafikdaten'!$J133,0,F$102-2014)</f>
        <v>0</v>
      </c>
      <c r="S120" s="751">
        <f ca="1">OFFSET('GrD-Grafikdaten'!$J133,0,G$102-2014)</f>
        <v>0</v>
      </c>
      <c r="T120" s="751">
        <f ca="1">OFFSET('GrD-Grafikdaten'!$J133,0,H$102-2014)</f>
        <v>0</v>
      </c>
      <c r="U120" s="751">
        <f ca="1">OFFSET('GrD-Grafikdaten'!$J133,0,I$102-2014)</f>
        <v>0</v>
      </c>
      <c r="V120" s="752">
        <f ca="1">OFFSET('GrD-Grafikdaten'!$J133,0,J$102-2014)</f>
        <v>0</v>
      </c>
      <c r="W120" s="861"/>
      <c r="X120" s="165"/>
    </row>
    <row r="121" spans="1:24" ht="13.5" thickBot="1">
      <c r="A121" s="858"/>
      <c r="B121" s="722"/>
      <c r="C121" s="723"/>
      <c r="D121" s="723"/>
      <c r="E121" s="723"/>
      <c r="F121" s="723"/>
      <c r="G121" s="723"/>
      <c r="H121" s="723"/>
      <c r="I121" s="723"/>
      <c r="J121" s="723"/>
      <c r="K121" s="723"/>
      <c r="L121" s="723"/>
      <c r="M121" s="723"/>
      <c r="N121" s="723"/>
      <c r="O121" s="1511"/>
      <c r="P121" s="836" t="s">
        <v>27</v>
      </c>
      <c r="Q121" s="753">
        <f ca="1">OFFSET('GrD-Grafikdaten'!$J134,0,E$102-2014)</f>
        <v>0</v>
      </c>
      <c r="R121" s="753">
        <f ca="1">OFFSET('GrD-Grafikdaten'!$J134,0,F$102-2014)</f>
        <v>0</v>
      </c>
      <c r="S121" s="753">
        <f ca="1">OFFSET('GrD-Grafikdaten'!$J134,0,G$102-2014)</f>
        <v>0</v>
      </c>
      <c r="T121" s="753">
        <f ca="1">OFFSET('GrD-Grafikdaten'!$J134,0,H$102-2014)</f>
        <v>0</v>
      </c>
      <c r="U121" s="753">
        <f ca="1">OFFSET('GrD-Grafikdaten'!$J134,0,I$102-2014)</f>
        <v>0</v>
      </c>
      <c r="V121" s="754">
        <f ca="1">OFFSET('GrD-Grafikdaten'!$J134,0,J$102-2014)</f>
        <v>0</v>
      </c>
      <c r="W121" s="861"/>
      <c r="X121" s="165"/>
    </row>
    <row r="122" spans="1:24" ht="18.75" customHeight="1">
      <c r="A122" s="858"/>
      <c r="B122" s="722"/>
      <c r="C122" s="723"/>
      <c r="D122" s="723"/>
      <c r="E122" s="723"/>
      <c r="F122" s="723"/>
      <c r="G122" s="723"/>
      <c r="H122" s="723"/>
      <c r="I122" s="723"/>
      <c r="J122" s="723"/>
      <c r="K122" s="723"/>
      <c r="L122" s="723"/>
      <c r="M122" s="723"/>
      <c r="N122" s="723"/>
      <c r="O122" s="1509" t="s">
        <v>172</v>
      </c>
      <c r="P122" s="835" t="s">
        <v>170</v>
      </c>
      <c r="Q122" s="755">
        <f ca="1">OFFSET('GrD-Grafikdaten'!$J140,0,E$102-2014)</f>
        <v>0</v>
      </c>
      <c r="R122" s="755">
        <f ca="1">OFFSET('GrD-Grafikdaten'!$J140,0,F$102-2014)</f>
        <v>0</v>
      </c>
      <c r="S122" s="755">
        <f ca="1">OFFSET('GrD-Grafikdaten'!$J140,0,G$102-2014)</f>
        <v>0</v>
      </c>
      <c r="T122" s="755">
        <f ca="1">OFFSET('GrD-Grafikdaten'!$J140,0,H$102-2014)</f>
        <v>0</v>
      </c>
      <c r="U122" s="755">
        <f ca="1">OFFSET('GrD-Grafikdaten'!$J140,0,I$102-2014)</f>
        <v>0</v>
      </c>
      <c r="V122" s="750">
        <f ca="1">OFFSET('GrD-Grafikdaten'!$J140,0,J$102-2014)</f>
        <v>0</v>
      </c>
      <c r="W122" s="861"/>
      <c r="X122" s="165"/>
    </row>
    <row r="123" spans="1:24" ht="18.75" customHeight="1">
      <c r="A123" s="858"/>
      <c r="B123" s="722"/>
      <c r="C123" s="723"/>
      <c r="D123" s="723"/>
      <c r="E123" s="723"/>
      <c r="F123" s="723"/>
      <c r="G123" s="723"/>
      <c r="H123" s="723"/>
      <c r="I123" s="723"/>
      <c r="J123" s="723"/>
      <c r="K123" s="723"/>
      <c r="L123" s="723"/>
      <c r="M123" s="723"/>
      <c r="N123" s="723"/>
      <c r="O123" s="1510"/>
      <c r="P123" s="835" t="s">
        <v>171</v>
      </c>
      <c r="Q123" s="755">
        <f ca="1">OFFSET('GrD-Grafikdaten'!$J141,0,E$102-2014)</f>
        <v>0</v>
      </c>
      <c r="R123" s="755">
        <f ca="1">OFFSET('GrD-Grafikdaten'!$J141,0,F$102-2014)</f>
        <v>0</v>
      </c>
      <c r="S123" s="755">
        <f ca="1">OFFSET('GrD-Grafikdaten'!$J141,0,G$102-2014)</f>
        <v>0</v>
      </c>
      <c r="T123" s="755">
        <f ca="1">OFFSET('GrD-Grafikdaten'!$J141,0,H$102-2014)</f>
        <v>0</v>
      </c>
      <c r="U123" s="755">
        <f ca="1">OFFSET('GrD-Grafikdaten'!$J141,0,I$102-2014)</f>
        <v>0</v>
      </c>
      <c r="V123" s="752">
        <f ca="1">OFFSET('GrD-Grafikdaten'!$J141,0,J$102-2014)</f>
        <v>0</v>
      </c>
      <c r="W123" s="861"/>
      <c r="X123" s="165"/>
    </row>
    <row r="124" spans="1:24" ht="18.75" customHeight="1" thickBot="1">
      <c r="A124" s="858"/>
      <c r="B124" s="722"/>
      <c r="C124" s="723"/>
      <c r="D124" s="723"/>
      <c r="E124" s="723"/>
      <c r="F124" s="723"/>
      <c r="G124" s="723"/>
      <c r="H124" s="723"/>
      <c r="I124" s="723"/>
      <c r="J124" s="723"/>
      <c r="K124" s="723"/>
      <c r="L124" s="723"/>
      <c r="M124" s="723"/>
      <c r="N124" s="723"/>
      <c r="O124" s="1511"/>
      <c r="P124" s="836" t="s">
        <v>281</v>
      </c>
      <c r="Q124" s="756">
        <f ca="1">OFFSET('GrD-Grafikdaten'!$J142,0,E$102-2014)</f>
        <v>0</v>
      </c>
      <c r="R124" s="756">
        <f ca="1">OFFSET('GrD-Grafikdaten'!$J142,0,F$102-2014)</f>
        <v>0</v>
      </c>
      <c r="S124" s="756">
        <f ca="1">OFFSET('GrD-Grafikdaten'!$J142,0,G$102-2014)</f>
        <v>0</v>
      </c>
      <c r="T124" s="756">
        <f ca="1">OFFSET('GrD-Grafikdaten'!$J142,0,H$102-2014)</f>
        <v>0</v>
      </c>
      <c r="U124" s="756">
        <f ca="1">OFFSET('GrD-Grafikdaten'!$J142,0,I$102-2014)</f>
        <v>0</v>
      </c>
      <c r="V124" s="754">
        <f ca="1">OFFSET('GrD-Grafikdaten'!$J142,0,J$102-2014)</f>
        <v>0</v>
      </c>
      <c r="W124" s="861"/>
      <c r="X124" s="165"/>
    </row>
    <row r="125" spans="1:24">
      <c r="A125" s="858"/>
      <c r="B125" s="726"/>
      <c r="C125" s="727"/>
      <c r="D125" s="727"/>
      <c r="E125" s="727"/>
      <c r="F125" s="727"/>
      <c r="G125" s="727"/>
      <c r="H125" s="727"/>
      <c r="I125" s="727"/>
      <c r="J125" s="727"/>
      <c r="K125" s="727"/>
      <c r="L125" s="727"/>
      <c r="M125" s="727"/>
      <c r="N125" s="727"/>
      <c r="O125" s="727"/>
      <c r="P125" s="727"/>
      <c r="Q125" s="727"/>
      <c r="R125" s="727"/>
      <c r="S125" s="727"/>
      <c r="T125" s="727"/>
      <c r="U125" s="727"/>
      <c r="V125" s="727"/>
      <c r="W125" s="862"/>
      <c r="X125" s="165"/>
    </row>
    <row r="126" spans="1:24">
      <c r="A126" s="858"/>
      <c r="B126" s="858"/>
      <c r="C126" s="858"/>
      <c r="D126" s="858"/>
      <c r="E126" s="858"/>
      <c r="F126" s="858"/>
      <c r="G126" s="858"/>
      <c r="H126" s="858"/>
      <c r="I126" s="858"/>
      <c r="J126" s="858"/>
      <c r="K126" s="858"/>
      <c r="L126" s="858"/>
      <c r="M126" s="858"/>
      <c r="N126" s="858"/>
      <c r="O126" s="858"/>
      <c r="P126" s="858"/>
      <c r="Q126" s="858"/>
      <c r="R126" s="858"/>
      <c r="S126" s="858"/>
      <c r="T126" s="858"/>
      <c r="U126" s="858"/>
      <c r="V126" s="858"/>
      <c r="W126" s="858"/>
      <c r="X126" s="165"/>
    </row>
    <row r="127" spans="1:24" ht="16.5" customHeight="1">
      <c r="A127" s="858"/>
      <c r="B127" s="716" t="s">
        <v>586</v>
      </c>
      <c r="C127" s="717"/>
      <c r="D127" s="717"/>
      <c r="E127" s="717"/>
      <c r="F127" s="717"/>
      <c r="G127" s="717"/>
      <c r="H127" s="717"/>
      <c r="I127" s="717"/>
      <c r="J127" s="717"/>
      <c r="K127" s="717"/>
      <c r="L127" s="717"/>
      <c r="M127" s="717"/>
      <c r="N127" s="717"/>
      <c r="O127" s="717"/>
      <c r="P127" s="717"/>
      <c r="Q127" s="717"/>
      <c r="R127" s="717"/>
      <c r="S127" s="717"/>
      <c r="T127" s="717"/>
      <c r="U127" s="717"/>
      <c r="V127" s="717"/>
      <c r="W127" s="718"/>
      <c r="X127" s="1357"/>
    </row>
    <row r="128" spans="1:24" ht="13.5" thickBot="1">
      <c r="A128" s="858"/>
      <c r="B128" s="719"/>
      <c r="C128" s="720"/>
      <c r="D128" s="720"/>
      <c r="E128" s="720"/>
      <c r="F128" s="720"/>
      <c r="G128" s="720"/>
      <c r="H128" s="720"/>
      <c r="I128" s="720"/>
      <c r="J128" s="720"/>
      <c r="K128" s="720"/>
      <c r="L128" s="720"/>
      <c r="M128" s="720"/>
      <c r="N128" s="720"/>
      <c r="O128" s="720"/>
      <c r="P128" s="720"/>
      <c r="Q128" s="720"/>
      <c r="R128" s="720"/>
      <c r="S128" s="720"/>
      <c r="T128" s="720"/>
      <c r="U128" s="720"/>
      <c r="V128" s="720"/>
      <c r="W128" s="721"/>
      <c r="X128" s="1358"/>
    </row>
    <row r="129" spans="1:24" ht="33" customHeight="1" thickBot="1">
      <c r="A129" s="858"/>
      <c r="B129" s="722"/>
      <c r="C129" s="1484" t="s">
        <v>571</v>
      </c>
      <c r="D129" s="1485"/>
      <c r="E129" s="1485"/>
      <c r="F129" s="1486"/>
      <c r="G129" s="769"/>
      <c r="H129" s="769"/>
      <c r="I129" s="1484" t="str">
        <f>"Eingabe-Parameter:
Entwicklung der Vergütungssätze (real, bezogen auf "&amp;ControlPanel!D60&amp;")"</f>
        <v>Eingabe-Parameter:
Entwicklung der Vergütungssätze (real, bezogen auf 2022)</v>
      </c>
      <c r="J129" s="1485"/>
      <c r="K129" s="1485"/>
      <c r="L129" s="1485"/>
      <c r="M129" s="1486"/>
      <c r="N129" s="723"/>
      <c r="O129" s="774"/>
      <c r="P129" s="774"/>
      <c r="Q129" s="774"/>
      <c r="R129" s="774"/>
      <c r="S129" s="774"/>
      <c r="T129" s="774"/>
      <c r="U129" s="774"/>
      <c r="V129" s="774"/>
      <c r="W129" s="724"/>
      <c r="X129" s="1358"/>
    </row>
    <row r="130" spans="1:24" ht="14.25" customHeight="1" thickBot="1">
      <c r="A130" s="858"/>
      <c r="B130" s="722"/>
      <c r="C130" s="975" t="str">
        <f>'Start-Experte'!C7</f>
        <v>Technologie</v>
      </c>
      <c r="D130" s="1498" t="s">
        <v>141</v>
      </c>
      <c r="E130" s="1498"/>
      <c r="F130" s="1499"/>
      <c r="G130" s="769"/>
      <c r="H130" s="769"/>
      <c r="I130" s="1502" t="s">
        <v>145</v>
      </c>
      <c r="J130" s="1503"/>
      <c r="K130" s="1504"/>
      <c r="L130" s="1461" t="str">
        <f>'Start-Experte'!L7</f>
        <v>gewähltes Szenario</v>
      </c>
      <c r="M130" s="1462"/>
      <c r="N130" s="723"/>
      <c r="O130" s="774"/>
      <c r="P130" s="774"/>
      <c r="Q130" s="774"/>
      <c r="R130" s="774"/>
      <c r="S130" s="774"/>
      <c r="T130" s="774"/>
      <c r="U130" s="774"/>
      <c r="V130" s="774"/>
      <c r="W130" s="724"/>
      <c r="X130" s="1358"/>
    </row>
    <row r="131" spans="1:24">
      <c r="A131" s="858"/>
      <c r="B131" s="722"/>
      <c r="C131" s="837" t="str">
        <f>'Start-Experte'!C8</f>
        <v>Wind Onshore</v>
      </c>
      <c r="D131" s="969" t="str">
        <f>'Start-Experte'!E8</f>
        <v>Referenz</v>
      </c>
      <c r="E131" s="1507" t="str">
        <f>'Start-Experte'!F8</f>
        <v>1,5 GW bis 2021, ab 2023 2,5 GW/a</v>
      </c>
      <c r="F131" s="1508"/>
      <c r="G131" s="769"/>
      <c r="H131" s="769"/>
      <c r="I131" s="1481" t="str">
        <f>'Start-Experte'!I8</f>
        <v>Wind Onshore</v>
      </c>
      <c r="J131" s="1482"/>
      <c r="K131" s="1483"/>
      <c r="L131" s="969" t="str">
        <f>'Start-Experte'!L8</f>
        <v>Referenz</v>
      </c>
      <c r="M131" s="757" t="str">
        <f>'Start-Experte'!M8</f>
        <v>sinkt auf 3,5 ct/kWh in 2035</v>
      </c>
      <c r="N131" s="723"/>
      <c r="O131" s="774"/>
      <c r="P131" s="774"/>
      <c r="Q131" s="774"/>
      <c r="R131" s="774"/>
      <c r="S131" s="774"/>
      <c r="T131" s="774"/>
      <c r="U131" s="774"/>
      <c r="V131" s="774"/>
      <c r="W131" s="724"/>
      <c r="X131" s="1358"/>
    </row>
    <row r="132" spans="1:24">
      <c r="A132" s="858"/>
      <c r="B132" s="722"/>
      <c r="C132" s="838" t="str">
        <f>'Start-Experte'!C9</f>
        <v>Wind Offshore</v>
      </c>
      <c r="D132" s="970" t="str">
        <f>'Start-Experte'!E9</f>
        <v>Referenz</v>
      </c>
      <c r="E132" s="1505" t="str">
        <f>'Start-Experte'!F9</f>
        <v>MFP Trend, danach konstant 1,6 GW</v>
      </c>
      <c r="F132" s="1506"/>
      <c r="G132" s="769"/>
      <c r="H132" s="769"/>
      <c r="I132" s="1475" t="str">
        <f>'Start-Experte'!I9</f>
        <v>Wind Offshore</v>
      </c>
      <c r="J132" s="1476"/>
      <c r="K132" s="1477"/>
      <c r="L132" s="970" t="str">
        <f>'Start-Experte'!L9</f>
        <v>Referenz</v>
      </c>
      <c r="M132" s="758" t="str">
        <f>'Start-Experte'!M9</f>
        <v>sinkt auf 4,5 ct/kWh in 2035</v>
      </c>
      <c r="N132" s="723"/>
      <c r="O132" s="774"/>
      <c r="P132" s="774"/>
      <c r="Q132" s="774"/>
      <c r="R132" s="774"/>
      <c r="S132" s="774"/>
      <c r="T132" s="774"/>
      <c r="U132" s="774"/>
      <c r="V132" s="774"/>
      <c r="W132" s="724"/>
      <c r="X132" s="1358"/>
    </row>
    <row r="133" spans="1:24" ht="25.5">
      <c r="A133" s="858"/>
      <c r="B133" s="722"/>
      <c r="C133" s="838" t="str">
        <f>'Start-Experte'!C10</f>
        <v>Solar</v>
      </c>
      <c r="D133" s="970" t="str">
        <f>'Start-Experte'!E10</f>
        <v>Referenz</v>
      </c>
      <c r="E133" s="1505" t="str">
        <f>'Start-Experte'!F10</f>
        <v>MFP Trend</v>
      </c>
      <c r="F133" s="1506"/>
      <c r="G133" s="769"/>
      <c r="H133" s="769"/>
      <c r="I133" s="1475" t="str">
        <f>'Start-Experte'!I10</f>
        <v>Solar</v>
      </c>
      <c r="J133" s="1476"/>
      <c r="K133" s="1477"/>
      <c r="L133" s="970" t="str">
        <f>'Start-Experte'!L10</f>
        <v>Referenz</v>
      </c>
      <c r="M133" s="759" t="str">
        <f>'Start-Experte'!M10</f>
        <v>EEG 2017; Anteil Ausschreibungen ab 2020 50%</v>
      </c>
      <c r="N133" s="723"/>
      <c r="O133" s="774"/>
      <c r="P133" s="774"/>
      <c r="Q133" s="774"/>
      <c r="R133" s="774"/>
      <c r="S133" s="774"/>
      <c r="T133" s="774"/>
      <c r="U133" s="774"/>
      <c r="V133" s="774"/>
      <c r="W133" s="724"/>
      <c r="X133" s="1358"/>
    </row>
    <row r="134" spans="1:24">
      <c r="A134" s="858"/>
      <c r="B134" s="722"/>
      <c r="C134" s="838" t="str">
        <f>'Start-Experte'!C11</f>
        <v>Biomasse</v>
      </c>
      <c r="D134" s="970" t="str">
        <f>'Start-Experte'!E11</f>
        <v>Referenz</v>
      </c>
      <c r="E134" s="1505" t="str">
        <f>'Start-Experte'!F11</f>
        <v>MFP Trend; 0,2 GW/a</v>
      </c>
      <c r="F134" s="1506"/>
      <c r="G134" s="769"/>
      <c r="H134" s="769"/>
      <c r="I134" s="1475" t="str">
        <f>'Start-Experte'!I11</f>
        <v>Biomasse</v>
      </c>
      <c r="J134" s="1476"/>
      <c r="K134" s="1477"/>
      <c r="L134" s="970" t="str">
        <f>'Start-Experte'!L11</f>
        <v>Referenz</v>
      </c>
      <c r="M134" s="758" t="str">
        <f>'Start-Experte'!M11</f>
        <v>EEG 2017</v>
      </c>
      <c r="N134" s="723"/>
      <c r="O134" s="774"/>
      <c r="P134" s="774"/>
      <c r="Q134" s="774"/>
      <c r="R134" s="774"/>
      <c r="S134" s="774"/>
      <c r="T134" s="774"/>
      <c r="U134" s="774"/>
      <c r="V134" s="774"/>
      <c r="W134" s="724"/>
      <c r="X134" s="1358"/>
    </row>
    <row r="135" spans="1:24">
      <c r="A135" s="858"/>
      <c r="B135" s="722"/>
      <c r="C135" s="838" t="str">
        <f>'Start-Experte'!C12</f>
        <v>Geothermie</v>
      </c>
      <c r="D135" s="970" t="str">
        <f>'Start-Experte'!E12</f>
        <v>Referenz</v>
      </c>
      <c r="E135" s="1463" t="str">
        <f>'Start-Experte'!F12</f>
        <v>0,01GW/a</v>
      </c>
      <c r="F135" s="1464"/>
      <c r="G135" s="769"/>
      <c r="H135" s="769"/>
      <c r="I135" s="1475" t="str">
        <f>'Start-Experte'!I12</f>
        <v>Geothermie</v>
      </c>
      <c r="J135" s="1476"/>
      <c r="K135" s="1477"/>
      <c r="L135" s="970" t="str">
        <f>'Start-Experte'!L12</f>
        <v>Referenz</v>
      </c>
      <c r="M135" s="758" t="str">
        <f>'Start-Experte'!M12</f>
        <v>EEG 2017</v>
      </c>
      <c r="N135" s="723"/>
      <c r="O135" s="774"/>
      <c r="P135" s="774"/>
      <c r="Q135" s="774"/>
      <c r="R135" s="774"/>
      <c r="S135" s="774"/>
      <c r="T135" s="774"/>
      <c r="U135" s="774"/>
      <c r="V135" s="774"/>
      <c r="W135" s="724"/>
      <c r="X135" s="1358"/>
    </row>
    <row r="136" spans="1:24">
      <c r="A136" s="858"/>
      <c r="B136" s="722"/>
      <c r="C136" s="838" t="str">
        <f>'Start-Experte'!C13</f>
        <v>Wasser</v>
      </c>
      <c r="D136" s="970" t="str">
        <f>'Start-Experte'!E13</f>
        <v>Referenz</v>
      </c>
      <c r="E136" s="1463" t="str">
        <f>'Start-Experte'!F13</f>
        <v>0,01 GW/a</v>
      </c>
      <c r="F136" s="1464"/>
      <c r="G136" s="769"/>
      <c r="H136" s="769"/>
      <c r="I136" s="1475" t="str">
        <f>'Start-Experte'!I13</f>
        <v>Wasser</v>
      </c>
      <c r="J136" s="1476"/>
      <c r="K136" s="1477"/>
      <c r="L136" s="970" t="str">
        <f>'Start-Experte'!L13</f>
        <v>Referenz</v>
      </c>
      <c r="M136" s="758" t="str">
        <f>'Start-Experte'!M13</f>
        <v>EEG 2017</v>
      </c>
      <c r="N136" s="723"/>
      <c r="O136" s="774"/>
      <c r="P136" s="774"/>
      <c r="Q136" s="774"/>
      <c r="R136" s="774"/>
      <c r="S136" s="774"/>
      <c r="T136" s="774"/>
      <c r="U136" s="774"/>
      <c r="V136" s="774"/>
      <c r="W136" s="724"/>
      <c r="X136" s="1358"/>
    </row>
    <row r="137" spans="1:24" ht="13.5" thickBot="1">
      <c r="A137" s="858"/>
      <c r="B137" s="722"/>
      <c r="C137" s="839" t="str">
        <f>'Start-Experte'!C14</f>
        <v>Gase</v>
      </c>
      <c r="D137" s="973" t="str">
        <f>'Start-Experte'!E14</f>
        <v>Referenz</v>
      </c>
      <c r="E137" s="1465" t="str">
        <f>'Start-Experte'!F14</f>
        <v>0,01GW/a</v>
      </c>
      <c r="F137" s="1466"/>
      <c r="G137" s="769"/>
      <c r="H137" s="769"/>
      <c r="I137" s="1478" t="str">
        <f>'Start-Experte'!I14</f>
        <v>Gase</v>
      </c>
      <c r="J137" s="1479"/>
      <c r="K137" s="1480"/>
      <c r="L137" s="973" t="str">
        <f>'Start-Experte'!L14</f>
        <v>Referenz</v>
      </c>
      <c r="M137" s="760" t="str">
        <f>'Start-Experte'!M14</f>
        <v>EEG 2017</v>
      </c>
      <c r="N137" s="723"/>
      <c r="O137" s="774"/>
      <c r="P137" s="774"/>
      <c r="Q137" s="774"/>
      <c r="R137" s="774"/>
      <c r="S137" s="774"/>
      <c r="T137" s="774"/>
      <c r="U137" s="774"/>
      <c r="V137" s="774"/>
      <c r="W137" s="724"/>
      <c r="X137" s="1358"/>
    </row>
    <row r="138" spans="1:24">
      <c r="A138" s="858"/>
      <c r="B138" s="722"/>
      <c r="C138" s="769"/>
      <c r="D138" s="769"/>
      <c r="E138" s="769"/>
      <c r="F138" s="772"/>
      <c r="G138" s="769"/>
      <c r="H138" s="769"/>
      <c r="I138" s="769"/>
      <c r="J138" s="769"/>
      <c r="K138" s="769"/>
      <c r="L138" s="769"/>
      <c r="M138" s="773"/>
      <c r="N138" s="723"/>
      <c r="O138" s="774"/>
      <c r="P138" s="774"/>
      <c r="Q138" s="774"/>
      <c r="R138" s="774"/>
      <c r="S138" s="774"/>
      <c r="T138" s="774"/>
      <c r="U138" s="774"/>
      <c r="V138" s="774"/>
      <c r="W138" s="724"/>
      <c r="X138" s="1358"/>
    </row>
    <row r="139" spans="1:24" ht="13.5" thickBot="1">
      <c r="A139" s="858"/>
      <c r="B139" s="722"/>
      <c r="C139" s="769"/>
      <c r="D139" s="769"/>
      <c r="E139" s="769"/>
      <c r="F139" s="769"/>
      <c r="G139" s="769"/>
      <c r="H139" s="769"/>
      <c r="I139" s="769"/>
      <c r="J139" s="769"/>
      <c r="K139" s="769"/>
      <c r="L139" s="769"/>
      <c r="M139" s="769"/>
      <c r="N139" s="723"/>
      <c r="O139" s="774"/>
      <c r="P139" s="774"/>
      <c r="Q139" s="774"/>
      <c r="R139" s="774"/>
      <c r="S139" s="774"/>
      <c r="T139" s="774"/>
      <c r="U139" s="774"/>
      <c r="V139" s="774"/>
      <c r="W139" s="724"/>
      <c r="X139" s="1358"/>
    </row>
    <row r="140" spans="1:24" ht="28.5" customHeight="1" thickBot="1">
      <c r="A140" s="858"/>
      <c r="B140" s="722"/>
      <c r="C140" s="1484" t="s">
        <v>336</v>
      </c>
      <c r="D140" s="1485"/>
      <c r="E140" s="1485"/>
      <c r="F140" s="1486"/>
      <c r="G140" s="769"/>
      <c r="H140" s="769"/>
      <c r="I140" s="1484" t="s">
        <v>337</v>
      </c>
      <c r="J140" s="1485"/>
      <c r="K140" s="1485"/>
      <c r="L140" s="1485"/>
      <c r="M140" s="1486"/>
      <c r="N140" s="723"/>
      <c r="O140" s="774"/>
      <c r="P140" s="774"/>
      <c r="Q140" s="774"/>
      <c r="R140" s="774"/>
      <c r="S140" s="774"/>
      <c r="T140" s="774"/>
      <c r="U140" s="774"/>
      <c r="V140" s="774"/>
      <c r="W140" s="724"/>
      <c r="X140" s="1358"/>
    </row>
    <row r="141" spans="1:24" ht="13.5" thickBot="1">
      <c r="A141" s="858"/>
      <c r="B141" s="722"/>
      <c r="C141" s="975" t="s">
        <v>585</v>
      </c>
      <c r="D141" s="1498" t="str">
        <f>'Start-Experte'!E18</f>
        <v>gewähltes Szenario</v>
      </c>
      <c r="E141" s="1498"/>
      <c r="F141" s="1499"/>
      <c r="G141" s="769"/>
      <c r="H141" s="769"/>
      <c r="I141" s="1502" t="s">
        <v>585</v>
      </c>
      <c r="J141" s="1503"/>
      <c r="K141" s="1504"/>
      <c r="L141" s="1461" t="str">
        <f>'Start-Experte'!L18</f>
        <v>gewähltes Szenario</v>
      </c>
      <c r="M141" s="1462">
        <f>'Start-Experte'!M18</f>
        <v>0</v>
      </c>
      <c r="N141" s="723"/>
      <c r="O141" s="774"/>
      <c r="P141" s="774"/>
      <c r="Q141" s="774"/>
      <c r="R141" s="774"/>
      <c r="S141" s="774"/>
      <c r="T141" s="774"/>
      <c r="U141" s="774"/>
      <c r="V141" s="774"/>
      <c r="W141" s="724"/>
      <c r="X141" s="1358"/>
    </row>
    <row r="142" spans="1:24" ht="25.5">
      <c r="A142" s="858"/>
      <c r="B142" s="722"/>
      <c r="C142" s="837" t="str">
        <f>'Start-Experte'!C19</f>
        <v>Privilegierter 
Letztverbrauch</v>
      </c>
      <c r="D142" s="969" t="str">
        <f>'Start-Experte'!E19</f>
        <v>Referenz</v>
      </c>
      <c r="E142" s="1473" t="str">
        <f>'Start-Experte'!F19</f>
        <v>MFP Referenz</v>
      </c>
      <c r="F142" s="1474"/>
      <c r="G142" s="769"/>
      <c r="H142" s="770"/>
      <c r="I142" s="1481" t="str">
        <f>'Start-Experte'!I19</f>
        <v>Großhandelsstrompreis (Future)</v>
      </c>
      <c r="J142" s="1482"/>
      <c r="K142" s="1483"/>
      <c r="L142" s="969" t="str">
        <f>'Start-Experte'!L19</f>
        <v>Referenz</v>
      </c>
      <c r="M142" s="911" t="str">
        <f>'Start-Experte'!M19</f>
        <v>7,8 -&gt; 5,4 ct/kWh</v>
      </c>
      <c r="N142" s="723"/>
      <c r="O142" s="774"/>
      <c r="P142" s="774"/>
      <c r="Q142" s="774"/>
      <c r="R142" s="774"/>
      <c r="S142" s="774"/>
      <c r="T142" s="774"/>
      <c r="U142" s="774"/>
      <c r="V142" s="774"/>
      <c r="W142" s="724"/>
      <c r="X142" s="1358"/>
    </row>
    <row r="143" spans="1:24" ht="25.5">
      <c r="A143" s="858"/>
      <c r="B143" s="722"/>
      <c r="C143" s="838" t="str">
        <f>'Start-Experte'!C20</f>
        <v>Anteil an Umlage für privilegierte Letztverbraucher</v>
      </c>
      <c r="D143" s="970" t="str">
        <f>'Start-Experte'!E20</f>
        <v>Referenz</v>
      </c>
      <c r="E143" s="1487" t="str">
        <f>'Start-Experte'!F20</f>
        <v>15% (gem. EEG 2021)</v>
      </c>
      <c r="F143" s="1488"/>
      <c r="G143" s="769"/>
      <c r="H143" s="770"/>
      <c r="I143" s="1475" t="str">
        <f>'Start-Experte'!I20</f>
        <v>Liquiditätsreserve</v>
      </c>
      <c r="J143" s="1476"/>
      <c r="K143" s="1477"/>
      <c r="L143" s="974" t="str">
        <f>'Start-Experte'!L20</f>
        <v>Referenz</v>
      </c>
      <c r="M143" s="762" t="str">
        <f>'Start-Experte'!M20</f>
        <v>ÜNB-Umlageberechnungen, danach 6%</v>
      </c>
      <c r="N143" s="723"/>
      <c r="O143" s="774"/>
      <c r="P143" s="774"/>
      <c r="Q143" s="774"/>
      <c r="R143" s="774"/>
      <c r="S143" s="774"/>
      <c r="T143" s="774"/>
      <c r="U143" s="774"/>
      <c r="V143" s="774"/>
      <c r="W143" s="724"/>
      <c r="X143" s="1358"/>
    </row>
    <row r="144" spans="1:24" ht="26.25" customHeight="1" thickBot="1">
      <c r="A144" s="858"/>
      <c r="B144" s="722"/>
      <c r="C144" s="839" t="str">
        <f>'Start-Experte'!C21</f>
        <v>Faktor zur Erfassung zusätzlicher Privilegierungen</v>
      </c>
      <c r="D144" s="971" t="str">
        <f>'Start-Experte'!E21</f>
        <v>Referenz</v>
      </c>
      <c r="E144" s="1500" t="str">
        <f>'Start-Experte'!F21</f>
        <v>Bis 2022: ÜNB-Umlageberechnungen, danach konstant (wirkt wie vollständige Befreiung von 62% des priv. LV)</v>
      </c>
      <c r="F144" s="1501"/>
      <c r="G144" s="769"/>
      <c r="H144" s="770"/>
      <c r="I144" s="1475" t="str">
        <f>'Start-Experte'!I21</f>
        <v>Kontostand am 30.9.2022</v>
      </c>
      <c r="J144" s="1476"/>
      <c r="K144" s="1477"/>
      <c r="L144" s="974" t="str">
        <f>'Start-Experte'!L21</f>
        <v>endogen</v>
      </c>
      <c r="M144" s="762" t="str">
        <f>'Start-Experte'!M21</f>
        <v>wird endogen berechnet</v>
      </c>
      <c r="N144" s="723"/>
      <c r="O144" s="774"/>
      <c r="P144" s="774"/>
      <c r="Q144" s="774"/>
      <c r="R144" s="774"/>
      <c r="S144" s="774"/>
      <c r="T144" s="774"/>
      <c r="U144" s="774"/>
      <c r="V144" s="774"/>
      <c r="W144" s="724"/>
      <c r="X144" s="1358"/>
    </row>
    <row r="145" spans="1:24" ht="26.25" customHeight="1">
      <c r="A145" s="858"/>
      <c r="B145" s="722"/>
      <c r="C145" s="769"/>
      <c r="D145" s="769"/>
      <c r="E145" s="769"/>
      <c r="F145" s="769"/>
      <c r="G145" s="769"/>
      <c r="H145" s="769"/>
      <c r="I145" s="1475" t="str">
        <f>'Start-Experte'!I22</f>
        <v>Alternativ: Abweichung von Kontostandsprognose für den 30.9.2022</v>
      </c>
      <c r="J145" s="1476"/>
      <c r="K145" s="1477"/>
      <c r="L145" s="970" t="str">
        <f>'Start-Experte'!L22</f>
        <v>keine Abweichung</v>
      </c>
      <c r="M145" s="1226" t="str">
        <f>'Start-Experte'!M22</f>
        <v>keine Abweichung</v>
      </c>
      <c r="N145" s="723"/>
      <c r="O145" s="774"/>
      <c r="P145" s="774"/>
      <c r="Q145" s="774"/>
      <c r="R145" s="774"/>
      <c r="S145" s="774"/>
      <c r="T145" s="774"/>
      <c r="U145" s="774"/>
      <c r="V145" s="774"/>
      <c r="W145" s="724"/>
      <c r="X145" s="1358"/>
    </row>
    <row r="146" spans="1:24" ht="22.5" customHeight="1" thickBot="1">
      <c r="A146" s="858"/>
      <c r="B146" s="722"/>
      <c r="C146" s="769"/>
      <c r="D146" s="769"/>
      <c r="E146" s="769"/>
      <c r="F146" s="769"/>
      <c r="G146" s="769"/>
      <c r="H146" s="769"/>
      <c r="I146" s="1478" t="s">
        <v>871</v>
      </c>
      <c r="J146" s="1479"/>
      <c r="K146" s="1480"/>
      <c r="L146" s="973" t="str">
        <f>'Start-Experte'!L45</f>
        <v>Referenz</v>
      </c>
      <c r="M146" s="764" t="str">
        <f>'Start-Experte'!J45</f>
        <v>frei wählbar -&gt;</v>
      </c>
      <c r="N146" s="723"/>
      <c r="O146" s="774"/>
      <c r="P146" s="774"/>
      <c r="Q146" s="774"/>
      <c r="R146" s="774"/>
      <c r="S146" s="774"/>
      <c r="T146" s="774"/>
      <c r="U146" s="774"/>
      <c r="V146" s="774"/>
      <c r="W146" s="724"/>
      <c r="X146" s="1358"/>
    </row>
    <row r="147" spans="1:24" ht="27.75" customHeight="1" thickBot="1">
      <c r="A147" s="858"/>
      <c r="B147" s="722"/>
      <c r="C147" s="1484" t="s">
        <v>345</v>
      </c>
      <c r="D147" s="1485"/>
      <c r="E147" s="1485"/>
      <c r="F147" s="1486"/>
      <c r="G147" s="769"/>
      <c r="H147" s="769"/>
      <c r="I147" s="960"/>
      <c r="J147" s="960"/>
      <c r="K147" s="960"/>
      <c r="L147" s="960"/>
      <c r="M147" s="960"/>
      <c r="N147" s="723"/>
      <c r="O147" s="774"/>
      <c r="P147" s="774"/>
      <c r="Q147" s="774"/>
      <c r="R147" s="774"/>
      <c r="S147" s="774"/>
      <c r="T147" s="774"/>
      <c r="U147" s="774"/>
      <c r="V147" s="774"/>
      <c r="W147" s="724"/>
      <c r="X147" s="1358"/>
    </row>
    <row r="148" spans="1:24" ht="26.25" thickBot="1">
      <c r="A148" s="858"/>
      <c r="B148" s="722"/>
      <c r="C148" s="975" t="str">
        <f>'Start-Experte'!C25</f>
        <v>Kategorien Eigenverbrauch
und jeweilige Beteiligung</v>
      </c>
      <c r="D148" s="1461" t="str">
        <f>'Start-Experte'!E25</f>
        <v>gewähltes Szenario</v>
      </c>
      <c r="E148" s="1461"/>
      <c r="F148" s="1462"/>
      <c r="G148" s="769"/>
      <c r="H148" s="769"/>
      <c r="I148" s="960"/>
      <c r="J148" s="960"/>
      <c r="K148" s="960"/>
      <c r="L148" s="960"/>
      <c r="M148" s="960"/>
      <c r="N148" s="723"/>
      <c r="O148" s="774"/>
      <c r="P148" s="774"/>
      <c r="Q148" s="774"/>
      <c r="R148" s="774"/>
      <c r="S148" s="774"/>
      <c r="T148" s="774"/>
      <c r="U148" s="774"/>
      <c r="V148" s="774"/>
      <c r="W148" s="724"/>
      <c r="X148" s="1358"/>
    </row>
    <row r="149" spans="1:24" ht="25.5">
      <c r="A149" s="858"/>
      <c r="B149" s="722"/>
      <c r="C149" s="837" t="str">
        <f>'Start-Experte'!C26</f>
        <v>Eigenverbrauch 
(KWK-Neuanlagen)</v>
      </c>
      <c r="D149" s="969" t="str">
        <f>'Start-Experte'!E26</f>
        <v>Referenz</v>
      </c>
      <c r="E149" s="1473" t="str">
        <f>'Start-Experte'!F26</f>
        <v>2021: ÜNB-Umlageberechnungen bis 2025, danach konstant</v>
      </c>
      <c r="F149" s="1474"/>
      <c r="G149" s="769"/>
      <c r="H149" s="770"/>
      <c r="I149" s="960"/>
      <c r="J149" s="960"/>
      <c r="K149" s="960"/>
      <c r="L149" s="960"/>
      <c r="M149" s="960"/>
      <c r="N149" s="723"/>
      <c r="O149" s="774"/>
      <c r="P149" s="774"/>
      <c r="Q149" s="774"/>
      <c r="R149" s="774"/>
      <c r="S149" s="774"/>
      <c r="T149" s="774"/>
      <c r="U149" s="774"/>
      <c r="V149" s="774"/>
      <c r="W149" s="724"/>
      <c r="X149" s="1358"/>
    </row>
    <row r="150" spans="1:24" ht="25.5">
      <c r="A150" s="858"/>
      <c r="B150" s="722"/>
      <c r="C150" s="838" t="str">
        <f>'Start-Experte'!C27</f>
        <v>Eigenverbrauchsanteil bei PV-Neuanlagen</v>
      </c>
      <c r="D150" s="970" t="str">
        <f>'Start-Experte'!E27</f>
        <v>Referenz</v>
      </c>
      <c r="E150" s="1463" t="str">
        <f>'Start-Experte'!F27</f>
        <v>9%</v>
      </c>
      <c r="F150" s="1464"/>
      <c r="G150" s="769"/>
      <c r="H150" s="770"/>
      <c r="I150" s="960"/>
      <c r="J150" s="960"/>
      <c r="K150" s="960"/>
      <c r="L150" s="960"/>
      <c r="M150" s="960"/>
      <c r="N150" s="723"/>
      <c r="O150" s="774"/>
      <c r="P150" s="774"/>
      <c r="Q150" s="774"/>
      <c r="R150" s="774"/>
      <c r="S150" s="774"/>
      <c r="T150" s="774"/>
      <c r="U150" s="774"/>
      <c r="V150" s="774"/>
      <c r="W150" s="724"/>
      <c r="X150" s="1358"/>
    </row>
    <row r="151" spans="1:24" ht="25.5">
      <c r="A151" s="858"/>
      <c r="B151" s="722"/>
      <c r="C151" s="838" t="str">
        <f>'Start-Experte'!C28</f>
        <v>Anteil an Umlage für neuen Eigenverbrauch (PV und KWK)</v>
      </c>
      <c r="D151" s="970" t="str">
        <f>'Start-Experte'!E28</f>
        <v>Referenz</v>
      </c>
      <c r="E151" s="1463" t="str">
        <f>'Start-Experte'!F28</f>
        <v>gem. EEG 2017, ab 2020 konstant 38%</v>
      </c>
      <c r="F151" s="1464"/>
      <c r="G151" s="769"/>
      <c r="H151" s="770"/>
      <c r="I151" s="960"/>
      <c r="J151" s="960"/>
      <c r="K151" s="960"/>
      <c r="L151" s="960"/>
      <c r="M151" s="960"/>
      <c r="N151" s="723"/>
      <c r="O151" s="774"/>
      <c r="P151" s="774"/>
      <c r="Q151" s="774"/>
      <c r="R151" s="774"/>
      <c r="S151" s="774"/>
      <c r="T151" s="774"/>
      <c r="U151" s="774"/>
      <c r="V151" s="774"/>
      <c r="W151" s="724"/>
      <c r="X151" s="1358"/>
    </row>
    <row r="152" spans="1:24" ht="39" thickBot="1">
      <c r="A152" s="858"/>
      <c r="B152" s="722"/>
      <c r="C152" s="839" t="str">
        <f>'Start-Experte'!C29</f>
        <v>Anteil an Umlage für Eigenverbrauch 
(Bestandsanlagen)</v>
      </c>
      <c r="D152" s="973" t="str">
        <f>'Start-Experte'!E29</f>
        <v>Referenz</v>
      </c>
      <c r="E152" s="1465" t="str">
        <f>'Start-Experte'!F29</f>
        <v>vollständig befreit (gem. EEG 2014)</v>
      </c>
      <c r="F152" s="1466"/>
      <c r="G152" s="769"/>
      <c r="H152" s="770"/>
      <c r="I152" s="960"/>
      <c r="J152" s="960"/>
      <c r="K152" s="960"/>
      <c r="L152" s="960"/>
      <c r="M152" s="960"/>
      <c r="N152" s="723"/>
      <c r="O152" s="774"/>
      <c r="P152" s="774"/>
      <c r="Q152" s="774"/>
      <c r="R152" s="774"/>
      <c r="S152" s="774"/>
      <c r="T152" s="774"/>
      <c r="U152" s="774"/>
      <c r="V152" s="774"/>
      <c r="W152" s="724"/>
      <c r="X152" s="1358"/>
    </row>
    <row r="153" spans="1:24" s="142" customFormat="1">
      <c r="A153" s="858"/>
      <c r="B153" s="976"/>
      <c r="C153" s="977"/>
      <c r="D153" s="977"/>
      <c r="E153" s="977"/>
      <c r="F153" s="977"/>
      <c r="G153" s="977"/>
      <c r="H153" s="775"/>
      <c r="I153" s="978"/>
      <c r="J153" s="978"/>
      <c r="K153" s="978"/>
      <c r="L153" s="978"/>
      <c r="M153" s="978"/>
      <c r="N153" s="979"/>
      <c r="O153" s="978"/>
      <c r="P153" s="978"/>
      <c r="Q153" s="978"/>
      <c r="R153" s="978"/>
      <c r="S153" s="978"/>
      <c r="T153" s="978"/>
      <c r="U153" s="978"/>
      <c r="V153" s="978"/>
      <c r="W153" s="980"/>
      <c r="X153" s="841"/>
    </row>
    <row r="154" spans="1:24" s="142" customFormat="1">
      <c r="A154" s="858"/>
      <c r="B154" s="858"/>
      <c r="C154" s="858"/>
      <c r="D154" s="858"/>
      <c r="E154" s="858"/>
      <c r="F154" s="858"/>
      <c r="G154" s="858"/>
      <c r="H154" s="858"/>
      <c r="I154" s="858"/>
      <c r="J154" s="858"/>
      <c r="K154" s="858"/>
      <c r="L154" s="858"/>
      <c r="M154" s="858"/>
      <c r="N154" s="858"/>
      <c r="O154" s="858"/>
      <c r="P154" s="858"/>
      <c r="Q154" s="858"/>
      <c r="R154" s="858"/>
      <c r="S154" s="858"/>
      <c r="T154" s="858"/>
      <c r="U154" s="858"/>
      <c r="V154" s="858"/>
      <c r="W154" s="858"/>
      <c r="X154" s="165"/>
    </row>
    <row r="155" spans="1:24" s="142" customFormat="1">
      <c r="A155" s="858"/>
      <c r="B155" s="716" t="s">
        <v>653</v>
      </c>
      <c r="C155" s="717"/>
      <c r="D155" s="717"/>
      <c r="E155" s="717"/>
      <c r="F155" s="717"/>
      <c r="G155" s="717"/>
      <c r="H155" s="717"/>
      <c r="I155" s="717"/>
      <c r="J155" s="717"/>
      <c r="K155" s="717"/>
      <c r="L155" s="717"/>
      <c r="M155" s="717"/>
      <c r="N155" s="717"/>
      <c r="O155" s="717"/>
      <c r="P155" s="717"/>
      <c r="Q155" s="717"/>
      <c r="R155" s="717"/>
      <c r="S155" s="717"/>
      <c r="T155" s="717"/>
      <c r="U155" s="717"/>
      <c r="V155" s="717"/>
      <c r="W155" s="718"/>
      <c r="X155" s="1357"/>
    </row>
    <row r="156" spans="1:24" s="142" customFormat="1" ht="13.5" thickBot="1">
      <c r="A156" s="858"/>
      <c r="B156" s="959"/>
      <c r="C156" s="771"/>
      <c r="D156" s="771"/>
      <c r="E156" s="771"/>
      <c r="F156" s="771"/>
      <c r="G156" s="771"/>
      <c r="H156" s="769"/>
      <c r="I156" s="771"/>
      <c r="J156" s="771"/>
      <c r="K156" s="771"/>
      <c r="L156" s="769"/>
      <c r="M156" s="771"/>
      <c r="N156" s="961"/>
      <c r="O156" s="960"/>
      <c r="P156" s="960"/>
      <c r="Q156" s="960"/>
      <c r="R156" s="960"/>
      <c r="S156" s="960"/>
      <c r="T156" s="960"/>
      <c r="U156" s="960"/>
      <c r="V156" s="960"/>
      <c r="W156" s="962"/>
      <c r="X156" s="841"/>
    </row>
    <row r="157" spans="1:24" s="142" customFormat="1" ht="29.25" customHeight="1" thickBot="1">
      <c r="A157" s="858"/>
      <c r="B157" s="959"/>
      <c r="C157" s="1484" t="s">
        <v>339</v>
      </c>
      <c r="D157" s="1485"/>
      <c r="E157" s="1485"/>
      <c r="F157" s="1486"/>
      <c r="G157" s="771"/>
      <c r="H157" s="769"/>
      <c r="I157" s="1484" t="s">
        <v>338</v>
      </c>
      <c r="J157" s="1485"/>
      <c r="K157" s="1485"/>
      <c r="L157" s="1485"/>
      <c r="M157" s="1486"/>
      <c r="N157" s="961"/>
      <c r="O157" s="960"/>
      <c r="P157" s="960"/>
      <c r="Q157" s="960"/>
      <c r="R157" s="960"/>
      <c r="S157" s="960"/>
      <c r="T157" s="960"/>
      <c r="U157" s="960"/>
      <c r="V157" s="960"/>
      <c r="W157" s="962"/>
      <c r="X157" s="841"/>
    </row>
    <row r="158" spans="1:24" s="142" customFormat="1" ht="13.5" thickBot="1">
      <c r="A158" s="858"/>
      <c r="B158" s="959"/>
      <c r="C158" s="840" t="str">
        <f>'Start-Experte'!C33</f>
        <v>Technologie</v>
      </c>
      <c r="D158" s="1461" t="str">
        <f>'Start-Experte'!E33</f>
        <v>gewähltes Szenario</v>
      </c>
      <c r="E158" s="1461"/>
      <c r="F158" s="1462"/>
      <c r="G158" s="769"/>
      <c r="H158" s="769"/>
      <c r="I158" s="1490" t="s">
        <v>585</v>
      </c>
      <c r="J158" s="1491"/>
      <c r="K158" s="1492"/>
      <c r="L158" s="1493" t="str">
        <f>'Start-Experte'!L25</f>
        <v>gewähltes Szenario</v>
      </c>
      <c r="M158" s="1494"/>
      <c r="N158" s="961"/>
      <c r="O158" s="960"/>
      <c r="P158" s="960"/>
      <c r="Q158" s="960"/>
      <c r="R158" s="960"/>
      <c r="S158" s="960"/>
      <c r="T158" s="960"/>
      <c r="U158" s="960"/>
      <c r="V158" s="960"/>
      <c r="W158" s="962"/>
      <c r="X158" s="841"/>
    </row>
    <row r="159" spans="1:24" s="142" customFormat="1" ht="25.5">
      <c r="A159" s="858"/>
      <c r="B159" s="959"/>
      <c r="C159" s="853" t="str">
        <f>'Start-Experte'!C34</f>
        <v>Wind Onshore</v>
      </c>
      <c r="D159" s="910" t="str">
        <f>'Start-Experte'!E34</f>
        <v>Referenz</v>
      </c>
      <c r="E159" s="1473" t="str">
        <f>'Start-Experte'!F34</f>
        <v>Anstieg auf 2600h in 2035</v>
      </c>
      <c r="F159" s="1474"/>
      <c r="G159" s="769"/>
      <c r="H159" s="769"/>
      <c r="I159" s="1495" t="str">
        <f>'Start-Experte'!I26</f>
        <v>Nettostromverbrauch</v>
      </c>
      <c r="J159" s="1496"/>
      <c r="K159" s="1497"/>
      <c r="L159" s="969" t="str">
        <f>'Start-Experte'!L26</f>
        <v>Referenz</v>
      </c>
      <c r="M159" s="911" t="str">
        <f>'Start-Experte'!M26</f>
        <v>2022-2026: ÜNB-Umlageberechnung 2021. Danach ansteigend auf 600 TWh in 2030</v>
      </c>
      <c r="N159" s="961"/>
      <c r="O159" s="960"/>
      <c r="P159" s="960"/>
      <c r="Q159" s="960"/>
      <c r="R159" s="960"/>
      <c r="S159" s="960"/>
      <c r="T159" s="960"/>
      <c r="U159" s="960"/>
      <c r="V159" s="960"/>
      <c r="W159" s="962"/>
      <c r="X159" s="841"/>
    </row>
    <row r="160" spans="1:24" s="142" customFormat="1">
      <c r="A160" s="858"/>
      <c r="B160" s="959"/>
      <c r="C160" s="854" t="str">
        <f>'Start-Experte'!C35</f>
        <v>Wind Offshore</v>
      </c>
      <c r="D160" s="908" t="str">
        <f>'Start-Experte'!E35</f>
        <v>Referenz</v>
      </c>
      <c r="E160" s="1463" t="str">
        <f>'Start-Experte'!F35</f>
        <v>Anstieg auf 4700 h in 2035</v>
      </c>
      <c r="F160" s="1464"/>
      <c r="G160" s="769"/>
      <c r="H160" s="769"/>
      <c r="I160" s="1467" t="str">
        <f>'Start-Experte'!I27</f>
        <v>Spot-Skalierungsfaktor 
(Verhältnis Spotpreis zu Futurepreis)</v>
      </c>
      <c r="J160" s="1468"/>
      <c r="K160" s="1469"/>
      <c r="L160" s="972" t="str">
        <f>'Start-Experte'!L27</f>
        <v>Referenz</v>
      </c>
      <c r="M160" s="909" t="str">
        <f>'Start-Experte'!M27</f>
        <v>100%</v>
      </c>
      <c r="N160" s="961"/>
      <c r="O160" s="960"/>
      <c r="P160" s="960"/>
      <c r="Q160" s="960"/>
      <c r="R160" s="960"/>
      <c r="S160" s="960"/>
      <c r="T160" s="960"/>
      <c r="U160" s="960"/>
      <c r="V160" s="960"/>
      <c r="W160" s="962"/>
      <c r="X160" s="841"/>
    </row>
    <row r="161" spans="1:24" s="142" customFormat="1">
      <c r="A161" s="858"/>
      <c r="B161" s="959"/>
      <c r="C161" s="854" t="str">
        <f>'Start-Experte'!C36</f>
        <v>Solar</v>
      </c>
      <c r="D161" s="908" t="str">
        <f>'Start-Experte'!E36</f>
        <v>Referenz</v>
      </c>
      <c r="E161" s="1463" t="str">
        <f>'Start-Experte'!F36</f>
        <v>Anstieg auf 950h in 2035</v>
      </c>
      <c r="F161" s="1464"/>
      <c r="G161" s="769"/>
      <c r="H161" s="769"/>
      <c r="I161" s="1467" t="str">
        <f>'Start-Experte'!I28</f>
        <v>Vermiedene Netzentgelte (für nicht fluktuierende Erzeugung)</v>
      </c>
      <c r="J161" s="1468"/>
      <c r="K161" s="1469"/>
      <c r="L161" s="970" t="str">
        <f>'Start-Experte'!L28</f>
        <v>Referenz</v>
      </c>
      <c r="M161" s="909" t="str">
        <f>'Start-Experte'!M28</f>
        <v>7.17€/MWh</v>
      </c>
      <c r="N161" s="961"/>
      <c r="O161" s="960"/>
      <c r="P161" s="960"/>
      <c r="Q161" s="960"/>
      <c r="R161" s="960"/>
      <c r="S161" s="960"/>
      <c r="T161" s="960"/>
      <c r="U161" s="960"/>
      <c r="V161" s="960"/>
      <c r="W161" s="962"/>
      <c r="X161" s="841"/>
    </row>
    <row r="162" spans="1:24" s="142" customFormat="1">
      <c r="A162" s="858"/>
      <c r="B162" s="959"/>
      <c r="C162" s="854" t="str">
        <f>'Start-Experte'!C37</f>
        <v>Biomasse</v>
      </c>
      <c r="D162" s="908" t="str">
        <f>'Start-Experte'!E37</f>
        <v>Referenz</v>
      </c>
      <c r="E162" s="1463" t="str">
        <f>'Start-Experte'!F37</f>
        <v>MFP Trend</v>
      </c>
      <c r="F162" s="1464"/>
      <c r="G162" s="769"/>
      <c r="H162" s="769"/>
      <c r="I162" s="1467" t="str">
        <f>'Start-Experte'!I29</f>
        <v>Sonstige Kosten</v>
      </c>
      <c r="J162" s="1468"/>
      <c r="K162" s="1469"/>
      <c r="L162" s="970" t="str">
        <f>'Start-Experte'!L29</f>
        <v>Referenz</v>
      </c>
      <c r="M162" s="909" t="str">
        <f>'Start-Experte'!M29</f>
        <v>0,06Mrd. €</v>
      </c>
      <c r="N162" s="961"/>
      <c r="O162" s="960"/>
      <c r="P162" s="960"/>
      <c r="Q162" s="960"/>
      <c r="R162" s="960"/>
      <c r="S162" s="960"/>
      <c r="T162" s="960"/>
      <c r="U162" s="960"/>
      <c r="V162" s="960"/>
      <c r="W162" s="962"/>
      <c r="X162" s="841"/>
    </row>
    <row r="163" spans="1:24" s="142" customFormat="1" ht="13.5" thickBot="1">
      <c r="A163" s="858"/>
      <c r="B163" s="959"/>
      <c r="C163" s="854" t="str">
        <f>'Start-Experte'!C38</f>
        <v>Geothermie</v>
      </c>
      <c r="D163" s="908" t="str">
        <f>'Start-Experte'!E38</f>
        <v>Referenz</v>
      </c>
      <c r="E163" s="1463" t="str">
        <f>'Start-Experte'!F38</f>
        <v>MFP Trend</v>
      </c>
      <c r="F163" s="1464"/>
      <c r="G163" s="769"/>
      <c r="H163" s="769"/>
      <c r="I163" s="1470" t="str">
        <f>'Start-Experte'!I30</f>
        <v>Inflationsrate</v>
      </c>
      <c r="J163" s="1471"/>
      <c r="K163" s="1472"/>
      <c r="L163" s="973" t="str">
        <f>'Start-Experte'!L30</f>
        <v>Referenz</v>
      </c>
      <c r="M163" s="913" t="str">
        <f>'Start-Experte'!M30</f>
        <v>1,5% pro Jahr</v>
      </c>
      <c r="N163" s="961"/>
      <c r="O163" s="960"/>
      <c r="P163" s="960"/>
      <c r="Q163" s="960"/>
      <c r="R163" s="960"/>
      <c r="S163" s="960"/>
      <c r="T163" s="960"/>
      <c r="U163" s="960"/>
      <c r="V163" s="960"/>
      <c r="W163" s="962"/>
      <c r="X163" s="841"/>
    </row>
    <row r="164" spans="1:24" s="142" customFormat="1">
      <c r="A164" s="858"/>
      <c r="B164" s="959"/>
      <c r="C164" s="854" t="str">
        <f>'Start-Experte'!C39</f>
        <v>Wasser</v>
      </c>
      <c r="D164" s="908" t="str">
        <f>'Start-Experte'!E39</f>
        <v>Referenz</v>
      </c>
      <c r="E164" s="1463" t="str">
        <f>'Start-Experte'!F39</f>
        <v>MFP Trend</v>
      </c>
      <c r="F164" s="1464"/>
      <c r="G164" s="769"/>
      <c r="H164" s="769"/>
      <c r="I164" s="960"/>
      <c r="J164" s="960"/>
      <c r="K164" s="960"/>
      <c r="L164" s="960"/>
      <c r="M164" s="960"/>
      <c r="N164" s="961"/>
      <c r="O164" s="960"/>
      <c r="P164" s="960"/>
      <c r="Q164" s="960"/>
      <c r="R164" s="960"/>
      <c r="S164" s="960"/>
      <c r="T164" s="960"/>
      <c r="U164" s="960"/>
      <c r="V164" s="960"/>
      <c r="W164" s="962"/>
      <c r="X164" s="841"/>
    </row>
    <row r="165" spans="1:24" s="142" customFormat="1" ht="13.5" thickBot="1">
      <c r="A165" s="858"/>
      <c r="B165" s="959"/>
      <c r="C165" s="855" t="str">
        <f>'Start-Experte'!C40</f>
        <v>Gase</v>
      </c>
      <c r="D165" s="912" t="str">
        <f>'Start-Experte'!E40</f>
        <v>Referenz</v>
      </c>
      <c r="E165" s="1465" t="str">
        <f>'Start-Experte'!F40</f>
        <v>MFP Trend</v>
      </c>
      <c r="F165" s="1466"/>
      <c r="G165" s="769"/>
      <c r="H165" s="769"/>
      <c r="I165" s="960"/>
      <c r="J165" s="960"/>
      <c r="K165" s="960"/>
      <c r="L165" s="960"/>
      <c r="M165" s="960"/>
      <c r="N165" s="961"/>
      <c r="O165" s="960"/>
      <c r="P165" s="960"/>
      <c r="Q165" s="960"/>
      <c r="R165" s="960"/>
      <c r="S165" s="960"/>
      <c r="T165" s="960"/>
      <c r="U165" s="960"/>
      <c r="V165" s="960"/>
      <c r="W165" s="962"/>
      <c r="X165" s="841"/>
    </row>
    <row r="166" spans="1:24" s="142" customFormat="1">
      <c r="A166" s="858"/>
      <c r="B166" s="959"/>
      <c r="C166" s="776"/>
      <c r="D166" s="776"/>
      <c r="E166" s="769"/>
      <c r="F166" s="772"/>
      <c r="G166" s="769"/>
      <c r="H166" s="769"/>
      <c r="I166" s="769"/>
      <c r="J166" s="772"/>
      <c r="K166" s="776"/>
      <c r="L166" s="769"/>
      <c r="M166" s="772"/>
      <c r="N166" s="961"/>
      <c r="O166" s="960"/>
      <c r="P166" s="960"/>
      <c r="Q166" s="960"/>
      <c r="R166" s="960"/>
      <c r="S166" s="960"/>
      <c r="T166" s="960"/>
      <c r="U166" s="960"/>
      <c r="V166" s="960"/>
      <c r="W166" s="962"/>
      <c r="X166" s="841"/>
    </row>
    <row r="167" spans="1:24" s="142" customFormat="1" ht="13.5" thickBot="1">
      <c r="A167" s="858"/>
      <c r="B167" s="959"/>
      <c r="C167" s="769"/>
      <c r="D167" s="769"/>
      <c r="E167" s="769"/>
      <c r="F167" s="769"/>
      <c r="G167" s="769"/>
      <c r="H167" s="769"/>
      <c r="I167" s="769"/>
      <c r="J167" s="769"/>
      <c r="K167" s="769"/>
      <c r="L167" s="769"/>
      <c r="M167" s="769"/>
      <c r="N167" s="961"/>
      <c r="O167" s="960"/>
      <c r="P167" s="960"/>
      <c r="Q167" s="960"/>
      <c r="R167" s="960"/>
      <c r="S167" s="960"/>
      <c r="T167" s="960"/>
      <c r="U167" s="960"/>
      <c r="V167" s="960"/>
      <c r="W167" s="962"/>
      <c r="X167" s="841"/>
    </row>
    <row r="168" spans="1:24" s="142" customFormat="1" ht="33.75" customHeight="1" thickBot="1">
      <c r="A168" s="858"/>
      <c r="B168" s="959"/>
      <c r="C168" s="1484" t="s">
        <v>568</v>
      </c>
      <c r="D168" s="1485"/>
      <c r="E168" s="1485"/>
      <c r="F168" s="1486"/>
      <c r="G168" s="769"/>
      <c r="H168" s="1383" t="s">
        <v>340</v>
      </c>
      <c r="I168" s="1384"/>
      <c r="J168" s="771"/>
      <c r="K168" s="1383" t="s">
        <v>341</v>
      </c>
      <c r="L168" s="1384"/>
      <c r="M168" s="960"/>
      <c r="N168" s="961"/>
      <c r="O168" s="960"/>
      <c r="P168" s="960"/>
      <c r="Q168" s="960"/>
      <c r="R168" s="960"/>
      <c r="S168" s="960"/>
      <c r="T168" s="960"/>
      <c r="U168" s="960"/>
      <c r="V168" s="960"/>
      <c r="W168" s="962"/>
      <c r="X168" s="841"/>
    </row>
    <row r="169" spans="1:24" s="142" customFormat="1" ht="13.5" thickBot="1">
      <c r="A169" s="858"/>
      <c r="B169" s="959"/>
      <c r="C169" s="975" t="str">
        <f>'Start-Experte'!C44</f>
        <v>Technologie</v>
      </c>
      <c r="D169" s="1461" t="str">
        <f>'Start-Experte'!E44</f>
        <v>gewähltes Szenario</v>
      </c>
      <c r="E169" s="1461"/>
      <c r="F169" s="1462"/>
      <c r="G169" s="769"/>
      <c r="H169" s="1489" t="str">
        <f>'Start-Experte'!I33</f>
        <v>gewähltes Szenario</v>
      </c>
      <c r="I169" s="1462"/>
      <c r="J169" s="777"/>
      <c r="K169" s="1489" t="str">
        <f>'Start-Experte'!L33</f>
        <v>gewähltes Szenario</v>
      </c>
      <c r="L169" s="1462"/>
      <c r="M169" s="960"/>
      <c r="N169" s="961"/>
      <c r="O169" s="960"/>
      <c r="P169" s="960"/>
      <c r="Q169" s="960"/>
      <c r="R169" s="960"/>
      <c r="S169" s="960"/>
      <c r="T169" s="960"/>
      <c r="U169" s="960"/>
      <c r="V169" s="960"/>
      <c r="W169" s="962"/>
      <c r="X169" s="841"/>
    </row>
    <row r="170" spans="1:24" s="142" customFormat="1" ht="51">
      <c r="A170" s="858"/>
      <c r="B170" s="959"/>
      <c r="C170" s="837" t="str">
        <f>'Start-Experte'!C45</f>
        <v>Wind Onshore</v>
      </c>
      <c r="D170" s="969" t="str">
        <f>'Start-Experte'!E45</f>
        <v>Referenz</v>
      </c>
      <c r="E170" s="1473" t="str">
        <f>'Start-Experte'!F45</f>
        <v>5 Jahre</v>
      </c>
      <c r="F170" s="1474"/>
      <c r="G170" s="769"/>
      <c r="H170" s="963" t="str">
        <f>'Start-Experte'!I34</f>
        <v>Referenz</v>
      </c>
      <c r="I170" s="766" t="str">
        <f>'Start-Experte'!J34</f>
        <v>100%</v>
      </c>
      <c r="J170" s="777"/>
      <c r="K170" s="964" t="str">
        <f>'Start-Experte'!L34</f>
        <v>Referenz</v>
      </c>
      <c r="L170" s="911" t="str">
        <f>'Start-Experte'!M34</f>
        <v>eigene Berechnung</v>
      </c>
      <c r="M170" s="960"/>
      <c r="N170" s="961"/>
      <c r="O170" s="960"/>
      <c r="P170" s="960"/>
      <c r="Q170" s="960"/>
      <c r="R170" s="960"/>
      <c r="S170" s="960"/>
      <c r="T170" s="960"/>
      <c r="U170" s="960"/>
      <c r="V170" s="960"/>
      <c r="W170" s="962"/>
      <c r="X170" s="841"/>
    </row>
    <row r="171" spans="1:24" s="142" customFormat="1" ht="51">
      <c r="A171" s="858"/>
      <c r="B171" s="959"/>
      <c r="C171" s="838" t="str">
        <f>'Start-Experte'!C46</f>
        <v>Wind Offshore</v>
      </c>
      <c r="D171" s="970" t="str">
        <f>'Start-Experte'!E46</f>
        <v>Referenz</v>
      </c>
      <c r="E171" s="1463" t="str">
        <f>'Start-Experte'!F46</f>
        <v>keine</v>
      </c>
      <c r="F171" s="1464"/>
      <c r="G171" s="769"/>
      <c r="H171" s="965" t="str">
        <f>'Start-Experte'!I35</f>
        <v>Referenz</v>
      </c>
      <c r="I171" s="767" t="str">
        <f>'Start-Experte'!J35</f>
        <v>100%</v>
      </c>
      <c r="J171" s="777"/>
      <c r="K171" s="966" t="str">
        <f>'Start-Experte'!L35</f>
        <v>Referenz</v>
      </c>
      <c r="L171" s="909" t="str">
        <f>'Start-Experte'!M35</f>
        <v>eigene Berechnung</v>
      </c>
      <c r="M171" s="960"/>
      <c r="N171" s="961"/>
      <c r="O171" s="960"/>
      <c r="P171" s="960"/>
      <c r="Q171" s="960"/>
      <c r="R171" s="960"/>
      <c r="S171" s="960"/>
      <c r="T171" s="960"/>
      <c r="U171" s="960"/>
      <c r="V171" s="960"/>
      <c r="W171" s="962"/>
      <c r="X171" s="841"/>
    </row>
    <row r="172" spans="1:24" s="142" customFormat="1" ht="51">
      <c r="A172" s="858"/>
      <c r="B172" s="959"/>
      <c r="C172" s="838" t="str">
        <f>'Start-Experte'!C47</f>
        <v>Solar</v>
      </c>
      <c r="D172" s="970" t="str">
        <f>'Start-Experte'!E47</f>
        <v>Referenz</v>
      </c>
      <c r="E172" s="1463" t="str">
        <f>'Start-Experte'!F47</f>
        <v>5 Jahre</v>
      </c>
      <c r="F172" s="1464"/>
      <c r="G172" s="769"/>
      <c r="H172" s="965" t="str">
        <f>'Start-Experte'!I36</f>
        <v>Referenz</v>
      </c>
      <c r="I172" s="767" t="str">
        <f>'Start-Experte'!J36</f>
        <v>100%</v>
      </c>
      <c r="J172" s="776"/>
      <c r="K172" s="966" t="str">
        <f>'Start-Experte'!L36</f>
        <v>Referenz</v>
      </c>
      <c r="L172" s="909" t="str">
        <f>'Start-Experte'!M36</f>
        <v>eigene Berechnung</v>
      </c>
      <c r="M172" s="960"/>
      <c r="N172" s="961"/>
      <c r="O172" s="960"/>
      <c r="P172" s="960"/>
      <c r="Q172" s="960"/>
      <c r="R172" s="960"/>
      <c r="S172" s="960"/>
      <c r="T172" s="960"/>
      <c r="U172" s="960"/>
      <c r="V172" s="960"/>
      <c r="W172" s="962"/>
      <c r="X172" s="841"/>
    </row>
    <row r="173" spans="1:24" s="142" customFormat="1">
      <c r="A173" s="858"/>
      <c r="B173" s="959"/>
      <c r="C173" s="838" t="str">
        <f>'Start-Experte'!C48</f>
        <v>Biomasse</v>
      </c>
      <c r="D173" s="970" t="str">
        <f>'Start-Experte'!E48</f>
        <v>Referenz</v>
      </c>
      <c r="E173" s="1463" t="str">
        <f>'Start-Experte'!F48</f>
        <v>keine</v>
      </c>
      <c r="F173" s="1464"/>
      <c r="G173" s="769"/>
      <c r="H173" s="965" t="str">
        <f>'Start-Experte'!I37</f>
        <v>Referenz</v>
      </c>
      <c r="I173" s="767" t="str">
        <f>'Start-Experte'!J37</f>
        <v>100%</v>
      </c>
      <c r="J173" s="777"/>
      <c r="K173" s="966" t="str">
        <f>'Start-Experte'!L37</f>
        <v>Referenz</v>
      </c>
      <c r="L173" s="909" t="str">
        <f>'Start-Experte'!M37</f>
        <v>100%</v>
      </c>
      <c r="M173" s="960"/>
      <c r="N173" s="961"/>
      <c r="O173" s="960"/>
      <c r="P173" s="960"/>
      <c r="Q173" s="960"/>
      <c r="R173" s="960"/>
      <c r="S173" s="960"/>
      <c r="T173" s="960"/>
      <c r="U173" s="960"/>
      <c r="V173" s="960"/>
      <c r="W173" s="962"/>
      <c r="X173" s="841"/>
    </row>
    <row r="174" spans="1:24" s="142" customFormat="1">
      <c r="A174" s="858"/>
      <c r="B174" s="959"/>
      <c r="C174" s="838" t="str">
        <f>'Start-Experte'!C49</f>
        <v>Geothermie</v>
      </c>
      <c r="D174" s="970" t="str">
        <f>'Start-Experte'!E49</f>
        <v>Referenz</v>
      </c>
      <c r="E174" s="1463" t="str">
        <f>'Start-Experte'!F49</f>
        <v>keine</v>
      </c>
      <c r="F174" s="1464"/>
      <c r="G174" s="769"/>
      <c r="H174" s="965" t="str">
        <f>'Start-Experte'!I38</f>
        <v>Referenz</v>
      </c>
      <c r="I174" s="767" t="str">
        <f>'Start-Experte'!J38</f>
        <v>100%</v>
      </c>
      <c r="J174" s="777"/>
      <c r="K174" s="966" t="str">
        <f>'Start-Experte'!L38</f>
        <v>Referenz</v>
      </c>
      <c r="L174" s="909" t="str">
        <f>'Start-Experte'!M38</f>
        <v>100%</v>
      </c>
      <c r="M174" s="960"/>
      <c r="N174" s="961"/>
      <c r="O174" s="960"/>
      <c r="P174" s="960"/>
      <c r="Q174" s="960"/>
      <c r="R174" s="960"/>
      <c r="S174" s="960"/>
      <c r="T174" s="960"/>
      <c r="U174" s="960"/>
      <c r="V174" s="960"/>
      <c r="W174" s="962"/>
      <c r="X174" s="841"/>
    </row>
    <row r="175" spans="1:24" s="142" customFormat="1">
      <c r="A175" s="858"/>
      <c r="B175" s="959"/>
      <c r="C175" s="838" t="str">
        <f>'Start-Experte'!C50</f>
        <v>Wasser</v>
      </c>
      <c r="D175" s="970" t="str">
        <f>'Start-Experte'!E50</f>
        <v>Referenz</v>
      </c>
      <c r="E175" s="1463" t="str">
        <f>'Start-Experte'!F50</f>
        <v>keine</v>
      </c>
      <c r="F175" s="1464"/>
      <c r="G175" s="769"/>
      <c r="H175" s="965" t="str">
        <f>'Start-Experte'!I39</f>
        <v>Referenz</v>
      </c>
      <c r="I175" s="767" t="str">
        <f>'Start-Experte'!J39</f>
        <v>100%</v>
      </c>
      <c r="J175" s="777"/>
      <c r="K175" s="966" t="str">
        <f>'Start-Experte'!L39</f>
        <v>Referenz</v>
      </c>
      <c r="L175" s="909" t="str">
        <f>'Start-Experte'!M39</f>
        <v>100%</v>
      </c>
      <c r="M175" s="960"/>
      <c r="N175" s="961"/>
      <c r="O175" s="960"/>
      <c r="P175" s="960"/>
      <c r="Q175" s="960"/>
      <c r="R175" s="960"/>
      <c r="S175" s="960"/>
      <c r="T175" s="960"/>
      <c r="U175" s="960"/>
      <c r="V175" s="960"/>
      <c r="W175" s="962"/>
      <c r="X175" s="841"/>
    </row>
    <row r="176" spans="1:24" s="142" customFormat="1" ht="13.5" thickBot="1">
      <c r="A176" s="858"/>
      <c r="B176" s="959"/>
      <c r="C176" s="839" t="str">
        <f>'Start-Experte'!C51</f>
        <v>Gase</v>
      </c>
      <c r="D176" s="973" t="str">
        <f>'Start-Experte'!E51</f>
        <v>Referenz</v>
      </c>
      <c r="E176" s="1465" t="str">
        <f>'Start-Experte'!F51</f>
        <v>keine</v>
      </c>
      <c r="F176" s="1466"/>
      <c r="G176" s="769"/>
      <c r="H176" s="967" t="str">
        <f>'Start-Experte'!I40</f>
        <v>Referenz</v>
      </c>
      <c r="I176" s="768" t="str">
        <f>'Start-Experte'!J40</f>
        <v>100%</v>
      </c>
      <c r="J176" s="777"/>
      <c r="K176" s="968" t="str">
        <f>'Start-Experte'!L40</f>
        <v>Referenz</v>
      </c>
      <c r="L176" s="913" t="str">
        <f>'Start-Experte'!M40</f>
        <v>100%</v>
      </c>
      <c r="M176" s="960"/>
      <c r="N176" s="961"/>
      <c r="O176" s="960"/>
      <c r="P176" s="960"/>
      <c r="Q176" s="960"/>
      <c r="R176" s="960"/>
      <c r="S176" s="960"/>
      <c r="T176" s="960"/>
      <c r="U176" s="960"/>
      <c r="V176" s="960"/>
      <c r="W176" s="962"/>
      <c r="X176" s="841"/>
    </row>
    <row r="177" spans="1:24">
      <c r="A177" s="858"/>
      <c r="B177" s="726"/>
      <c r="C177" s="775"/>
      <c r="D177" s="775"/>
      <c r="E177" s="775"/>
      <c r="F177" s="778"/>
      <c r="G177" s="775"/>
      <c r="H177" s="775"/>
      <c r="I177" s="775"/>
      <c r="J177" s="775"/>
      <c r="K177" s="775"/>
      <c r="L177" s="775"/>
      <c r="M177" s="775"/>
      <c r="N177" s="775"/>
      <c r="O177" s="775"/>
      <c r="P177" s="775"/>
      <c r="Q177" s="775"/>
      <c r="R177" s="775"/>
      <c r="S177" s="775"/>
      <c r="T177" s="775"/>
      <c r="U177" s="775"/>
      <c r="V177" s="775"/>
      <c r="W177" s="728"/>
      <c r="X177" s="1358"/>
    </row>
    <row r="178" spans="1:24">
      <c r="A178" s="858"/>
      <c r="B178" s="858"/>
      <c r="C178" s="858"/>
      <c r="D178" s="858"/>
      <c r="E178" s="858"/>
      <c r="F178" s="858"/>
      <c r="G178" s="858"/>
      <c r="H178" s="858"/>
      <c r="I178" s="858"/>
      <c r="J178" s="858"/>
      <c r="K178" s="858"/>
      <c r="L178" s="858"/>
      <c r="M178" s="858"/>
      <c r="N178" s="858"/>
      <c r="O178" s="858"/>
      <c r="P178" s="858"/>
      <c r="Q178" s="858"/>
      <c r="R178" s="858"/>
      <c r="S178" s="858"/>
      <c r="T178" s="858"/>
      <c r="U178" s="858"/>
      <c r="V178" s="858"/>
      <c r="W178" s="858"/>
      <c r="X178" s="858"/>
    </row>
    <row r="179" spans="1:24">
      <c r="A179" s="859"/>
      <c r="X179" s="859"/>
    </row>
    <row r="180" spans="1:24">
      <c r="A180" s="859"/>
      <c r="X180" s="859"/>
    </row>
    <row r="181" spans="1:24">
      <c r="A181" s="859"/>
      <c r="X181" s="859"/>
    </row>
    <row r="182" spans="1:24">
      <c r="A182" s="859"/>
      <c r="X182" s="859"/>
    </row>
    <row r="183" spans="1:24">
      <c r="A183" s="859"/>
      <c r="X183" s="859"/>
    </row>
    <row r="184" spans="1:24">
      <c r="A184" s="859"/>
      <c r="X184" s="859"/>
    </row>
    <row r="185" spans="1:24">
      <c r="A185" s="859"/>
      <c r="X185" s="859"/>
    </row>
    <row r="186" spans="1:24">
      <c r="A186" s="859"/>
      <c r="X186" s="859"/>
    </row>
    <row r="187" spans="1:24">
      <c r="A187" s="859"/>
      <c r="X187" s="859"/>
    </row>
    <row r="188" spans="1:24">
      <c r="A188" s="859"/>
      <c r="X188" s="859"/>
    </row>
    <row r="189" spans="1:24">
      <c r="A189" s="859"/>
      <c r="X189" s="859"/>
    </row>
    <row r="190" spans="1:24">
      <c r="A190" s="859"/>
    </row>
    <row r="191" spans="1:24">
      <c r="A191" s="859"/>
    </row>
    <row r="192" spans="1:24">
      <c r="A192" s="859"/>
    </row>
    <row r="193" spans="1:1">
      <c r="A193" s="859"/>
    </row>
    <row r="194" spans="1:1">
      <c r="A194" s="859"/>
    </row>
    <row r="195" spans="1:1">
      <c r="A195" s="859"/>
    </row>
    <row r="196" spans="1:1">
      <c r="A196" s="859"/>
    </row>
    <row r="197" spans="1:1">
      <c r="A197" s="859"/>
    </row>
    <row r="198" spans="1:1">
      <c r="A198" s="859"/>
    </row>
    <row r="199" spans="1:1">
      <c r="A199" s="859"/>
    </row>
    <row r="200" spans="1:1">
      <c r="A200" s="859"/>
    </row>
    <row r="201" spans="1:1">
      <c r="A201" s="859"/>
    </row>
    <row r="202" spans="1:1">
      <c r="A202" s="859"/>
    </row>
    <row r="203" spans="1:1">
      <c r="A203" s="859"/>
    </row>
    <row r="204" spans="1:1">
      <c r="A204" s="859"/>
    </row>
    <row r="205" spans="1:1">
      <c r="A205" s="859"/>
    </row>
    <row r="206" spans="1:1">
      <c r="A206" s="859"/>
    </row>
    <row r="207" spans="1:1">
      <c r="A207" s="859"/>
    </row>
    <row r="208" spans="1:1">
      <c r="A208" s="859"/>
    </row>
    <row r="209" spans="1:1">
      <c r="A209" s="859"/>
    </row>
    <row r="210" spans="1:1">
      <c r="A210" s="859"/>
    </row>
  </sheetData>
  <sheetProtection algorithmName="SHA-512" hashValue="1pGxBhweUqql3qQ/sjdgluWev1iIufAMcB0aSGSdILXQrzNFzBCGW9z8VYUJBUCoQNIf7mdr8aqzjl2JrtmgNg==" saltValue="jgLBc9HH3Jxx0PNOpMBIGQ==" spinCount="100000" sheet="1" objects="1" scenarios="1"/>
  <mergeCells count="85">
    <mergeCell ref="C2:C3"/>
    <mergeCell ref="O101:V101"/>
    <mergeCell ref="O103:V103"/>
    <mergeCell ref="O114:V114"/>
    <mergeCell ref="C101:J101"/>
    <mergeCell ref="C103:J103"/>
    <mergeCell ref="C107:J107"/>
    <mergeCell ref="C113:J113"/>
    <mergeCell ref="U6:V8"/>
    <mergeCell ref="U9:V9"/>
    <mergeCell ref="U10:V10"/>
    <mergeCell ref="T2:U3"/>
    <mergeCell ref="O122:O124"/>
    <mergeCell ref="I129:M129"/>
    <mergeCell ref="O115:O121"/>
    <mergeCell ref="O104:O110"/>
    <mergeCell ref="O102:P102"/>
    <mergeCell ref="O111:O113"/>
    <mergeCell ref="I131:K131"/>
    <mergeCell ref="I132:K132"/>
    <mergeCell ref="I133:K133"/>
    <mergeCell ref="I130:K130"/>
    <mergeCell ref="L130:M130"/>
    <mergeCell ref="C129:F129"/>
    <mergeCell ref="E134:F134"/>
    <mergeCell ref="E135:F135"/>
    <mergeCell ref="E131:F131"/>
    <mergeCell ref="E132:F132"/>
    <mergeCell ref="E133:F133"/>
    <mergeCell ref="D130:F130"/>
    <mergeCell ref="C168:F168"/>
    <mergeCell ref="I159:K159"/>
    <mergeCell ref="I160:K160"/>
    <mergeCell ref="C157:F157"/>
    <mergeCell ref="E136:F136"/>
    <mergeCell ref="E137:F137"/>
    <mergeCell ref="D141:F141"/>
    <mergeCell ref="C140:F140"/>
    <mergeCell ref="E152:F152"/>
    <mergeCell ref="E149:F149"/>
    <mergeCell ref="E150:F150"/>
    <mergeCell ref="D148:F148"/>
    <mergeCell ref="E144:F144"/>
    <mergeCell ref="C147:F147"/>
    <mergeCell ref="I144:K144"/>
    <mergeCell ref="I141:K141"/>
    <mergeCell ref="H169:I169"/>
    <mergeCell ref="K169:L169"/>
    <mergeCell ref="I145:K145"/>
    <mergeCell ref="I158:K158"/>
    <mergeCell ref="I157:M157"/>
    <mergeCell ref="I146:K146"/>
    <mergeCell ref="H168:I168"/>
    <mergeCell ref="K168:L168"/>
    <mergeCell ref="L158:M158"/>
    <mergeCell ref="E151:F151"/>
    <mergeCell ref="I134:K134"/>
    <mergeCell ref="I135:K135"/>
    <mergeCell ref="I137:K137"/>
    <mergeCell ref="I136:K136"/>
    <mergeCell ref="I142:K142"/>
    <mergeCell ref="I140:M140"/>
    <mergeCell ref="I143:K143"/>
    <mergeCell ref="E142:F142"/>
    <mergeCell ref="E143:F143"/>
    <mergeCell ref="L141:M141"/>
    <mergeCell ref="D169:F169"/>
    <mergeCell ref="E175:F175"/>
    <mergeCell ref="E176:F176"/>
    <mergeCell ref="E172:F172"/>
    <mergeCell ref="E173:F173"/>
    <mergeCell ref="E174:F174"/>
    <mergeCell ref="E170:F170"/>
    <mergeCell ref="E171:F171"/>
    <mergeCell ref="D158:F158"/>
    <mergeCell ref="E164:F164"/>
    <mergeCell ref="E165:F165"/>
    <mergeCell ref="I161:K161"/>
    <mergeCell ref="I162:K162"/>
    <mergeCell ref="I163:K163"/>
    <mergeCell ref="E159:F159"/>
    <mergeCell ref="E160:F160"/>
    <mergeCell ref="E161:F161"/>
    <mergeCell ref="E162:F162"/>
    <mergeCell ref="E163:F163"/>
  </mergeCells>
  <conditionalFormatting sqref="E108:J109 Q115:V124">
    <cfRule type="cellIs" dxfId="245" priority="11" operator="lessThan">
      <formula>0</formula>
    </cfRule>
    <cfRule type="cellIs" dxfId="244" priority="12" operator="greaterThan">
      <formula>0</formula>
    </cfRule>
  </conditionalFormatting>
  <conditionalFormatting sqref="E117:J117">
    <cfRule type="cellIs" dxfId="243" priority="7" operator="lessThan">
      <formula>$S$97</formula>
    </cfRule>
    <cfRule type="cellIs" dxfId="242" priority="8" operator="greaterThan">
      <formula>$S$97</formula>
    </cfRule>
  </conditionalFormatting>
  <conditionalFormatting sqref="E110:J110">
    <cfRule type="cellIs" dxfId="241" priority="1" operator="greaterThan">
      <formula>0</formula>
    </cfRule>
    <cfRule type="cellIs" dxfId="240" priority="2" operator="lessThan">
      <formula>0</formula>
    </cfRule>
  </conditionalFormatting>
  <dataValidations count="1">
    <dataValidation type="list" allowBlank="1" showInputMessage="1" showErrorMessage="1" sqref="P58" xr:uid="{00000000-0002-0000-0400-000000000000}">
      <formula1>INDIRECT("'GrD-Grafikdaten (2)'!$F$155:$F$159")</formula1>
    </dataValidation>
  </dataValidation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returnToStartSheet">
                <anchor moveWithCells="1" sizeWithCells="1">
                  <from>
                    <xdr:col>3</xdr:col>
                    <xdr:colOff>628650</xdr:colOff>
                    <xdr:row>1</xdr:row>
                    <xdr:rowOff>47625</xdr:rowOff>
                  </from>
                  <to>
                    <xdr:col>6</xdr:col>
                    <xdr:colOff>28575</xdr:colOff>
                    <xdr:row>2</xdr:row>
                    <xdr:rowOff>123825</xdr:rowOff>
                  </to>
                </anchor>
              </controlPr>
            </control>
          </mc:Choice>
        </mc:AlternateContent>
        <mc:AlternateContent xmlns:mc="http://schemas.openxmlformats.org/markup-compatibility/2006">
          <mc:Choice Requires="x14">
            <control shapeId="157702" r:id="rId4" name="Button 6">
              <controlPr defaultSize="0" print="0" autoFill="0" autoPict="0" macro="[0]!switchNominalReal">
                <anchor moveWithCells="1" sizeWithCells="1">
                  <from>
                    <xdr:col>20</xdr:col>
                    <xdr:colOff>152400</xdr:colOff>
                    <xdr:row>9</xdr:row>
                    <xdr:rowOff>123825</xdr:rowOff>
                  </from>
                  <to>
                    <xdr:col>21</xdr:col>
                    <xdr:colOff>561975</xdr:colOff>
                    <xdr:row>11</xdr:row>
                    <xdr:rowOff>66675</xdr:rowOff>
                  </to>
                </anchor>
              </controlPr>
            </control>
          </mc:Choice>
        </mc:AlternateContent>
        <mc:AlternateContent xmlns:mc="http://schemas.openxmlformats.org/markup-compatibility/2006">
          <mc:Choice Requires="x14">
            <control shapeId="157707" r:id="rId5" name="Button 11">
              <controlPr defaultSize="0" print="0" autoFill="0" autoPict="0" macro="[0]!goToManual">
                <anchor moveWithCells="1" sizeWithCells="1">
                  <from>
                    <xdr:col>6</xdr:col>
                    <xdr:colOff>333375</xdr:colOff>
                    <xdr:row>1</xdr:row>
                    <xdr:rowOff>76200</xdr:rowOff>
                  </from>
                  <to>
                    <xdr:col>7</xdr:col>
                    <xdr:colOff>552450</xdr:colOff>
                    <xdr:row>2</xdr:row>
                    <xdr:rowOff>114300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6">
    <tabColor theme="9" tint="-0.499984740745262"/>
  </sheetPr>
  <dimension ref="A1:AF855"/>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183</v>
      </c>
      <c r="B1" s="62" t="s">
        <v>259</v>
      </c>
      <c r="C1" s="62"/>
      <c r="D1" s="19"/>
      <c r="E1" s="19"/>
      <c r="F1" s="19"/>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c r="AF5" s="330" t="s">
        <v>35</v>
      </c>
    </row>
    <row r="6" spans="1:32" ht="15" customHeight="1" thickBot="1">
      <c r="B6" s="172" t="s">
        <v>25</v>
      </c>
      <c r="C6" s="181" t="s">
        <v>138</v>
      </c>
      <c r="D6" s="15" t="s">
        <v>257</v>
      </c>
      <c r="E6" s="15" t="s">
        <v>72</v>
      </c>
      <c r="F6" s="537"/>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138</v>
      </c>
      <c r="D7" s="15" t="s">
        <v>257</v>
      </c>
      <c r="E7" s="15" t="s">
        <v>72</v>
      </c>
      <c r="F7" s="537"/>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138</v>
      </c>
      <c r="D8" s="15" t="s">
        <v>257</v>
      </c>
      <c r="E8" s="15" t="s">
        <v>72</v>
      </c>
      <c r="F8" s="537"/>
      <c r="G8" s="14">
        <v>0</v>
      </c>
      <c r="H8" s="14">
        <v>0</v>
      </c>
      <c r="I8" s="14">
        <v>0</v>
      </c>
      <c r="J8" s="14">
        <v>0</v>
      </c>
      <c r="K8" s="14">
        <v>0</v>
      </c>
      <c r="L8" s="14">
        <v>0</v>
      </c>
      <c r="M8" s="14">
        <v>0</v>
      </c>
      <c r="N8" s="14">
        <v>0</v>
      </c>
      <c r="O8" s="14">
        <v>0</v>
      </c>
      <c r="P8" s="14">
        <v>0</v>
      </c>
      <c r="Q8" s="14">
        <v>0</v>
      </c>
      <c r="R8" s="14">
        <v>0</v>
      </c>
      <c r="S8" s="14">
        <v>0</v>
      </c>
      <c r="T8" s="14">
        <v>0</v>
      </c>
      <c r="U8" s="14">
        <v>0</v>
      </c>
      <c r="V8" s="14">
        <v>0</v>
      </c>
      <c r="W8" s="14">
        <v>0</v>
      </c>
      <c r="X8" s="14">
        <v>0</v>
      </c>
      <c r="Y8" s="14">
        <v>0</v>
      </c>
      <c r="Z8" s="14">
        <v>0</v>
      </c>
      <c r="AA8" s="14">
        <v>0</v>
      </c>
      <c r="AB8" s="14">
        <v>0</v>
      </c>
      <c r="AC8" s="14">
        <v>0</v>
      </c>
      <c r="AD8" s="14">
        <v>0</v>
      </c>
      <c r="AE8" s="14">
        <v>0</v>
      </c>
      <c r="AF8" s="14">
        <v>0</v>
      </c>
    </row>
    <row r="9" spans="1:32" ht="15" customHeight="1" thickBot="1">
      <c r="B9" s="171" t="s">
        <v>12</v>
      </c>
      <c r="C9" s="181" t="s">
        <v>138</v>
      </c>
      <c r="D9" s="15" t="s">
        <v>257</v>
      </c>
      <c r="E9" s="15" t="s">
        <v>72</v>
      </c>
      <c r="F9" s="537"/>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138</v>
      </c>
      <c r="D10" s="15" t="s">
        <v>257</v>
      </c>
      <c r="E10" s="15" t="s">
        <v>72</v>
      </c>
      <c r="F10" s="537"/>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138</v>
      </c>
      <c r="D11" s="15" t="s">
        <v>257</v>
      </c>
      <c r="E11" s="15" t="s">
        <v>72</v>
      </c>
      <c r="F11" s="537"/>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90" customHeight="1" thickBot="1">
      <c r="B12" s="173" t="s">
        <v>14</v>
      </c>
      <c r="C12" s="181" t="s">
        <v>138</v>
      </c>
      <c r="D12" s="15" t="s">
        <v>888</v>
      </c>
      <c r="E12" s="15" t="s">
        <v>72</v>
      </c>
      <c r="F12" s="602" t="s">
        <v>831</v>
      </c>
      <c r="G12" s="14">
        <v>0</v>
      </c>
      <c r="H12" s="14">
        <v>0</v>
      </c>
      <c r="I12" s="14">
        <v>0.57208800000000004</v>
      </c>
      <c r="J12" s="14">
        <v>2.3374609999999998</v>
      </c>
      <c r="K12" s="14">
        <v>2.7879685354829888</v>
      </c>
      <c r="L12" s="14">
        <v>2.0086940000000002</v>
      </c>
      <c r="M12" s="1093">
        <v>2.2527089999999999</v>
      </c>
      <c r="N12" s="1093">
        <v>1.6616164800000002</v>
      </c>
      <c r="O12" s="1093">
        <v>1.800618148392207</v>
      </c>
      <c r="P12" s="1093">
        <v>2.0329390000000003</v>
      </c>
      <c r="Q12" s="1093">
        <v>2.4753820000000002</v>
      </c>
      <c r="R12" s="38">
        <v>3.1455769999999998</v>
      </c>
      <c r="S12" s="38">
        <v>4.1792249999999997</v>
      </c>
      <c r="T12" s="38">
        <v>2.0868880918641164</v>
      </c>
      <c r="U12" s="38">
        <v>2.0500092058269064</v>
      </c>
      <c r="V12" s="38">
        <v>1.9976632048994638</v>
      </c>
      <c r="W12" s="38">
        <v>1.9512618602287659</v>
      </c>
      <c r="X12" s="38">
        <v>1.8813020629850441</v>
      </c>
      <c r="Y12" s="38">
        <v>1.7739679916827171</v>
      </c>
      <c r="Z12" s="38">
        <v>1.5292463091134123</v>
      </c>
      <c r="AA12" s="38">
        <v>1.1231382177961986</v>
      </c>
      <c r="AB12" s="38">
        <v>0.71114051333572914</v>
      </c>
      <c r="AC12" s="38">
        <v>0.29259267837014319</v>
      </c>
      <c r="AD12" s="38">
        <v>0.11073023140455976</v>
      </c>
      <c r="AE12" s="38">
        <v>5.5428415282797027E-3</v>
      </c>
      <c r="AF12" s="38">
        <v>5.5428415282797027E-3</v>
      </c>
    </row>
    <row r="13" spans="1:32" ht="15" customHeight="1">
      <c r="Q13" s="1160"/>
      <c r="R13" s="1160"/>
      <c r="S13" s="1160"/>
      <c r="T13" s="1160"/>
      <c r="U13" s="1160"/>
      <c r="V13" s="1160"/>
      <c r="W13" s="1160"/>
      <c r="X13" s="1160"/>
      <c r="Y13" s="1160"/>
      <c r="Z13" s="1160"/>
      <c r="AA13" s="1160"/>
      <c r="AB13" s="1160"/>
      <c r="AC13" s="1160"/>
      <c r="AD13" s="1160"/>
      <c r="AE13" s="1160"/>
      <c r="AF13" s="1160"/>
    </row>
    <row r="14" spans="1:32" ht="15" customHeight="1"/>
    <row r="15" spans="1:32" ht="15" customHeight="1"/>
    <row r="16" spans="1:32" ht="15" customHeight="1"/>
    <row r="17" spans="14:14" ht="15" customHeight="1"/>
    <row r="18" spans="14:14" ht="15" customHeight="1">
      <c r="N18" s="1100"/>
    </row>
    <row r="19" spans="14:14" ht="15" customHeight="1"/>
    <row r="20" spans="14:14" ht="15" customHeight="1"/>
    <row r="21" spans="14:14" ht="15" customHeight="1"/>
    <row r="22" spans="14:14" ht="15" customHeight="1"/>
    <row r="23" spans="14:14" ht="15" customHeight="1"/>
    <row r="24" spans="14:14" ht="15" customHeight="1"/>
    <row r="25" spans="14:14" ht="15" customHeight="1"/>
    <row r="26" spans="14:14" ht="15" customHeight="1"/>
    <row r="27" spans="14:14" ht="15" customHeight="1"/>
    <row r="28" spans="14:14" ht="15" customHeight="1"/>
    <row r="29" spans="14:14" ht="15" customHeight="1"/>
    <row r="30" spans="14:14" ht="15" customHeight="1"/>
    <row r="31" spans="14:14" ht="15" customHeight="1"/>
    <row r="32" spans="14: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sheetData>
  <sheetProtection algorithmName="SHA-512" hashValue="skx60aqM4xDMcS8rKFNYx7D/vEfklt4tz/IMXvv6fd0jA2/9vaV+9LWDg7VxJKvscriq0okgiYyIuNnql/4/tw==" saltValue="5gV/dssoRx1YVcQy/ofwJQ==" spinCount="100000" sheet="1" objects="1" scenarios="1"/>
  <hyperlinks>
    <hyperlink ref="A1" location="'Start-Experte'!A1" display="zurück" xr:uid="{00000000-0004-0000-2E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554137F9-1F19-456C-B701-A03A910DE22F}">
            <xm:f>ControlPanel!$D$59-1</xm:f>
            <x14:dxf>
              <font>
                <color rgb="FF9C6500"/>
              </font>
              <fill>
                <patternFill>
                  <fgColor indexed="64"/>
                  <bgColor rgb="FFFFEB9C"/>
                </patternFill>
              </fill>
            </x14:dxf>
          </x14:cfRule>
          <x14:cfRule type="cellIs" priority="2" operator="lessThan" id="{4A3BCF1F-5674-45CF-9218-51CAD760C074}">
            <xm:f>ControlPanel!$D$59</xm:f>
            <x14:dxf>
              <font>
                <color rgb="FF006100"/>
              </font>
              <fill>
                <patternFill>
                  <fgColor indexed="64"/>
                  <bgColor rgb="FFC6EFCE"/>
                </patternFill>
              </fill>
            </x14:dxf>
          </x14:cfRule>
          <x14:cfRule type="cellIs" priority="3" operator="lessThan" id="{668BAE20-144F-4ACF-9DDD-520A8C327259}">
            <xm:f>ControlPanel!$D$59+1</xm:f>
            <x14:dxf>
              <font>
                <color rgb="FF006100"/>
              </font>
              <fill>
                <patternFill>
                  <fgColor indexed="64"/>
                  <bgColor rgb="FFC6EFCE"/>
                </patternFill>
              </fill>
            </x14:dxf>
          </x14:cfRule>
          <xm:sqref>G4:AF4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4">
    <tabColor theme="9" tint="-0.499984740745262"/>
    <pageSetUpPr fitToPage="1"/>
  </sheetPr>
  <dimension ref="A1:AE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16384" width="11.5703125" style="9"/>
  </cols>
  <sheetData>
    <row r="1" spans="1:31">
      <c r="A1" s="41" t="s">
        <v>183</v>
      </c>
      <c r="B1" s="20" t="s">
        <v>139</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23</v>
      </c>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row>
    <row r="6" spans="1:31" ht="15" customHeight="1">
      <c r="B6" s="178" t="s">
        <v>138</v>
      </c>
      <c r="C6" s="40" t="s">
        <v>65</v>
      </c>
      <c r="D6" s="40" t="s">
        <v>78</v>
      </c>
      <c r="E6" s="538"/>
      <c r="F6" s="106">
        <v>20.47</v>
      </c>
      <c r="G6" s="106">
        <v>35.31</v>
      </c>
      <c r="H6" s="106">
        <v>20</v>
      </c>
      <c r="I6" s="106">
        <v>20</v>
      </c>
      <c r="J6" s="106">
        <v>20</v>
      </c>
      <c r="K6" s="106"/>
      <c r="L6" s="106"/>
      <c r="M6" s="106"/>
      <c r="N6" s="106"/>
      <c r="O6" s="106"/>
      <c r="P6" s="106"/>
      <c r="Q6" s="106"/>
      <c r="R6" s="106"/>
      <c r="S6" s="106"/>
      <c r="T6" s="106"/>
      <c r="U6" s="106"/>
      <c r="V6" s="106"/>
      <c r="W6" s="106"/>
      <c r="X6" s="106"/>
      <c r="Y6" s="106"/>
      <c r="Z6" s="106"/>
      <c r="AA6" s="106"/>
      <c r="AB6" s="106"/>
      <c r="AC6" s="106"/>
      <c r="AD6" s="106"/>
      <c r="AE6" s="106"/>
    </row>
    <row r="7" spans="1:31" ht="15" customHeight="1">
      <c r="B7" s="179"/>
      <c r="C7" s="22"/>
      <c r="D7" s="35"/>
      <c r="E7" s="548"/>
      <c r="F7" s="23"/>
      <c r="G7" s="23"/>
      <c r="H7" s="23"/>
      <c r="I7" s="23"/>
      <c r="J7" s="23"/>
      <c r="K7" s="23"/>
      <c r="L7" s="23"/>
      <c r="M7" s="23"/>
      <c r="N7" s="23"/>
      <c r="O7" s="23"/>
      <c r="P7" s="23"/>
      <c r="Q7" s="23"/>
      <c r="R7" s="23"/>
      <c r="S7" s="23"/>
      <c r="T7" s="23"/>
      <c r="U7" s="23"/>
      <c r="V7" s="23"/>
      <c r="W7" s="23"/>
      <c r="X7" s="23"/>
      <c r="Y7" s="23"/>
      <c r="Z7" s="23"/>
      <c r="AA7" s="23"/>
      <c r="AB7" s="23"/>
      <c r="AC7" s="23"/>
      <c r="AD7" s="23"/>
      <c r="AE7" s="79"/>
    </row>
    <row r="8" spans="1:31" ht="15" customHeight="1">
      <c r="B8" s="16"/>
      <c r="C8" s="12"/>
      <c r="D8" s="11"/>
      <c r="E8" s="22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94"/>
    </row>
    <row r="9" spans="1:31" ht="15" customHeight="1">
      <c r="B9" s="16"/>
      <c r="C9" s="12"/>
      <c r="D9" s="11"/>
      <c r="E9" s="222"/>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94"/>
    </row>
    <row r="10" spans="1:31" ht="15" customHeight="1">
      <c r="B10" s="16"/>
      <c r="C10" s="329"/>
      <c r="D10" s="11"/>
      <c r="E10" s="222"/>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94"/>
    </row>
    <row r="11" spans="1:31" ht="15" customHeight="1">
      <c r="B11" s="16"/>
      <c r="C11" s="329"/>
      <c r="D11" s="11"/>
      <c r="E11" s="222"/>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94"/>
    </row>
    <row r="12" spans="1:31" ht="15" customHeight="1">
      <c r="B12" s="16"/>
      <c r="C12" s="329"/>
      <c r="D12" s="11"/>
      <c r="E12" s="222"/>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94"/>
    </row>
    <row r="13" spans="1:31" ht="15" customHeight="1">
      <c r="B13" s="16"/>
      <c r="C13" s="329"/>
      <c r="D13" s="11"/>
      <c r="E13" s="222"/>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94"/>
    </row>
    <row r="14" spans="1:31" ht="15" customHeight="1">
      <c r="B14" s="16"/>
      <c r="C14" s="329"/>
      <c r="D14" s="11"/>
      <c r="E14" s="222"/>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94"/>
    </row>
    <row r="15" spans="1:31" ht="15" customHeight="1">
      <c r="B15" s="16"/>
      <c r="C15" s="12"/>
      <c r="D15" s="11"/>
      <c r="E15" s="222"/>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94"/>
    </row>
    <row r="16" spans="1:31" ht="15" customHeight="1">
      <c r="B16" s="16"/>
      <c r="C16" s="12"/>
      <c r="D16" s="11"/>
      <c r="E16" s="222"/>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94"/>
    </row>
    <row r="17" spans="2:31" ht="15" customHeight="1">
      <c r="B17" s="16"/>
      <c r="C17" s="12"/>
      <c r="D17" s="11"/>
      <c r="E17" s="222"/>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94"/>
    </row>
    <row r="18" spans="2:31" ht="15" customHeight="1">
      <c r="B18" s="16"/>
      <c r="C18" s="12"/>
      <c r="D18" s="11"/>
      <c r="E18" s="222"/>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94"/>
    </row>
    <row r="19" spans="2:31" ht="15" customHeight="1">
      <c r="B19" s="16"/>
      <c r="C19" s="12"/>
      <c r="D19" s="11"/>
      <c r="E19" s="222"/>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94"/>
    </row>
    <row r="20" spans="2:31" ht="15" customHeight="1">
      <c r="B20" s="16"/>
      <c r="C20" s="12"/>
      <c r="D20" s="11"/>
      <c r="E20" s="222"/>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94"/>
    </row>
    <row r="21" spans="2:31" ht="15" customHeight="1">
      <c r="B21" s="16"/>
      <c r="C21" s="12"/>
      <c r="D21" s="11"/>
      <c r="E21" s="222"/>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94"/>
    </row>
    <row r="22" spans="2:31" ht="15" customHeight="1">
      <c r="B22" s="16"/>
      <c r="C22" s="12"/>
      <c r="D22" s="11"/>
      <c r="E22" s="222"/>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94"/>
    </row>
    <row r="23" spans="2:31" ht="15" customHeight="1">
      <c r="B23" s="16"/>
      <c r="C23" s="12"/>
      <c r="D23" s="11"/>
      <c r="E23" s="222"/>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94"/>
    </row>
    <row r="24" spans="2:31" ht="15" customHeight="1">
      <c r="B24" s="16"/>
      <c r="C24" s="12"/>
      <c r="D24" s="11"/>
      <c r="E24" s="222"/>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94"/>
    </row>
    <row r="25" spans="2:31" ht="15" customHeight="1">
      <c r="B25" s="303"/>
      <c r="C25" s="24"/>
      <c r="D25" s="469"/>
      <c r="E25" s="554"/>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82"/>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MHtBCHx9STWa1yjn5lm9C4EGhIIAtgkcLRTsrBehPgpautQS3QRrSUgTOugz6vgaI7TCedKSU0sW8HrAbrhSjg==" saltValue="DT9wdod7iLMkrKDUTzk6aA==" spinCount="100000" sheet="1" objects="1" scenarios="1"/>
  <hyperlinks>
    <hyperlink ref="A1" location="'Start-Experte'!A1" display="zurück" xr:uid="{00000000-0004-0000-2F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723" operator="greaterThan" id="{00000000-0000-0000-0000-000000000000}">
            <xm:f>ControlPanel!$D$59-1</xm:f>
            <x14:dxf>
              <font>
                <color rgb="FF9C6500"/>
              </font>
              <fill>
                <patternFill>
                  <fgColor indexed="64"/>
                  <bgColor rgb="FFFFEB9C"/>
                </patternFill>
              </fill>
            </x14:dxf>
          </x14:cfRule>
          <x14:cfRule type="cellIs" priority="724" operator="lessThan" id="{00000000-0000-0000-0000-000000000000}">
            <xm:f>ControlPanel!$D$59</xm:f>
            <x14:dxf>
              <font>
                <color rgb="FF006100"/>
              </font>
              <fill>
                <patternFill>
                  <fgColor indexed="64"/>
                  <bgColor rgb="FFC6EFCE"/>
                </patternFill>
              </fill>
            </x14:dxf>
          </x14:cfRule>
          <xm:sqref>F4:AE4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9">
    <tabColor theme="9" tint="-0.499984740745262"/>
    <pageSetUpPr fitToPage="1"/>
  </sheetPr>
  <dimension ref="A1:AF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32" width="11.5703125" style="142"/>
    <col min="33" max="16384" width="11.5703125" style="9"/>
  </cols>
  <sheetData>
    <row r="1" spans="1:31">
      <c r="A1" s="41" t="s">
        <v>183</v>
      </c>
      <c r="B1" s="20" t="s">
        <v>264</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28</v>
      </c>
      <c r="G5" s="330" t="s">
        <v>28</v>
      </c>
      <c r="H5" s="330" t="s">
        <v>28</v>
      </c>
      <c r="I5" s="330" t="s">
        <v>28</v>
      </c>
      <c r="J5" s="330" t="s">
        <v>28</v>
      </c>
      <c r="K5" s="330" t="s">
        <v>28</v>
      </c>
      <c r="L5" s="330" t="s">
        <v>28</v>
      </c>
      <c r="M5" s="330" t="s">
        <v>28</v>
      </c>
      <c r="N5" s="330" t="s">
        <v>28</v>
      </c>
      <c r="O5" s="330" t="s">
        <v>28</v>
      </c>
      <c r="P5" s="330" t="s">
        <v>28</v>
      </c>
      <c r="Q5" s="330" t="s">
        <v>28</v>
      </c>
      <c r="R5" s="330" t="s">
        <v>28</v>
      </c>
      <c r="S5" s="330" t="s">
        <v>28</v>
      </c>
      <c r="T5" s="330" t="s">
        <v>28</v>
      </c>
      <c r="U5" s="330" t="s">
        <v>28</v>
      </c>
      <c r="V5" s="330" t="s">
        <v>28</v>
      </c>
      <c r="W5" s="330" t="s">
        <v>28</v>
      </c>
      <c r="X5" s="330" t="s">
        <v>28</v>
      </c>
      <c r="Y5" s="330" t="s">
        <v>28</v>
      </c>
      <c r="Z5" s="330" t="s">
        <v>28</v>
      </c>
      <c r="AA5" s="330" t="s">
        <v>28</v>
      </c>
      <c r="AB5" s="330" t="s">
        <v>28</v>
      </c>
      <c r="AC5" s="330" t="s">
        <v>28</v>
      </c>
      <c r="AD5" s="330" t="s">
        <v>28</v>
      </c>
      <c r="AE5" s="330" t="s">
        <v>28</v>
      </c>
    </row>
    <row r="6" spans="1:31" ht="15" customHeight="1" thickBot="1">
      <c r="B6" s="176" t="s">
        <v>138</v>
      </c>
      <c r="C6" s="15" t="s">
        <v>65</v>
      </c>
      <c r="D6" s="1029" t="s">
        <v>663</v>
      </c>
      <c r="E6" s="537"/>
      <c r="F6" s="14">
        <v>0</v>
      </c>
      <c r="G6" s="14">
        <v>0</v>
      </c>
      <c r="H6" s="14">
        <v>0</v>
      </c>
      <c r="I6" s="14">
        <v>0</v>
      </c>
      <c r="J6" s="14">
        <v>0</v>
      </c>
      <c r="K6" s="14">
        <v>1</v>
      </c>
      <c r="L6" s="14">
        <v>1</v>
      </c>
      <c r="M6" s="14">
        <v>1</v>
      </c>
      <c r="N6" s="14">
        <v>1</v>
      </c>
      <c r="O6" s="14">
        <v>1</v>
      </c>
      <c r="P6" s="14">
        <v>1</v>
      </c>
      <c r="Q6" s="14">
        <v>1</v>
      </c>
      <c r="R6" s="14">
        <v>1</v>
      </c>
      <c r="S6" s="14">
        <v>1</v>
      </c>
      <c r="T6" s="14">
        <v>1</v>
      </c>
      <c r="U6" s="14">
        <v>1</v>
      </c>
      <c r="V6" s="14">
        <v>1</v>
      </c>
      <c r="W6" s="14">
        <v>1</v>
      </c>
      <c r="X6" s="14">
        <v>1</v>
      </c>
      <c r="Y6" s="14">
        <v>1</v>
      </c>
      <c r="Z6" s="14">
        <v>1</v>
      </c>
      <c r="AA6" s="14">
        <v>1</v>
      </c>
      <c r="AB6" s="14">
        <v>1</v>
      </c>
      <c r="AC6" s="14">
        <v>1</v>
      </c>
      <c r="AD6" s="14">
        <v>1</v>
      </c>
      <c r="AE6" s="14">
        <v>1</v>
      </c>
    </row>
    <row r="7" spans="1:31" ht="15" customHeight="1">
      <c r="B7" s="180"/>
      <c r="C7" s="12"/>
      <c r="D7" s="11"/>
      <c r="E7" s="222"/>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row>
    <row r="8" spans="1:31" ht="15" customHeight="1">
      <c r="B8" s="16"/>
      <c r="C8" s="12"/>
      <c r="D8" s="329"/>
      <c r="E8" s="26"/>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row>
    <row r="9" spans="1:31" ht="15" customHeight="1">
      <c r="B9" s="16"/>
      <c r="C9" s="12"/>
      <c r="D9" s="329"/>
      <c r="E9" s="26"/>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row>
    <row r="10" spans="1:31" ht="15" customHeight="1">
      <c r="B10" s="16"/>
      <c r="C10" s="12"/>
      <c r="D10" s="329"/>
      <c r="E10" s="26"/>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row>
    <row r="11" spans="1:31" ht="15" customHeight="1">
      <c r="B11" s="16"/>
      <c r="C11" s="12"/>
      <c r="D11" s="329"/>
      <c r="E11" s="26"/>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row>
    <row r="12" spans="1:31" ht="15" customHeight="1">
      <c r="B12" s="16"/>
      <c r="C12" s="12"/>
      <c r="D12" s="329"/>
      <c r="E12" s="26"/>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row>
    <row r="13" spans="1:31" ht="15" customHeight="1">
      <c r="B13" s="16"/>
      <c r="C13" s="12"/>
      <c r="D13" s="11"/>
      <c r="E13" s="222"/>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row>
    <row r="14" spans="1:31" ht="15" customHeight="1">
      <c r="B14" s="16"/>
      <c r="C14" s="12"/>
      <c r="D14" s="11"/>
      <c r="E14" s="222"/>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1" ht="15" customHeight="1">
      <c r="B15" s="16"/>
      <c r="C15" s="12"/>
      <c r="D15" s="11"/>
      <c r="E15" s="222"/>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row>
    <row r="16" spans="1:31" ht="15" customHeight="1">
      <c r="B16" s="16"/>
      <c r="C16" s="12"/>
      <c r="D16" s="11"/>
      <c r="E16" s="222"/>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row>
    <row r="17" spans="2:31" ht="15" customHeight="1">
      <c r="B17" s="16"/>
      <c r="C17" s="12"/>
      <c r="D17" s="11"/>
      <c r="E17" s="222"/>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row>
    <row r="18" spans="2:31" ht="15" customHeight="1">
      <c r="B18" s="16"/>
      <c r="C18" s="12"/>
      <c r="D18" s="11"/>
      <c r="E18" s="222"/>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row>
    <row r="19" spans="2:31" ht="15" customHeight="1">
      <c r="B19" s="16"/>
      <c r="C19" s="12"/>
      <c r="D19" s="11"/>
      <c r="E19" s="222"/>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row>
    <row r="20" spans="2:31" ht="15" customHeight="1">
      <c r="B20" s="16"/>
      <c r="C20" s="12"/>
      <c r="D20" s="11"/>
      <c r="E20" s="222"/>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row>
    <row r="21" spans="2:31" ht="15" customHeight="1">
      <c r="B21" s="16"/>
      <c r="C21" s="12"/>
      <c r="D21" s="11"/>
      <c r="E21" s="222"/>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2:31" ht="15" customHeight="1">
      <c r="B22" s="16"/>
      <c r="C22" s="12"/>
      <c r="D22" s="11"/>
      <c r="E22" s="222"/>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row>
    <row r="23" spans="2:31" ht="15" customHeight="1">
      <c r="B23" s="16"/>
      <c r="C23" s="12"/>
      <c r="D23" s="11"/>
      <c r="E23" s="222"/>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row>
    <row r="24" spans="2:31" ht="15" customHeight="1">
      <c r="B24" s="16"/>
      <c r="C24" s="12"/>
      <c r="D24" s="11"/>
      <c r="E24" s="222"/>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row>
    <row r="25" spans="2:31" ht="15" customHeight="1">
      <c r="B25" s="303"/>
      <c r="C25" s="24"/>
      <c r="D25" s="469"/>
      <c r="E25" s="554"/>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KlygIdmT7EqCerEJeSpsWIqtg6tSGlWbZ0VYUGIpqRDlH6xGAUWQbCioyB3voLpicSBnJ/tLBT7PLTOr5MSxqA==" saltValue="3TARXcTqkKCl0FniuPykUQ==" spinCount="100000" sheet="1" objects="1" scenarios="1"/>
  <hyperlinks>
    <hyperlink ref="A1" location="'Start-Experte'!A1" display="zurück" xr:uid="{00000000-0004-0000-30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B98A2184-3379-4F65-92FA-7B1D51AEF6F1}">
            <xm:f>ControlPanel!$D$59-1</xm:f>
            <x14:dxf>
              <font>
                <color rgb="FF9C6500"/>
              </font>
              <fill>
                <patternFill>
                  <fgColor indexed="64"/>
                  <bgColor rgb="FFFFEB9C"/>
                </patternFill>
              </fill>
            </x14:dxf>
          </x14:cfRule>
          <x14:cfRule type="cellIs" priority="2" operator="lessThan" id="{CDAD6E27-3B0E-4BA4-BCC1-DB35D4983A21}">
            <xm:f>ControlPanel!$D$59</xm:f>
            <x14:dxf>
              <font>
                <color rgb="FF006100"/>
              </font>
              <fill>
                <patternFill>
                  <fgColor indexed="64"/>
                  <bgColor rgb="FFC6EFCE"/>
                </patternFill>
              </fill>
            </x14:dxf>
          </x14:cfRule>
          <xm:sqref>F4:AE4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48">
    <tabColor theme="9" tint="-0.499984740745262"/>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4" width="8.7109375" style="9" customWidth="1"/>
    <col min="15" max="32" width="8.7109375" style="9" customWidth="1" outlineLevel="1"/>
    <col min="33" max="16384" width="11.5703125" style="9"/>
  </cols>
  <sheetData>
    <row r="1" spans="1:32">
      <c r="A1" s="41" t="s">
        <v>183</v>
      </c>
      <c r="B1" s="62" t="s">
        <v>71</v>
      </c>
      <c r="C1" s="62"/>
      <c r="D1" s="19"/>
      <c r="E1" s="19"/>
      <c r="F1" s="19"/>
    </row>
    <row r="2" spans="1:32">
      <c r="B2" s="37"/>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23</v>
      </c>
      <c r="H5" s="330" t="s">
        <v>23</v>
      </c>
      <c r="I5" s="330" t="s">
        <v>23</v>
      </c>
      <c r="J5" s="330" t="s">
        <v>23</v>
      </c>
      <c r="K5" s="330" t="s">
        <v>23</v>
      </c>
      <c r="L5" s="330" t="s">
        <v>23</v>
      </c>
      <c r="M5" s="330" t="s">
        <v>23</v>
      </c>
      <c r="N5" s="330" t="s">
        <v>23</v>
      </c>
      <c r="O5" s="330" t="s">
        <v>23</v>
      </c>
      <c r="P5" s="330" t="s">
        <v>23</v>
      </c>
      <c r="Q5" s="330" t="s">
        <v>23</v>
      </c>
      <c r="R5" s="330" t="s">
        <v>23</v>
      </c>
      <c r="S5" s="330" t="s">
        <v>23</v>
      </c>
      <c r="T5" s="330" t="s">
        <v>23</v>
      </c>
      <c r="U5" s="330" t="s">
        <v>23</v>
      </c>
      <c r="V5" s="330" t="s">
        <v>23</v>
      </c>
      <c r="W5" s="330" t="s">
        <v>23</v>
      </c>
      <c r="X5" s="330" t="s">
        <v>23</v>
      </c>
      <c r="Y5" s="330" t="s">
        <v>23</v>
      </c>
      <c r="Z5" s="330" t="s">
        <v>23</v>
      </c>
      <c r="AA5" s="330" t="s">
        <v>23</v>
      </c>
      <c r="AB5" s="330" t="s">
        <v>23</v>
      </c>
      <c r="AC5" s="330" t="s">
        <v>23</v>
      </c>
      <c r="AD5" s="330" t="s">
        <v>23</v>
      </c>
      <c r="AE5" s="330" t="s">
        <v>23</v>
      </c>
      <c r="AF5" s="330" t="s">
        <v>23</v>
      </c>
    </row>
    <row r="6" spans="1:32" ht="15" customHeight="1" thickBot="1">
      <c r="B6" s="172" t="s">
        <v>25</v>
      </c>
      <c r="C6" s="181" t="s">
        <v>138</v>
      </c>
      <c r="D6" s="15" t="s">
        <v>256</v>
      </c>
      <c r="E6" s="15">
        <v>0</v>
      </c>
      <c r="F6" s="537"/>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row>
    <row r="7" spans="1:32" ht="15" customHeight="1" thickBot="1">
      <c r="B7" s="171" t="s">
        <v>27</v>
      </c>
      <c r="C7" s="181" t="s">
        <v>138</v>
      </c>
      <c r="D7" s="15" t="s">
        <v>256</v>
      </c>
      <c r="E7" s="15">
        <v>0</v>
      </c>
      <c r="F7" s="537"/>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15" customHeight="1" thickBot="1">
      <c r="B8" s="171" t="s">
        <v>13</v>
      </c>
      <c r="C8" s="181" t="s">
        <v>138</v>
      </c>
      <c r="D8" s="15" t="s">
        <v>256</v>
      </c>
      <c r="E8" s="15">
        <v>0</v>
      </c>
      <c r="F8" s="537"/>
      <c r="G8" s="14">
        <v>0</v>
      </c>
      <c r="H8" s="14">
        <v>0</v>
      </c>
      <c r="I8" s="14">
        <v>0</v>
      </c>
      <c r="J8" s="14">
        <v>0</v>
      </c>
      <c r="K8" s="14">
        <v>0</v>
      </c>
      <c r="L8" s="14">
        <v>0</v>
      </c>
      <c r="M8" s="14">
        <v>0</v>
      </c>
      <c r="N8" s="14">
        <v>0</v>
      </c>
      <c r="O8" s="14">
        <v>0</v>
      </c>
      <c r="P8" s="14">
        <v>0</v>
      </c>
      <c r="Q8" s="14">
        <v>0</v>
      </c>
      <c r="R8" s="14">
        <v>0</v>
      </c>
      <c r="S8" s="14">
        <v>0</v>
      </c>
      <c r="T8" s="14">
        <v>0</v>
      </c>
      <c r="U8" s="14">
        <v>0</v>
      </c>
      <c r="V8" s="14">
        <v>0</v>
      </c>
      <c r="W8" s="14">
        <v>0</v>
      </c>
      <c r="X8" s="14">
        <v>0</v>
      </c>
      <c r="Y8" s="14">
        <v>0</v>
      </c>
      <c r="Z8" s="14">
        <v>0</v>
      </c>
      <c r="AA8" s="14">
        <v>0</v>
      </c>
      <c r="AB8" s="14">
        <v>0</v>
      </c>
      <c r="AC8" s="14">
        <v>0</v>
      </c>
      <c r="AD8" s="14">
        <v>0</v>
      </c>
      <c r="AE8" s="14">
        <v>0</v>
      </c>
      <c r="AF8" s="14">
        <v>0</v>
      </c>
    </row>
    <row r="9" spans="1:32" ht="15" customHeight="1" thickBot="1">
      <c r="B9" s="171" t="s">
        <v>12</v>
      </c>
      <c r="C9" s="181" t="s">
        <v>138</v>
      </c>
      <c r="D9" s="15" t="s">
        <v>256</v>
      </c>
      <c r="E9" s="15">
        <v>0</v>
      </c>
      <c r="F9" s="537"/>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15" customHeight="1" thickBot="1">
      <c r="B10" s="171" t="s">
        <v>24</v>
      </c>
      <c r="C10" s="181" t="s">
        <v>138</v>
      </c>
      <c r="D10" s="15" t="s">
        <v>256</v>
      </c>
      <c r="E10" s="15">
        <v>0</v>
      </c>
      <c r="F10" s="537"/>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15" customHeight="1" thickBot="1">
      <c r="B11" s="171" t="s">
        <v>26</v>
      </c>
      <c r="C11" s="181" t="s">
        <v>138</v>
      </c>
      <c r="D11" s="15" t="s">
        <v>256</v>
      </c>
      <c r="E11" s="15">
        <v>0</v>
      </c>
      <c r="F11" s="537"/>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15" customHeight="1" thickBot="1">
      <c r="B12" s="173" t="s">
        <v>14</v>
      </c>
      <c r="C12" s="181" t="s">
        <v>138</v>
      </c>
      <c r="D12" s="15" t="s">
        <v>845</v>
      </c>
      <c r="E12" s="15" t="s">
        <v>327</v>
      </c>
      <c r="F12" s="537"/>
      <c r="G12" s="14">
        <v>0</v>
      </c>
      <c r="H12" s="14">
        <v>0</v>
      </c>
      <c r="I12" s="14">
        <v>117.34452741536268</v>
      </c>
      <c r="J12" s="14">
        <v>42.446530658693341</v>
      </c>
      <c r="K12" s="14">
        <v>42.446530658693341</v>
      </c>
      <c r="L12" s="14">
        <v>61.584873056821998</v>
      </c>
      <c r="M12" s="14">
        <v>55.353612472804969</v>
      </c>
      <c r="N12" s="14">
        <v>116.59227181465116</v>
      </c>
      <c r="O12" s="14">
        <v>56.297696752497401</v>
      </c>
      <c r="P12" s="14">
        <v>41.435472923873455</v>
      </c>
      <c r="Q12" s="14">
        <v>37.246225444316316</v>
      </c>
      <c r="R12" s="14">
        <v>28.583544616898731</v>
      </c>
      <c r="S12" s="14">
        <v>25.519445424469026</v>
      </c>
      <c r="T12" s="14">
        <v>0</v>
      </c>
      <c r="U12" s="14">
        <v>0</v>
      </c>
      <c r="V12" s="14">
        <v>0</v>
      </c>
      <c r="W12" s="14">
        <v>0</v>
      </c>
      <c r="X12" s="14">
        <v>0</v>
      </c>
      <c r="Y12" s="14">
        <v>0</v>
      </c>
      <c r="Z12" s="14">
        <v>0</v>
      </c>
      <c r="AA12" s="14">
        <v>0</v>
      </c>
      <c r="AB12" s="14">
        <v>0</v>
      </c>
      <c r="AC12" s="14">
        <v>0</v>
      </c>
      <c r="AD12" s="14">
        <v>0</v>
      </c>
      <c r="AE12" s="14">
        <v>0</v>
      </c>
      <c r="AF12" s="14">
        <v>0</v>
      </c>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O25+bgtFzuvOid5wgY65fOdLGQA2l47U9xWw2Uum/J9CihXchvAvAJmP+n00ycEQcReyRFm5Den4/KpeKQmI9A==" saltValue="ppyER42yZsG4i16//Yfq5w==" spinCount="100000" sheet="1" objects="1" scenarios="1"/>
  <hyperlinks>
    <hyperlink ref="A1" location="'Start-Experte'!A1" display="zurück" xr:uid="{00000000-0004-0000-31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699" operator="greaterThan" id="{00000000-0000-0000-0000-000000000000}">
            <xm:f>ControlPanel!$D$59-1</xm:f>
            <x14:dxf>
              <font>
                <color rgb="FF9C6500"/>
              </font>
              <fill>
                <patternFill>
                  <fgColor indexed="64"/>
                  <bgColor rgb="FFFFEB9C"/>
                </patternFill>
              </fill>
            </x14:dxf>
          </x14:cfRule>
          <x14:cfRule type="cellIs" priority="700" operator="lessThan" id="{00000000-0000-0000-0000-000000000000}">
            <xm:f>ControlPanel!$D$59</xm:f>
            <x14:dxf>
              <font>
                <color rgb="FF006100"/>
              </font>
              <fill>
                <patternFill>
                  <fgColor indexed="64"/>
                  <bgColor rgb="FFC6EFCE"/>
                </patternFill>
              </fill>
            </x14:dxf>
          </x14:cfRule>
          <x14:cfRule type="cellIs" priority="701" operator="lessThan" id="{00000000-0000-0000-0000-000000000000}">
            <xm:f>ControlPanel!$D$59+1</xm:f>
            <x14:dxf>
              <font>
                <color rgb="FF006100"/>
              </font>
              <fill>
                <patternFill>
                  <fgColor indexed="64"/>
                  <bgColor rgb="FFC6EFCE"/>
                </patternFill>
              </fill>
            </x14:dxf>
          </x14:cfRule>
          <xm:sqref>G4:AF4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63">
    <tabColor theme="9" tint="-0.499984740745262"/>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5" width="40.7109375" style="10" customWidth="1"/>
    <col min="6" max="6" width="66.5703125" style="10" bestFit="1" customWidth="1"/>
    <col min="7" max="13" width="8.7109375" style="9" customWidth="1"/>
    <col min="14" max="14" width="13.7109375" style="9" bestFit="1" customWidth="1"/>
    <col min="15" max="15" width="15.28515625" style="9" bestFit="1" customWidth="1"/>
    <col min="16" max="32" width="8.7109375" style="9" customWidth="1" outlineLevel="1"/>
    <col min="33" max="16384" width="11.5703125" style="9"/>
  </cols>
  <sheetData>
    <row r="1" spans="1:32">
      <c r="A1" s="41" t="s">
        <v>183</v>
      </c>
      <c r="B1" s="62" t="s">
        <v>848</v>
      </c>
      <c r="C1" s="62"/>
      <c r="D1" s="19"/>
      <c r="E1" s="19"/>
      <c r="F1" s="19"/>
    </row>
    <row r="2" spans="1:32">
      <c r="B2" s="1218" t="s">
        <v>849</v>
      </c>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60</v>
      </c>
      <c r="H5" s="330" t="s">
        <v>60</v>
      </c>
      <c r="I5" s="330" t="s">
        <v>60</v>
      </c>
      <c r="J5" s="330" t="s">
        <v>60</v>
      </c>
      <c r="K5" s="330" t="s">
        <v>60</v>
      </c>
      <c r="L5" s="330" t="s">
        <v>60</v>
      </c>
      <c r="M5" s="330" t="s">
        <v>60</v>
      </c>
      <c r="N5" s="330" t="s">
        <v>60</v>
      </c>
      <c r="O5" s="330" t="s">
        <v>60</v>
      </c>
      <c r="P5" s="330" t="s">
        <v>60</v>
      </c>
      <c r="Q5" s="330" t="s">
        <v>60</v>
      </c>
      <c r="R5" s="330" t="s">
        <v>60</v>
      </c>
      <c r="S5" s="330" t="s">
        <v>60</v>
      </c>
      <c r="T5" s="330" t="s">
        <v>60</v>
      </c>
      <c r="U5" s="330" t="s">
        <v>60</v>
      </c>
      <c r="V5" s="330" t="s">
        <v>60</v>
      </c>
      <c r="W5" s="330" t="s">
        <v>60</v>
      </c>
      <c r="X5" s="330" t="s">
        <v>60</v>
      </c>
      <c r="Y5" s="330" t="s">
        <v>60</v>
      </c>
      <c r="Z5" s="330" t="s">
        <v>60</v>
      </c>
      <c r="AA5" s="330" t="s">
        <v>60</v>
      </c>
      <c r="AB5" s="330" t="s">
        <v>60</v>
      </c>
      <c r="AC5" s="330" t="s">
        <v>60</v>
      </c>
      <c r="AD5" s="330" t="s">
        <v>60</v>
      </c>
      <c r="AE5" s="330" t="s">
        <v>60</v>
      </c>
      <c r="AF5" s="330" t="s">
        <v>60</v>
      </c>
    </row>
    <row r="6" spans="1:32" ht="15" customHeight="1" thickBot="1">
      <c r="B6" s="172" t="s">
        <v>25</v>
      </c>
      <c r="C6" s="181" t="s">
        <v>138</v>
      </c>
      <c r="D6" s="15" t="s">
        <v>256</v>
      </c>
      <c r="E6" s="15"/>
      <c r="F6" s="15" t="s">
        <v>739</v>
      </c>
      <c r="G6" s="14">
        <v>0</v>
      </c>
      <c r="H6" s="14">
        <v>0</v>
      </c>
      <c r="I6" s="14">
        <v>0</v>
      </c>
      <c r="J6" s="14">
        <v>0</v>
      </c>
      <c r="K6" s="14">
        <v>0</v>
      </c>
      <c r="L6" s="1093">
        <v>5.6636480000000003E-3</v>
      </c>
      <c r="M6" s="1093">
        <v>7.4175630000000003E-3</v>
      </c>
      <c r="N6" s="1093">
        <v>5.7840040000000006E-3</v>
      </c>
      <c r="O6" s="1093">
        <v>6.0242580000000002E-3</v>
      </c>
      <c r="P6" s="1093">
        <v>0</v>
      </c>
      <c r="Q6" s="1093">
        <f>Q21/Q$14</f>
        <v>0</v>
      </c>
      <c r="R6" s="1093">
        <f t="shared" ref="R6:AF6" si="0">R21/R$14</f>
        <v>0</v>
      </c>
      <c r="S6" s="1093">
        <v>0</v>
      </c>
      <c r="T6" s="1093">
        <f t="shared" si="0"/>
        <v>5.9352295566502469E-3</v>
      </c>
      <c r="U6" s="1093">
        <f t="shared" si="0"/>
        <v>5.8475168045815252E-3</v>
      </c>
      <c r="V6" s="1093">
        <f t="shared" si="0"/>
        <v>5.7611003000803207E-3</v>
      </c>
      <c r="W6" s="1093">
        <f t="shared" si="0"/>
        <v>5.6759608867786426E-3</v>
      </c>
      <c r="X6" s="1093">
        <f t="shared" si="0"/>
        <v>5.59207969140753E-3</v>
      </c>
      <c r="Y6" s="1093">
        <f t="shared" si="0"/>
        <v>5.5094381196133316E-3</v>
      </c>
      <c r="Z6" s="1093">
        <f t="shared" si="0"/>
        <v>5.4280178518357949E-3</v>
      </c>
      <c r="AA6" s="1093">
        <f t="shared" si="0"/>
        <v>5.3478008392470891E-3</v>
      </c>
      <c r="AB6" s="1093">
        <f t="shared" si="0"/>
        <v>5.2687692997508279E-3</v>
      </c>
      <c r="AC6" s="1093">
        <f t="shared" si="0"/>
        <v>5.1909057140402245E-3</v>
      </c>
      <c r="AD6" s="1093">
        <f t="shared" si="0"/>
        <v>5.1141928217145081E-3</v>
      </c>
      <c r="AE6" s="1093">
        <f t="shared" si="0"/>
        <v>5.0386136174527174E-3</v>
      </c>
      <c r="AF6" s="1093">
        <f t="shared" si="0"/>
        <v>4.9641513472440564E-3</v>
      </c>
    </row>
    <row r="7" spans="1:32" ht="15" customHeight="1" thickBot="1">
      <c r="B7" s="171" t="s">
        <v>27</v>
      </c>
      <c r="C7" s="181" t="s">
        <v>138</v>
      </c>
      <c r="D7" s="15" t="s">
        <v>256</v>
      </c>
      <c r="E7" s="15"/>
      <c r="F7" s="15" t="s">
        <v>739</v>
      </c>
      <c r="G7" s="14">
        <v>0</v>
      </c>
      <c r="H7" s="14">
        <v>0</v>
      </c>
      <c r="I7" s="14">
        <v>0</v>
      </c>
      <c r="J7" s="14">
        <v>0</v>
      </c>
      <c r="K7" s="14">
        <v>0</v>
      </c>
      <c r="L7" s="1093">
        <v>1.0429840000000001E-3</v>
      </c>
      <c r="M7" s="1093">
        <v>1.8630400000000001E-3</v>
      </c>
      <c r="N7" s="1093">
        <v>1.7739950000000002E-3</v>
      </c>
      <c r="O7" s="1093">
        <v>1.812908E-3</v>
      </c>
      <c r="P7" s="1093">
        <v>0</v>
      </c>
      <c r="Q7" s="1093">
        <f t="shared" ref="Q7:AF7" si="1">Q22/Q$14</f>
        <v>0</v>
      </c>
      <c r="R7" s="1093">
        <f t="shared" si="1"/>
        <v>0</v>
      </c>
      <c r="S7" s="1093">
        <v>0</v>
      </c>
      <c r="T7" s="1093">
        <f t="shared" si="1"/>
        <v>1.7861162561576356E-3</v>
      </c>
      <c r="U7" s="1093">
        <f t="shared" si="1"/>
        <v>1.7597204494163902E-3</v>
      </c>
      <c r="V7" s="1093">
        <f t="shared" si="1"/>
        <v>1.7337147284890546E-3</v>
      </c>
      <c r="W7" s="1093">
        <f t="shared" si="1"/>
        <v>1.708093328560645E-3</v>
      </c>
      <c r="X7" s="1093">
        <f t="shared" si="1"/>
        <v>1.6828505700104879E-3</v>
      </c>
      <c r="Y7" s="1093">
        <f t="shared" si="1"/>
        <v>1.6579808571531905E-3</v>
      </c>
      <c r="Z7" s="1093">
        <f t="shared" si="1"/>
        <v>1.6334786769982175E-3</v>
      </c>
      <c r="AA7" s="1093">
        <f t="shared" si="1"/>
        <v>1.6093385980278005E-3</v>
      </c>
      <c r="AB7" s="1093">
        <f t="shared" si="1"/>
        <v>1.5855552689929072E-3</v>
      </c>
      <c r="AC7" s="1093">
        <f t="shared" si="1"/>
        <v>1.5621234177270024E-3</v>
      </c>
      <c r="AD7" s="1093">
        <f t="shared" si="1"/>
        <v>1.5390378499773422E-3</v>
      </c>
      <c r="AE7" s="1093">
        <f t="shared" si="1"/>
        <v>1.5162934482535393E-3</v>
      </c>
      <c r="AF7" s="1093">
        <f t="shared" si="1"/>
        <v>1.4938851706931423E-3</v>
      </c>
    </row>
    <row r="8" spans="1:32" ht="15" customHeight="1" thickBot="1">
      <c r="B8" s="171" t="s">
        <v>13</v>
      </c>
      <c r="C8" s="181" t="s">
        <v>138</v>
      </c>
      <c r="D8" s="15" t="s">
        <v>256</v>
      </c>
      <c r="E8" s="15"/>
      <c r="F8" s="15" t="s">
        <v>739</v>
      </c>
      <c r="G8" s="14">
        <v>0</v>
      </c>
      <c r="H8" s="14">
        <v>0</v>
      </c>
      <c r="I8" s="14">
        <v>0</v>
      </c>
      <c r="J8" s="14">
        <v>0</v>
      </c>
      <c r="K8" s="14">
        <v>0</v>
      </c>
      <c r="L8" s="1093">
        <v>4.3850929999999996E-2</v>
      </c>
      <c r="M8" s="1093">
        <v>5.8247980000000005E-2</v>
      </c>
      <c r="N8" s="1093">
        <v>6.2028065000000007E-2</v>
      </c>
      <c r="O8" s="1093">
        <v>6.2409504000000005E-2</v>
      </c>
      <c r="P8" s="1093">
        <v>0</v>
      </c>
      <c r="Q8" s="1093">
        <f t="shared" ref="Q8:AF8" si="2">Q23/Q$14</f>
        <v>0</v>
      </c>
      <c r="R8" s="1093">
        <f t="shared" si="2"/>
        <v>0</v>
      </c>
      <c r="S8" s="1093">
        <v>0</v>
      </c>
      <c r="T8" s="1093">
        <f t="shared" si="2"/>
        <v>6.1487196059113312E-2</v>
      </c>
      <c r="U8" s="1093">
        <f t="shared" si="2"/>
        <v>6.0578518284840711E-2</v>
      </c>
      <c r="V8" s="1093">
        <f t="shared" si="2"/>
        <v>5.9683269246148488E-2</v>
      </c>
      <c r="W8" s="1093">
        <f t="shared" si="2"/>
        <v>5.8801250488816258E-2</v>
      </c>
      <c r="X8" s="1093">
        <f t="shared" si="2"/>
        <v>5.7932266491444596E-2</v>
      </c>
      <c r="Y8" s="1093">
        <f t="shared" si="2"/>
        <v>5.7076124622112909E-2</v>
      </c>
      <c r="Z8" s="1093">
        <f t="shared" si="2"/>
        <v>5.6232635095677753E-2</v>
      </c>
      <c r="AA8" s="1093">
        <f t="shared" si="2"/>
        <v>5.5401610931702226E-2</v>
      </c>
      <c r="AB8" s="1093">
        <f t="shared" si="2"/>
        <v>5.4582867913007128E-2</v>
      </c>
      <c r="AC8" s="1093">
        <f t="shared" si="2"/>
        <v>5.3776224544834612E-2</v>
      </c>
      <c r="AD8" s="1093">
        <f t="shared" si="2"/>
        <v>5.2981502014615385E-2</v>
      </c>
      <c r="AE8" s="1093">
        <f t="shared" si="2"/>
        <v>5.2198524152330436E-2</v>
      </c>
      <c r="AF8" s="1093">
        <f t="shared" si="2"/>
        <v>5.1427117391458561E-2</v>
      </c>
    </row>
    <row r="9" spans="1:32" ht="15" customHeight="1" thickBot="1">
      <c r="B9" s="171" t="s">
        <v>12</v>
      </c>
      <c r="C9" s="181" t="s">
        <v>138</v>
      </c>
      <c r="D9" s="15" t="s">
        <v>256</v>
      </c>
      <c r="E9" s="15"/>
      <c r="F9" s="15" t="s">
        <v>739</v>
      </c>
      <c r="G9" s="14">
        <v>0</v>
      </c>
      <c r="H9" s="14">
        <v>0</v>
      </c>
      <c r="I9" s="14">
        <v>0</v>
      </c>
      <c r="J9" s="14">
        <v>0</v>
      </c>
      <c r="K9" s="14">
        <v>0</v>
      </c>
      <c r="L9" s="1093">
        <v>3.3599999999999997E-5</v>
      </c>
      <c r="M9" s="1093">
        <v>1.9669000000000002E-4</v>
      </c>
      <c r="N9" s="1093">
        <v>2.1216200000000001E-4</v>
      </c>
      <c r="O9" s="1093">
        <v>3.4630000000000001E-4</v>
      </c>
      <c r="P9" s="1093">
        <v>0</v>
      </c>
      <c r="Q9" s="1093">
        <f t="shared" ref="Q9:AF9" si="3">Q24/Q$14</f>
        <v>0</v>
      </c>
      <c r="R9" s="1093">
        <f t="shared" si="3"/>
        <v>0</v>
      </c>
      <c r="S9" s="1093">
        <v>0</v>
      </c>
      <c r="T9" s="1093">
        <f t="shared" si="3"/>
        <v>3.4118226600985226E-4</v>
      </c>
      <c r="U9" s="1093">
        <f t="shared" si="3"/>
        <v>3.3614016355650473E-4</v>
      </c>
      <c r="V9" s="1093">
        <f t="shared" si="3"/>
        <v>3.3117257493251703E-4</v>
      </c>
      <c r="W9" s="1093">
        <f t="shared" si="3"/>
        <v>3.2627839894829269E-4</v>
      </c>
      <c r="X9" s="1093">
        <f t="shared" si="3"/>
        <v>3.2145655068797316E-4</v>
      </c>
      <c r="Y9" s="1093">
        <f t="shared" si="3"/>
        <v>3.1670596126893909E-4</v>
      </c>
      <c r="Z9" s="1093">
        <f t="shared" si="3"/>
        <v>3.1202557760486618E-4</v>
      </c>
      <c r="AA9" s="1093">
        <f t="shared" si="3"/>
        <v>3.0741436217228196E-4</v>
      </c>
      <c r="AB9" s="1093">
        <f t="shared" si="3"/>
        <v>3.0287129278057341E-4</v>
      </c>
      <c r="AC9" s="1093">
        <f t="shared" si="3"/>
        <v>2.9839536234539253E-4</v>
      </c>
      <c r="AD9" s="1093">
        <f t="shared" si="3"/>
        <v>2.939855786654114E-4</v>
      </c>
      <c r="AE9" s="1093">
        <f t="shared" si="3"/>
        <v>2.8964096420237579E-4</v>
      </c>
      <c r="AF9" s="1093">
        <f t="shared" si="3"/>
        <v>2.8536055586440964E-4</v>
      </c>
    </row>
    <row r="10" spans="1:32" ht="15" customHeight="1" thickBot="1">
      <c r="B10" s="171" t="s">
        <v>24</v>
      </c>
      <c r="C10" s="181" t="s">
        <v>138</v>
      </c>
      <c r="D10" s="15" t="s">
        <v>256</v>
      </c>
      <c r="E10" s="15"/>
      <c r="F10" s="15" t="s">
        <v>739</v>
      </c>
      <c r="G10" s="14">
        <v>0</v>
      </c>
      <c r="H10" s="14">
        <v>0</v>
      </c>
      <c r="I10" s="14">
        <v>0</v>
      </c>
      <c r="J10" s="14">
        <v>0</v>
      </c>
      <c r="K10" s="14">
        <v>0</v>
      </c>
      <c r="L10" s="1093">
        <v>0.206644672</v>
      </c>
      <c r="M10" s="1093">
        <v>0.27028342599999999</v>
      </c>
      <c r="N10" s="1093">
        <v>0.30297696900000004</v>
      </c>
      <c r="O10" s="1093">
        <v>0.350982717</v>
      </c>
      <c r="P10" s="1093">
        <v>0</v>
      </c>
      <c r="Q10" s="1093">
        <f t="shared" ref="Q10:AF10" si="4">Q25/Q$14</f>
        <v>0</v>
      </c>
      <c r="R10" s="1093">
        <f t="shared" si="4"/>
        <v>0</v>
      </c>
      <c r="S10" s="1093">
        <v>0</v>
      </c>
      <c r="T10" s="1093">
        <f t="shared" si="4"/>
        <v>0.34579578029556651</v>
      </c>
      <c r="U10" s="1093">
        <f t="shared" si="4"/>
        <v>0.34068549782814445</v>
      </c>
      <c r="V10" s="1093">
        <f t="shared" si="4"/>
        <v>0.33565073677649704</v>
      </c>
      <c r="W10" s="1093">
        <f t="shared" si="4"/>
        <v>0.33069038106058823</v>
      </c>
      <c r="X10" s="1093">
        <f t="shared" si="4"/>
        <v>0.32580333109417564</v>
      </c>
      <c r="Y10" s="1093">
        <f t="shared" si="4"/>
        <v>0.32098850354105979</v>
      </c>
      <c r="Z10" s="1093">
        <f t="shared" si="4"/>
        <v>0.31624483107493584</v>
      </c>
      <c r="AA10" s="1093">
        <f t="shared" si="4"/>
        <v>0.31157126214279396</v>
      </c>
      <c r="AB10" s="1093">
        <f t="shared" si="4"/>
        <v>0.30696676073181672</v>
      </c>
      <c r="AC10" s="1093">
        <f t="shared" si="4"/>
        <v>0.30243030613972094</v>
      </c>
      <c r="AD10" s="1093">
        <f t="shared" si="4"/>
        <v>0.29796089274849358</v>
      </c>
      <c r="AE10" s="1093">
        <f t="shared" si="4"/>
        <v>0.29355752980147154</v>
      </c>
      <c r="AF10" s="1093">
        <f t="shared" si="4"/>
        <v>0.28921924118371578</v>
      </c>
    </row>
    <row r="11" spans="1:32" ht="15" customHeight="1" thickBot="1">
      <c r="B11" s="171" t="s">
        <v>26</v>
      </c>
      <c r="C11" s="181" t="s">
        <v>138</v>
      </c>
      <c r="D11" s="15" t="s">
        <v>256</v>
      </c>
      <c r="E11" s="15"/>
      <c r="F11" s="15" t="s">
        <v>739</v>
      </c>
      <c r="G11" s="14">
        <v>0</v>
      </c>
      <c r="H11" s="14">
        <v>0</v>
      </c>
      <c r="I11" s="14">
        <v>0</v>
      </c>
      <c r="J11" s="14">
        <v>0</v>
      </c>
      <c r="K11" s="14">
        <v>0</v>
      </c>
      <c r="L11" s="1093">
        <v>2.9591831999999998E-2</v>
      </c>
      <c r="M11" s="1093">
        <v>6.1518174000000002E-2</v>
      </c>
      <c r="N11" s="1093">
        <v>8.013342200000001E-2</v>
      </c>
      <c r="O11" s="1093">
        <v>9.025762200000001E-2</v>
      </c>
      <c r="P11" s="1093">
        <v>0</v>
      </c>
      <c r="Q11" s="1093">
        <f t="shared" ref="Q11:AF11" si="5">Q26/Q$14</f>
        <v>0</v>
      </c>
      <c r="R11" s="1093">
        <f t="shared" si="5"/>
        <v>0</v>
      </c>
      <c r="S11" s="1093">
        <v>0</v>
      </c>
      <c r="T11" s="1093">
        <f t="shared" si="5"/>
        <v>8.892376551724139E-2</v>
      </c>
      <c r="U11" s="1093">
        <f t="shared" si="5"/>
        <v>8.7609621199252627E-2</v>
      </c>
      <c r="V11" s="1093">
        <f t="shared" si="5"/>
        <v>8.631489773325382E-2</v>
      </c>
      <c r="W11" s="1093">
        <f t="shared" si="5"/>
        <v>8.5039308111580142E-2</v>
      </c>
      <c r="X11" s="1093">
        <f t="shared" si="5"/>
        <v>8.3782569568059254E-2</v>
      </c>
      <c r="Y11" s="1093">
        <f t="shared" si="5"/>
        <v>8.2544403515329337E-2</v>
      </c>
      <c r="Z11" s="1093">
        <f t="shared" si="5"/>
        <v>8.1324535483083105E-2</v>
      </c>
      <c r="AA11" s="1093">
        <f t="shared" si="5"/>
        <v>8.0122695057224733E-2</v>
      </c>
      <c r="AB11" s="1093">
        <f t="shared" si="5"/>
        <v>7.8938615819925853E-2</v>
      </c>
      <c r="AC11" s="1093">
        <f t="shared" si="5"/>
        <v>7.7772035290567351E-2</v>
      </c>
      <c r="AD11" s="1093">
        <f t="shared" si="5"/>
        <v>7.6622694867554061E-2</v>
      </c>
      <c r="AE11" s="1093">
        <f t="shared" si="5"/>
        <v>7.549033977098922E-2</v>
      </c>
      <c r="AF11" s="1093">
        <f t="shared" si="5"/>
        <v>7.4374718986196284E-2</v>
      </c>
    </row>
    <row r="12" spans="1:32" ht="15" customHeight="1" thickBot="1">
      <c r="B12" s="173" t="s">
        <v>14</v>
      </c>
      <c r="C12" s="181" t="s">
        <v>138</v>
      </c>
      <c r="D12" s="15" t="s">
        <v>256</v>
      </c>
      <c r="E12" s="15"/>
      <c r="F12" s="15" t="s">
        <v>739</v>
      </c>
      <c r="G12" s="14">
        <v>0</v>
      </c>
      <c r="H12" s="14">
        <v>0</v>
      </c>
      <c r="I12" s="14">
        <v>0</v>
      </c>
      <c r="J12" s="14">
        <v>0</v>
      </c>
      <c r="K12" s="14">
        <v>0</v>
      </c>
      <c r="L12" s="1093">
        <v>1.9274279999999998E-2</v>
      </c>
      <c r="M12" s="1093">
        <v>2.7842141000000001E-2</v>
      </c>
      <c r="N12" s="1093">
        <v>3.2017428000000001E-2</v>
      </c>
      <c r="O12" s="1093">
        <v>3.6180617000000005E-2</v>
      </c>
      <c r="P12" s="1093">
        <v>0</v>
      </c>
      <c r="Q12" s="1093">
        <f t="shared" ref="Q12:AF12" si="6">Q27/Q$14</f>
        <v>0</v>
      </c>
      <c r="R12" s="1093">
        <f t="shared" si="6"/>
        <v>0</v>
      </c>
      <c r="S12" s="1093">
        <v>0</v>
      </c>
      <c r="T12" s="1093">
        <f t="shared" si="6"/>
        <v>3.5645928078817744E-2</v>
      </c>
      <c r="U12" s="1093">
        <f t="shared" si="6"/>
        <v>3.5119140964352459E-2</v>
      </c>
      <c r="V12" s="1093">
        <f t="shared" si="6"/>
        <v>3.4600138881135431E-2</v>
      </c>
      <c r="W12" s="1093">
        <f t="shared" si="6"/>
        <v>3.408880677944378E-2</v>
      </c>
      <c r="X12" s="1093">
        <f t="shared" si="6"/>
        <v>3.3585031309796835E-2</v>
      </c>
      <c r="Y12" s="1093">
        <f t="shared" si="6"/>
        <v>3.3088700797829398E-2</v>
      </c>
      <c r="Z12" s="1093">
        <f t="shared" si="6"/>
        <v>3.2599705219536361E-2</v>
      </c>
      <c r="AA12" s="1093">
        <f t="shared" si="6"/>
        <v>3.2117936176883119E-2</v>
      </c>
      <c r="AB12" s="1093">
        <f t="shared" si="6"/>
        <v>3.1643286873776474E-2</v>
      </c>
      <c r="AC12" s="1093">
        <f t="shared" si="6"/>
        <v>3.1175652092390618E-2</v>
      </c>
      <c r="AD12" s="1093">
        <f t="shared" si="6"/>
        <v>3.0714928169842975E-2</v>
      </c>
      <c r="AE12" s="1093">
        <f t="shared" si="6"/>
        <v>3.0261012975214756E-2</v>
      </c>
      <c r="AF12" s="1093">
        <f t="shared" si="6"/>
        <v>2.9813805886911092E-2</v>
      </c>
    </row>
    <row r="13" spans="1:32" ht="15" customHeight="1">
      <c r="B13" s="322"/>
      <c r="C13" s="10"/>
      <c r="D13" s="26"/>
      <c r="E13" s="222"/>
      <c r="F13" s="222"/>
      <c r="G13" s="210"/>
      <c r="H13" s="210"/>
      <c r="I13" s="210"/>
      <c r="J13" s="210"/>
      <c r="K13" s="210"/>
      <c r="L13" s="1217">
        <f>'D-Inflationsrate'!L6</f>
        <v>5.0000000000000001E-3</v>
      </c>
      <c r="M13" s="1217">
        <f>'D-Inflationsrate'!M6</f>
        <v>1.4999999999999999E-2</v>
      </c>
      <c r="N13" s="1217">
        <f>'D-Inflationsrate'!N6</f>
        <v>1.7999999999999999E-2</v>
      </c>
      <c r="O13" s="1217">
        <f>'D-Inflationsrate'!O6</f>
        <v>1.4E-2</v>
      </c>
      <c r="P13" s="1217">
        <f>'D-Inflationsrate'!P6</f>
        <v>5.0000000000000001E-3</v>
      </c>
      <c r="Q13" s="1217">
        <f>'D-Inflationsrate'!Q6</f>
        <v>2.9000000000000001E-2</v>
      </c>
      <c r="R13" s="1217">
        <f>'D-Inflationsrate'!R6</f>
        <v>1.4999999999999999E-2</v>
      </c>
      <c r="S13" s="1217">
        <f>'D-Inflationsrate'!S6</f>
        <v>1.4999999999999999E-2</v>
      </c>
      <c r="T13" s="1217">
        <f>'D-Inflationsrate'!T6</f>
        <v>1.4999999999999999E-2</v>
      </c>
      <c r="U13" s="1217">
        <f>'D-Inflationsrate'!U6</f>
        <v>1.4999999999999999E-2</v>
      </c>
      <c r="V13" s="1217">
        <f>'D-Inflationsrate'!V6</f>
        <v>1.4999999999999999E-2</v>
      </c>
      <c r="W13" s="1217">
        <f>'D-Inflationsrate'!W6</f>
        <v>1.4999999999999999E-2</v>
      </c>
      <c r="X13" s="1217">
        <f>'D-Inflationsrate'!X6</f>
        <v>1.4999999999999999E-2</v>
      </c>
      <c r="Y13" s="1217">
        <f>'D-Inflationsrate'!Y6</f>
        <v>1.4999999999999999E-2</v>
      </c>
      <c r="Z13" s="1217">
        <f>'D-Inflationsrate'!Z6</f>
        <v>1.4999999999999999E-2</v>
      </c>
      <c r="AA13" s="1217">
        <f>'D-Inflationsrate'!AA6</f>
        <v>1.4999999999999999E-2</v>
      </c>
      <c r="AB13" s="1217">
        <f>'D-Inflationsrate'!AB6</f>
        <v>1.4999999999999999E-2</v>
      </c>
      <c r="AC13" s="1217">
        <f>'D-Inflationsrate'!AC6</f>
        <v>1.4999999999999999E-2</v>
      </c>
      <c r="AD13" s="1217">
        <f>'D-Inflationsrate'!AD6</f>
        <v>1.4999999999999999E-2</v>
      </c>
      <c r="AE13" s="1217">
        <f>'D-Inflationsrate'!AE6</f>
        <v>1.4999999999999999E-2</v>
      </c>
      <c r="AF13" s="1217">
        <f>'D-Inflationsrate'!AF6</f>
        <v>0</v>
      </c>
    </row>
    <row r="14" spans="1:32" ht="15" customHeight="1">
      <c r="C14" s="10"/>
      <c r="D14" s="26"/>
      <c r="E14" s="222"/>
      <c r="F14" s="222"/>
      <c r="G14" s="210"/>
      <c r="H14" s="210"/>
      <c r="I14" s="210"/>
      <c r="J14" s="210"/>
      <c r="K14" s="210"/>
      <c r="L14" s="1217">
        <f>IF(L4&lt;ControlPanel!$D$60,M14/(1+M13),IF(L4&gt;ControlPanel!$D$60,K14*(1+K13),1))</f>
        <v>0.89584877411495478</v>
      </c>
      <c r="M14" s="1217">
        <f>IF(M4&lt;ControlPanel!$D$60,N14/(1+N13),IF(M4&gt;ControlPanel!$D$60,L14*(1+L13),1))</f>
        <v>0.90928650572667902</v>
      </c>
      <c r="N14" s="1217">
        <f>IF(N4&lt;ControlPanel!$D$60,O14/(1+O13),IF(N4&gt;ControlPanel!$D$60,M14*(1+M13),1))</f>
        <v>0.92565366282975925</v>
      </c>
      <c r="O14" s="1217">
        <f>IF(O4&lt;ControlPanel!$D$60,P14/(1+P13),IF(O4&gt;ControlPanel!$D$60,N14*(1+N13),1))</f>
        <v>0.93861281410937591</v>
      </c>
      <c r="P14" s="1217">
        <f>IF(P4&lt;ControlPanel!$D$60,Q14/(1+Q13),IF(P4&gt;ControlPanel!$D$60,O14*(1+O13),1))</f>
        <v>0.94330587817992273</v>
      </c>
      <c r="Q14" s="1217">
        <f>IF(Q4&lt;ControlPanel!$D$60,R14/(1+R13),IF(Q4&gt;ControlPanel!$D$60,P14*(1+P13),1))</f>
        <v>0.97066174864714039</v>
      </c>
      <c r="R14" s="1217">
        <f>IF(R4&lt;ControlPanel!$D$60,S14/(1+S13),IF(R4&gt;ControlPanel!$D$60,Q14*(1+Q13),1))</f>
        <v>0.98522167487684742</v>
      </c>
      <c r="S14" s="1217">
        <f>IF(S4&lt;ControlPanel!$D$60,T14/(1+T13),IF(S4&gt;ControlPanel!$D$60,R14*(1+R13),1))</f>
        <v>1</v>
      </c>
      <c r="T14" s="1217">
        <f>IF(T4&lt;ControlPanel!$D$60,U14/(1+U13),IF(T4&gt;ControlPanel!$D$60,S14*(1+S13),1))</f>
        <v>1.0149999999999999</v>
      </c>
      <c r="U14" s="1217">
        <f>IF(U4&lt;ControlPanel!$D$60,V14/(1+V13),IF(U4&gt;ControlPanel!$D$60,T14*(1+T13),1))</f>
        <v>1.0302249999999997</v>
      </c>
      <c r="V14" s="1217">
        <f>IF(V4&lt;ControlPanel!$D$60,W14/(1+W13),IF(V4&gt;ControlPanel!$D$60,U14*(1+U13),1))</f>
        <v>1.0456783749999996</v>
      </c>
      <c r="W14" s="1217">
        <f>IF(W4&lt;ControlPanel!$D$60,X14/(1+X13),IF(W4&gt;ControlPanel!$D$60,V14*(1+V13),1))</f>
        <v>1.0613635506249994</v>
      </c>
      <c r="X14" s="1217">
        <f>IF(X4&lt;ControlPanel!$D$60,Y14/(1+Y13),IF(X4&gt;ControlPanel!$D$60,W14*(1+W13),1))</f>
        <v>1.0772840038843743</v>
      </c>
      <c r="Y14" s="1217">
        <f>IF(Y4&lt;ControlPanel!$D$60,Z14/(1+Z13),IF(Y4&gt;ControlPanel!$D$60,X14*(1+X13),1))</f>
        <v>1.0934432639426397</v>
      </c>
      <c r="Z14" s="1217">
        <f>IF(Z4&lt;ControlPanel!$D$60,AA14/(1+AA13),IF(Z4&gt;ControlPanel!$D$60,Y14*(1+Y13),1))</f>
        <v>1.1098449129017791</v>
      </c>
      <c r="AA14" s="1217">
        <f>IF(AA4&lt;ControlPanel!$D$60,AB14/(1+AB13),IF(AA4&gt;ControlPanel!$D$60,Z14*(1+Z13),1))</f>
        <v>1.1264925865953057</v>
      </c>
      <c r="AB14" s="1217">
        <f>IF(AB4&lt;ControlPanel!$D$60,AC14/(1+AC13),IF(AB4&gt;ControlPanel!$D$60,AA14*(1+AA13),1))</f>
        <v>1.1433899753942351</v>
      </c>
      <c r="AC14" s="1217">
        <f>IF(AC4&lt;ControlPanel!$D$60,AD14/(1+AD13),IF(AC4&gt;ControlPanel!$D$60,AB14*(1+AB13),1))</f>
        <v>1.1605408250251485</v>
      </c>
      <c r="AD14" s="1217">
        <f>IF(AD4&lt;ControlPanel!$D$60,AE14/(1+AE13),IF(AD4&gt;ControlPanel!$D$60,AC14*(1+AC13),1))</f>
        <v>1.1779489374005256</v>
      </c>
      <c r="AE14" s="1217">
        <f>IF(AE4&lt;ControlPanel!$D$60,AF14/(1+AF13),IF(AE4&gt;ControlPanel!$D$60,AD14*(1+AD13),1))</f>
        <v>1.1956181714615335</v>
      </c>
      <c r="AF14" s="1217">
        <f>IF(AF4&lt;ControlPanel!$D$60,AG14/(1+AG13),IF(AF4&gt;ControlPanel!$D$60,AE14*(1+AE13),1))</f>
        <v>1.2135524440334564</v>
      </c>
    </row>
    <row r="15" spans="1:32" ht="15" customHeight="1">
      <c r="B15" s="9" t="s">
        <v>846</v>
      </c>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B16" s="62" t="s">
        <v>847</v>
      </c>
      <c r="C16" s="62"/>
      <c r="D16" s="19"/>
      <c r="E16" s="19"/>
      <c r="F16" s="19"/>
    </row>
    <row r="17" spans="2:32" ht="15" customHeight="1">
      <c r="B17" s="37"/>
    </row>
    <row r="18" spans="2:32" ht="15" customHeight="1">
      <c r="B18" s="63"/>
      <c r="C18" s="63" t="s">
        <v>18</v>
      </c>
      <c r="D18" s="18" t="s">
        <v>64</v>
      </c>
      <c r="E18" s="321" t="s">
        <v>16</v>
      </c>
      <c r="F18" s="18" t="s">
        <v>377</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row>
    <row r="19" spans="2:32" ht="15" customHeight="1">
      <c r="B19" s="64"/>
      <c r="C19" s="64"/>
      <c r="E19" s="16"/>
      <c r="G19" s="61">
        <v>2010</v>
      </c>
      <c r="H19" s="61">
        <v>2011</v>
      </c>
      <c r="I19" s="61">
        <v>2012</v>
      </c>
      <c r="J19" s="61">
        <v>2013</v>
      </c>
      <c r="K19" s="61">
        <v>2014</v>
      </c>
      <c r="L19" s="61">
        <v>2015</v>
      </c>
      <c r="M19" s="61">
        <v>2016</v>
      </c>
      <c r="N19" s="61">
        <v>2017</v>
      </c>
      <c r="O19" s="61">
        <v>2018</v>
      </c>
      <c r="P19" s="61">
        <v>2019</v>
      </c>
      <c r="Q19" s="61">
        <v>2020</v>
      </c>
      <c r="R19" s="61">
        <v>2021</v>
      </c>
      <c r="S19" s="61">
        <v>2022</v>
      </c>
      <c r="T19" s="61">
        <v>2023</v>
      </c>
      <c r="U19" s="61">
        <v>2024</v>
      </c>
      <c r="V19" s="61">
        <v>2025</v>
      </c>
      <c r="W19" s="61">
        <v>2026</v>
      </c>
      <c r="X19" s="61">
        <v>2027</v>
      </c>
      <c r="Y19" s="61">
        <v>2028</v>
      </c>
      <c r="Z19" s="61">
        <v>2029</v>
      </c>
      <c r="AA19" s="61">
        <v>2030</v>
      </c>
      <c r="AB19" s="61">
        <v>2031</v>
      </c>
      <c r="AC19" s="61">
        <v>2032</v>
      </c>
      <c r="AD19" s="61">
        <v>2033</v>
      </c>
      <c r="AE19" s="61">
        <v>2034</v>
      </c>
      <c r="AF19" s="61">
        <v>2035</v>
      </c>
    </row>
    <row r="20" spans="2:32" ht="15" customHeight="1" thickBot="1">
      <c r="B20" s="69"/>
      <c r="C20" s="64"/>
      <c r="E20" s="16"/>
      <c r="G20" s="330" t="s">
        <v>60</v>
      </c>
      <c r="H20" s="330" t="s">
        <v>60</v>
      </c>
      <c r="I20" s="330" t="s">
        <v>60</v>
      </c>
      <c r="J20" s="330" t="s">
        <v>60</v>
      </c>
      <c r="K20" s="330" t="s">
        <v>60</v>
      </c>
      <c r="L20" s="330" t="s">
        <v>60</v>
      </c>
      <c r="M20" s="330" t="s">
        <v>60</v>
      </c>
      <c r="N20" s="330" t="s">
        <v>60</v>
      </c>
      <c r="O20" s="330" t="s">
        <v>60</v>
      </c>
      <c r="P20" s="330" t="s">
        <v>60</v>
      </c>
      <c r="Q20" s="330" t="s">
        <v>60</v>
      </c>
      <c r="R20" s="330" t="s">
        <v>60</v>
      </c>
      <c r="S20" s="330" t="s">
        <v>60</v>
      </c>
      <c r="T20" s="330" t="s">
        <v>60</v>
      </c>
      <c r="U20" s="330" t="s">
        <v>60</v>
      </c>
      <c r="V20" s="330" t="s">
        <v>60</v>
      </c>
      <c r="W20" s="330" t="s">
        <v>60</v>
      </c>
      <c r="X20" s="330" t="s">
        <v>60</v>
      </c>
      <c r="Y20" s="330" t="s">
        <v>60</v>
      </c>
      <c r="Z20" s="330" t="s">
        <v>60</v>
      </c>
      <c r="AA20" s="330" t="s">
        <v>60</v>
      </c>
      <c r="AB20" s="330" t="s">
        <v>60</v>
      </c>
      <c r="AC20" s="330" t="s">
        <v>60</v>
      </c>
      <c r="AD20" s="330" t="s">
        <v>60</v>
      </c>
      <c r="AE20" s="330" t="s">
        <v>60</v>
      </c>
      <c r="AF20" s="330" t="s">
        <v>60</v>
      </c>
    </row>
    <row r="21" spans="2:32" ht="15" customHeight="1" thickBot="1">
      <c r="B21" s="172" t="s">
        <v>25</v>
      </c>
      <c r="C21" s="181" t="s">
        <v>138</v>
      </c>
      <c r="D21" s="15" t="s">
        <v>256</v>
      </c>
      <c r="E21" s="15"/>
      <c r="F21" s="15" t="s">
        <v>739</v>
      </c>
      <c r="G21" s="14">
        <v>0</v>
      </c>
      <c r="H21" s="14">
        <v>0</v>
      </c>
      <c r="I21" s="14">
        <v>0</v>
      </c>
      <c r="J21" s="14">
        <v>0</v>
      </c>
      <c r="K21" s="14">
        <v>0</v>
      </c>
      <c r="L21" s="1093">
        <v>5.6636480000000003E-3</v>
      </c>
      <c r="M21" s="1093">
        <v>7.4175630000000003E-3</v>
      </c>
      <c r="N21" s="1093">
        <v>5.7840040000000006E-3</v>
      </c>
      <c r="O21" s="1093">
        <v>6.0242580000000002E-3</v>
      </c>
      <c r="P21" s="1093">
        <v>0</v>
      </c>
      <c r="Q21" s="1093"/>
      <c r="R21" s="1093">
        <v>0</v>
      </c>
      <c r="S21" s="1093">
        <v>0</v>
      </c>
      <c r="T21" s="1093">
        <v>6.0242580000000002E-3</v>
      </c>
      <c r="U21" s="1093">
        <v>6.0242580000000002E-3</v>
      </c>
      <c r="V21" s="1093">
        <v>6.0242580000000002E-3</v>
      </c>
      <c r="W21" s="1093">
        <v>6.0242580000000002E-3</v>
      </c>
      <c r="X21" s="1093">
        <v>6.0242580000000002E-3</v>
      </c>
      <c r="Y21" s="1093">
        <v>6.0242580000000002E-3</v>
      </c>
      <c r="Z21" s="1093">
        <v>6.0242580000000002E-3</v>
      </c>
      <c r="AA21" s="1093">
        <v>6.0242580000000002E-3</v>
      </c>
      <c r="AB21" s="1093">
        <v>6.0242580000000002E-3</v>
      </c>
      <c r="AC21" s="1093">
        <v>6.0242580000000002E-3</v>
      </c>
      <c r="AD21" s="1093">
        <v>6.0242580000000002E-3</v>
      </c>
      <c r="AE21" s="1093">
        <v>6.0242580000000002E-3</v>
      </c>
      <c r="AF21" s="1093">
        <v>6.0242580000000002E-3</v>
      </c>
    </row>
    <row r="22" spans="2:32" ht="15" customHeight="1" thickBot="1">
      <c r="B22" s="171" t="s">
        <v>27</v>
      </c>
      <c r="C22" s="181" t="s">
        <v>138</v>
      </c>
      <c r="D22" s="15" t="s">
        <v>256</v>
      </c>
      <c r="E22" s="15"/>
      <c r="F22" s="15" t="s">
        <v>739</v>
      </c>
      <c r="G22" s="14">
        <v>0</v>
      </c>
      <c r="H22" s="14">
        <v>0</v>
      </c>
      <c r="I22" s="14">
        <v>0</v>
      </c>
      <c r="J22" s="14">
        <v>0</v>
      </c>
      <c r="K22" s="14">
        <v>0</v>
      </c>
      <c r="L22" s="1093">
        <v>1.0429840000000001E-3</v>
      </c>
      <c r="M22" s="1093">
        <v>1.8630400000000001E-3</v>
      </c>
      <c r="N22" s="1093">
        <v>1.7739950000000002E-3</v>
      </c>
      <c r="O22" s="1093">
        <v>1.812908E-3</v>
      </c>
      <c r="P22" s="1093">
        <v>0</v>
      </c>
      <c r="Q22" s="1093"/>
      <c r="R22" s="1093">
        <v>0</v>
      </c>
      <c r="S22" s="1093">
        <v>0</v>
      </c>
      <c r="T22" s="1093">
        <v>1.812908E-3</v>
      </c>
      <c r="U22" s="1093">
        <v>1.812908E-3</v>
      </c>
      <c r="V22" s="1093">
        <v>1.812908E-3</v>
      </c>
      <c r="W22" s="1093">
        <v>1.812908E-3</v>
      </c>
      <c r="X22" s="1093">
        <v>1.812908E-3</v>
      </c>
      <c r="Y22" s="1093">
        <v>1.812908E-3</v>
      </c>
      <c r="Z22" s="1093">
        <v>1.812908E-3</v>
      </c>
      <c r="AA22" s="1093">
        <v>1.812908E-3</v>
      </c>
      <c r="AB22" s="1093">
        <v>1.812908E-3</v>
      </c>
      <c r="AC22" s="1093">
        <v>1.812908E-3</v>
      </c>
      <c r="AD22" s="1093">
        <v>1.812908E-3</v>
      </c>
      <c r="AE22" s="1093">
        <v>1.812908E-3</v>
      </c>
      <c r="AF22" s="1093">
        <v>1.812908E-3</v>
      </c>
    </row>
    <row r="23" spans="2:32" ht="15" customHeight="1" thickBot="1">
      <c r="B23" s="171" t="s">
        <v>13</v>
      </c>
      <c r="C23" s="181" t="s">
        <v>138</v>
      </c>
      <c r="D23" s="15" t="s">
        <v>256</v>
      </c>
      <c r="E23" s="15"/>
      <c r="F23" s="15" t="s">
        <v>739</v>
      </c>
      <c r="G23" s="14">
        <v>0</v>
      </c>
      <c r="H23" s="14">
        <v>0</v>
      </c>
      <c r="I23" s="14">
        <v>0</v>
      </c>
      <c r="J23" s="14">
        <v>0</v>
      </c>
      <c r="K23" s="14">
        <v>0</v>
      </c>
      <c r="L23" s="1093">
        <v>4.3850929999999996E-2</v>
      </c>
      <c r="M23" s="1093">
        <v>5.8247980000000005E-2</v>
      </c>
      <c r="N23" s="1093">
        <v>6.2028065000000007E-2</v>
      </c>
      <c r="O23" s="1093">
        <v>6.2409504000000005E-2</v>
      </c>
      <c r="P23" s="1093">
        <v>0</v>
      </c>
      <c r="Q23" s="1093"/>
      <c r="R23" s="1093">
        <v>0</v>
      </c>
      <c r="S23" s="1093">
        <v>0</v>
      </c>
      <c r="T23" s="1093">
        <v>6.2409504000000005E-2</v>
      </c>
      <c r="U23" s="1093">
        <v>6.2409504000000005E-2</v>
      </c>
      <c r="V23" s="1093">
        <v>6.2409504000000005E-2</v>
      </c>
      <c r="W23" s="1093">
        <v>6.2409504000000005E-2</v>
      </c>
      <c r="X23" s="1093">
        <v>6.2409504000000005E-2</v>
      </c>
      <c r="Y23" s="1093">
        <v>6.2409504000000005E-2</v>
      </c>
      <c r="Z23" s="1093">
        <v>6.2409504000000005E-2</v>
      </c>
      <c r="AA23" s="1093">
        <v>6.2409504000000005E-2</v>
      </c>
      <c r="AB23" s="1093">
        <v>6.2409504000000005E-2</v>
      </c>
      <c r="AC23" s="1093">
        <v>6.2409504000000005E-2</v>
      </c>
      <c r="AD23" s="1093">
        <v>6.2409504000000005E-2</v>
      </c>
      <c r="AE23" s="1093">
        <v>6.2409504000000005E-2</v>
      </c>
      <c r="AF23" s="1093">
        <v>6.2409504000000005E-2</v>
      </c>
    </row>
    <row r="24" spans="2:32" ht="15" customHeight="1" thickBot="1">
      <c r="B24" s="171" t="s">
        <v>12</v>
      </c>
      <c r="C24" s="181" t="s">
        <v>138</v>
      </c>
      <c r="D24" s="15" t="s">
        <v>256</v>
      </c>
      <c r="E24" s="15"/>
      <c r="F24" s="15" t="s">
        <v>739</v>
      </c>
      <c r="G24" s="14">
        <v>0</v>
      </c>
      <c r="H24" s="14">
        <v>0</v>
      </c>
      <c r="I24" s="14">
        <v>0</v>
      </c>
      <c r="J24" s="14">
        <v>0</v>
      </c>
      <c r="K24" s="14">
        <v>0</v>
      </c>
      <c r="L24" s="1093">
        <v>3.3599999999999997E-5</v>
      </c>
      <c r="M24" s="1093">
        <v>1.9669000000000002E-4</v>
      </c>
      <c r="N24" s="1093">
        <v>2.1216200000000001E-4</v>
      </c>
      <c r="O24" s="1093">
        <v>3.4630000000000001E-4</v>
      </c>
      <c r="P24" s="1093">
        <v>0</v>
      </c>
      <c r="Q24" s="1093"/>
      <c r="R24" s="1093">
        <v>0</v>
      </c>
      <c r="S24" s="1093">
        <v>0</v>
      </c>
      <c r="T24" s="1093">
        <v>3.4630000000000001E-4</v>
      </c>
      <c r="U24" s="1093">
        <v>3.4630000000000001E-4</v>
      </c>
      <c r="V24" s="1093">
        <v>3.4630000000000001E-4</v>
      </c>
      <c r="W24" s="1093">
        <v>3.4630000000000001E-4</v>
      </c>
      <c r="X24" s="1093">
        <v>3.4630000000000001E-4</v>
      </c>
      <c r="Y24" s="1093">
        <v>3.4630000000000001E-4</v>
      </c>
      <c r="Z24" s="1093">
        <v>3.4630000000000001E-4</v>
      </c>
      <c r="AA24" s="1093">
        <v>3.4630000000000001E-4</v>
      </c>
      <c r="AB24" s="1093">
        <v>3.4630000000000001E-4</v>
      </c>
      <c r="AC24" s="1093">
        <v>3.4630000000000001E-4</v>
      </c>
      <c r="AD24" s="1093">
        <v>3.4630000000000001E-4</v>
      </c>
      <c r="AE24" s="1093">
        <v>3.4630000000000001E-4</v>
      </c>
      <c r="AF24" s="1093">
        <v>3.4630000000000001E-4</v>
      </c>
    </row>
    <row r="25" spans="2:32" ht="15" customHeight="1" thickBot="1">
      <c r="B25" s="171" t="s">
        <v>24</v>
      </c>
      <c r="C25" s="181" t="s">
        <v>138</v>
      </c>
      <c r="D25" s="15" t="s">
        <v>256</v>
      </c>
      <c r="E25" s="15"/>
      <c r="F25" s="15" t="s">
        <v>739</v>
      </c>
      <c r="G25" s="14">
        <v>0</v>
      </c>
      <c r="H25" s="14">
        <v>0</v>
      </c>
      <c r="I25" s="14">
        <v>0</v>
      </c>
      <c r="J25" s="14">
        <v>0</v>
      </c>
      <c r="K25" s="14">
        <v>0</v>
      </c>
      <c r="L25" s="1093">
        <v>0.206644672</v>
      </c>
      <c r="M25" s="1093">
        <v>0.27028342599999999</v>
      </c>
      <c r="N25" s="1093">
        <v>0.30297696900000004</v>
      </c>
      <c r="O25" s="1093">
        <v>0.350982717</v>
      </c>
      <c r="P25" s="1093">
        <v>0</v>
      </c>
      <c r="Q25" s="1093"/>
      <c r="R25" s="1093">
        <v>0</v>
      </c>
      <c r="S25" s="1093">
        <v>0</v>
      </c>
      <c r="T25" s="1093">
        <v>0.350982717</v>
      </c>
      <c r="U25" s="1093">
        <v>0.350982717</v>
      </c>
      <c r="V25" s="1093">
        <v>0.350982717</v>
      </c>
      <c r="W25" s="1093">
        <v>0.350982717</v>
      </c>
      <c r="X25" s="1093">
        <v>0.350982717</v>
      </c>
      <c r="Y25" s="1093">
        <v>0.350982717</v>
      </c>
      <c r="Z25" s="1093">
        <v>0.350982717</v>
      </c>
      <c r="AA25" s="1093">
        <v>0.350982717</v>
      </c>
      <c r="AB25" s="1093">
        <v>0.350982717</v>
      </c>
      <c r="AC25" s="1093">
        <v>0.350982717</v>
      </c>
      <c r="AD25" s="1093">
        <v>0.350982717</v>
      </c>
      <c r="AE25" s="1093">
        <v>0.350982717</v>
      </c>
      <c r="AF25" s="1093">
        <v>0.350982717</v>
      </c>
    </row>
    <row r="26" spans="2:32" ht="15" customHeight="1" thickBot="1">
      <c r="B26" s="171" t="s">
        <v>26</v>
      </c>
      <c r="C26" s="181" t="s">
        <v>138</v>
      </c>
      <c r="D26" s="15" t="s">
        <v>256</v>
      </c>
      <c r="E26" s="15"/>
      <c r="F26" s="15" t="s">
        <v>739</v>
      </c>
      <c r="G26" s="14">
        <v>0</v>
      </c>
      <c r="H26" s="14">
        <v>0</v>
      </c>
      <c r="I26" s="14">
        <v>0</v>
      </c>
      <c r="J26" s="14">
        <v>0</v>
      </c>
      <c r="K26" s="14">
        <v>0</v>
      </c>
      <c r="L26" s="1093">
        <v>2.9591831999999998E-2</v>
      </c>
      <c r="M26" s="1093">
        <v>6.1518174000000002E-2</v>
      </c>
      <c r="N26" s="1093">
        <v>8.013342200000001E-2</v>
      </c>
      <c r="O26" s="1093">
        <v>9.025762200000001E-2</v>
      </c>
      <c r="P26" s="1093">
        <v>0</v>
      </c>
      <c r="Q26" s="1093"/>
      <c r="R26" s="1093">
        <v>0</v>
      </c>
      <c r="S26" s="1093">
        <v>0</v>
      </c>
      <c r="T26" s="1093">
        <v>9.025762200000001E-2</v>
      </c>
      <c r="U26" s="1093">
        <v>9.025762200000001E-2</v>
      </c>
      <c r="V26" s="1093">
        <v>9.025762200000001E-2</v>
      </c>
      <c r="W26" s="1093">
        <v>9.025762200000001E-2</v>
      </c>
      <c r="X26" s="1093">
        <v>9.025762200000001E-2</v>
      </c>
      <c r="Y26" s="1093">
        <v>9.025762200000001E-2</v>
      </c>
      <c r="Z26" s="1093">
        <v>9.025762200000001E-2</v>
      </c>
      <c r="AA26" s="1093">
        <v>9.025762200000001E-2</v>
      </c>
      <c r="AB26" s="1093">
        <v>9.025762200000001E-2</v>
      </c>
      <c r="AC26" s="1093">
        <v>9.025762200000001E-2</v>
      </c>
      <c r="AD26" s="1093">
        <v>9.025762200000001E-2</v>
      </c>
      <c r="AE26" s="1093">
        <v>9.025762200000001E-2</v>
      </c>
      <c r="AF26" s="1093">
        <v>9.025762200000001E-2</v>
      </c>
    </row>
    <row r="27" spans="2:32" ht="15" customHeight="1" thickBot="1">
      <c r="B27" s="173" t="s">
        <v>14</v>
      </c>
      <c r="C27" s="181" t="s">
        <v>138</v>
      </c>
      <c r="D27" s="15" t="s">
        <v>256</v>
      </c>
      <c r="E27" s="15"/>
      <c r="F27" s="15" t="s">
        <v>739</v>
      </c>
      <c r="G27" s="14">
        <v>0</v>
      </c>
      <c r="H27" s="14">
        <v>0</v>
      </c>
      <c r="I27" s="14">
        <v>0</v>
      </c>
      <c r="J27" s="14">
        <v>0</v>
      </c>
      <c r="K27" s="14">
        <v>0</v>
      </c>
      <c r="L27" s="1093">
        <v>1.9274279999999998E-2</v>
      </c>
      <c r="M27" s="1093">
        <v>2.7842141000000001E-2</v>
      </c>
      <c r="N27" s="1093">
        <v>3.2017428000000001E-2</v>
      </c>
      <c r="O27" s="1093">
        <v>3.6180617000000005E-2</v>
      </c>
      <c r="P27" s="1093">
        <v>0</v>
      </c>
      <c r="Q27" s="1093"/>
      <c r="R27" s="1093">
        <v>0</v>
      </c>
      <c r="S27" s="1093">
        <v>0</v>
      </c>
      <c r="T27" s="1093">
        <v>3.6180617000000005E-2</v>
      </c>
      <c r="U27" s="1093">
        <v>3.6180617000000005E-2</v>
      </c>
      <c r="V27" s="1093">
        <v>3.6180617000000005E-2</v>
      </c>
      <c r="W27" s="1093">
        <v>3.6180617000000005E-2</v>
      </c>
      <c r="X27" s="1093">
        <v>3.6180617000000005E-2</v>
      </c>
      <c r="Y27" s="1093">
        <v>3.6180617000000005E-2</v>
      </c>
      <c r="Z27" s="1093">
        <v>3.6180617000000005E-2</v>
      </c>
      <c r="AA27" s="1093">
        <v>3.6180617000000005E-2</v>
      </c>
      <c r="AB27" s="1093">
        <v>3.6180617000000005E-2</v>
      </c>
      <c r="AC27" s="1093">
        <v>3.6180617000000005E-2</v>
      </c>
      <c r="AD27" s="1093">
        <v>3.6180617000000005E-2</v>
      </c>
      <c r="AE27" s="1093">
        <v>3.6180617000000005E-2</v>
      </c>
      <c r="AF27" s="1093">
        <v>3.6180617000000005E-2</v>
      </c>
    </row>
    <row r="28" spans="2:32" ht="15" customHeight="1">
      <c r="C28" s="10"/>
      <c r="D28" s="26"/>
      <c r="E28" s="222"/>
      <c r="F28" s="222"/>
      <c r="G28" s="210"/>
      <c r="H28" s="210"/>
      <c r="I28" s="210"/>
      <c r="J28" s="210"/>
      <c r="K28" s="210"/>
      <c r="L28" s="210"/>
      <c r="M28" s="210"/>
      <c r="N28" s="210"/>
      <c r="O28" s="210"/>
      <c r="P28" s="210"/>
      <c r="Q28" s="210"/>
      <c r="R28" s="210"/>
      <c r="S28" s="1235"/>
      <c r="T28" s="210"/>
      <c r="U28" s="210"/>
      <c r="V28" s="210"/>
      <c r="W28" s="210"/>
      <c r="X28" s="210"/>
      <c r="Y28" s="210"/>
      <c r="Z28" s="210"/>
      <c r="AA28" s="210"/>
      <c r="AB28" s="210"/>
      <c r="AC28" s="210"/>
      <c r="AD28" s="210"/>
      <c r="AE28" s="210"/>
      <c r="AF28" s="210"/>
    </row>
    <row r="29" spans="2: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2: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2: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2: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m+YbtZMbBtOTOGacV1qOuYDeSKv5O3x208XRxG2C7VemwFx9q5iB9+N6t96hPAp3f6otCFiXd0gl11YQO6RJrA==" saltValue="Dz2JRRnPAqYHnoqJIp8uQA==" spinCount="100000" sheet="1" objects="1" scenarios="1"/>
  <hyperlinks>
    <hyperlink ref="A1" location="'Start-Experte'!A1" display="zurück" xr:uid="{00000000-0004-0000-32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4" operator="greaterThan" id="{6E8E1C91-69BB-499F-A6A5-C2E48F7B42DB}">
            <xm:f>ControlPanel!$D$59-1</xm:f>
            <x14:dxf>
              <font>
                <color rgb="FF9C6500"/>
              </font>
              <fill>
                <patternFill>
                  <fgColor indexed="64"/>
                  <bgColor rgb="FFFFEB9C"/>
                </patternFill>
              </fill>
            </x14:dxf>
          </x14:cfRule>
          <x14:cfRule type="cellIs" priority="5" operator="lessThan" id="{5222D6DF-E55A-4BEC-B50E-1A6565845F8C}">
            <xm:f>ControlPanel!$D$59</xm:f>
            <x14:dxf>
              <font>
                <color rgb="FF006100"/>
              </font>
              <fill>
                <patternFill>
                  <fgColor indexed="64"/>
                  <bgColor rgb="FFC6EFCE"/>
                </patternFill>
              </fill>
            </x14:dxf>
          </x14:cfRule>
          <x14:cfRule type="cellIs" priority="6" operator="lessThan" id="{AD9E61D0-C05A-418A-B855-2D81FC0CFEF5}">
            <xm:f>ControlPanel!$D$59+1</xm:f>
            <x14:dxf>
              <font>
                <color rgb="FF006100"/>
              </font>
              <fill>
                <patternFill>
                  <fgColor indexed="64"/>
                  <bgColor rgb="FFC6EFCE"/>
                </patternFill>
              </fill>
            </x14:dxf>
          </x14:cfRule>
          <xm:sqref>G4:AF4</xm:sqref>
        </x14:conditionalFormatting>
        <x14:conditionalFormatting xmlns:xm="http://schemas.microsoft.com/office/excel/2006/main">
          <x14:cfRule type="cellIs" priority="1" operator="greaterThan" id="{1C18E261-AB33-4163-AC02-167C0BE073DB}">
            <xm:f>ControlPanel!$D$59-1</xm:f>
            <x14:dxf>
              <font>
                <color rgb="FF9C6500"/>
              </font>
              <fill>
                <patternFill>
                  <fgColor indexed="64"/>
                  <bgColor rgb="FFFFEB9C"/>
                </patternFill>
              </fill>
            </x14:dxf>
          </x14:cfRule>
          <x14:cfRule type="cellIs" priority="2" operator="lessThan" id="{2C0A11EA-644E-4472-ABA1-43F4CF4980EE}">
            <xm:f>ControlPanel!$D$59</xm:f>
            <x14:dxf>
              <font>
                <color rgb="FF006100"/>
              </font>
              <fill>
                <patternFill>
                  <fgColor indexed="64"/>
                  <bgColor rgb="FFC6EFCE"/>
                </patternFill>
              </fill>
            </x14:dxf>
          </x14:cfRule>
          <x14:cfRule type="cellIs" priority="3" operator="lessThan" id="{90E7514F-9F33-405C-9F0D-15812D86B64B}">
            <xm:f>ControlPanel!$D$59+1</xm:f>
            <x14:dxf>
              <font>
                <color rgb="FF006100"/>
              </font>
              <fill>
                <patternFill>
                  <fgColor indexed="64"/>
                  <bgColor rgb="FFC6EFCE"/>
                </patternFill>
              </fill>
            </x14:dxf>
          </x14:cfRule>
          <xm:sqref>G19:AF19</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67">
    <tabColor theme="9" tint="-0.499984740745262"/>
    <pageSetUpPr fitToPage="1"/>
  </sheetPr>
  <dimension ref="A1:AF1359"/>
  <sheetViews>
    <sheetView workbookViewId="0"/>
  </sheetViews>
  <sheetFormatPr baseColWidth="10" defaultColWidth="11.5703125" defaultRowHeight="12.75" outlineLevelCol="2"/>
  <cols>
    <col min="1" max="1" width="3.7109375" style="9" customWidth="1"/>
    <col min="2" max="2" width="25.7109375" style="330" customWidth="1"/>
    <col min="3" max="3" width="20.7109375" style="10" customWidth="1" outlineLevel="2"/>
    <col min="4" max="5" width="40.7109375" style="10" customWidth="1"/>
    <col min="6" max="13" width="8.7109375" style="9" customWidth="1"/>
    <col min="14" max="31" width="8.7109375" style="9" customWidth="1" outlineLevel="1"/>
    <col min="32" max="32" width="11.5703125" style="142"/>
    <col min="33" max="16384" width="11.5703125" style="9"/>
  </cols>
  <sheetData>
    <row r="1" spans="1:31">
      <c r="A1" s="41" t="s">
        <v>183</v>
      </c>
      <c r="B1" s="20" t="s">
        <v>492</v>
      </c>
      <c r="C1" s="19"/>
      <c r="D1" s="19"/>
      <c r="E1" s="19"/>
    </row>
    <row r="3" spans="1:31" ht="15" customHeight="1">
      <c r="B3" s="66" t="s">
        <v>18</v>
      </c>
      <c r="C3" s="18" t="s">
        <v>64</v>
      </c>
      <c r="D3" s="321" t="s">
        <v>16</v>
      </c>
      <c r="E3" s="18" t="s">
        <v>377</v>
      </c>
      <c r="F3" s="17"/>
      <c r="G3" s="17"/>
      <c r="H3" s="17"/>
      <c r="I3" s="17"/>
      <c r="J3" s="17"/>
      <c r="K3" s="17"/>
      <c r="L3" s="17"/>
      <c r="M3" s="17"/>
      <c r="N3" s="17"/>
      <c r="O3" s="17"/>
      <c r="P3" s="17"/>
      <c r="Q3" s="17"/>
      <c r="R3" s="17"/>
      <c r="S3" s="17"/>
      <c r="T3" s="17"/>
      <c r="U3" s="17"/>
      <c r="V3" s="17"/>
      <c r="W3" s="17"/>
      <c r="X3" s="17"/>
      <c r="Y3" s="17"/>
      <c r="Z3" s="17"/>
      <c r="AA3" s="17"/>
      <c r="AB3" s="17"/>
      <c r="AC3" s="17"/>
      <c r="AD3" s="17"/>
      <c r="AE3" s="17"/>
    </row>
    <row r="4" spans="1:31" ht="15" customHeight="1">
      <c r="B4" s="67"/>
      <c r="D4" s="16"/>
      <c r="F4" s="61">
        <v>2010</v>
      </c>
      <c r="G4" s="61">
        <v>2011</v>
      </c>
      <c r="H4" s="61">
        <v>2012</v>
      </c>
      <c r="I4" s="61">
        <v>2013</v>
      </c>
      <c r="J4" s="61">
        <v>2014</v>
      </c>
      <c r="K4" s="61">
        <v>2015</v>
      </c>
      <c r="L4" s="61">
        <v>2016</v>
      </c>
      <c r="M4" s="61">
        <v>2017</v>
      </c>
      <c r="N4" s="61">
        <v>2018</v>
      </c>
      <c r="O4" s="61">
        <v>2019</v>
      </c>
      <c r="P4" s="61">
        <v>2020</v>
      </c>
      <c r="Q4" s="61">
        <v>2021</v>
      </c>
      <c r="R4" s="61">
        <v>2022</v>
      </c>
      <c r="S4" s="61">
        <v>2023</v>
      </c>
      <c r="T4" s="61">
        <v>2024</v>
      </c>
      <c r="U4" s="61">
        <v>2025</v>
      </c>
      <c r="V4" s="61">
        <v>2026</v>
      </c>
      <c r="W4" s="61">
        <v>2027</v>
      </c>
      <c r="X4" s="61">
        <v>2028</v>
      </c>
      <c r="Y4" s="61">
        <v>2029</v>
      </c>
      <c r="Z4" s="61">
        <v>2030</v>
      </c>
      <c r="AA4" s="61">
        <v>2031</v>
      </c>
      <c r="AB4" s="61">
        <v>2032</v>
      </c>
      <c r="AC4" s="61">
        <v>2033</v>
      </c>
      <c r="AD4" s="61">
        <v>2034</v>
      </c>
      <c r="AE4" s="61">
        <v>2035</v>
      </c>
    </row>
    <row r="5" spans="1:31" ht="15" customHeight="1" thickBot="1">
      <c r="B5" s="67"/>
      <c r="D5" s="16"/>
      <c r="F5" s="330" t="s">
        <v>35</v>
      </c>
      <c r="G5" s="330" t="s">
        <v>35</v>
      </c>
      <c r="H5" s="330" t="s">
        <v>35</v>
      </c>
      <c r="I5" s="330" t="s">
        <v>35</v>
      </c>
      <c r="J5" s="330" t="s">
        <v>35</v>
      </c>
      <c r="K5" s="330" t="s">
        <v>35</v>
      </c>
      <c r="L5" s="330" t="s">
        <v>35</v>
      </c>
      <c r="M5" s="330" t="s">
        <v>35</v>
      </c>
      <c r="N5" s="330" t="s">
        <v>35</v>
      </c>
      <c r="O5" s="330" t="s">
        <v>35</v>
      </c>
      <c r="P5" s="330" t="s">
        <v>35</v>
      </c>
      <c r="Q5" s="330" t="s">
        <v>35</v>
      </c>
      <c r="R5" s="330" t="s">
        <v>35</v>
      </c>
      <c r="S5" s="330" t="s">
        <v>35</v>
      </c>
      <c r="T5" s="330" t="s">
        <v>35</v>
      </c>
      <c r="U5" s="330" t="s">
        <v>35</v>
      </c>
      <c r="V5" s="330" t="s">
        <v>35</v>
      </c>
      <c r="W5" s="330" t="s">
        <v>35</v>
      </c>
      <c r="X5" s="330" t="s">
        <v>35</v>
      </c>
      <c r="Y5" s="330" t="s">
        <v>35</v>
      </c>
      <c r="Z5" s="330" t="s">
        <v>35</v>
      </c>
      <c r="AA5" s="330" t="s">
        <v>35</v>
      </c>
      <c r="AB5" s="330" t="s">
        <v>35</v>
      </c>
      <c r="AC5" s="330" t="s">
        <v>35</v>
      </c>
      <c r="AD5" s="330" t="s">
        <v>35</v>
      </c>
      <c r="AE5" s="330" t="s">
        <v>35</v>
      </c>
    </row>
    <row r="6" spans="1:31" ht="13.5" thickBot="1">
      <c r="B6" s="176" t="s">
        <v>138</v>
      </c>
      <c r="C6" s="15" t="s">
        <v>845</v>
      </c>
      <c r="D6" s="602" t="s">
        <v>862</v>
      </c>
      <c r="E6" s="602" t="s">
        <v>862</v>
      </c>
      <c r="F6" s="14">
        <v>79.900000000000006</v>
      </c>
      <c r="G6" s="14">
        <v>70</v>
      </c>
      <c r="H6" s="14">
        <v>66.8</v>
      </c>
      <c r="I6" s="14">
        <v>66.8</v>
      </c>
      <c r="J6" s="14">
        <v>68.099999999999994</v>
      </c>
      <c r="K6" s="14">
        <v>79</v>
      </c>
      <c r="L6" s="14">
        <v>86.5</v>
      </c>
      <c r="M6" s="14">
        <v>77.2</v>
      </c>
      <c r="N6" s="14">
        <v>70.3</v>
      </c>
      <c r="O6" s="14">
        <v>62</v>
      </c>
      <c r="P6" s="14">
        <v>62</v>
      </c>
      <c r="Q6" s="14">
        <v>62</v>
      </c>
      <c r="R6" s="14">
        <f t="shared" ref="R6:AD6" si="0">($AE$6-Q6)/($AE$4-Q4)+Q6</f>
        <v>59.714285714285715</v>
      </c>
      <c r="S6" s="14">
        <f t="shared" si="0"/>
        <v>57.428571428571431</v>
      </c>
      <c r="T6" s="14">
        <f t="shared" si="0"/>
        <v>55.142857142857146</v>
      </c>
      <c r="U6" s="14">
        <f t="shared" si="0"/>
        <v>52.857142857142861</v>
      </c>
      <c r="V6" s="14">
        <f t="shared" si="0"/>
        <v>50.571428571428577</v>
      </c>
      <c r="W6" s="14">
        <f t="shared" si="0"/>
        <v>48.285714285714292</v>
      </c>
      <c r="X6" s="14">
        <f t="shared" si="0"/>
        <v>46.000000000000007</v>
      </c>
      <c r="Y6" s="14">
        <f t="shared" si="0"/>
        <v>43.714285714285722</v>
      </c>
      <c r="Z6" s="14">
        <f t="shared" si="0"/>
        <v>41.428571428571438</v>
      </c>
      <c r="AA6" s="14">
        <f t="shared" si="0"/>
        <v>39.142857142857153</v>
      </c>
      <c r="AB6" s="14">
        <f t="shared" si="0"/>
        <v>36.857142857142861</v>
      </c>
      <c r="AC6" s="14">
        <f t="shared" si="0"/>
        <v>34.571428571428577</v>
      </c>
      <c r="AD6" s="14">
        <f t="shared" si="0"/>
        <v>32.285714285714292</v>
      </c>
      <c r="AE6" s="14">
        <v>30</v>
      </c>
    </row>
    <row r="7" spans="1:31">
      <c r="B7" s="1212"/>
      <c r="C7" s="186"/>
      <c r="D7" s="169"/>
      <c r="E7" s="545"/>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c r="B8" s="183"/>
      <c r="C8" s="186"/>
      <c r="D8" s="168"/>
      <c r="E8" s="1213"/>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c r="B9" s="183"/>
      <c r="C9" s="186"/>
      <c r="D9" s="168"/>
      <c r="E9" s="1213"/>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c r="B10" s="183"/>
      <c r="C10" s="186"/>
      <c r="D10" s="169"/>
      <c r="E10" s="545"/>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c r="B11" s="183"/>
      <c r="C11" s="186"/>
      <c r="D11" s="168"/>
      <c r="E11" s="1213"/>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c r="B12" s="183"/>
      <c r="C12" s="186"/>
      <c r="D12" s="168"/>
      <c r="E12" s="1213"/>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c r="B13" s="183"/>
      <c r="C13" s="186"/>
      <c r="D13" s="168"/>
      <c r="E13" s="1213"/>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c r="B14" s="183"/>
      <c r="C14" s="186"/>
      <c r="D14" s="169"/>
      <c r="E14" s="545"/>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c r="B15" s="183"/>
      <c r="C15" s="186"/>
      <c r="D15" s="169"/>
      <c r="E15" s="545"/>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c r="B16" s="183"/>
      <c r="C16" s="186"/>
      <c r="D16" s="169"/>
      <c r="E16" s="545"/>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2:31">
      <c r="B17" s="183"/>
      <c r="C17" s="186"/>
      <c r="D17" s="169"/>
      <c r="E17" s="545"/>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2:31">
      <c r="B18" s="183"/>
      <c r="C18" s="186"/>
      <c r="D18" s="169"/>
      <c r="E18" s="545"/>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2:31">
      <c r="B19" s="183"/>
      <c r="C19" s="186"/>
      <c r="D19" s="169"/>
      <c r="E19" s="545"/>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2:31">
      <c r="B20" s="183"/>
      <c r="C20" s="186"/>
      <c r="D20" s="169"/>
      <c r="E20" s="545"/>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2:31">
      <c r="B21" s="183"/>
      <c r="C21" s="186"/>
      <c r="D21" s="169"/>
      <c r="E21" s="545"/>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2:31">
      <c r="B22" s="183"/>
      <c r="C22" s="186"/>
      <c r="D22" s="169"/>
      <c r="E22" s="545"/>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2:31">
      <c r="B23" s="183"/>
      <c r="C23" s="186"/>
      <c r="D23" s="169"/>
      <c r="E23" s="545"/>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2:31">
      <c r="B24" s="183"/>
      <c r="C24" s="186"/>
      <c r="D24" s="169"/>
      <c r="E24" s="545"/>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2:31">
      <c r="B25" s="185"/>
      <c r="C25" s="188"/>
      <c r="D25" s="189"/>
      <c r="E25" s="1027"/>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2:31" ht="15" customHeight="1">
      <c r="B26" s="68"/>
      <c r="C26" s="18"/>
      <c r="D26" s="18"/>
      <c r="E26" s="1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row>
    <row r="27" spans="2:31" ht="15" customHeight="1"/>
    <row r="28" spans="2:31" ht="15" customHeight="1"/>
    <row r="29" spans="2:31" ht="15" customHeight="1"/>
    <row r="30" spans="2:31" ht="15" customHeight="1"/>
    <row r="31" spans="2:31" ht="15" customHeight="1"/>
    <row r="32" spans="2: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sheetData>
  <sheetProtection algorithmName="SHA-512" hashValue="OsVn1kLcn5n/wPIjTqwikDKvoZZTz5Wt9aejTD/u2BGtSR51YrD7Drfiogea5jhv2BBQpml8FLNNc5wXP8MbKQ==" saltValue="WcbpVlVl/YbqK7VhzuicmA==" spinCount="100000" sheet="1" objects="1" scenarios="1"/>
  <hyperlinks>
    <hyperlink ref="A1" location="'Start-Experte'!A1" display="zurück" xr:uid="{00000000-0004-0000-3300-000000000000}"/>
  </hyperlinks>
  <pageMargins left="0.78740157480314965" right="0.78740157480314965" top="0.98425196850393704" bottom="0.98425196850393704" header="0.59055118110236227" footer="0.59055118110236227"/>
  <pageSetup paperSize="9" scale="66" orientation="landscape" horizontalDpi="4294967293" verticalDpi="1200" r:id="rId1"/>
  <headerFooter scaleWithDoc="0">
    <oddHeader>&amp;C&amp;"Arial,Fett"&amp;18EEG Calculator</oddHeader>
    <oddFooter>&amp;LDatendokumentation&amp;C&amp;F  &amp;A  Seite &amp;P/&amp;N&amp;R&amp;D  &amp;T</oddFooter>
  </headerFooter>
  <extLst>
    <ext xmlns:x14="http://schemas.microsoft.com/office/spreadsheetml/2009/9/main" uri="{78C0D931-6437-407d-A8EE-F0AAD7539E65}">
      <x14:conditionalFormattings>
        <x14:conditionalFormatting xmlns:xm="http://schemas.microsoft.com/office/excel/2006/main">
          <x14:cfRule type="cellIs" priority="1" operator="greaterThan" id="{F1A22DD5-E9B9-4658-B16E-16D0314B2671}">
            <xm:f>ControlPanel!$D$59-1</xm:f>
            <x14:dxf>
              <font>
                <color rgb="FF9C6500"/>
              </font>
              <fill>
                <patternFill>
                  <fgColor indexed="64"/>
                  <bgColor rgb="FFFFEB9C"/>
                </patternFill>
              </fill>
            </x14:dxf>
          </x14:cfRule>
          <x14:cfRule type="cellIs" priority="2" operator="lessThan" id="{EE9DACE6-3FD7-435C-810E-C5FB5B2B4F82}">
            <xm:f>ControlPanel!$D$59</xm:f>
            <x14:dxf>
              <font>
                <color rgb="FF006100"/>
              </font>
              <fill>
                <patternFill>
                  <fgColor indexed="64"/>
                  <bgColor rgb="FFC6EFCE"/>
                </patternFill>
              </fill>
            </x14:dxf>
          </x14:cfRule>
          <xm:sqref>F4:AE4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68">
    <tabColor theme="9" tint="-0.499984740745262"/>
  </sheetPr>
  <dimension ref="A1:G855"/>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7" width="14" style="9" customWidth="1" outlineLevel="1"/>
    <col min="8" max="16384" width="11.5703125" style="9"/>
  </cols>
  <sheetData>
    <row r="1" spans="1:7">
      <c r="A1" s="41" t="s">
        <v>183</v>
      </c>
      <c r="B1" s="62" t="s">
        <v>500</v>
      </c>
      <c r="C1" s="62"/>
      <c r="D1" s="19"/>
      <c r="E1" s="19"/>
      <c r="F1" s="19"/>
    </row>
    <row r="3" spans="1:7" ht="15" customHeight="1">
      <c r="B3" s="63"/>
      <c r="C3" s="63" t="s">
        <v>18</v>
      </c>
      <c r="D3" s="18" t="s">
        <v>64</v>
      </c>
      <c r="E3" s="321" t="s">
        <v>16</v>
      </c>
      <c r="F3" s="18" t="s">
        <v>377</v>
      </c>
      <c r="G3" s="18" t="s">
        <v>247</v>
      </c>
    </row>
    <row r="4" spans="1:7" ht="15" customHeight="1">
      <c r="B4" s="64"/>
      <c r="C4" s="64"/>
      <c r="E4" s="16"/>
    </row>
    <row r="5" spans="1:7" ht="15" customHeight="1" thickBot="1">
      <c r="B5" s="69"/>
      <c r="C5" s="64"/>
      <c r="E5" s="16"/>
      <c r="G5" s="330" t="s">
        <v>43</v>
      </c>
    </row>
    <row r="6" spans="1:7" ht="15" customHeight="1" thickBot="1">
      <c r="B6" s="172" t="s">
        <v>25</v>
      </c>
      <c r="C6" s="181" t="s">
        <v>138</v>
      </c>
      <c r="D6" s="15" t="s">
        <v>257</v>
      </c>
      <c r="E6" s="15" t="s">
        <v>258</v>
      </c>
      <c r="F6" s="537"/>
      <c r="G6" s="38">
        <v>1.2230000000000001</v>
      </c>
    </row>
    <row r="7" spans="1:7" ht="15" customHeight="1" thickBot="1">
      <c r="B7" s="171" t="s">
        <v>27</v>
      </c>
      <c r="C7" s="181" t="s">
        <v>138</v>
      </c>
      <c r="D7" s="15" t="s">
        <v>257</v>
      </c>
      <c r="E7" s="15" t="s">
        <v>258</v>
      </c>
      <c r="F7" s="537"/>
      <c r="G7" s="38">
        <v>0.55000000000000004</v>
      </c>
    </row>
    <row r="8" spans="1:7" ht="15" customHeight="1" thickBot="1">
      <c r="B8" s="171" t="s">
        <v>13</v>
      </c>
      <c r="C8" s="181" t="s">
        <v>138</v>
      </c>
      <c r="D8" s="15" t="s">
        <v>257</v>
      </c>
      <c r="E8" s="15" t="s">
        <v>258</v>
      </c>
      <c r="F8" s="537"/>
      <c r="G8" s="38">
        <v>4.2930000000000001</v>
      </c>
    </row>
    <row r="9" spans="1:7" ht="15" customHeight="1" thickBot="1">
      <c r="B9" s="171" t="s">
        <v>12</v>
      </c>
      <c r="C9" s="181" t="s">
        <v>138</v>
      </c>
      <c r="D9" s="15" t="s">
        <v>257</v>
      </c>
      <c r="E9" s="15" t="s">
        <v>258</v>
      </c>
      <c r="F9" s="537"/>
      <c r="G9" s="38">
        <v>7.1500000000000001E-3</v>
      </c>
    </row>
    <row r="10" spans="1:7" ht="15" customHeight="1" thickBot="1">
      <c r="B10" s="171" t="s">
        <v>24</v>
      </c>
      <c r="C10" s="181" t="s">
        <v>138</v>
      </c>
      <c r="D10" s="15" t="s">
        <v>257</v>
      </c>
      <c r="E10" s="15" t="s">
        <v>258</v>
      </c>
      <c r="F10" s="537"/>
      <c r="G10" s="38">
        <v>25.632000000000001</v>
      </c>
    </row>
    <row r="11" spans="1:7" ht="15" customHeight="1" thickBot="1">
      <c r="B11" s="171" t="s">
        <v>26</v>
      </c>
      <c r="C11" s="181" t="s">
        <v>138</v>
      </c>
      <c r="D11" s="15" t="s">
        <v>257</v>
      </c>
      <c r="E11" s="15" t="s">
        <v>258</v>
      </c>
      <c r="F11" s="537"/>
      <c r="G11" s="38">
        <v>3.5000000000000003E-2</v>
      </c>
    </row>
    <row r="12" spans="1:7" ht="15" customHeight="1" thickBot="1">
      <c r="B12" s="173" t="s">
        <v>14</v>
      </c>
      <c r="C12" s="181" t="s">
        <v>138</v>
      </c>
      <c r="D12" s="15" t="s">
        <v>256</v>
      </c>
      <c r="E12" s="15" t="s">
        <v>258</v>
      </c>
      <c r="F12" s="537"/>
      <c r="G12" s="38">
        <v>10.566000000000001</v>
      </c>
    </row>
    <row r="13" spans="1:7" ht="15" customHeight="1"/>
    <row r="14" spans="1:7" ht="15" customHeight="1"/>
    <row r="15" spans="1:7" ht="15" customHeight="1"/>
    <row r="16" spans="1:7" ht="15" customHeight="1"/>
    <row r="17" spans="2:7" ht="15" customHeight="1">
      <c r="B17" s="322"/>
      <c r="C17" s="10"/>
      <c r="D17" s="26"/>
      <c r="E17" s="26"/>
      <c r="F17" s="26"/>
      <c r="G17" s="655"/>
    </row>
    <row r="18" spans="2:7" ht="15" customHeight="1">
      <c r="B18" s="322"/>
      <c r="C18" s="10"/>
      <c r="D18" s="26"/>
      <c r="E18" s="26"/>
      <c r="F18" s="26"/>
      <c r="G18" s="655"/>
    </row>
    <row r="19" spans="2:7" ht="15" customHeight="1">
      <c r="B19" s="322"/>
      <c r="C19" s="10"/>
      <c r="D19" s="26"/>
      <c r="E19" s="26"/>
      <c r="F19" s="26"/>
      <c r="G19" s="655"/>
    </row>
    <row r="20" spans="2:7" ht="15" customHeight="1">
      <c r="B20" s="322"/>
      <c r="C20" s="10"/>
      <c r="D20" s="26"/>
      <c r="E20" s="26"/>
      <c r="F20" s="26"/>
      <c r="G20" s="655"/>
    </row>
    <row r="21" spans="2:7" ht="15" customHeight="1">
      <c r="B21" s="322"/>
      <c r="C21" s="10"/>
      <c r="D21" s="26"/>
      <c r="E21" s="26"/>
      <c r="F21" s="26"/>
      <c r="G21" s="655"/>
    </row>
    <row r="22" spans="2:7" ht="15" customHeight="1">
      <c r="B22" s="322"/>
      <c r="C22" s="10"/>
      <c r="D22" s="26"/>
      <c r="E22" s="26"/>
      <c r="F22" s="26"/>
      <c r="G22" s="655"/>
    </row>
    <row r="23" spans="2:7" ht="15" customHeight="1">
      <c r="B23" s="322"/>
      <c r="C23" s="10"/>
      <c r="D23" s="26"/>
      <c r="E23" s="26"/>
      <c r="F23" s="26"/>
      <c r="G23" s="655"/>
    </row>
    <row r="24" spans="2:7" ht="15" customHeight="1"/>
    <row r="25" spans="2:7" ht="15" customHeight="1"/>
    <row r="26" spans="2:7" ht="15" customHeight="1"/>
    <row r="27" spans="2:7" ht="15" customHeight="1"/>
    <row r="28" spans="2:7" ht="15" customHeight="1"/>
    <row r="29" spans="2:7" ht="15" customHeight="1"/>
    <row r="30" spans="2:7" ht="15" customHeight="1"/>
    <row r="31" spans="2:7" ht="15" customHeight="1"/>
    <row r="32" spans="2: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sheetData>
  <sheetProtection algorithmName="SHA-512" hashValue="90eGb0Vy+cbcTMgY2xkvxRsO0lNONArwQj4SlXCPQmbddB8eTVtwJV6IQR5Ti98Z+ViBBgmLndy/Pm9ivdHxDg==" saltValue="CftFn8YiIhtFXHN7CRrI9A==" spinCount="100000" sheet="1" objects="1" scenarios="1"/>
  <hyperlinks>
    <hyperlink ref="A1" location="'Start-Experte'!A1" display="zurück" xr:uid="{00000000-0004-0000-34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69">
    <tabColor theme="9" tint="-0.499984740745262"/>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183</v>
      </c>
      <c r="B1" s="62" t="s">
        <v>507</v>
      </c>
      <c r="C1" s="62"/>
      <c r="D1" s="19"/>
      <c r="E1" s="19"/>
      <c r="F1" s="19"/>
    </row>
    <row r="2" spans="1:32">
      <c r="B2" s="37"/>
    </row>
    <row r="3" spans="1:32" ht="15" customHeight="1">
      <c r="B3" s="63"/>
      <c r="C3" s="63" t="s">
        <v>18</v>
      </c>
      <c r="D3" s="18" t="s">
        <v>64</v>
      </c>
      <c r="E3" s="321" t="s">
        <v>16</v>
      </c>
      <c r="F3" s="18"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G5" s="330" t="s">
        <v>43</v>
      </c>
      <c r="H5" s="330" t="s">
        <v>43</v>
      </c>
      <c r="I5" s="330" t="s">
        <v>43</v>
      </c>
      <c r="J5" s="330" t="s">
        <v>43</v>
      </c>
      <c r="K5" s="330" t="s">
        <v>43</v>
      </c>
      <c r="L5" s="330" t="s">
        <v>43</v>
      </c>
      <c r="M5" s="330" t="s">
        <v>43</v>
      </c>
      <c r="N5" s="330" t="s">
        <v>43</v>
      </c>
      <c r="O5" s="330" t="s">
        <v>43</v>
      </c>
      <c r="P5" s="330" t="s">
        <v>43</v>
      </c>
      <c r="Q5" s="330" t="s">
        <v>43</v>
      </c>
      <c r="R5" s="330" t="s">
        <v>43</v>
      </c>
      <c r="S5" s="330" t="s">
        <v>43</v>
      </c>
      <c r="T5" s="330" t="s">
        <v>43</v>
      </c>
      <c r="U5" s="330" t="s">
        <v>43</v>
      </c>
      <c r="V5" s="330" t="s">
        <v>43</v>
      </c>
      <c r="W5" s="330" t="s">
        <v>43</v>
      </c>
      <c r="X5" s="330" t="s">
        <v>43</v>
      </c>
      <c r="Y5" s="330" t="s">
        <v>43</v>
      </c>
      <c r="Z5" s="330" t="s">
        <v>43</v>
      </c>
      <c r="AA5" s="330" t="s">
        <v>43</v>
      </c>
      <c r="AB5" s="330" t="s">
        <v>43</v>
      </c>
      <c r="AC5" s="330" t="s">
        <v>43</v>
      </c>
      <c r="AD5" s="330" t="s">
        <v>43</v>
      </c>
      <c r="AE5" s="330" t="s">
        <v>43</v>
      </c>
      <c r="AF5" s="330" t="s">
        <v>43</v>
      </c>
    </row>
    <row r="6" spans="1:32" ht="59.25" customHeight="1" thickBot="1">
      <c r="B6" s="172" t="s">
        <v>25</v>
      </c>
      <c r="C6" s="181" t="s">
        <v>138</v>
      </c>
      <c r="D6" s="15" t="s">
        <v>65</v>
      </c>
      <c r="E6" s="15" t="s">
        <v>138</v>
      </c>
      <c r="F6" s="602" t="s">
        <v>660</v>
      </c>
      <c r="G6" s="1099">
        <v>1.5110000000000401E-2</v>
      </c>
      <c r="H6" s="1099">
        <v>1.9075899999999812E-2</v>
      </c>
      <c r="I6" s="1099">
        <v>1.3823499999999989E-2</v>
      </c>
      <c r="J6" s="1099">
        <v>1.3043600000000044E-2</v>
      </c>
      <c r="K6" s="1099">
        <v>1.2535300000000138E-2</v>
      </c>
      <c r="L6" s="14"/>
      <c r="M6" s="14"/>
      <c r="N6" s="14"/>
      <c r="O6" s="14"/>
      <c r="P6" s="14"/>
      <c r="Q6" s="14"/>
      <c r="R6" s="14"/>
      <c r="S6" s="14"/>
      <c r="T6" s="14"/>
      <c r="U6" s="14"/>
      <c r="V6" s="14"/>
      <c r="W6" s="14"/>
      <c r="X6" s="14"/>
      <c r="Y6" s="14"/>
      <c r="Z6" s="14"/>
      <c r="AA6" s="14"/>
      <c r="AB6" s="14"/>
      <c r="AC6" s="14"/>
      <c r="AD6" s="14"/>
      <c r="AE6" s="14"/>
      <c r="AF6" s="14"/>
    </row>
    <row r="7" spans="1:32" ht="59.25" customHeight="1" thickBot="1">
      <c r="B7" s="171" t="s">
        <v>27</v>
      </c>
      <c r="C7" s="181" t="s">
        <v>138</v>
      </c>
      <c r="D7" s="15" t="s">
        <v>65</v>
      </c>
      <c r="E7" s="15" t="s">
        <v>138</v>
      </c>
      <c r="F7" s="602" t="s">
        <v>660</v>
      </c>
      <c r="G7" s="1099">
        <v>8.435999999999888E-3</v>
      </c>
      <c r="H7" s="1099">
        <v>2.639000000000058E-3</v>
      </c>
      <c r="I7" s="1099">
        <v>7.8029999999998934E-3</v>
      </c>
      <c r="J7" s="1099">
        <v>7.2572000000000747E-3</v>
      </c>
      <c r="K7" s="1099">
        <v>8.3369999999999278E-3</v>
      </c>
      <c r="L7" s="14"/>
      <c r="M7" s="14"/>
      <c r="N7" s="14"/>
      <c r="O7" s="14"/>
      <c r="P7" s="14"/>
      <c r="Q7" s="14"/>
      <c r="R7" s="14"/>
      <c r="S7" s="14"/>
      <c r="T7" s="14"/>
      <c r="U7" s="14"/>
      <c r="V7" s="14"/>
      <c r="W7" s="14"/>
      <c r="X7" s="14"/>
      <c r="Y7" s="14"/>
      <c r="Z7" s="14"/>
      <c r="AA7" s="14"/>
      <c r="AB7" s="14"/>
      <c r="AC7" s="14"/>
      <c r="AD7" s="14"/>
      <c r="AE7" s="14"/>
      <c r="AF7" s="14"/>
    </row>
    <row r="8" spans="1:32" ht="59.25" customHeight="1" thickBot="1">
      <c r="B8" s="171" t="s">
        <v>13</v>
      </c>
      <c r="C8" s="181" t="s">
        <v>138</v>
      </c>
      <c r="D8" s="15" t="s">
        <v>65</v>
      </c>
      <c r="E8" s="15" t="s">
        <v>138</v>
      </c>
      <c r="F8" s="602" t="s">
        <v>660</v>
      </c>
      <c r="G8" s="1099">
        <v>0</v>
      </c>
      <c r="H8" s="1099">
        <v>0</v>
      </c>
      <c r="I8" s="1099">
        <v>0</v>
      </c>
      <c r="J8" s="1099">
        <v>0</v>
      </c>
      <c r="K8" s="1099">
        <v>0</v>
      </c>
      <c r="L8" s="14"/>
      <c r="M8" s="14"/>
      <c r="N8" s="14"/>
      <c r="O8" s="14"/>
      <c r="P8" s="14"/>
      <c r="Q8" s="14"/>
      <c r="R8" s="14"/>
      <c r="S8" s="14"/>
      <c r="T8" s="14"/>
      <c r="U8" s="14"/>
      <c r="V8" s="14"/>
      <c r="W8" s="14"/>
      <c r="X8" s="14"/>
      <c r="Y8" s="14"/>
      <c r="Z8" s="14"/>
      <c r="AA8" s="14"/>
      <c r="AB8" s="14"/>
      <c r="AC8" s="14"/>
      <c r="AD8" s="14"/>
      <c r="AE8" s="14"/>
      <c r="AF8" s="14"/>
    </row>
    <row r="9" spans="1:32" ht="59.25" customHeight="1" thickBot="1">
      <c r="B9" s="171" t="s">
        <v>12</v>
      </c>
      <c r="C9" s="181" t="s">
        <v>138</v>
      </c>
      <c r="D9" s="15" t="s">
        <v>65</v>
      </c>
      <c r="E9" s="15" t="s">
        <v>138</v>
      </c>
      <c r="F9" s="602" t="s">
        <v>660</v>
      </c>
      <c r="G9" s="1099">
        <v>0</v>
      </c>
      <c r="H9" s="1099">
        <v>0</v>
      </c>
      <c r="I9" s="1099">
        <v>0</v>
      </c>
      <c r="J9" s="1099">
        <v>0</v>
      </c>
      <c r="K9" s="1099">
        <v>0</v>
      </c>
      <c r="L9" s="14"/>
      <c r="M9" s="14"/>
      <c r="N9" s="14"/>
      <c r="O9" s="14"/>
      <c r="P9" s="14"/>
      <c r="Q9" s="14"/>
      <c r="R9" s="14"/>
      <c r="S9" s="14"/>
      <c r="T9" s="14"/>
      <c r="U9" s="14"/>
      <c r="V9" s="14"/>
      <c r="W9" s="14"/>
      <c r="X9" s="14"/>
      <c r="Y9" s="14"/>
      <c r="Z9" s="14"/>
      <c r="AA9" s="14"/>
      <c r="AB9" s="14"/>
      <c r="AC9" s="14"/>
      <c r="AD9" s="14"/>
      <c r="AE9" s="14"/>
      <c r="AF9" s="14"/>
    </row>
    <row r="10" spans="1:32" ht="59.25" customHeight="1" thickBot="1">
      <c r="B10" s="171" t="s">
        <v>24</v>
      </c>
      <c r="C10" s="181" t="s">
        <v>138</v>
      </c>
      <c r="D10" s="15" t="s">
        <v>65</v>
      </c>
      <c r="E10" s="15" t="s">
        <v>138</v>
      </c>
      <c r="F10" s="602" t="s">
        <v>660</v>
      </c>
      <c r="G10" s="1099">
        <f>0.055+0.221</f>
        <v>0.27600000000000002</v>
      </c>
      <c r="H10" s="1099">
        <f>0.051+0.34</f>
        <v>0.39100000000000001</v>
      </c>
      <c r="I10" s="1099">
        <f>0.068+0.154</f>
        <v>0.222</v>
      </c>
      <c r="J10" s="1099">
        <f>0.152+0.586</f>
        <v>0.73799999999999999</v>
      </c>
      <c r="K10" s="1099">
        <f>0.292-0.292</f>
        <v>0</v>
      </c>
      <c r="L10" s="14"/>
      <c r="M10" s="14"/>
      <c r="N10" s="14"/>
      <c r="O10" s="14"/>
      <c r="P10" s="14"/>
      <c r="Q10" s="14"/>
      <c r="R10" s="14"/>
      <c r="S10" s="14"/>
      <c r="T10" s="14"/>
      <c r="U10" s="14"/>
      <c r="V10" s="14"/>
      <c r="W10" s="14"/>
      <c r="X10" s="14"/>
      <c r="Y10" s="14"/>
      <c r="Z10" s="14"/>
      <c r="AA10" s="14"/>
      <c r="AB10" s="14"/>
      <c r="AC10" s="14"/>
      <c r="AD10" s="14"/>
      <c r="AE10" s="14"/>
      <c r="AF10" s="14"/>
    </row>
    <row r="11" spans="1:32" ht="59.25" customHeight="1" thickBot="1">
      <c r="B11" s="171" t="s">
        <v>26</v>
      </c>
      <c r="C11" s="181" t="s">
        <v>138</v>
      </c>
      <c r="D11" s="15" t="s">
        <v>65</v>
      </c>
      <c r="E11" s="15" t="s">
        <v>138</v>
      </c>
      <c r="F11" s="602" t="s">
        <v>660</v>
      </c>
      <c r="G11" s="1099">
        <v>0</v>
      </c>
      <c r="H11" s="1099">
        <v>0</v>
      </c>
      <c r="I11" s="1099">
        <v>0</v>
      </c>
      <c r="J11" s="1099">
        <v>0</v>
      </c>
      <c r="K11" s="1099">
        <v>0</v>
      </c>
      <c r="L11" s="14"/>
      <c r="M11" s="14"/>
      <c r="N11" s="14"/>
      <c r="O11" s="14"/>
      <c r="P11" s="14"/>
      <c r="Q11" s="14"/>
      <c r="R11" s="14"/>
      <c r="S11" s="14"/>
      <c r="T11" s="14"/>
      <c r="U11" s="14"/>
      <c r="V11" s="14"/>
      <c r="W11" s="14"/>
      <c r="X11" s="14"/>
      <c r="Y11" s="14"/>
      <c r="Z11" s="14"/>
      <c r="AA11" s="14"/>
      <c r="AB11" s="14"/>
      <c r="AC11" s="14"/>
      <c r="AD11" s="14"/>
      <c r="AE11" s="14"/>
      <c r="AF11" s="14"/>
    </row>
    <row r="12" spans="1:32" ht="59.25" customHeight="1" thickBot="1">
      <c r="B12" s="173" t="s">
        <v>14</v>
      </c>
      <c r="C12" s="181" t="s">
        <v>138</v>
      </c>
      <c r="D12" s="15" t="s">
        <v>65</v>
      </c>
      <c r="E12" s="15" t="s">
        <v>138</v>
      </c>
      <c r="F12" s="602" t="s">
        <v>660</v>
      </c>
      <c r="G12" s="1099">
        <v>0</v>
      </c>
      <c r="H12" s="1099">
        <v>0</v>
      </c>
      <c r="I12" s="1099">
        <v>0</v>
      </c>
      <c r="J12" s="1099">
        <v>0</v>
      </c>
      <c r="K12" s="1099">
        <v>0</v>
      </c>
      <c r="L12" s="14"/>
      <c r="M12" s="14"/>
      <c r="N12" s="14"/>
      <c r="O12" s="14"/>
      <c r="P12" s="14"/>
      <c r="Q12" s="14"/>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322"/>
      <c r="M15" s="252"/>
      <c r="N15" s="252"/>
      <c r="O15" s="252"/>
      <c r="P15" s="252"/>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322"/>
      <c r="M16" s="252"/>
      <c r="N16" s="252"/>
      <c r="O16" s="252"/>
      <c r="P16" s="252"/>
      <c r="Q16" s="210"/>
      <c r="R16" s="210"/>
      <c r="S16" s="210"/>
      <c r="T16" s="210"/>
      <c r="U16" s="210"/>
      <c r="V16" s="210"/>
      <c r="W16" s="210"/>
      <c r="X16" s="210"/>
      <c r="Y16" s="210"/>
      <c r="Z16" s="210"/>
      <c r="AA16" s="210"/>
      <c r="AB16" s="210"/>
      <c r="AC16" s="210"/>
      <c r="AD16" s="210"/>
      <c r="AE16" s="210"/>
      <c r="AF16" s="210"/>
    </row>
    <row r="17" spans="2:32" ht="15" customHeight="1">
      <c r="C17" s="10"/>
      <c r="D17" s="26"/>
      <c r="E17" s="222"/>
      <c r="F17" s="222"/>
      <c r="G17" s="210"/>
      <c r="H17" s="210"/>
      <c r="I17" s="322"/>
      <c r="M17" s="252"/>
      <c r="N17" s="252"/>
      <c r="O17" s="252"/>
      <c r="P17" s="252"/>
      <c r="Q17" s="210"/>
      <c r="R17" s="210"/>
      <c r="S17" s="210"/>
      <c r="T17" s="210"/>
      <c r="U17" s="210"/>
      <c r="V17" s="210"/>
      <c r="W17" s="210"/>
      <c r="X17" s="210"/>
      <c r="Y17" s="210"/>
      <c r="Z17" s="210"/>
      <c r="AA17" s="210"/>
      <c r="AB17" s="210"/>
      <c r="AC17" s="210"/>
      <c r="AD17" s="210"/>
      <c r="AE17" s="210"/>
      <c r="AF17" s="210"/>
    </row>
    <row r="18" spans="2:32" ht="15" customHeight="1">
      <c r="B18" s="322"/>
      <c r="C18" s="10"/>
      <c r="D18" s="26"/>
      <c r="E18" s="26"/>
      <c r="F18" s="547"/>
      <c r="G18" s="1267"/>
      <c r="H18" s="1267"/>
      <c r="I18" s="1267"/>
      <c r="J18" s="1267"/>
      <c r="K18" s="1267"/>
      <c r="M18" s="252"/>
      <c r="N18" s="252"/>
      <c r="O18" s="252"/>
      <c r="P18" s="252"/>
      <c r="Q18" s="210"/>
      <c r="R18" s="210"/>
      <c r="S18" s="210"/>
      <c r="T18" s="210"/>
      <c r="U18" s="210"/>
      <c r="V18" s="210"/>
      <c r="W18" s="210"/>
      <c r="X18" s="210"/>
      <c r="Y18" s="210"/>
      <c r="Z18" s="210"/>
      <c r="AA18" s="210"/>
      <c r="AB18" s="210"/>
      <c r="AC18" s="210"/>
      <c r="AD18" s="210"/>
      <c r="AE18" s="210"/>
      <c r="AF18" s="210"/>
    </row>
    <row r="19" spans="2:32" ht="15" customHeight="1">
      <c r="B19" s="322"/>
      <c r="C19" s="10"/>
      <c r="D19" s="26"/>
      <c r="E19" s="26"/>
      <c r="F19" s="547"/>
      <c r="G19" s="1267"/>
      <c r="H19" s="1267"/>
      <c r="I19" s="1267"/>
      <c r="J19" s="1267"/>
      <c r="K19" s="1267"/>
      <c r="M19" s="252"/>
      <c r="N19" s="252"/>
      <c r="O19" s="252"/>
      <c r="P19" s="252"/>
      <c r="Q19" s="210"/>
      <c r="R19" s="210"/>
      <c r="S19" s="210"/>
      <c r="T19" s="210"/>
      <c r="U19" s="210"/>
      <c r="V19" s="210"/>
      <c r="W19" s="210"/>
      <c r="X19" s="210"/>
      <c r="Y19" s="210"/>
      <c r="Z19" s="210"/>
      <c r="AA19" s="210"/>
      <c r="AB19" s="210"/>
      <c r="AC19" s="210"/>
      <c r="AD19" s="210"/>
      <c r="AE19" s="210"/>
      <c r="AF19" s="210"/>
    </row>
    <row r="20" spans="2:32" ht="15" customHeight="1">
      <c r="B20" s="322"/>
      <c r="C20" s="10"/>
      <c r="D20" s="26"/>
      <c r="E20" s="26"/>
      <c r="F20" s="547"/>
      <c r="G20" s="1267"/>
      <c r="H20" s="1267"/>
      <c r="I20" s="1267"/>
      <c r="J20" s="1267"/>
      <c r="K20" s="1267"/>
      <c r="M20" s="252"/>
      <c r="N20" s="252"/>
      <c r="O20" s="252"/>
      <c r="P20" s="252"/>
      <c r="Q20" s="210"/>
      <c r="R20" s="210"/>
      <c r="S20" s="210"/>
      <c r="T20" s="210"/>
      <c r="U20" s="210"/>
      <c r="V20" s="210"/>
      <c r="W20" s="210"/>
      <c r="X20" s="210"/>
      <c r="Y20" s="210"/>
      <c r="Z20" s="210"/>
      <c r="AA20" s="210"/>
      <c r="AB20" s="210"/>
      <c r="AC20" s="210"/>
      <c r="AD20" s="210"/>
      <c r="AE20" s="210"/>
      <c r="AF20" s="210"/>
    </row>
    <row r="21" spans="2:32" ht="15" customHeight="1">
      <c r="B21" s="322"/>
      <c r="C21" s="10"/>
      <c r="D21" s="26"/>
      <c r="E21" s="26"/>
      <c r="F21" s="547"/>
      <c r="G21" s="1267"/>
      <c r="H21" s="1267"/>
      <c r="I21" s="1267"/>
      <c r="J21" s="1267"/>
      <c r="K21" s="1267"/>
      <c r="M21" s="252"/>
      <c r="N21" s="252"/>
      <c r="O21" s="252"/>
      <c r="P21" s="252"/>
      <c r="Q21" s="210"/>
      <c r="R21" s="210"/>
      <c r="S21" s="210"/>
      <c r="T21" s="210"/>
      <c r="U21" s="210"/>
      <c r="V21" s="210"/>
      <c r="W21" s="210"/>
      <c r="X21" s="210"/>
      <c r="Y21" s="210"/>
      <c r="Z21" s="210"/>
      <c r="AA21" s="210"/>
      <c r="AB21" s="210"/>
      <c r="AC21" s="210"/>
      <c r="AD21" s="210"/>
      <c r="AE21" s="210"/>
      <c r="AF21" s="210"/>
    </row>
    <row r="22" spans="2:32" ht="15" customHeight="1">
      <c r="B22" s="322"/>
      <c r="C22" s="10"/>
      <c r="D22" s="26"/>
      <c r="E22" s="26"/>
      <c r="F22" s="547"/>
      <c r="G22" s="1267"/>
      <c r="H22" s="1267"/>
      <c r="I22" s="1267"/>
      <c r="J22" s="1267"/>
      <c r="K22" s="1267"/>
      <c r="L22" s="210"/>
      <c r="M22" s="210"/>
      <c r="N22" s="210"/>
      <c r="O22" s="210"/>
      <c r="P22" s="210"/>
      <c r="Q22" s="210"/>
      <c r="R22" s="210"/>
      <c r="S22" s="210"/>
      <c r="T22" s="210"/>
      <c r="U22" s="210"/>
      <c r="V22" s="210"/>
      <c r="W22" s="210"/>
      <c r="X22" s="210"/>
      <c r="Y22" s="210"/>
      <c r="Z22" s="210"/>
      <c r="AA22" s="210"/>
      <c r="AB22" s="210"/>
      <c r="AC22" s="210"/>
      <c r="AD22" s="210"/>
      <c r="AE22" s="210"/>
      <c r="AF22" s="210"/>
    </row>
    <row r="23" spans="2:32" ht="15" customHeight="1">
      <c r="B23" s="322"/>
      <c r="C23" s="10"/>
      <c r="D23" s="26"/>
      <c r="E23" s="26"/>
      <c r="F23" s="547"/>
      <c r="G23" s="1267"/>
      <c r="H23" s="1267"/>
      <c r="I23" s="1267"/>
      <c r="J23" s="1267"/>
      <c r="K23" s="1267"/>
      <c r="L23" s="210"/>
      <c r="M23" s="210"/>
      <c r="N23" s="210"/>
      <c r="O23" s="210"/>
      <c r="P23" s="210"/>
      <c r="Q23" s="210"/>
      <c r="R23" s="210"/>
      <c r="S23" s="210"/>
      <c r="T23" s="210"/>
      <c r="U23" s="210"/>
      <c r="V23" s="210"/>
      <c r="W23" s="210"/>
      <c r="X23" s="210"/>
      <c r="Y23" s="210"/>
      <c r="Z23" s="210"/>
      <c r="AA23" s="210"/>
      <c r="AB23" s="210"/>
      <c r="AC23" s="210"/>
      <c r="AD23" s="210"/>
      <c r="AE23" s="210"/>
      <c r="AF23" s="210"/>
    </row>
    <row r="24" spans="2:32" ht="15" customHeight="1">
      <c r="B24" s="322"/>
      <c r="C24" s="10"/>
      <c r="D24" s="26"/>
      <c r="E24" s="26"/>
      <c r="F24" s="547"/>
      <c r="G24" s="1267"/>
      <c r="H24" s="1267"/>
      <c r="I24" s="1267"/>
      <c r="J24" s="1267"/>
      <c r="K24" s="1267"/>
      <c r="L24" s="210"/>
      <c r="M24" s="210"/>
      <c r="N24" s="210"/>
      <c r="O24" s="210"/>
      <c r="P24" s="210"/>
      <c r="Q24" s="210"/>
      <c r="R24" s="210"/>
      <c r="S24" s="210"/>
      <c r="T24" s="210"/>
      <c r="U24" s="210"/>
      <c r="V24" s="210"/>
      <c r="W24" s="210"/>
      <c r="X24" s="210"/>
      <c r="Y24" s="210"/>
      <c r="Z24" s="210"/>
      <c r="AA24" s="210"/>
      <c r="AB24" s="210"/>
      <c r="AC24" s="210"/>
      <c r="AD24" s="210"/>
      <c r="AE24" s="210"/>
      <c r="AF24" s="210"/>
    </row>
    <row r="25" spans="2:32" ht="15" customHeight="1">
      <c r="C25" s="10"/>
      <c r="D25" s="26"/>
      <c r="E25" s="222"/>
      <c r="F25" s="222"/>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row>
    <row r="26" spans="2: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2: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2: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2: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2: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2: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2: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M8GhBeEeH/ley3M13YH3cX8OTUYHWfq5E/k0geO1NcOdW+PngOLqF2oVbV8nNO6fD07mV2jCIwz1jHPlwJHLEw==" saltValue="NFjiaO8a0IOst/Efhei03Q==" spinCount="100000" sheet="1" objects="1" scenarios="1"/>
  <hyperlinks>
    <hyperlink ref="A1" location="'Start-Experte'!A1" display="zurück" xr:uid="{00000000-0004-0000-35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3D67B932-2FC6-4C33-A621-780BC0B602DC}">
            <xm:f>ControlPanel!$D$59-1</xm:f>
            <x14:dxf>
              <font>
                <color rgb="FF9C6500"/>
              </font>
              <fill>
                <patternFill>
                  <fgColor indexed="64"/>
                  <bgColor rgb="FFFFEB9C"/>
                </patternFill>
              </fill>
            </x14:dxf>
          </x14:cfRule>
          <x14:cfRule type="cellIs" priority="2" operator="lessThan" id="{1464C1D3-D304-4989-95AF-BBB8007FA84A}">
            <xm:f>ControlPanel!$D$59</xm:f>
            <x14:dxf>
              <font>
                <color rgb="FF006100"/>
              </font>
              <fill>
                <patternFill>
                  <fgColor indexed="64"/>
                  <bgColor rgb="FFC6EFCE"/>
                </patternFill>
              </fill>
            </x14:dxf>
          </x14:cfRule>
          <x14:cfRule type="cellIs" priority="3" operator="lessThan" id="{CA21CBD0-8714-481D-8A60-D7FFFB7D4CAC}">
            <xm:f>ControlPanel!$D$59+1</xm:f>
            <x14:dxf>
              <font>
                <color rgb="FF006100"/>
              </font>
              <fill>
                <patternFill>
                  <fgColor indexed="64"/>
                  <bgColor rgb="FFC6EFCE"/>
                </patternFill>
              </fill>
            </x14:dxf>
          </x14:cfRule>
          <xm:sqref>G4:AF4</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72">
    <tabColor theme="9" tint="-0.499984740745262"/>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5" width="17" style="10" customWidth="1"/>
    <col min="6" max="6" width="64.5703125" style="10" customWidth="1"/>
    <col min="7" max="15" width="8.7109375" style="9" customWidth="1"/>
    <col min="16" max="32" width="8.7109375" style="9" customWidth="1" outlineLevel="1"/>
    <col min="33" max="16384" width="11.5703125" style="9"/>
  </cols>
  <sheetData>
    <row r="1" spans="1:32">
      <c r="A1" s="41" t="s">
        <v>183</v>
      </c>
      <c r="B1" s="62" t="s">
        <v>713</v>
      </c>
      <c r="C1" s="62"/>
      <c r="D1" s="19"/>
      <c r="E1" s="19"/>
      <c r="F1" s="19"/>
    </row>
    <row r="2" spans="1:32">
      <c r="B2" s="37"/>
    </row>
    <row r="3" spans="1:32" ht="15" customHeight="1">
      <c r="B3" s="63"/>
      <c r="C3" s="63" t="s">
        <v>18</v>
      </c>
      <c r="D3" s="18" t="s">
        <v>64</v>
      </c>
      <c r="E3" s="321" t="s">
        <v>16</v>
      </c>
      <c r="F3" s="321"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F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F5" s="16"/>
      <c r="G5" s="330" t="s">
        <v>43</v>
      </c>
      <c r="H5" s="330" t="s">
        <v>43</v>
      </c>
      <c r="I5" s="330" t="s">
        <v>43</v>
      </c>
      <c r="J5" s="330" t="s">
        <v>43</v>
      </c>
      <c r="K5" s="330" t="s">
        <v>43</v>
      </c>
      <c r="L5" s="330" t="s">
        <v>43</v>
      </c>
      <c r="M5" s="330" t="s">
        <v>43</v>
      </c>
      <c r="N5" s="330" t="s">
        <v>43</v>
      </c>
      <c r="O5" s="330" t="s">
        <v>43</v>
      </c>
      <c r="P5" s="330" t="s">
        <v>43</v>
      </c>
      <c r="Q5" s="330" t="s">
        <v>43</v>
      </c>
      <c r="R5" s="330" t="s">
        <v>43</v>
      </c>
      <c r="S5" s="330" t="s">
        <v>43</v>
      </c>
      <c r="T5" s="330" t="s">
        <v>43</v>
      </c>
      <c r="U5" s="330" t="s">
        <v>43</v>
      </c>
      <c r="V5" s="330" t="s">
        <v>43</v>
      </c>
      <c r="W5" s="330" t="s">
        <v>43</v>
      </c>
      <c r="X5" s="330" t="s">
        <v>43</v>
      </c>
      <c r="Y5" s="330" t="s">
        <v>43</v>
      </c>
      <c r="Z5" s="330" t="s">
        <v>43</v>
      </c>
      <c r="AA5" s="330" t="s">
        <v>43</v>
      </c>
      <c r="AB5" s="330" t="s">
        <v>43</v>
      </c>
      <c r="AC5" s="330" t="s">
        <v>43</v>
      </c>
      <c r="AD5" s="330" t="s">
        <v>43</v>
      </c>
      <c r="AE5" s="330" t="s">
        <v>43</v>
      </c>
      <c r="AF5" s="330" t="s">
        <v>43</v>
      </c>
    </row>
    <row r="6" spans="1:32" ht="84" customHeight="1" thickBot="1">
      <c r="B6" s="172" t="s">
        <v>25</v>
      </c>
      <c r="C6" s="181" t="s">
        <v>138</v>
      </c>
      <c r="D6" s="15" t="s">
        <v>65</v>
      </c>
      <c r="E6" s="15" t="s">
        <v>714</v>
      </c>
      <c r="F6" s="1077" t="s">
        <v>716</v>
      </c>
      <c r="G6" s="14">
        <v>3.8975169999999988</v>
      </c>
      <c r="H6" s="14">
        <v>3.8975169999999988</v>
      </c>
      <c r="I6" s="14">
        <v>3.8347169999999986</v>
      </c>
      <c r="J6" s="14">
        <v>3.964421269999999</v>
      </c>
      <c r="K6" s="14">
        <v>4.1173359999999999</v>
      </c>
      <c r="L6" s="14">
        <v>4.0858899999999991</v>
      </c>
      <c r="M6" s="14">
        <v>4.0858899999999991</v>
      </c>
      <c r="N6" s="14">
        <v>4.0858899999999991</v>
      </c>
      <c r="O6" s="14">
        <v>4.0858899999999991</v>
      </c>
      <c r="P6" s="14">
        <v>4.0858899999999991</v>
      </c>
      <c r="Q6" s="14">
        <v>4.0858899999999991</v>
      </c>
      <c r="R6" s="14">
        <v>4.0858899999999991</v>
      </c>
      <c r="S6" s="14">
        <v>4.0858899999999991</v>
      </c>
      <c r="T6" s="14">
        <v>4.0858899999999991</v>
      </c>
      <c r="U6" s="14">
        <v>4.0858899999999991</v>
      </c>
      <c r="V6" s="14">
        <v>4.0858899999999991</v>
      </c>
      <c r="W6" s="14">
        <v>4.0858899999999991</v>
      </c>
      <c r="X6" s="14">
        <v>4.0858899999999991</v>
      </c>
      <c r="Y6" s="14">
        <v>4.0858899999999991</v>
      </c>
      <c r="Z6" s="14">
        <v>4.0858899999999991</v>
      </c>
      <c r="AA6" s="14">
        <v>4.0858899999999991</v>
      </c>
      <c r="AB6" s="14">
        <v>4.0858899999999991</v>
      </c>
      <c r="AC6" s="14">
        <v>4.0858899999999991</v>
      </c>
      <c r="AD6" s="14">
        <v>4.0858899999999991</v>
      </c>
      <c r="AE6" s="14">
        <v>4.0858899999999991</v>
      </c>
      <c r="AF6" s="14">
        <v>4.0858899999999991</v>
      </c>
    </row>
    <row r="7" spans="1:32" ht="33" customHeight="1" thickBot="1">
      <c r="B7" s="171" t="s">
        <v>27</v>
      </c>
      <c r="C7" s="181" t="s">
        <v>138</v>
      </c>
      <c r="D7" s="15" t="s">
        <v>65</v>
      </c>
      <c r="E7" s="15" t="s">
        <v>67</v>
      </c>
      <c r="F7" s="1077" t="s">
        <v>665</v>
      </c>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70.5" customHeight="1" thickBot="1">
      <c r="B8" s="171" t="s">
        <v>13</v>
      </c>
      <c r="C8" s="181" t="s">
        <v>138</v>
      </c>
      <c r="D8" s="15" t="s">
        <v>65</v>
      </c>
      <c r="E8" s="15" t="s">
        <v>715</v>
      </c>
      <c r="F8" s="1077" t="s">
        <v>717</v>
      </c>
      <c r="G8" s="14">
        <v>0.94257419999999925</v>
      </c>
      <c r="H8" s="14">
        <v>0.94257419999999925</v>
      </c>
      <c r="I8" s="14">
        <v>0.93184419999999868</v>
      </c>
      <c r="J8" s="14">
        <v>1.3050080999999993</v>
      </c>
      <c r="K8" s="14">
        <v>1.3916451999999984</v>
      </c>
      <c r="L8" s="14">
        <v>1.4620892599999982</v>
      </c>
      <c r="M8" s="14">
        <v>1.4620892599999982</v>
      </c>
      <c r="N8" s="14">
        <v>1.4620892599999982</v>
      </c>
      <c r="O8" s="14">
        <v>1.4620892599999982</v>
      </c>
      <c r="P8" s="14">
        <v>1.4620892599999982</v>
      </c>
      <c r="Q8" s="14">
        <v>1.4620892599999982</v>
      </c>
      <c r="R8" s="14">
        <v>1.4620892599999982</v>
      </c>
      <c r="S8" s="14">
        <v>1.4620892599999982</v>
      </c>
      <c r="T8" s="14">
        <v>1.4620892599999982</v>
      </c>
      <c r="U8" s="14">
        <v>1.4620892599999982</v>
      </c>
      <c r="V8" s="14">
        <v>1.4620892599999982</v>
      </c>
      <c r="W8" s="14">
        <v>1.4620892599999982</v>
      </c>
      <c r="X8" s="14">
        <v>1.4620892599999982</v>
      </c>
      <c r="Y8" s="14">
        <v>1.4620892599999982</v>
      </c>
      <c r="Z8" s="14">
        <v>1.4620892599999982</v>
      </c>
      <c r="AA8" s="14">
        <v>1.4620892599999982</v>
      </c>
      <c r="AB8" s="14">
        <v>1.4620892599999982</v>
      </c>
      <c r="AC8" s="14">
        <v>1.4620892599999982</v>
      </c>
      <c r="AD8" s="14">
        <v>1.4620892599999982</v>
      </c>
      <c r="AE8" s="14">
        <v>1.4620892599999982</v>
      </c>
      <c r="AF8" s="14">
        <v>1.4620892599999982</v>
      </c>
    </row>
    <row r="9" spans="1:32" ht="33" customHeight="1" thickBot="1">
      <c r="B9" s="171" t="s">
        <v>12</v>
      </c>
      <c r="C9" s="181" t="s">
        <v>138</v>
      </c>
      <c r="D9" s="15" t="s">
        <v>65</v>
      </c>
      <c r="E9" s="15" t="s">
        <v>67</v>
      </c>
      <c r="F9" s="1077" t="s">
        <v>665</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33" customHeight="1" thickBot="1">
      <c r="B10" s="171" t="s">
        <v>24</v>
      </c>
      <c r="C10" s="181" t="s">
        <v>138</v>
      </c>
      <c r="D10" s="15" t="s">
        <v>65</v>
      </c>
      <c r="E10" s="15" t="s">
        <v>67</v>
      </c>
      <c r="F10" s="1077" t="s">
        <v>665</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33" customHeight="1" thickBot="1">
      <c r="B11" s="171" t="s">
        <v>26</v>
      </c>
      <c r="C11" s="181" t="s">
        <v>138</v>
      </c>
      <c r="D11" s="15" t="s">
        <v>65</v>
      </c>
      <c r="E11" s="15" t="s">
        <v>67</v>
      </c>
      <c r="F11" s="1077" t="s">
        <v>665</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52.5" customHeight="1" thickBot="1">
      <c r="B12" s="173" t="s">
        <v>14</v>
      </c>
      <c r="C12" s="181" t="s">
        <v>138</v>
      </c>
      <c r="D12" s="15" t="s">
        <v>65</v>
      </c>
      <c r="E12" s="15" t="s">
        <v>67</v>
      </c>
      <c r="F12" s="1077" t="s">
        <v>665</v>
      </c>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652"/>
      <c r="H25" s="652"/>
      <c r="I25" s="652"/>
      <c r="J25" s="652"/>
      <c r="K25" s="653"/>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mLGwfB+9DBIiUIT+7LeVH9DXFRnHzAQB3N2ghfqScBh0Tu5YgIC2RgzfbHPzO0wzhLy91c/WwQtAWScPsRJm6g==" saltValue="Ric/3gTMdhbT90pq7ZbFcw==" spinCount="100000" sheet="1" objects="1" scenarios="1"/>
  <hyperlinks>
    <hyperlink ref="A1" location="'Start-Experte'!A1" display="zurück" xr:uid="{00000000-0004-0000-36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DDD50C9C-CF5E-4CFD-B387-CC4C4B7EF761}">
            <xm:f>ControlPanel!$D$59-1</xm:f>
            <x14:dxf>
              <font>
                <color rgb="FF9C6500"/>
              </font>
              <fill>
                <patternFill>
                  <fgColor indexed="64"/>
                  <bgColor rgb="FFFFEB9C"/>
                </patternFill>
              </fill>
            </x14:dxf>
          </x14:cfRule>
          <x14:cfRule type="cellIs" priority="2" operator="lessThan" id="{0841F134-7D56-42E1-808C-1477BAADC089}">
            <xm:f>ControlPanel!$D$59</xm:f>
            <x14:dxf>
              <font>
                <color rgb="FF006100"/>
              </font>
              <fill>
                <patternFill>
                  <fgColor indexed="64"/>
                  <bgColor rgb="FFC6EFCE"/>
                </patternFill>
              </fill>
            </x14:dxf>
          </x14:cfRule>
          <x14:cfRule type="cellIs" priority="3" operator="lessThan" id="{75E357D8-C2C2-482C-A53F-92788567F11C}">
            <xm:f>ControlPanel!$D$59+1</xm:f>
            <x14:dxf>
              <font>
                <color rgb="FF006100"/>
              </font>
              <fill>
                <patternFill>
                  <fgColor indexed="64"/>
                  <bgColor rgb="FFC6EFCE"/>
                </patternFill>
              </fill>
            </x14:dxf>
          </x14:cfRule>
          <xm:sqref>G4:AF4</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70">
    <tabColor theme="9" tint="-0.499984740745262"/>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183</v>
      </c>
      <c r="B1" s="62" t="s">
        <v>711</v>
      </c>
      <c r="C1" s="62"/>
      <c r="D1" s="19"/>
      <c r="E1" s="19"/>
      <c r="F1" s="19"/>
    </row>
    <row r="2" spans="1:32">
      <c r="B2" s="37"/>
    </row>
    <row r="3" spans="1:32" ht="15" customHeight="1">
      <c r="B3" s="63"/>
      <c r="C3" s="63" t="s">
        <v>18</v>
      </c>
      <c r="D3" s="18" t="s">
        <v>64</v>
      </c>
      <c r="E3" s="321" t="s">
        <v>16</v>
      </c>
      <c r="F3" s="321"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F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c r="F5" s="16"/>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c r="AF5" s="330" t="s">
        <v>137</v>
      </c>
    </row>
    <row r="6" spans="1:32" ht="33" customHeight="1" thickBot="1">
      <c r="B6" s="172" t="s">
        <v>25</v>
      </c>
      <c r="C6" s="181" t="s">
        <v>138</v>
      </c>
      <c r="D6" s="15" t="s">
        <v>65</v>
      </c>
      <c r="E6" s="15" t="s">
        <v>664</v>
      </c>
      <c r="F6" s="1030" t="s">
        <v>712</v>
      </c>
      <c r="G6" s="14">
        <v>15.556000000000001</v>
      </c>
      <c r="H6" s="14">
        <v>11.633254000000001</v>
      </c>
      <c r="I6" s="14">
        <v>16.270144000000002</v>
      </c>
      <c r="J6" s="14">
        <v>16.704712000000001</v>
      </c>
      <c r="K6" s="14">
        <v>13.95</v>
      </c>
      <c r="L6" s="14">
        <v>13.95</v>
      </c>
      <c r="M6" s="14">
        <v>13.95</v>
      </c>
      <c r="N6" s="14">
        <v>13.95</v>
      </c>
      <c r="O6" s="14">
        <v>13.95</v>
      </c>
      <c r="P6" s="14">
        <v>13.95</v>
      </c>
      <c r="Q6" s="14">
        <v>13.95</v>
      </c>
      <c r="R6" s="14">
        <v>13.95</v>
      </c>
      <c r="S6" s="14">
        <v>13.95</v>
      </c>
      <c r="T6" s="14">
        <v>13.95</v>
      </c>
      <c r="U6" s="14">
        <v>13.95</v>
      </c>
      <c r="V6" s="14">
        <v>13.95</v>
      </c>
      <c r="W6" s="14">
        <v>13.95</v>
      </c>
      <c r="X6" s="14">
        <v>13.95</v>
      </c>
      <c r="Y6" s="14">
        <v>13.95</v>
      </c>
      <c r="Z6" s="14">
        <v>13.95</v>
      </c>
      <c r="AA6" s="14">
        <v>13.95</v>
      </c>
      <c r="AB6" s="14">
        <v>13.95</v>
      </c>
      <c r="AC6" s="14">
        <v>13.95</v>
      </c>
      <c r="AD6" s="14">
        <v>13.95</v>
      </c>
      <c r="AE6" s="14">
        <v>13.95</v>
      </c>
      <c r="AF6" s="14">
        <v>13.95</v>
      </c>
    </row>
    <row r="7" spans="1:32" ht="33" customHeight="1" thickBot="1">
      <c r="B7" s="171" t="s">
        <v>27</v>
      </c>
      <c r="C7" s="181" t="s">
        <v>138</v>
      </c>
      <c r="D7" s="15" t="s">
        <v>65</v>
      </c>
      <c r="E7" s="15" t="s">
        <v>67</v>
      </c>
      <c r="F7" s="1030" t="s">
        <v>665</v>
      </c>
      <c r="G7" s="14">
        <v>0</v>
      </c>
      <c r="H7" s="14">
        <v>0</v>
      </c>
      <c r="I7" s="14">
        <v>0</v>
      </c>
      <c r="J7" s="14">
        <v>0</v>
      </c>
      <c r="K7" s="14">
        <v>0</v>
      </c>
      <c r="L7" s="14">
        <v>0</v>
      </c>
      <c r="M7" s="14">
        <v>0</v>
      </c>
      <c r="N7" s="14">
        <v>0</v>
      </c>
      <c r="O7" s="14">
        <v>0</v>
      </c>
      <c r="P7" s="14">
        <v>0</v>
      </c>
      <c r="Q7" s="14">
        <v>0</v>
      </c>
      <c r="R7" s="14">
        <v>0</v>
      </c>
      <c r="S7" s="14">
        <v>0</v>
      </c>
      <c r="T7" s="14">
        <v>0</v>
      </c>
      <c r="U7" s="14">
        <v>0</v>
      </c>
      <c r="V7" s="14">
        <v>0</v>
      </c>
      <c r="W7" s="14">
        <v>0</v>
      </c>
      <c r="X7" s="14">
        <v>0</v>
      </c>
      <c r="Y7" s="14">
        <v>0</v>
      </c>
      <c r="Z7" s="14">
        <v>0</v>
      </c>
      <c r="AA7" s="14">
        <v>0</v>
      </c>
      <c r="AB7" s="14">
        <v>0</v>
      </c>
      <c r="AC7" s="14">
        <v>0</v>
      </c>
      <c r="AD7" s="14">
        <v>0</v>
      </c>
      <c r="AE7" s="14">
        <v>0</v>
      </c>
      <c r="AF7" s="14">
        <v>0</v>
      </c>
    </row>
    <row r="8" spans="1:32" ht="60.75" customHeight="1" thickBot="1">
      <c r="B8" s="171" t="s">
        <v>13</v>
      </c>
      <c r="C8" s="181" t="s">
        <v>138</v>
      </c>
      <c r="D8" s="15" t="s">
        <v>65</v>
      </c>
      <c r="E8" s="15">
        <v>5.8</v>
      </c>
      <c r="F8" s="1077" t="s">
        <v>710</v>
      </c>
      <c r="G8" s="14">
        <v>4.7</v>
      </c>
      <c r="H8" s="14">
        <v>4.8</v>
      </c>
      <c r="I8" s="14">
        <v>5</v>
      </c>
      <c r="J8" s="14">
        <v>5.4</v>
      </c>
      <c r="K8" s="14">
        <v>6.1</v>
      </c>
      <c r="L8" s="14">
        <v>5.8</v>
      </c>
      <c r="M8" s="14">
        <v>5.8</v>
      </c>
      <c r="N8" s="14">
        <v>5.8</v>
      </c>
      <c r="O8" s="14">
        <v>5.8</v>
      </c>
      <c r="P8" s="14">
        <v>5.8</v>
      </c>
      <c r="Q8" s="14">
        <v>5.8</v>
      </c>
      <c r="R8" s="14">
        <v>5.8</v>
      </c>
      <c r="S8" s="14">
        <v>5.8</v>
      </c>
      <c r="T8" s="14">
        <v>5.8</v>
      </c>
      <c r="U8" s="14">
        <v>5.8</v>
      </c>
      <c r="V8" s="14">
        <v>5.8</v>
      </c>
      <c r="W8" s="14">
        <v>5.8</v>
      </c>
      <c r="X8" s="14">
        <v>5.8</v>
      </c>
      <c r="Y8" s="14">
        <v>5.8</v>
      </c>
      <c r="Z8" s="14">
        <v>5.8</v>
      </c>
      <c r="AA8" s="1274">
        <v>5.8</v>
      </c>
      <c r="AB8" s="14">
        <v>5.8</v>
      </c>
      <c r="AC8" s="14">
        <v>5.8</v>
      </c>
      <c r="AD8" s="14">
        <v>5.8</v>
      </c>
      <c r="AE8" s="14">
        <v>5.8</v>
      </c>
      <c r="AF8" s="14">
        <v>5.8</v>
      </c>
    </row>
    <row r="9" spans="1:32" ht="33" customHeight="1" thickBot="1">
      <c r="B9" s="171" t="s">
        <v>12</v>
      </c>
      <c r="C9" s="181" t="s">
        <v>138</v>
      </c>
      <c r="D9" s="15" t="s">
        <v>65</v>
      </c>
      <c r="E9" s="15" t="s">
        <v>67</v>
      </c>
      <c r="F9" s="1030" t="s">
        <v>665</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row>
    <row r="10" spans="1:32" ht="33" customHeight="1" thickBot="1">
      <c r="B10" s="171" t="s">
        <v>24</v>
      </c>
      <c r="C10" s="181" t="s">
        <v>138</v>
      </c>
      <c r="D10" s="15" t="s">
        <v>65</v>
      </c>
      <c r="E10" s="15" t="s">
        <v>67</v>
      </c>
      <c r="F10" s="1030" t="s">
        <v>665</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row>
    <row r="11" spans="1:32" ht="33" customHeight="1" thickBot="1">
      <c r="B11" s="171" t="s">
        <v>26</v>
      </c>
      <c r="C11" s="181" t="s">
        <v>138</v>
      </c>
      <c r="D11" s="15" t="s">
        <v>65</v>
      </c>
      <c r="E11" s="15" t="s">
        <v>67</v>
      </c>
      <c r="F11" s="1030" t="s">
        <v>665</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row>
    <row r="12" spans="1:32" ht="52.5" customHeight="1" thickBot="1">
      <c r="B12" s="173" t="s">
        <v>14</v>
      </c>
      <c r="C12" s="181" t="s">
        <v>138</v>
      </c>
      <c r="D12" s="15" t="s">
        <v>65</v>
      </c>
      <c r="E12" s="15" t="s">
        <v>67</v>
      </c>
      <c r="F12" s="1030" t="s">
        <v>665</v>
      </c>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652"/>
      <c r="H25" s="652"/>
      <c r="I25" s="652"/>
      <c r="J25" s="652"/>
      <c r="K25" s="653"/>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h1lzluSMVU73oStBDFkwWHgHprJKGdm1tKV47okyTzli+S82NmJ87/Q/h6i3ZHtKjFyagdzUussAU/wFZ+PciA==" saltValue="DhftIT/nVVNJoGRPuweQPA==" spinCount="100000" sheet="1" objects="1" scenarios="1"/>
  <hyperlinks>
    <hyperlink ref="A1" location="'Start-Experte'!A1" display="zurück" xr:uid="{00000000-0004-0000-37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0EB59964-8678-4F13-ACE0-86EEF6DEBEDB}">
            <xm:f>ControlPanel!$D$59-1</xm:f>
            <x14:dxf>
              <font>
                <color rgb="FF9C6500"/>
              </font>
              <fill>
                <patternFill>
                  <fgColor indexed="64"/>
                  <bgColor rgb="FFFFEB9C"/>
                </patternFill>
              </fill>
            </x14:dxf>
          </x14:cfRule>
          <x14:cfRule type="cellIs" priority="2" operator="lessThan" id="{63D10A00-80E0-4839-891F-7E4357DF605A}">
            <xm:f>ControlPanel!$D$59</xm:f>
            <x14:dxf>
              <font>
                <color rgb="FF006100"/>
              </font>
              <fill>
                <patternFill>
                  <fgColor indexed="64"/>
                  <bgColor rgb="FFC6EFCE"/>
                </patternFill>
              </fill>
            </x14:dxf>
          </x14:cfRule>
          <x14:cfRule type="cellIs" priority="3" operator="lessThan" id="{E9FAE92B-AE8E-47D7-BDD9-60B99A4091D7}">
            <xm:f>ControlPanel!$D$59+1</xm:f>
            <x14:dxf>
              <font>
                <color rgb="FF006100"/>
              </font>
              <fill>
                <patternFill>
                  <fgColor indexed="64"/>
                  <bgColor rgb="FFC6EFCE"/>
                </patternFill>
              </fill>
            </x14:dxf>
          </x14:cfRule>
          <xm:sqref>G4:AF4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tabColor theme="5"/>
    <pageSetUpPr fitToPage="1"/>
  </sheetPr>
  <dimension ref="B1:K30"/>
  <sheetViews>
    <sheetView tabSelected="1" workbookViewId="0"/>
  </sheetViews>
  <sheetFormatPr baseColWidth="10" defaultColWidth="11.42578125" defaultRowHeight="12.75"/>
  <cols>
    <col min="1" max="1" width="4.28515625" style="841" customWidth="1"/>
    <col min="2" max="2" width="3.28515625" style="841" customWidth="1"/>
    <col min="3" max="3" width="137.140625" style="841" customWidth="1"/>
    <col min="4" max="4" width="2.7109375" style="841" customWidth="1"/>
    <col min="5" max="16384" width="11.42578125" style="841"/>
  </cols>
  <sheetData>
    <row r="1" spans="2:11" s="851" customFormat="1">
      <c r="B1" s="851" t="s">
        <v>183</v>
      </c>
      <c r="E1" s="841"/>
      <c r="F1" s="841"/>
      <c r="G1" s="841"/>
      <c r="H1" s="841"/>
      <c r="I1" s="841"/>
      <c r="J1" s="841"/>
      <c r="K1" s="841"/>
    </row>
    <row r="2" spans="2:11" ht="27" customHeight="1">
      <c r="C2" s="843" t="s">
        <v>233</v>
      </c>
      <c r="D2" s="852"/>
    </row>
    <row r="3" spans="2:11">
      <c r="C3" s="1115"/>
      <c r="D3" s="1114"/>
    </row>
    <row r="4" spans="2:11" ht="20.25" customHeight="1">
      <c r="C4" s="1124" t="s">
        <v>774</v>
      </c>
      <c r="D4" s="1125"/>
    </row>
    <row r="5" spans="2:11" ht="18" customHeight="1">
      <c r="C5" s="1126" t="s">
        <v>775</v>
      </c>
      <c r="D5" s="1127"/>
    </row>
    <row r="6" spans="2:11" ht="28.5" customHeight="1">
      <c r="C6" s="1128" t="s">
        <v>822</v>
      </c>
      <c r="D6" s="1127"/>
    </row>
    <row r="7" spans="2:11" ht="46.5" customHeight="1">
      <c r="C7" s="1129" t="s">
        <v>777</v>
      </c>
      <c r="D7" s="1130"/>
    </row>
    <row r="8" spans="2:11">
      <c r="C8" s="1115"/>
      <c r="D8" s="1114"/>
    </row>
    <row r="9" spans="2:11" s="842" customFormat="1" ht="60" customHeight="1">
      <c r="C9" s="846" t="s">
        <v>209</v>
      </c>
      <c r="D9" s="845"/>
    </row>
    <row r="10" spans="2:11" ht="81" customHeight="1">
      <c r="C10" s="846" t="s">
        <v>613</v>
      </c>
      <c r="D10" s="844"/>
    </row>
    <row r="11" spans="2:11" ht="27" customHeight="1">
      <c r="C11" s="847" t="s">
        <v>202</v>
      </c>
      <c r="D11" s="844"/>
    </row>
    <row r="12" spans="2:11" ht="15.75" customHeight="1">
      <c r="C12" s="848" t="s">
        <v>231</v>
      </c>
      <c r="D12" s="844"/>
    </row>
    <row r="13" spans="2:11" ht="30" customHeight="1">
      <c r="C13" s="846" t="s">
        <v>216</v>
      </c>
      <c r="D13" s="844"/>
    </row>
    <row r="14" spans="2:11" ht="57.75" customHeight="1">
      <c r="C14" s="846" t="s">
        <v>614</v>
      </c>
      <c r="D14" s="844"/>
    </row>
    <row r="15" spans="2:11" ht="33.75" customHeight="1">
      <c r="C15" s="846" t="s">
        <v>215</v>
      </c>
      <c r="D15" s="844"/>
    </row>
    <row r="16" spans="2:11" ht="15" customHeight="1">
      <c r="C16" s="846"/>
      <c r="D16" s="844"/>
    </row>
    <row r="17" spans="3:4" ht="29.25" customHeight="1">
      <c r="C17" s="849" t="s">
        <v>210</v>
      </c>
      <c r="D17" s="844"/>
    </row>
    <row r="18" spans="3:4" ht="54.75" customHeight="1">
      <c r="C18" s="846" t="s">
        <v>606</v>
      </c>
      <c r="D18" s="844"/>
    </row>
    <row r="19" spans="3:4" ht="47.25" customHeight="1">
      <c r="C19" s="846" t="s">
        <v>607</v>
      </c>
      <c r="D19" s="844"/>
    </row>
    <row r="20" spans="3:4" ht="44.25" customHeight="1">
      <c r="C20" s="846" t="s">
        <v>211</v>
      </c>
      <c r="D20" s="844"/>
    </row>
    <row r="21" spans="3:4" ht="28.5" customHeight="1">
      <c r="C21" s="846" t="s">
        <v>203</v>
      </c>
      <c r="D21" s="844"/>
    </row>
    <row r="22" spans="3:4" ht="28.5" customHeight="1">
      <c r="C22" s="846" t="s">
        <v>213</v>
      </c>
      <c r="D22" s="844"/>
    </row>
    <row r="23" spans="3:4" ht="29.25" customHeight="1">
      <c r="C23" s="849" t="s">
        <v>212</v>
      </c>
      <c r="D23" s="844"/>
    </row>
    <row r="24" spans="3:4" ht="99" customHeight="1">
      <c r="C24" s="846" t="s">
        <v>214</v>
      </c>
      <c r="D24" s="844"/>
    </row>
    <row r="25" spans="3:4" ht="46.5" customHeight="1">
      <c r="C25" s="846" t="s">
        <v>608</v>
      </c>
      <c r="D25" s="844"/>
    </row>
    <row r="26" spans="3:4" ht="26.25" customHeight="1">
      <c r="C26" s="846" t="s">
        <v>203</v>
      </c>
      <c r="D26" s="844"/>
    </row>
    <row r="27" spans="3:4" ht="15" customHeight="1">
      <c r="C27" s="845"/>
      <c r="D27" s="844"/>
    </row>
    <row r="28" spans="3:4" ht="30" customHeight="1">
      <c r="C28" s="846" t="s">
        <v>610</v>
      </c>
      <c r="D28" s="844"/>
    </row>
    <row r="29" spans="3:4" ht="20.25" customHeight="1">
      <c r="C29" s="850" t="s">
        <v>609</v>
      </c>
      <c r="D29" s="844"/>
    </row>
    <row r="30" spans="3:4">
      <c r="C30" s="845"/>
      <c r="D30" s="844"/>
    </row>
  </sheetData>
  <sheetProtection algorithmName="SHA-512" hashValue="uvJcNoAvMuFUCpDs46RXg0v9PcszJxKEB9WS49lzy1h1kfKOfAH64M91FGaj5b/cub3WTxWfbFFhiUTtFgxsYQ==" saltValue="m1wAYRKFh4oTr43F0aKuig==" spinCount="100000" sheet="1" objects="1" scenarios="1"/>
  <hyperlinks>
    <hyperlink ref="C29" r:id="rId1" xr:uid="{00000000-0004-0000-0500-000000000000}"/>
  </hyperlinks>
  <pageMargins left="0.7" right="0.7" top="0.78740157499999996" bottom="0.78740157499999996" header="0.3" footer="0.3"/>
  <pageSetup paperSize="9" scale="7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4690" r:id="rId5" name="Button 2">
              <controlPr defaultSize="0" print="0" autoFill="0" autoPict="0" macro="[0]!returnToStartSheet">
                <anchor moveWithCells="1" sizeWithCells="1">
                  <from>
                    <xdr:col>2</xdr:col>
                    <xdr:colOff>7848600</xdr:colOff>
                    <xdr:row>1</xdr:row>
                    <xdr:rowOff>38100</xdr:rowOff>
                  </from>
                  <to>
                    <xdr:col>3</xdr:col>
                    <xdr:colOff>133350</xdr:colOff>
                    <xdr:row>1</xdr:row>
                    <xdr:rowOff>295275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73">
    <tabColor theme="9" tint="-0.499984740745262"/>
  </sheetPr>
  <dimension ref="A1:AF1191"/>
  <sheetViews>
    <sheetView workbookViewId="0"/>
  </sheetViews>
  <sheetFormatPr baseColWidth="10" defaultColWidth="11.5703125" defaultRowHeight="12.75" outlineLevelCol="2"/>
  <cols>
    <col min="1" max="1" width="3.7109375" style="9" customWidth="1"/>
    <col min="2" max="2" width="17.5703125" style="9" customWidth="1"/>
    <col min="3" max="3" width="25.7109375" style="9" customWidth="1"/>
    <col min="4" max="4" width="20.7109375" style="10" customWidth="1" outlineLevel="2"/>
    <col min="5" max="6" width="40.7109375" style="10" customWidth="1"/>
    <col min="7" max="15" width="8.7109375" style="9" customWidth="1"/>
    <col min="16" max="32" width="8.7109375" style="9" customWidth="1" outlineLevel="1"/>
    <col min="33" max="16384" width="11.5703125" style="9"/>
  </cols>
  <sheetData>
    <row r="1" spans="1:32">
      <c r="A1" s="41" t="s">
        <v>183</v>
      </c>
      <c r="B1" s="62" t="s">
        <v>789</v>
      </c>
      <c r="C1" s="62"/>
      <c r="D1" s="19"/>
      <c r="E1" s="19"/>
      <c r="F1" s="19"/>
    </row>
    <row r="2" spans="1:32">
      <c r="B2" s="37"/>
    </row>
    <row r="3" spans="1:32" ht="15" customHeight="1">
      <c r="B3" s="63"/>
      <c r="C3" s="63" t="s">
        <v>18</v>
      </c>
      <c r="D3" s="18" t="s">
        <v>64</v>
      </c>
      <c r="E3" s="321" t="s">
        <v>16</v>
      </c>
      <c r="F3" s="321" t="s">
        <v>377</v>
      </c>
      <c r="G3" s="17"/>
      <c r="H3" s="17"/>
      <c r="I3" s="17"/>
      <c r="J3" s="17"/>
      <c r="K3" s="17"/>
      <c r="L3" s="17"/>
      <c r="M3" s="17"/>
      <c r="N3" s="17"/>
      <c r="O3" s="17"/>
      <c r="P3" s="17"/>
      <c r="Q3" s="17"/>
      <c r="R3" s="17"/>
      <c r="S3" s="17"/>
      <c r="T3" s="17"/>
      <c r="U3" s="17"/>
      <c r="V3" s="17"/>
      <c r="W3" s="17"/>
      <c r="X3" s="17"/>
      <c r="Y3" s="17"/>
      <c r="Z3" s="17"/>
      <c r="AA3" s="17"/>
      <c r="AB3" s="17"/>
      <c r="AC3" s="17"/>
      <c r="AD3" s="17"/>
      <c r="AE3" s="17"/>
      <c r="AF3" s="17"/>
    </row>
    <row r="4" spans="1:32" ht="15" customHeight="1">
      <c r="B4" s="64"/>
      <c r="C4" s="64"/>
      <c r="E4" s="16"/>
      <c r="F4" s="16"/>
      <c r="G4" s="61">
        <v>2010</v>
      </c>
      <c r="H4" s="61">
        <v>2011</v>
      </c>
      <c r="I4" s="61">
        <v>2012</v>
      </c>
      <c r="J4" s="61">
        <v>2013</v>
      </c>
      <c r="K4" s="61">
        <v>2014</v>
      </c>
      <c r="L4" s="61">
        <v>2015</v>
      </c>
      <c r="M4" s="61">
        <v>2016</v>
      </c>
      <c r="N4" s="61">
        <v>2017</v>
      </c>
      <c r="O4" s="61">
        <v>2018</v>
      </c>
      <c r="P4" s="61">
        <v>2019</v>
      </c>
      <c r="Q4" s="61">
        <v>2020</v>
      </c>
      <c r="R4" s="61">
        <v>2021</v>
      </c>
      <c r="S4" s="61">
        <v>2022</v>
      </c>
      <c r="T4" s="61">
        <v>2023</v>
      </c>
      <c r="U4" s="61">
        <v>2024</v>
      </c>
      <c r="V4" s="61">
        <v>2025</v>
      </c>
      <c r="W4" s="61">
        <v>2026</v>
      </c>
      <c r="X4" s="61">
        <v>2027</v>
      </c>
      <c r="Y4" s="61">
        <v>2028</v>
      </c>
      <c r="Z4" s="61">
        <v>2029</v>
      </c>
      <c r="AA4" s="61">
        <v>2030</v>
      </c>
      <c r="AB4" s="61">
        <v>2031</v>
      </c>
      <c r="AC4" s="61">
        <v>2032</v>
      </c>
      <c r="AD4" s="61">
        <v>2033</v>
      </c>
      <c r="AE4" s="61">
        <v>2034</v>
      </c>
      <c r="AF4" s="61">
        <v>2035</v>
      </c>
    </row>
    <row r="5" spans="1:32" ht="15" customHeight="1" thickBot="1">
      <c r="B5" s="69"/>
      <c r="C5" s="64"/>
      <c r="E5" s="16" t="s">
        <v>791</v>
      </c>
      <c r="F5" s="16"/>
      <c r="G5" s="330" t="s">
        <v>137</v>
      </c>
      <c r="H5" s="330" t="s">
        <v>137</v>
      </c>
      <c r="I5" s="330" t="s">
        <v>137</v>
      </c>
      <c r="J5" s="330" t="s">
        <v>137</v>
      </c>
      <c r="K5" s="330" t="s">
        <v>137</v>
      </c>
      <c r="L5" s="330" t="s">
        <v>137</v>
      </c>
      <c r="M5" s="330" t="s">
        <v>137</v>
      </c>
      <c r="N5" s="330" t="s">
        <v>137</v>
      </c>
      <c r="O5" s="330" t="s">
        <v>137</v>
      </c>
      <c r="P5" s="330" t="s">
        <v>137</v>
      </c>
      <c r="Q5" s="330" t="s">
        <v>137</v>
      </c>
      <c r="R5" s="330" t="s">
        <v>137</v>
      </c>
      <c r="S5" s="330" t="s">
        <v>137</v>
      </c>
      <c r="T5" s="330" t="s">
        <v>137</v>
      </c>
      <c r="U5" s="330" t="s">
        <v>137</v>
      </c>
      <c r="V5" s="330" t="s">
        <v>137</v>
      </c>
      <c r="W5" s="330" t="s">
        <v>137</v>
      </c>
      <c r="X5" s="330" t="s">
        <v>137</v>
      </c>
      <c r="Y5" s="330" t="s">
        <v>137</v>
      </c>
      <c r="Z5" s="330" t="s">
        <v>137</v>
      </c>
      <c r="AA5" s="330" t="s">
        <v>137</v>
      </c>
      <c r="AB5" s="330" t="s">
        <v>137</v>
      </c>
      <c r="AC5" s="330" t="s">
        <v>137</v>
      </c>
      <c r="AD5" s="330" t="s">
        <v>137</v>
      </c>
      <c r="AE5" s="330" t="s">
        <v>137</v>
      </c>
      <c r="AF5" s="330" t="s">
        <v>137</v>
      </c>
    </row>
    <row r="6" spans="1:32" ht="33" customHeight="1" thickBot="1">
      <c r="B6" s="172" t="s">
        <v>25</v>
      </c>
      <c r="C6" s="181" t="s">
        <v>138</v>
      </c>
      <c r="D6" s="15" t="s">
        <v>845</v>
      </c>
      <c r="E6" s="15" t="s">
        <v>791</v>
      </c>
      <c r="F6" s="1030" t="s">
        <v>792</v>
      </c>
      <c r="G6" s="38">
        <v>0</v>
      </c>
      <c r="H6" s="38">
        <v>0</v>
      </c>
      <c r="I6" s="38">
        <v>0.997</v>
      </c>
      <c r="J6" s="38">
        <v>0.99499999999999988</v>
      </c>
      <c r="K6" s="38">
        <v>0.999</v>
      </c>
      <c r="L6" s="38">
        <v>0.98105590087551808</v>
      </c>
      <c r="M6" s="38">
        <v>0.9956912515825258</v>
      </c>
      <c r="N6" s="38">
        <v>1.0116209702340726</v>
      </c>
      <c r="O6" s="38">
        <v>0.9709722384042121</v>
      </c>
      <c r="P6" s="38">
        <v>0.86677709396424174</v>
      </c>
      <c r="Q6" s="38">
        <v>0.90209234807398175</v>
      </c>
      <c r="R6" s="14">
        <v>0.856711414157037</v>
      </c>
      <c r="S6" s="14">
        <v>0.8009600117483695</v>
      </c>
      <c r="T6" s="14"/>
      <c r="U6" s="14"/>
      <c r="V6" s="14"/>
      <c r="W6" s="14"/>
      <c r="X6" s="14"/>
      <c r="Y6" s="14"/>
      <c r="Z6" s="14"/>
      <c r="AA6" s="14"/>
      <c r="AB6" s="14"/>
      <c r="AC6" s="14"/>
      <c r="AD6" s="14"/>
      <c r="AE6" s="14"/>
      <c r="AF6" s="14"/>
    </row>
    <row r="7" spans="1:32" ht="33" customHeight="1" thickBot="1">
      <c r="B7" s="171" t="s">
        <v>27</v>
      </c>
      <c r="C7" s="181" t="s">
        <v>138</v>
      </c>
      <c r="D7" s="15" t="s">
        <v>845</v>
      </c>
      <c r="E7" s="15" t="s">
        <v>791</v>
      </c>
      <c r="F7" s="1030" t="s">
        <v>792</v>
      </c>
      <c r="G7" s="38">
        <v>0</v>
      </c>
      <c r="H7" s="38">
        <v>0</v>
      </c>
      <c r="I7" s="38">
        <v>1</v>
      </c>
      <c r="J7" s="38">
        <v>1</v>
      </c>
      <c r="K7" s="38">
        <v>1.0009999999999999</v>
      </c>
      <c r="L7" s="38">
        <v>0.97717321179556171</v>
      </c>
      <c r="M7" s="38">
        <v>1.0002629114025319</v>
      </c>
      <c r="N7" s="38">
        <v>1.0049373882866919</v>
      </c>
      <c r="O7" s="38">
        <v>0.97058959073921358</v>
      </c>
      <c r="P7" s="38">
        <v>0.86662455275027428</v>
      </c>
      <c r="Q7" s="38">
        <v>0.90281181980152869</v>
      </c>
      <c r="R7" s="14">
        <v>0.8571700494579414</v>
      </c>
      <c r="S7" s="14">
        <v>0.80269712483770439</v>
      </c>
      <c r="T7" s="14"/>
      <c r="U7" s="14"/>
      <c r="V7" s="14"/>
      <c r="W7" s="14"/>
      <c r="X7" s="14"/>
      <c r="Y7" s="14"/>
      <c r="Z7" s="14"/>
      <c r="AA7" s="14"/>
      <c r="AB7" s="14"/>
      <c r="AC7" s="14"/>
      <c r="AD7" s="14"/>
      <c r="AE7" s="14"/>
      <c r="AF7" s="14"/>
    </row>
    <row r="8" spans="1:32" ht="60.75" customHeight="1" thickBot="1">
      <c r="B8" s="171" t="s">
        <v>13</v>
      </c>
      <c r="C8" s="181" t="s">
        <v>138</v>
      </c>
      <c r="D8" s="15" t="s">
        <v>845</v>
      </c>
      <c r="E8" s="15" t="s">
        <v>791</v>
      </c>
      <c r="F8" s="1030" t="s">
        <v>792</v>
      </c>
      <c r="G8" s="38">
        <v>0</v>
      </c>
      <c r="H8" s="38">
        <v>0</v>
      </c>
      <c r="I8" s="38">
        <v>1</v>
      </c>
      <c r="J8" s="38">
        <v>1</v>
      </c>
      <c r="K8" s="38">
        <v>1</v>
      </c>
      <c r="L8" s="38">
        <v>0.97709594916872755</v>
      </c>
      <c r="M8" s="38">
        <v>1.0002385970999215</v>
      </c>
      <c r="N8" s="38">
        <v>1.0063944731686187</v>
      </c>
      <c r="O8" s="38">
        <v>0.9705803052660652</v>
      </c>
      <c r="P8" s="38">
        <v>0.86662613565660029</v>
      </c>
      <c r="Q8" s="38">
        <v>0.903426744754666</v>
      </c>
      <c r="R8" s="14">
        <v>0.85645616834366967</v>
      </c>
      <c r="S8" s="14">
        <v>0.80261389816483342</v>
      </c>
      <c r="T8" s="14"/>
      <c r="U8" s="14"/>
      <c r="V8" s="14"/>
      <c r="W8" s="14"/>
      <c r="X8" s="14"/>
      <c r="Y8" s="14"/>
      <c r="Z8" s="14"/>
      <c r="AA8" s="14"/>
      <c r="AB8" s="14"/>
      <c r="AC8" s="14"/>
      <c r="AD8" s="14"/>
      <c r="AE8" s="14"/>
      <c r="AF8" s="14"/>
    </row>
    <row r="9" spans="1:32" ht="33" customHeight="1" thickBot="1">
      <c r="B9" s="171" t="s">
        <v>12</v>
      </c>
      <c r="C9" s="181" t="s">
        <v>138</v>
      </c>
      <c r="D9" s="15" t="s">
        <v>845</v>
      </c>
      <c r="E9" s="15" t="s">
        <v>791</v>
      </c>
      <c r="F9" s="1030" t="s">
        <v>792</v>
      </c>
      <c r="G9" s="38">
        <v>0</v>
      </c>
      <c r="H9" s="38">
        <v>0</v>
      </c>
      <c r="I9" s="38">
        <v>1</v>
      </c>
      <c r="J9" s="38">
        <v>1</v>
      </c>
      <c r="K9" s="38">
        <v>1.0009999999999999</v>
      </c>
      <c r="L9" s="38">
        <v>0.9704087662222286</v>
      </c>
      <c r="M9" s="38">
        <v>1.0002616235355399</v>
      </c>
      <c r="N9" s="38">
        <v>1.0008007458944923</v>
      </c>
      <c r="O9" s="38">
        <v>0.9576555779076602</v>
      </c>
      <c r="P9" s="38">
        <v>0.86672159719942365</v>
      </c>
      <c r="Q9" s="38">
        <v>0.90252197726556671</v>
      </c>
      <c r="R9" s="14">
        <v>0.85439545882115719</v>
      </c>
      <c r="S9" s="14">
        <v>0.80012668123190367</v>
      </c>
      <c r="T9" s="14"/>
      <c r="U9" s="14"/>
      <c r="V9" s="14"/>
      <c r="W9" s="14"/>
      <c r="X9" s="14"/>
      <c r="Y9" s="14"/>
      <c r="Z9" s="14"/>
      <c r="AA9" s="14"/>
      <c r="AB9" s="14"/>
      <c r="AC9" s="14"/>
      <c r="AD9" s="14"/>
      <c r="AE9" s="14"/>
      <c r="AF9" s="14"/>
    </row>
    <row r="10" spans="1:32" ht="33" customHeight="1" thickBot="1">
      <c r="B10" s="171" t="s">
        <v>24</v>
      </c>
      <c r="C10" s="181" t="s">
        <v>138</v>
      </c>
      <c r="D10" s="15" t="s">
        <v>845</v>
      </c>
      <c r="E10" s="15" t="s">
        <v>791</v>
      </c>
      <c r="F10" s="1030" t="s">
        <v>792</v>
      </c>
      <c r="G10" s="38">
        <v>0</v>
      </c>
      <c r="H10" s="38">
        <v>0</v>
      </c>
      <c r="I10" s="38">
        <v>0.90500000000000003</v>
      </c>
      <c r="J10" s="38">
        <v>0.88900000000000012</v>
      </c>
      <c r="K10" s="38">
        <v>0.85099999999999998</v>
      </c>
      <c r="L10" s="38">
        <v>0.87804199451939391</v>
      </c>
      <c r="M10" s="38">
        <v>0.88474320646636939</v>
      </c>
      <c r="N10" s="38">
        <v>0.88556376387505709</v>
      </c>
      <c r="O10" s="38">
        <v>0.79928775421656872</v>
      </c>
      <c r="P10" s="38">
        <v>0.67846507330943984</v>
      </c>
      <c r="Q10" s="38">
        <v>0.76098384865625657</v>
      </c>
      <c r="R10" s="14">
        <v>0.74498851826199786</v>
      </c>
      <c r="S10" s="14">
        <v>0.73040126499934588</v>
      </c>
      <c r="T10" s="14"/>
      <c r="U10" s="14"/>
      <c r="V10" s="14"/>
      <c r="W10" s="14"/>
      <c r="X10" s="14"/>
      <c r="Y10" s="14"/>
      <c r="Z10" s="14"/>
      <c r="AA10" s="14"/>
      <c r="AB10" s="14"/>
      <c r="AC10" s="14"/>
      <c r="AD10" s="14"/>
      <c r="AE10" s="14"/>
      <c r="AF10" s="14"/>
    </row>
    <row r="11" spans="1:32" ht="33" customHeight="1" thickBot="1">
      <c r="B11" s="171" t="s">
        <v>26</v>
      </c>
      <c r="C11" s="181" t="s">
        <v>138</v>
      </c>
      <c r="D11" s="15" t="s">
        <v>845</v>
      </c>
      <c r="E11" s="15" t="s">
        <v>791</v>
      </c>
      <c r="F11" s="1030" t="s">
        <v>792</v>
      </c>
      <c r="G11" s="38">
        <v>0</v>
      </c>
      <c r="H11" s="38">
        <v>0</v>
      </c>
      <c r="I11" s="38">
        <v>1.02</v>
      </c>
      <c r="J11" s="38">
        <v>0.997</v>
      </c>
      <c r="K11" s="38">
        <v>0.91799999999999993</v>
      </c>
      <c r="L11" s="38">
        <v>0.93555612050472214</v>
      </c>
      <c r="M11" s="38">
        <v>0.9825534567397779</v>
      </c>
      <c r="N11" s="38">
        <v>0.92131005898091034</v>
      </c>
      <c r="O11" s="38">
        <v>0.88317632340840491</v>
      </c>
      <c r="P11" s="38">
        <v>0.79026862178293367</v>
      </c>
      <c r="Q11" s="38">
        <v>0.78878831448197484</v>
      </c>
      <c r="R11" s="14">
        <v>0.76115118938091875</v>
      </c>
      <c r="S11" s="14">
        <v>0.76039618267720654</v>
      </c>
      <c r="T11" s="14"/>
      <c r="U11" s="14"/>
      <c r="V11" s="14"/>
      <c r="W11" s="14"/>
      <c r="X11" s="14"/>
      <c r="Y11" s="14"/>
      <c r="Z11" s="14"/>
      <c r="AA11" s="14"/>
      <c r="AB11" s="14"/>
      <c r="AC11" s="14"/>
      <c r="AD11" s="14"/>
      <c r="AE11" s="14"/>
      <c r="AF11" s="14"/>
    </row>
    <row r="12" spans="1:32" ht="52.5" customHeight="1" thickBot="1">
      <c r="B12" s="173" t="s">
        <v>14</v>
      </c>
      <c r="C12" s="181" t="s">
        <v>138</v>
      </c>
      <c r="D12" s="15" t="s">
        <v>845</v>
      </c>
      <c r="E12" s="15" t="s">
        <v>791</v>
      </c>
      <c r="F12" s="1030" t="s">
        <v>792</v>
      </c>
      <c r="G12" s="38">
        <v>0</v>
      </c>
      <c r="H12" s="38">
        <v>0</v>
      </c>
      <c r="I12" s="38">
        <v>1.046</v>
      </c>
      <c r="J12" s="38">
        <v>0.98100000000000009</v>
      </c>
      <c r="K12" s="38">
        <v>1.0109999999999999</v>
      </c>
      <c r="L12" s="38">
        <v>0.94011333796182017</v>
      </c>
      <c r="M12" s="38">
        <v>0.97823510223085741</v>
      </c>
      <c r="N12" s="38">
        <v>1.0007946618334671</v>
      </c>
      <c r="O12" s="38">
        <v>0.9155231610892961</v>
      </c>
      <c r="P12" s="38">
        <v>0.85632717217267751</v>
      </c>
      <c r="Q12" s="38">
        <v>0.8187078708852541</v>
      </c>
      <c r="R12" s="14">
        <v>0.78547462477492302</v>
      </c>
      <c r="S12" s="14">
        <v>0.73094824259947966</v>
      </c>
      <c r="T12" s="14"/>
      <c r="U12" s="14"/>
      <c r="V12" s="14"/>
      <c r="W12" s="14"/>
      <c r="X12" s="14"/>
      <c r="Y12" s="14"/>
      <c r="Z12" s="14"/>
      <c r="AA12" s="14"/>
      <c r="AB12" s="14"/>
      <c r="AC12" s="14"/>
      <c r="AD12" s="14"/>
      <c r="AE12" s="14"/>
      <c r="AF12" s="14"/>
    </row>
    <row r="13" spans="1:32" ht="15" customHeight="1">
      <c r="B13" s="322"/>
      <c r="C13" s="10"/>
      <c r="D13" s="26"/>
      <c r="E13" s="222"/>
      <c r="F13" s="222"/>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spans="1:32" ht="15" customHeight="1">
      <c r="C14" s="10"/>
      <c r="D14" s="26"/>
      <c r="E14" s="222"/>
      <c r="F14" s="222"/>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row>
    <row r="15" spans="1:32" ht="15" customHeight="1">
      <c r="C15" s="10"/>
      <c r="D15" s="26"/>
      <c r="E15" s="222"/>
      <c r="F15" s="222"/>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row>
    <row r="16" spans="1:32" ht="15" customHeight="1">
      <c r="B16" s="557" t="s">
        <v>790</v>
      </c>
      <c r="C16" s="10"/>
      <c r="D16" s="26"/>
      <c r="E16" s="222"/>
      <c r="F16" s="222"/>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row>
    <row r="17" spans="3:32" ht="15" customHeight="1">
      <c r="C17" s="10"/>
      <c r="D17" s="26"/>
      <c r="E17" s="222"/>
      <c r="F17" s="222"/>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spans="3:32" ht="15" customHeight="1">
      <c r="C18" s="10"/>
      <c r="D18" s="26"/>
      <c r="E18" s="222"/>
      <c r="F18" s="222"/>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row>
    <row r="19" spans="3:32" ht="15" customHeight="1">
      <c r="C19" s="10"/>
      <c r="D19" s="26"/>
      <c r="E19" s="222"/>
      <c r="F19" s="222"/>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spans="3:32" ht="15" customHeight="1">
      <c r="C20" s="10"/>
      <c r="D20" s="26"/>
      <c r="E20" s="222"/>
      <c r="F20" s="222"/>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row>
    <row r="21" spans="3:32" ht="15" customHeight="1">
      <c r="C21" s="10"/>
      <c r="D21" s="26"/>
      <c r="E21" s="222"/>
      <c r="F21" s="222"/>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row>
    <row r="22" spans="3:32" ht="15" customHeight="1">
      <c r="C22" s="10"/>
      <c r="D22" s="26"/>
      <c r="E22" s="222"/>
      <c r="F22" s="222"/>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row>
    <row r="23" spans="3:32" ht="15" customHeight="1">
      <c r="C23" s="10"/>
      <c r="D23" s="26"/>
      <c r="E23" s="222"/>
      <c r="F23" s="222"/>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row>
    <row r="24" spans="3:32" ht="15" customHeight="1">
      <c r="C24" s="10"/>
      <c r="D24" s="26"/>
      <c r="E24" s="222"/>
      <c r="F24" s="222"/>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row>
    <row r="25" spans="3:32" ht="15" customHeight="1">
      <c r="C25" s="10"/>
      <c r="D25" s="26"/>
      <c r="E25" s="222"/>
      <c r="F25" s="222"/>
      <c r="G25" s="652"/>
      <c r="H25" s="652"/>
      <c r="I25" s="652"/>
      <c r="J25" s="652"/>
      <c r="K25" s="653"/>
      <c r="L25" s="210"/>
      <c r="M25" s="210"/>
      <c r="N25" s="210"/>
      <c r="O25" s="210"/>
      <c r="P25" s="210"/>
      <c r="Q25" s="210"/>
      <c r="R25" s="210"/>
      <c r="S25" s="210"/>
      <c r="T25" s="210"/>
      <c r="U25" s="210"/>
      <c r="V25" s="210"/>
      <c r="W25" s="210"/>
      <c r="X25" s="210"/>
      <c r="Y25" s="210"/>
      <c r="Z25" s="210"/>
      <c r="AA25" s="210"/>
      <c r="AB25" s="210"/>
      <c r="AC25" s="210"/>
      <c r="AD25" s="210"/>
      <c r="AE25" s="210"/>
      <c r="AF25" s="210"/>
    </row>
    <row r="26" spans="3:32" ht="15" customHeight="1">
      <c r="C26" s="10"/>
      <c r="D26" s="26"/>
      <c r="E26" s="222"/>
      <c r="F26" s="222"/>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row>
    <row r="27" spans="3:32" ht="15" customHeight="1">
      <c r="C27" s="10"/>
      <c r="D27" s="26"/>
      <c r="E27" s="222"/>
      <c r="F27" s="222"/>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row>
    <row r="28" spans="3:32" ht="15" customHeight="1">
      <c r="C28" s="10"/>
      <c r="D28" s="26"/>
      <c r="E28" s="222"/>
      <c r="F28" s="222"/>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spans="3:32" ht="15" customHeight="1">
      <c r="C29" s="10"/>
      <c r="D29" s="26"/>
      <c r="E29" s="222"/>
      <c r="F29" s="222"/>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row>
    <row r="30" spans="3:32" ht="15" customHeight="1">
      <c r="C30" s="10"/>
      <c r="D30" s="26"/>
      <c r="E30" s="222"/>
      <c r="F30" s="222"/>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spans="3:32" ht="15" customHeight="1">
      <c r="C31" s="10"/>
      <c r="D31" s="26"/>
      <c r="E31" s="222"/>
      <c r="F31" s="222"/>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row>
    <row r="32" spans="3:32" ht="15" customHeight="1">
      <c r="C32" s="10"/>
      <c r="D32" s="26"/>
      <c r="E32" s="222"/>
      <c r="F32" s="222"/>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row>
    <row r="33" spans="2:32" ht="15" customHeight="1">
      <c r="C33" s="10"/>
      <c r="D33" s="26"/>
      <c r="E33" s="222"/>
      <c r="F33" s="222"/>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row>
    <row r="34" spans="2:32" ht="15" customHeight="1">
      <c r="C34" s="10"/>
      <c r="D34" s="26"/>
      <c r="E34" s="222"/>
      <c r="F34" s="222"/>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row>
    <row r="35" spans="2:32" ht="15" customHeight="1">
      <c r="C35" s="10"/>
      <c r="D35" s="26"/>
      <c r="E35" s="222"/>
      <c r="F35" s="222"/>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row>
    <row r="36" spans="2:32" ht="15" customHeight="1">
      <c r="C36" s="10"/>
      <c r="D36" s="26"/>
      <c r="E36" s="222"/>
      <c r="F36" s="222"/>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row>
    <row r="37" spans="2:32" ht="15" customHeight="1">
      <c r="C37" s="10"/>
      <c r="D37" s="26"/>
      <c r="E37" s="222"/>
      <c r="F37" s="222"/>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row>
    <row r="38" spans="2:32" ht="15" customHeight="1">
      <c r="C38" s="10"/>
    </row>
    <row r="39" spans="2:32" ht="15" customHeight="1">
      <c r="B39" s="322"/>
      <c r="C39" s="10"/>
      <c r="D39" s="26"/>
      <c r="E39" s="222"/>
      <c r="F39" s="222"/>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row>
    <row r="40" spans="2:32" ht="15" customHeight="1">
      <c r="C40" s="10"/>
      <c r="D40" s="26"/>
      <c r="E40" s="222"/>
      <c r="F40" s="222"/>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row>
    <row r="41" spans="2:32" ht="15" customHeight="1">
      <c r="C41" s="10"/>
      <c r="D41" s="26"/>
      <c r="E41" s="222"/>
      <c r="F41" s="222"/>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row>
    <row r="42" spans="2:32" ht="15" customHeight="1">
      <c r="C42" s="10"/>
      <c r="D42" s="26"/>
      <c r="E42" s="222"/>
      <c r="F42" s="222"/>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row>
    <row r="43" spans="2:32" ht="15" customHeight="1">
      <c r="C43" s="10"/>
      <c r="D43" s="26"/>
      <c r="E43" s="222"/>
      <c r="F43" s="222"/>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row>
    <row r="44" spans="2:32" ht="15" customHeight="1">
      <c r="C44" s="10"/>
      <c r="D44" s="26"/>
      <c r="E44" s="222"/>
      <c r="F44" s="222"/>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row>
    <row r="45" spans="2:32" ht="15" customHeight="1">
      <c r="C45" s="10"/>
      <c r="D45" s="26"/>
      <c r="E45" s="222"/>
      <c r="F45" s="222"/>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row>
    <row r="46" spans="2:32" ht="15" customHeight="1">
      <c r="C46" s="10"/>
      <c r="D46" s="26"/>
      <c r="E46" s="222"/>
      <c r="F46" s="222"/>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row>
    <row r="47" spans="2:32" ht="15" customHeight="1">
      <c r="C47" s="10"/>
      <c r="D47" s="26"/>
      <c r="E47" s="222"/>
      <c r="F47" s="222"/>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row>
    <row r="48" spans="2:32" ht="15" customHeight="1">
      <c r="C48" s="10"/>
      <c r="D48" s="26"/>
      <c r="E48" s="222"/>
      <c r="F48" s="222"/>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row>
    <row r="49" spans="3:32" ht="15" customHeight="1">
      <c r="C49" s="10"/>
      <c r="D49" s="26"/>
      <c r="E49" s="222"/>
      <c r="F49" s="222"/>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row>
    <row r="50" spans="3:32" ht="15" customHeight="1">
      <c r="C50" s="10"/>
      <c r="D50" s="26"/>
      <c r="E50" s="222"/>
      <c r="F50" s="222"/>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row>
    <row r="51" spans="3:32" ht="15" customHeight="1">
      <c r="C51" s="10"/>
      <c r="D51" s="26"/>
      <c r="E51" s="222"/>
      <c r="F51" s="222"/>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row>
    <row r="52" spans="3:32" ht="15" customHeight="1">
      <c r="C52" s="10"/>
      <c r="D52" s="26"/>
      <c r="E52" s="222"/>
      <c r="F52" s="222"/>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row>
    <row r="53" spans="3:32" ht="15" customHeight="1">
      <c r="C53" s="10"/>
      <c r="D53" s="26"/>
      <c r="E53" s="222"/>
      <c r="F53" s="222"/>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row>
    <row r="54" spans="3:32" ht="15" customHeight="1">
      <c r="C54" s="10"/>
      <c r="D54" s="26"/>
      <c r="E54" s="222"/>
      <c r="F54" s="222"/>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row>
    <row r="55" spans="3:32" ht="15" customHeight="1">
      <c r="C55" s="10"/>
      <c r="D55" s="26"/>
      <c r="E55" s="222"/>
      <c r="F55" s="222"/>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row>
    <row r="56" spans="3:32" ht="15" customHeight="1">
      <c r="C56" s="10"/>
      <c r="D56" s="26"/>
      <c r="E56" s="222"/>
      <c r="F56" s="222"/>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row>
    <row r="57" spans="3:32" ht="15" customHeight="1">
      <c r="C57" s="10"/>
      <c r="D57" s="26"/>
      <c r="E57" s="222"/>
      <c r="F57" s="222"/>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row>
    <row r="58" spans="3:32" ht="15" customHeight="1">
      <c r="C58" s="10"/>
      <c r="D58" s="26"/>
      <c r="E58" s="222"/>
      <c r="F58" s="222"/>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row>
    <row r="59" spans="3:32" ht="15" customHeight="1">
      <c r="C59" s="10"/>
      <c r="D59" s="26"/>
      <c r="E59" s="222"/>
      <c r="F59" s="222"/>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row>
    <row r="60" spans="3:32" ht="15" customHeight="1">
      <c r="C60" s="10"/>
      <c r="D60" s="26"/>
      <c r="E60" s="222"/>
      <c r="F60" s="222"/>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row>
    <row r="61" spans="3:32" ht="15" customHeight="1">
      <c r="C61" s="10"/>
      <c r="D61" s="26"/>
      <c r="E61" s="222"/>
      <c r="F61" s="222"/>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row>
    <row r="62" spans="3:32" ht="15" customHeight="1">
      <c r="C62" s="10"/>
      <c r="D62" s="26"/>
      <c r="E62" s="222"/>
      <c r="F62" s="222"/>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row>
    <row r="63" spans="3:32" ht="15" customHeight="1">
      <c r="C63" s="10"/>
      <c r="D63" s="26"/>
      <c r="E63" s="222"/>
      <c r="F63" s="222"/>
      <c r="G63" s="210"/>
      <c r="H63" s="210"/>
      <c r="I63" s="210"/>
      <c r="J63" s="210"/>
      <c r="K63" s="210"/>
      <c r="L63" s="210"/>
      <c r="M63" s="210"/>
      <c r="N63" s="210"/>
      <c r="O63" s="210"/>
      <c r="P63" s="210"/>
      <c r="Q63" s="210"/>
      <c r="R63" s="210"/>
      <c r="S63" s="210"/>
      <c r="T63" s="210"/>
      <c r="U63" s="210"/>
      <c r="V63" s="210"/>
      <c r="W63" s="210"/>
      <c r="X63" s="210"/>
      <c r="Y63" s="210"/>
      <c r="Z63" s="210"/>
      <c r="AA63" s="210"/>
      <c r="AB63" s="210"/>
      <c r="AC63" s="210"/>
      <c r="AD63" s="210"/>
      <c r="AE63" s="210"/>
      <c r="AF63" s="210"/>
    </row>
    <row r="64" spans="3:32" ht="15" customHeight="1">
      <c r="C64" s="10"/>
    </row>
    <row r="65" spans="2:32" ht="15" customHeight="1">
      <c r="B65" s="322"/>
      <c r="C65" s="10"/>
      <c r="D65" s="26"/>
      <c r="E65" s="222"/>
      <c r="F65" s="222"/>
      <c r="G65" s="210"/>
      <c r="H65" s="210"/>
      <c r="I65" s="210"/>
      <c r="J65" s="210"/>
      <c r="K65" s="210"/>
      <c r="L65" s="210"/>
      <c r="M65" s="210"/>
      <c r="N65" s="210"/>
      <c r="O65" s="210"/>
      <c r="P65" s="210"/>
      <c r="Q65" s="210"/>
      <c r="R65" s="210"/>
      <c r="S65" s="210"/>
      <c r="T65" s="210"/>
      <c r="U65" s="210"/>
      <c r="V65" s="210"/>
      <c r="W65" s="210"/>
      <c r="X65" s="210"/>
      <c r="Y65" s="210"/>
      <c r="Z65" s="210"/>
      <c r="AA65" s="210"/>
      <c r="AB65" s="210"/>
      <c r="AC65" s="210"/>
      <c r="AD65" s="210"/>
      <c r="AE65" s="210"/>
      <c r="AF65" s="210"/>
    </row>
    <row r="66" spans="2:32" ht="15" customHeight="1">
      <c r="C66" s="10"/>
      <c r="D66" s="26"/>
      <c r="E66" s="222"/>
      <c r="F66" s="222"/>
      <c r="G66" s="210"/>
      <c r="H66" s="210"/>
      <c r="I66" s="210"/>
      <c r="J66" s="210"/>
      <c r="K66" s="210"/>
      <c r="L66" s="210"/>
      <c r="M66" s="210"/>
      <c r="N66" s="210"/>
      <c r="O66" s="210"/>
      <c r="P66" s="210"/>
      <c r="Q66" s="210"/>
      <c r="R66" s="210"/>
      <c r="S66" s="210"/>
      <c r="T66" s="210"/>
      <c r="U66" s="210"/>
      <c r="V66" s="210"/>
      <c r="W66" s="210"/>
      <c r="X66" s="210"/>
      <c r="Y66" s="210"/>
      <c r="Z66" s="210"/>
      <c r="AA66" s="210"/>
      <c r="AB66" s="210"/>
      <c r="AC66" s="210"/>
      <c r="AD66" s="210"/>
      <c r="AE66" s="210"/>
      <c r="AF66" s="210"/>
    </row>
    <row r="67" spans="2:32" ht="15" customHeight="1">
      <c r="C67" s="10"/>
      <c r="D67" s="26"/>
      <c r="E67" s="222"/>
      <c r="F67" s="222"/>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row>
    <row r="68" spans="2:32" ht="15" customHeight="1">
      <c r="C68" s="10"/>
      <c r="D68" s="26"/>
      <c r="E68" s="222"/>
      <c r="F68" s="222"/>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c r="AE68" s="210"/>
      <c r="AF68" s="210"/>
    </row>
    <row r="69" spans="2:32" ht="15" customHeight="1">
      <c r="C69" s="10"/>
      <c r="D69" s="26"/>
      <c r="E69" s="222"/>
      <c r="F69" s="222"/>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row>
    <row r="70" spans="2:32" ht="15" customHeight="1">
      <c r="C70" s="10"/>
      <c r="D70" s="26"/>
      <c r="E70" s="222"/>
      <c r="F70" s="222"/>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row>
    <row r="71" spans="2:32" ht="15" customHeight="1">
      <c r="C71" s="10"/>
      <c r="D71" s="26"/>
      <c r="E71" s="222"/>
      <c r="F71" s="222"/>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row>
    <row r="72" spans="2:32" ht="15" customHeight="1">
      <c r="C72" s="10"/>
      <c r="D72" s="26"/>
      <c r="E72" s="222"/>
      <c r="F72" s="222"/>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row>
    <row r="73" spans="2:32" ht="15" customHeight="1">
      <c r="C73" s="10"/>
      <c r="D73" s="26"/>
      <c r="E73" s="222"/>
      <c r="F73" s="222"/>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row>
    <row r="74" spans="2:32" ht="15" customHeight="1">
      <c r="C74" s="10"/>
      <c r="D74" s="26"/>
      <c r="E74" s="222"/>
      <c r="F74" s="222"/>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row>
    <row r="75" spans="2:32" ht="15" customHeight="1">
      <c r="C75" s="10"/>
      <c r="D75" s="26"/>
      <c r="E75" s="222"/>
      <c r="F75" s="222"/>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row>
    <row r="76" spans="2:32" ht="15" customHeight="1">
      <c r="C76" s="10"/>
      <c r="D76" s="26"/>
      <c r="E76" s="222"/>
      <c r="F76" s="222"/>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row>
    <row r="77" spans="2:32" ht="15" customHeight="1">
      <c r="C77" s="10"/>
      <c r="D77" s="26"/>
      <c r="E77" s="222"/>
      <c r="F77" s="222"/>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row>
    <row r="78" spans="2:32" ht="15" customHeight="1">
      <c r="C78" s="10"/>
      <c r="D78" s="26"/>
      <c r="E78" s="222"/>
      <c r="F78" s="222"/>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row>
    <row r="79" spans="2:32" ht="15" customHeight="1">
      <c r="C79" s="10"/>
      <c r="D79" s="26"/>
      <c r="E79" s="222"/>
      <c r="F79" s="222"/>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row>
    <row r="80" spans="2:32" ht="15" customHeight="1">
      <c r="C80" s="10"/>
      <c r="D80" s="26"/>
      <c r="E80" s="222"/>
      <c r="F80" s="222"/>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row>
    <row r="81" spans="2:32" ht="15" customHeight="1">
      <c r="C81" s="10"/>
      <c r="D81" s="26"/>
      <c r="E81" s="222"/>
      <c r="F81" s="222"/>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row>
    <row r="82" spans="2:32" ht="15" customHeight="1">
      <c r="C82" s="10"/>
      <c r="D82" s="26"/>
      <c r="E82" s="222"/>
      <c r="F82" s="222"/>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row>
    <row r="83" spans="2:32" ht="15" customHeight="1">
      <c r="C83" s="10"/>
      <c r="D83" s="26"/>
      <c r="E83" s="222"/>
      <c r="F83" s="222"/>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row>
    <row r="84" spans="2:32" ht="15" customHeight="1">
      <c r="C84" s="10"/>
      <c r="D84" s="26"/>
      <c r="E84" s="222"/>
      <c r="F84" s="222"/>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row>
    <row r="85" spans="2:32" ht="15" customHeight="1">
      <c r="C85" s="10"/>
      <c r="D85" s="26"/>
      <c r="E85" s="222"/>
      <c r="F85" s="222"/>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row>
    <row r="86" spans="2:32" ht="15" customHeight="1">
      <c r="C86" s="10"/>
      <c r="D86" s="26"/>
      <c r="E86" s="222"/>
      <c r="F86" s="222"/>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row>
    <row r="87" spans="2:32" ht="15" customHeight="1">
      <c r="C87" s="10"/>
      <c r="D87" s="26"/>
      <c r="E87" s="222"/>
      <c r="F87" s="222"/>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row>
    <row r="88" spans="2:32" ht="15" customHeight="1">
      <c r="C88" s="10"/>
      <c r="D88" s="26"/>
      <c r="E88" s="222"/>
      <c r="F88" s="222"/>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row>
    <row r="89" spans="2:32" ht="15" customHeight="1">
      <c r="C89" s="10"/>
      <c r="D89" s="26"/>
      <c r="E89" s="222"/>
      <c r="F89" s="222"/>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row>
    <row r="90" spans="2:32" ht="15" customHeight="1">
      <c r="C90" s="10"/>
    </row>
    <row r="91" spans="2:32" ht="15" customHeight="1">
      <c r="B91" s="322"/>
      <c r="C91" s="10"/>
      <c r="D91" s="26"/>
      <c r="E91" s="222"/>
      <c r="F91" s="222"/>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row>
    <row r="92" spans="2:32" ht="15" customHeight="1">
      <c r="C92" s="10"/>
      <c r="D92" s="26"/>
      <c r="E92" s="222"/>
      <c r="F92" s="222"/>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row>
    <row r="93" spans="2:32" ht="15" customHeight="1">
      <c r="C93" s="10"/>
      <c r="D93" s="26"/>
      <c r="E93" s="222"/>
      <c r="F93" s="222"/>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row>
    <row r="94" spans="2:32" ht="15" customHeight="1">
      <c r="C94" s="10"/>
      <c r="D94" s="26"/>
      <c r="E94" s="222"/>
      <c r="F94" s="222"/>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row>
    <row r="95" spans="2:32" ht="15" customHeight="1">
      <c r="C95" s="10"/>
      <c r="D95" s="26"/>
      <c r="E95" s="222"/>
      <c r="F95" s="222"/>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row>
    <row r="96" spans="2:32" ht="15" customHeight="1">
      <c r="C96" s="10"/>
      <c r="D96" s="26"/>
      <c r="E96" s="222"/>
      <c r="F96" s="222"/>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row>
    <row r="97" spans="3:32" ht="15" customHeight="1">
      <c r="C97" s="10"/>
      <c r="D97" s="26"/>
      <c r="E97" s="222"/>
      <c r="F97" s="222"/>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row>
    <row r="98" spans="3:32" ht="15" customHeight="1">
      <c r="C98" s="10"/>
      <c r="D98" s="26"/>
      <c r="E98" s="222"/>
      <c r="F98" s="222"/>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row>
    <row r="99" spans="3:32" ht="15" customHeight="1">
      <c r="C99" s="10"/>
      <c r="D99" s="26"/>
      <c r="E99" s="222"/>
      <c r="F99" s="222"/>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row>
    <row r="100" spans="3:32" ht="15" customHeight="1">
      <c r="C100" s="10"/>
      <c r="D100" s="26"/>
      <c r="E100" s="222"/>
      <c r="F100" s="222"/>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row>
    <row r="101" spans="3:32" ht="15" customHeight="1">
      <c r="C101" s="10"/>
      <c r="D101" s="26"/>
      <c r="E101" s="222"/>
      <c r="F101" s="222"/>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row>
    <row r="102" spans="3:32" ht="15" customHeight="1">
      <c r="C102" s="10"/>
      <c r="D102" s="26"/>
      <c r="E102" s="222"/>
      <c r="F102" s="222"/>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row>
    <row r="103" spans="3:32" ht="15" customHeight="1">
      <c r="C103" s="10"/>
      <c r="D103" s="26"/>
      <c r="E103" s="222"/>
      <c r="F103" s="222"/>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row>
    <row r="104" spans="3:32" ht="15" customHeight="1">
      <c r="C104" s="10"/>
      <c r="D104" s="26"/>
      <c r="E104" s="222"/>
      <c r="F104" s="222"/>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row>
    <row r="105" spans="3:32" ht="15" customHeight="1">
      <c r="C105" s="10"/>
      <c r="D105" s="26"/>
      <c r="E105" s="222"/>
      <c r="F105" s="222"/>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row>
    <row r="106" spans="3:32" ht="15" customHeight="1">
      <c r="C106" s="10"/>
      <c r="D106" s="26"/>
      <c r="E106" s="222"/>
      <c r="F106" s="222"/>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row>
    <row r="107" spans="3:32" ht="15" customHeight="1">
      <c r="C107" s="10"/>
      <c r="D107" s="26"/>
      <c r="E107" s="222"/>
      <c r="F107" s="222"/>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row>
    <row r="108" spans="3:32" ht="15" customHeight="1">
      <c r="C108" s="10"/>
      <c r="D108" s="26"/>
      <c r="E108" s="222"/>
      <c r="F108" s="222"/>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row>
    <row r="109" spans="3:32" ht="15" customHeight="1">
      <c r="C109" s="10"/>
      <c r="D109" s="26"/>
      <c r="E109" s="222"/>
      <c r="F109" s="222"/>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row>
    <row r="110" spans="3:32" ht="15" customHeight="1">
      <c r="C110" s="10"/>
      <c r="D110" s="26"/>
      <c r="E110" s="222"/>
      <c r="F110" s="222"/>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row>
    <row r="111" spans="3:32" ht="15" customHeight="1">
      <c r="C111" s="10"/>
      <c r="D111" s="26"/>
      <c r="E111" s="222"/>
      <c r="F111" s="222"/>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row>
    <row r="112" spans="3:32" ht="15" customHeight="1">
      <c r="C112" s="10"/>
      <c r="D112" s="26"/>
      <c r="E112" s="222"/>
      <c r="F112" s="222"/>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row>
    <row r="113" spans="2:32" ht="15" customHeight="1">
      <c r="C113" s="10"/>
      <c r="D113" s="26"/>
      <c r="E113" s="222"/>
      <c r="F113" s="222"/>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row>
    <row r="114" spans="2:32" ht="15" customHeight="1">
      <c r="C114" s="10"/>
      <c r="D114" s="26"/>
      <c r="E114" s="222"/>
      <c r="F114" s="222"/>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row>
    <row r="115" spans="2:32" ht="15" customHeight="1">
      <c r="C115" s="10"/>
      <c r="D115" s="26"/>
      <c r="E115" s="222"/>
      <c r="F115" s="222"/>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row>
    <row r="116" spans="2:32" ht="15" customHeight="1">
      <c r="C116" s="10"/>
    </row>
    <row r="117" spans="2:32" ht="15" customHeight="1">
      <c r="B117" s="322"/>
      <c r="C117" s="10"/>
      <c r="D117" s="26"/>
      <c r="E117" s="222"/>
      <c r="F117" s="222"/>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row>
    <row r="118" spans="2:32" ht="15" customHeight="1">
      <c r="C118" s="10"/>
      <c r="D118" s="26"/>
      <c r="E118" s="222"/>
      <c r="F118" s="222"/>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row>
    <row r="119" spans="2:32" ht="15" customHeight="1">
      <c r="C119" s="10"/>
      <c r="D119" s="26"/>
      <c r="E119" s="222"/>
      <c r="F119" s="222"/>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row>
    <row r="120" spans="2:32" ht="15" customHeight="1">
      <c r="C120" s="10"/>
      <c r="D120" s="26"/>
      <c r="E120" s="222"/>
      <c r="F120" s="222"/>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row>
    <row r="121" spans="2:32" ht="15" customHeight="1">
      <c r="C121" s="10"/>
      <c r="D121" s="26"/>
      <c r="E121" s="222"/>
      <c r="F121" s="222"/>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row>
    <row r="122" spans="2:32" ht="15" customHeight="1">
      <c r="C122" s="10"/>
      <c r="D122" s="26"/>
      <c r="E122" s="222"/>
      <c r="F122" s="222"/>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row>
    <row r="123" spans="2:32" ht="15" customHeight="1">
      <c r="C123" s="10"/>
      <c r="D123" s="26"/>
      <c r="E123" s="222"/>
      <c r="F123" s="222"/>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row>
    <row r="124" spans="2:32" ht="15" customHeight="1">
      <c r="C124" s="10"/>
      <c r="D124" s="26"/>
      <c r="E124" s="222"/>
      <c r="F124" s="222"/>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row>
    <row r="125" spans="2:32" ht="15" customHeight="1">
      <c r="C125" s="10"/>
      <c r="D125" s="26"/>
      <c r="E125" s="222"/>
      <c r="F125" s="222"/>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row>
    <row r="126" spans="2:32" ht="15" customHeight="1">
      <c r="C126" s="10"/>
      <c r="D126" s="26"/>
      <c r="E126" s="222"/>
      <c r="F126" s="222"/>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row>
    <row r="127" spans="2:32" ht="15" customHeight="1">
      <c r="C127" s="10"/>
      <c r="D127" s="26"/>
      <c r="E127" s="222"/>
      <c r="F127" s="222"/>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row>
    <row r="128" spans="2:32" ht="15" customHeight="1">
      <c r="C128" s="10"/>
      <c r="D128" s="26"/>
      <c r="E128" s="222"/>
      <c r="F128" s="222"/>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row>
    <row r="129" spans="2:32" ht="15" customHeight="1">
      <c r="C129" s="10"/>
      <c r="D129" s="26"/>
      <c r="E129" s="222"/>
      <c r="F129" s="222"/>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row>
    <row r="130" spans="2:32" ht="15" customHeight="1">
      <c r="C130" s="10"/>
      <c r="D130" s="26"/>
      <c r="E130" s="222"/>
      <c r="F130" s="222"/>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row>
    <row r="131" spans="2:32" ht="15" customHeight="1">
      <c r="C131" s="10"/>
      <c r="D131" s="26"/>
      <c r="E131" s="222"/>
      <c r="F131" s="222"/>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row>
    <row r="132" spans="2:32" ht="15" customHeight="1">
      <c r="C132" s="10"/>
      <c r="D132" s="26"/>
      <c r="E132" s="222"/>
      <c r="F132" s="222"/>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row>
    <row r="133" spans="2:32" ht="15" customHeight="1">
      <c r="C133" s="10"/>
      <c r="D133" s="26"/>
      <c r="E133" s="222"/>
      <c r="F133" s="222"/>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row>
    <row r="134" spans="2:32" ht="15" customHeight="1">
      <c r="C134" s="10"/>
      <c r="D134" s="26"/>
      <c r="E134" s="222"/>
      <c r="F134" s="222"/>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row>
    <row r="135" spans="2:32" ht="15" customHeight="1">
      <c r="C135" s="10"/>
      <c r="D135" s="26"/>
      <c r="E135" s="222"/>
      <c r="F135" s="222"/>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row>
    <row r="136" spans="2:32" ht="15" customHeight="1">
      <c r="C136" s="10"/>
      <c r="D136" s="26"/>
      <c r="E136" s="222"/>
      <c r="F136" s="222"/>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row>
    <row r="137" spans="2:32" ht="15" customHeight="1">
      <c r="C137" s="10"/>
      <c r="D137" s="26"/>
      <c r="E137" s="222"/>
      <c r="F137" s="222"/>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row>
    <row r="138" spans="2:32" ht="15" customHeight="1">
      <c r="C138" s="10"/>
      <c r="D138" s="26"/>
      <c r="E138" s="222"/>
      <c r="F138" s="222"/>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row>
    <row r="139" spans="2:32" ht="15" customHeight="1">
      <c r="C139" s="10"/>
      <c r="D139" s="26"/>
      <c r="E139" s="222"/>
      <c r="F139" s="222"/>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row>
    <row r="140" spans="2:32" ht="15" customHeight="1">
      <c r="C140" s="10"/>
      <c r="D140" s="26"/>
      <c r="E140" s="222"/>
      <c r="F140" s="222"/>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row>
    <row r="141" spans="2:32" ht="15" customHeight="1">
      <c r="C141" s="10"/>
      <c r="D141" s="26"/>
      <c r="E141" s="222"/>
      <c r="F141" s="222"/>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row>
    <row r="142" spans="2:32" ht="15" customHeight="1">
      <c r="C142" s="10"/>
    </row>
    <row r="143" spans="2:32" ht="15" customHeight="1">
      <c r="B143" s="322"/>
      <c r="C143" s="10"/>
      <c r="D143" s="26"/>
      <c r="E143" s="222"/>
      <c r="F143" s="222"/>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row>
    <row r="144" spans="2:32" ht="15" customHeight="1">
      <c r="C144" s="10"/>
      <c r="D144" s="26"/>
      <c r="E144" s="222"/>
      <c r="F144" s="222"/>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row>
    <row r="145" spans="3:32" ht="15" customHeight="1">
      <c r="C145" s="10"/>
      <c r="D145" s="26"/>
      <c r="E145" s="222"/>
      <c r="F145" s="222"/>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row>
    <row r="146" spans="3:32" ht="15" customHeight="1">
      <c r="C146" s="10"/>
      <c r="D146" s="26"/>
      <c r="E146" s="222"/>
      <c r="F146" s="222"/>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row>
    <row r="147" spans="3:32" ht="15" customHeight="1">
      <c r="C147" s="10"/>
      <c r="D147" s="26"/>
      <c r="E147" s="222"/>
      <c r="F147" s="222"/>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row>
    <row r="148" spans="3:32" ht="15" customHeight="1">
      <c r="C148" s="10"/>
      <c r="D148" s="26"/>
      <c r="E148" s="222"/>
      <c r="F148" s="222"/>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row>
    <row r="149" spans="3:32" ht="15" customHeight="1">
      <c r="C149" s="10"/>
      <c r="D149" s="26"/>
      <c r="E149" s="222"/>
      <c r="F149" s="222"/>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row>
    <row r="150" spans="3:32" ht="15" customHeight="1">
      <c r="C150" s="10"/>
      <c r="D150" s="26"/>
      <c r="E150" s="222"/>
      <c r="F150" s="222"/>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row>
    <row r="151" spans="3:32" ht="15" customHeight="1">
      <c r="C151" s="10"/>
      <c r="D151" s="26"/>
      <c r="E151" s="222"/>
      <c r="F151" s="222"/>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row>
    <row r="152" spans="3:32" ht="15" customHeight="1">
      <c r="C152" s="10"/>
      <c r="D152" s="26"/>
      <c r="E152" s="222"/>
      <c r="F152" s="222"/>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row>
    <row r="153" spans="3:32" ht="15" customHeight="1">
      <c r="C153" s="10"/>
      <c r="D153" s="26"/>
      <c r="E153" s="222"/>
      <c r="F153" s="222"/>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row>
    <row r="154" spans="3:32" ht="15" customHeight="1">
      <c r="C154" s="10"/>
      <c r="D154" s="26"/>
      <c r="E154" s="222"/>
      <c r="F154" s="222"/>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row>
    <row r="155" spans="3:32" ht="15" customHeight="1">
      <c r="C155" s="10"/>
      <c r="D155" s="26"/>
      <c r="E155" s="222"/>
      <c r="F155" s="222"/>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row>
    <row r="156" spans="3:32" ht="15" customHeight="1">
      <c r="C156" s="10"/>
      <c r="D156" s="26"/>
      <c r="E156" s="222"/>
      <c r="F156" s="222"/>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row>
    <row r="157" spans="3:32" ht="15" customHeight="1">
      <c r="C157" s="10"/>
      <c r="D157" s="26"/>
      <c r="E157" s="222"/>
      <c r="F157" s="222"/>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row>
    <row r="158" spans="3:32" ht="15" customHeight="1">
      <c r="C158" s="10"/>
      <c r="D158" s="26"/>
      <c r="E158" s="222"/>
      <c r="F158" s="222"/>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row>
    <row r="159" spans="3:32" ht="15" customHeight="1">
      <c r="C159" s="10"/>
      <c r="D159" s="26"/>
      <c r="E159" s="222"/>
      <c r="F159" s="222"/>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row>
    <row r="160" spans="3:32" ht="15" customHeight="1">
      <c r="C160" s="10"/>
      <c r="D160" s="26"/>
      <c r="E160" s="222"/>
      <c r="F160" s="222"/>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row>
    <row r="161" spans="2:32" ht="15" customHeight="1">
      <c r="C161" s="10"/>
      <c r="D161" s="26"/>
      <c r="E161" s="222"/>
      <c r="F161" s="222"/>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row>
    <row r="162" spans="2:32" ht="15" customHeight="1">
      <c r="C162" s="10"/>
      <c r="D162" s="26"/>
      <c r="E162" s="222"/>
      <c r="F162" s="222"/>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row>
    <row r="163" spans="2:32" ht="15" customHeight="1">
      <c r="C163" s="10"/>
      <c r="D163" s="26"/>
      <c r="E163" s="222"/>
      <c r="F163" s="222"/>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row>
    <row r="164" spans="2:32" ht="15" customHeight="1">
      <c r="C164" s="10"/>
      <c r="D164" s="26"/>
      <c r="E164" s="222"/>
      <c r="F164" s="222"/>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row>
    <row r="165" spans="2:32" ht="15" customHeight="1">
      <c r="C165" s="10"/>
      <c r="D165" s="26"/>
      <c r="E165" s="222"/>
      <c r="F165" s="222"/>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row>
    <row r="166" spans="2:32" ht="15" customHeight="1">
      <c r="C166" s="10"/>
      <c r="D166" s="26"/>
      <c r="E166" s="222"/>
      <c r="F166" s="222"/>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row>
    <row r="167" spans="2:32" ht="15" customHeight="1">
      <c r="C167" s="10"/>
      <c r="D167" s="26"/>
      <c r="E167" s="222"/>
      <c r="F167" s="222"/>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row>
    <row r="168" spans="2:32" ht="15" customHeight="1">
      <c r="C168" s="10"/>
    </row>
    <row r="169" spans="2:32" ht="15" customHeight="1">
      <c r="B169" s="322"/>
      <c r="C169" s="10"/>
      <c r="D169" s="26"/>
      <c r="E169" s="222"/>
      <c r="F169" s="222"/>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row>
    <row r="170" spans="2:32" ht="15" customHeight="1">
      <c r="C170" s="10"/>
      <c r="D170" s="26"/>
      <c r="E170" s="222"/>
      <c r="F170" s="222"/>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row>
    <row r="171" spans="2:32" ht="15" customHeight="1">
      <c r="C171" s="10"/>
      <c r="D171" s="26"/>
      <c r="E171" s="222"/>
      <c r="F171" s="222"/>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row>
    <row r="172" spans="2:32" ht="15" customHeight="1">
      <c r="C172" s="10"/>
      <c r="D172" s="26"/>
      <c r="E172" s="222"/>
      <c r="F172" s="222"/>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row>
    <row r="173" spans="2:32" ht="15" customHeight="1">
      <c r="C173" s="10"/>
      <c r="D173" s="26"/>
      <c r="E173" s="222"/>
      <c r="F173" s="222"/>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row>
    <row r="174" spans="2:32" ht="15" customHeight="1">
      <c r="C174" s="10"/>
      <c r="D174" s="26"/>
      <c r="E174" s="222"/>
      <c r="F174" s="222"/>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row>
    <row r="175" spans="2:32" ht="15" customHeight="1">
      <c r="C175" s="10"/>
      <c r="D175" s="26"/>
      <c r="E175" s="222"/>
      <c r="F175" s="222"/>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row>
    <row r="176" spans="2:32" ht="15" customHeight="1">
      <c r="C176" s="10"/>
      <c r="D176" s="26"/>
      <c r="E176" s="222"/>
      <c r="F176" s="222"/>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row>
    <row r="177" spans="3:32" ht="15" customHeight="1">
      <c r="C177" s="10"/>
      <c r="D177" s="26"/>
      <c r="E177" s="222"/>
      <c r="F177" s="222"/>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row>
    <row r="178" spans="3:32" ht="15" customHeight="1">
      <c r="C178" s="10"/>
      <c r="D178" s="26"/>
      <c r="E178" s="222"/>
      <c r="F178" s="222"/>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row>
    <row r="179" spans="3:32" ht="15" customHeight="1">
      <c r="C179" s="10"/>
      <c r="D179" s="26"/>
      <c r="E179" s="222"/>
      <c r="F179" s="222"/>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row>
    <row r="180" spans="3:32" ht="15" customHeight="1">
      <c r="C180" s="10"/>
      <c r="D180" s="26"/>
      <c r="E180" s="222"/>
      <c r="F180" s="222"/>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row>
    <row r="181" spans="3:32" ht="15" customHeight="1">
      <c r="C181" s="10"/>
      <c r="D181" s="26"/>
      <c r="E181" s="222"/>
      <c r="F181" s="222"/>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row>
    <row r="182" spans="3:32" ht="15" customHeight="1">
      <c r="C182" s="10"/>
      <c r="D182" s="26"/>
      <c r="E182" s="222"/>
      <c r="F182" s="222"/>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row>
    <row r="183" spans="3:32" ht="15" customHeight="1">
      <c r="C183" s="10"/>
      <c r="D183" s="26"/>
      <c r="E183" s="222"/>
      <c r="F183" s="222"/>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row>
    <row r="184" spans="3:32" ht="15" customHeight="1">
      <c r="C184" s="10"/>
      <c r="D184" s="26"/>
      <c r="E184" s="222"/>
      <c r="F184" s="222"/>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row>
    <row r="185" spans="3:32" ht="15" customHeight="1">
      <c r="C185" s="10"/>
      <c r="D185" s="26"/>
      <c r="E185" s="222"/>
      <c r="F185" s="222"/>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row>
    <row r="186" spans="3:32" ht="15" customHeight="1">
      <c r="C186" s="10"/>
      <c r="D186" s="26"/>
      <c r="E186" s="222"/>
      <c r="F186" s="222"/>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row>
    <row r="187" spans="3:32" ht="15" customHeight="1">
      <c r="C187" s="10"/>
      <c r="D187" s="26"/>
      <c r="E187" s="222"/>
      <c r="F187" s="222"/>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row>
    <row r="188" spans="3:32" ht="15" customHeight="1">
      <c r="C188" s="10"/>
      <c r="D188" s="26"/>
      <c r="E188" s="222"/>
      <c r="F188" s="222"/>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row>
    <row r="189" spans="3:32" ht="15" customHeight="1">
      <c r="C189" s="10"/>
      <c r="D189" s="26"/>
      <c r="E189" s="222"/>
      <c r="F189" s="222"/>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row>
    <row r="190" spans="3:32" ht="15" customHeight="1">
      <c r="C190" s="10"/>
      <c r="D190" s="26"/>
      <c r="E190" s="222"/>
      <c r="F190" s="222"/>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row>
    <row r="191" spans="3:32" ht="15" customHeight="1">
      <c r="C191" s="10"/>
      <c r="D191" s="26"/>
      <c r="E191" s="222"/>
      <c r="F191" s="222"/>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row>
    <row r="192" spans="3:32" ht="15" customHeight="1">
      <c r="C192" s="10"/>
      <c r="D192" s="26"/>
      <c r="E192" s="222"/>
      <c r="F192" s="222"/>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row>
    <row r="193" spans="3:32" ht="15" customHeight="1">
      <c r="C193" s="10"/>
      <c r="D193" s="26"/>
      <c r="E193" s="222"/>
      <c r="F193" s="222"/>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row>
    <row r="194" spans="3:32" ht="15" customHeight="1"/>
    <row r="195" spans="3:32" ht="15" customHeight="1"/>
    <row r="196" spans="3:32" ht="15" customHeight="1"/>
    <row r="197" spans="3:32" ht="15" customHeight="1"/>
    <row r="198" spans="3:32" ht="15" customHeight="1"/>
    <row r="199" spans="3:32" ht="15" customHeight="1"/>
    <row r="200" spans="3:32" ht="15" customHeight="1"/>
    <row r="201" spans="3:32" ht="15" customHeight="1"/>
    <row r="202" spans="3:32" ht="15" customHeight="1"/>
    <row r="203" spans="3:32" ht="15" customHeight="1"/>
    <row r="204" spans="3:32" ht="15" customHeight="1"/>
    <row r="205" spans="3:32" ht="15" customHeight="1"/>
    <row r="206" spans="3:32" ht="15" customHeight="1"/>
    <row r="207" spans="3:32" ht="15" customHeight="1"/>
    <row r="208" spans="3:32"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sheetData>
  <sheetProtection algorithmName="SHA-512" hashValue="dX0/gstn4VqMPm9F8JxColOym2q8+345Zdpq89Qhdc/i4jAh+EK7j2nb076gWPHsCblicWhl0SU4W6jpXAl+Fg==" saltValue="tcc09EyteyupbPT01C9BQw==" spinCount="100000" sheet="1" objects="1" scenarios="1"/>
  <hyperlinks>
    <hyperlink ref="A1" location="'Start-Experte'!A1" display="zurück" xr:uid="{00000000-0004-0000-3800-000000000000}"/>
  </hyperlinks>
  <pageMargins left="0.78740157480314965" right="0.78740157480314965" top="0.98425196850393704" bottom="0.98425196850393704" header="0.59055118110236227" footer="0.59055118110236227"/>
  <pageSetup paperSize="9" scale="58" orientation="landscape" horizontalDpi="4294967293" verticalDpi="1200" r:id="rId1"/>
  <headerFooter scaleWithDoc="0">
    <oddHeader>&amp;C&amp;"Arial,Fett"&amp;18EEG Calculator</oddHeader>
    <oddFooter>&amp;LDatendokumentation&amp;C&amp;F  &amp;A  Seite &amp;P/&amp;N&amp;R&amp;D  &amp;T</oddFooter>
  </headerFooter>
  <rowBreaks count="3" manualBreakCount="3">
    <brk id="38" max="16383" man="1"/>
    <brk id="90" max="16383" man="1"/>
    <brk id="142" max="16383" man="1"/>
  </rowBreaks>
  <extLst>
    <ext xmlns:x14="http://schemas.microsoft.com/office/spreadsheetml/2009/9/main" uri="{78C0D931-6437-407d-A8EE-F0AAD7539E65}">
      <x14:conditionalFormattings>
        <x14:conditionalFormatting xmlns:xm="http://schemas.microsoft.com/office/excel/2006/main">
          <x14:cfRule type="cellIs" priority="1" operator="greaterThan" id="{6E8C1CC7-F903-418C-B39A-00236C8CB9EC}">
            <xm:f>ControlPanel!$D$59-1</xm:f>
            <x14:dxf>
              <font>
                <color rgb="FF9C6500"/>
              </font>
              <fill>
                <patternFill>
                  <fgColor indexed="64"/>
                  <bgColor rgb="FFFFEB9C"/>
                </patternFill>
              </fill>
            </x14:dxf>
          </x14:cfRule>
          <x14:cfRule type="cellIs" priority="2" operator="lessThan" id="{D5524D53-0481-4742-BC9C-CB71178EFE78}">
            <xm:f>ControlPanel!$D$59</xm:f>
            <x14:dxf>
              <font>
                <color rgb="FF006100"/>
              </font>
              <fill>
                <patternFill>
                  <fgColor indexed="64"/>
                  <bgColor rgb="FFC6EFCE"/>
                </patternFill>
              </fill>
            </x14:dxf>
          </x14:cfRule>
          <x14:cfRule type="cellIs" priority="3" operator="lessThan" id="{49BEE16C-49AC-49CA-89F0-DACE229A25C9}">
            <xm:f>ControlPanel!$D$59+1</xm:f>
            <x14:dxf>
              <font>
                <color rgb="FF006100"/>
              </font>
              <fill>
                <patternFill>
                  <fgColor indexed="64"/>
                  <bgColor rgb="FFC6EFCE"/>
                </patternFill>
              </fill>
            </x14:dxf>
          </x14:cfRule>
          <xm:sqref>G4:AF4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5"/>
    <pageSetUpPr fitToPage="1"/>
  </sheetPr>
  <dimension ref="A1:AE125"/>
  <sheetViews>
    <sheetView workbookViewId="0"/>
  </sheetViews>
  <sheetFormatPr baseColWidth="10" defaultColWidth="11.42578125" defaultRowHeight="12.75"/>
  <cols>
    <col min="1" max="1" width="3.28515625" style="141" customWidth="1"/>
    <col min="2" max="2" width="21.140625" style="141" customWidth="1"/>
    <col min="3" max="8" width="11.42578125" style="141"/>
    <col min="9" max="9" width="4.140625" style="141" customWidth="1"/>
    <col min="10" max="10" width="64.28515625" style="141" bestFit="1" customWidth="1"/>
    <col min="11" max="16384" width="11.42578125" style="141"/>
  </cols>
  <sheetData>
    <row r="1" spans="1:31" ht="16.5" customHeight="1">
      <c r="A1" s="857" t="s">
        <v>183</v>
      </c>
      <c r="B1" s="857"/>
      <c r="C1" s="857"/>
      <c r="D1" s="857"/>
      <c r="E1" s="857"/>
      <c r="F1" s="857"/>
      <c r="G1" s="857"/>
      <c r="H1" s="857"/>
      <c r="I1" s="857"/>
      <c r="J1" s="857"/>
      <c r="K1" s="857"/>
      <c r="L1" s="857"/>
      <c r="M1" s="857"/>
      <c r="N1" s="857"/>
      <c r="O1" s="857"/>
      <c r="P1" s="857"/>
      <c r="Q1" s="857"/>
      <c r="R1" s="857"/>
      <c r="S1" s="857"/>
      <c r="T1" s="857"/>
      <c r="U1" s="857"/>
      <c r="V1" s="857"/>
      <c r="W1" s="857"/>
      <c r="X1" s="857"/>
      <c r="Y1" s="857"/>
      <c r="Z1" s="857"/>
      <c r="AA1" s="857"/>
      <c r="AB1" s="857"/>
      <c r="AC1" s="857"/>
      <c r="AD1" s="857"/>
      <c r="AE1" s="857"/>
    </row>
    <row r="2" spans="1:31" ht="94.5" customHeight="1">
      <c r="A2" s="857"/>
      <c r="B2" s="455"/>
      <c r="C2" s="456"/>
      <c r="D2" s="456"/>
      <c r="E2" s="456"/>
      <c r="F2" s="456"/>
      <c r="G2" s="456"/>
      <c r="H2" s="456"/>
      <c r="I2" s="456"/>
      <c r="J2" s="456"/>
      <c r="K2" s="456"/>
      <c r="L2" s="456"/>
      <c r="M2" s="456"/>
      <c r="N2" s="456"/>
      <c r="O2" s="457"/>
      <c r="P2" s="857"/>
      <c r="Q2" s="857"/>
      <c r="R2" s="857"/>
      <c r="S2" s="857"/>
      <c r="T2" s="857"/>
      <c r="U2" s="857"/>
      <c r="V2" s="857"/>
      <c r="W2" s="857"/>
      <c r="X2" s="857"/>
      <c r="Y2" s="857"/>
      <c r="Z2" s="857"/>
      <c r="AA2" s="857"/>
      <c r="AB2" s="857"/>
      <c r="AC2" s="857"/>
      <c r="AD2" s="857"/>
      <c r="AE2" s="857"/>
    </row>
    <row r="3" spans="1:31">
      <c r="A3" s="857"/>
      <c r="B3" s="458"/>
      <c r="C3" s="459"/>
      <c r="D3" s="459"/>
      <c r="E3" s="459"/>
      <c r="F3" s="459"/>
      <c r="G3" s="459"/>
      <c r="H3" s="459"/>
      <c r="I3" s="459"/>
      <c r="J3" s="459"/>
      <c r="K3" s="459"/>
      <c r="L3" s="459"/>
      <c r="M3" s="459"/>
      <c r="N3" s="459"/>
      <c r="O3" s="460"/>
      <c r="P3" s="857"/>
      <c r="Q3" s="857"/>
      <c r="R3" s="857"/>
      <c r="S3" s="857"/>
      <c r="T3" s="857"/>
      <c r="U3" s="857"/>
      <c r="V3" s="857"/>
      <c r="W3" s="857"/>
      <c r="X3" s="857"/>
      <c r="Y3" s="857"/>
      <c r="Z3" s="857"/>
      <c r="AA3" s="857"/>
      <c r="AB3" s="857"/>
      <c r="AC3" s="857"/>
      <c r="AD3" s="857"/>
      <c r="AE3" s="857"/>
    </row>
    <row r="4" spans="1:31" ht="15.75">
      <c r="A4" s="857"/>
      <c r="B4" s="461" t="s">
        <v>232</v>
      </c>
      <c r="C4" s="459"/>
      <c r="D4" s="459"/>
      <c r="E4" s="459"/>
      <c r="F4" s="459"/>
      <c r="G4" s="459"/>
      <c r="H4" s="459"/>
      <c r="I4" s="459"/>
      <c r="J4" s="459"/>
      <c r="K4" s="459"/>
      <c r="L4" s="459"/>
      <c r="M4" s="459"/>
      <c r="N4" s="459"/>
      <c r="O4" s="460"/>
      <c r="P4" s="857"/>
      <c r="Q4" s="857"/>
      <c r="R4" s="857"/>
      <c r="S4" s="857"/>
      <c r="T4" s="857"/>
      <c r="U4" s="857"/>
      <c r="V4" s="857"/>
      <c r="W4" s="857"/>
      <c r="X4" s="857"/>
      <c r="Y4" s="857"/>
      <c r="Z4" s="857"/>
      <c r="AA4" s="857"/>
      <c r="AB4" s="857"/>
      <c r="AC4" s="857"/>
      <c r="AD4" s="857"/>
      <c r="AE4" s="857"/>
    </row>
    <row r="5" spans="1:31">
      <c r="A5" s="857"/>
      <c r="B5" s="458"/>
      <c r="C5" s="459"/>
      <c r="D5" s="459"/>
      <c r="E5" s="459"/>
      <c r="F5" s="459"/>
      <c r="G5" s="459"/>
      <c r="H5" s="459"/>
      <c r="I5" s="459"/>
      <c r="J5" s="459"/>
      <c r="K5" s="459"/>
      <c r="L5" s="459"/>
      <c r="M5" s="459"/>
      <c r="N5" s="459"/>
      <c r="O5" s="460"/>
      <c r="P5" s="857"/>
      <c r="Q5" s="857"/>
      <c r="R5" s="857"/>
      <c r="S5" s="857"/>
      <c r="T5" s="857"/>
      <c r="U5" s="857"/>
      <c r="V5" s="857"/>
      <c r="W5" s="857"/>
      <c r="X5" s="857"/>
      <c r="Y5" s="857"/>
      <c r="Z5" s="857"/>
      <c r="AA5" s="857"/>
      <c r="AB5" s="857"/>
      <c r="AC5" s="857"/>
      <c r="AD5" s="857"/>
      <c r="AE5" s="857"/>
    </row>
    <row r="6" spans="1:31">
      <c r="A6" s="857"/>
      <c r="B6" s="462" t="s">
        <v>193</v>
      </c>
      <c r="C6" s="463" t="s">
        <v>188</v>
      </c>
      <c r="D6" s="459"/>
      <c r="E6" s="459"/>
      <c r="F6" s="459"/>
      <c r="G6" s="459"/>
      <c r="H6" s="463" t="s">
        <v>195</v>
      </c>
      <c r="I6" s="459"/>
      <c r="J6" s="463" t="s">
        <v>191</v>
      </c>
      <c r="K6" s="459"/>
      <c r="L6" s="459"/>
      <c r="M6" s="459"/>
      <c r="N6" s="459"/>
      <c r="O6" s="460"/>
      <c r="P6" s="857"/>
      <c r="Q6" s="857"/>
      <c r="R6" s="857"/>
      <c r="S6" s="857"/>
      <c r="T6" s="857"/>
      <c r="U6" s="857"/>
      <c r="V6" s="857"/>
      <c r="W6" s="857"/>
      <c r="X6" s="857"/>
      <c r="Y6" s="857"/>
      <c r="Z6" s="857"/>
      <c r="AA6" s="857"/>
      <c r="AB6" s="857"/>
      <c r="AC6" s="857"/>
      <c r="AD6" s="857"/>
      <c r="AE6" s="857"/>
    </row>
    <row r="7" spans="1:31">
      <c r="A7" s="857"/>
      <c r="B7" s="462"/>
      <c r="C7" s="464" t="s">
        <v>198</v>
      </c>
      <c r="D7" s="459"/>
      <c r="E7" s="459"/>
      <c r="F7" s="459"/>
      <c r="G7" s="459"/>
      <c r="H7" s="459"/>
      <c r="I7" s="459"/>
      <c r="J7" s="1149" t="s">
        <v>821</v>
      </c>
      <c r="K7" s="459"/>
      <c r="L7" s="459"/>
      <c r="M7" s="459"/>
      <c r="N7" s="459"/>
      <c r="O7" s="460"/>
      <c r="P7" s="857"/>
      <c r="Q7" s="857"/>
      <c r="R7" s="857"/>
      <c r="S7" s="857"/>
      <c r="T7" s="857"/>
      <c r="U7" s="857"/>
      <c r="V7" s="857"/>
      <c r="W7" s="857"/>
      <c r="X7" s="857"/>
      <c r="Y7" s="857"/>
      <c r="Z7" s="857"/>
      <c r="AA7" s="857"/>
      <c r="AB7" s="857"/>
      <c r="AC7" s="857"/>
      <c r="AD7" s="857"/>
      <c r="AE7" s="857"/>
    </row>
    <row r="8" spans="1:31">
      <c r="A8" s="857"/>
      <c r="B8" s="458"/>
      <c r="C8" s="463" t="s">
        <v>199</v>
      </c>
      <c r="D8" s="459"/>
      <c r="E8" s="459"/>
      <c r="F8" s="459"/>
      <c r="G8" s="459"/>
      <c r="H8" s="459"/>
      <c r="I8" s="459"/>
      <c r="J8" s="459" t="s">
        <v>196</v>
      </c>
      <c r="K8" s="459"/>
      <c r="L8" s="459"/>
      <c r="M8" s="459"/>
      <c r="N8" s="459"/>
      <c r="O8" s="460"/>
      <c r="P8" s="857"/>
      <c r="Q8" s="857"/>
      <c r="R8" s="857"/>
      <c r="S8" s="857"/>
      <c r="T8" s="857"/>
      <c r="U8" s="857"/>
      <c r="V8" s="857"/>
      <c r="W8" s="857"/>
      <c r="X8" s="857"/>
      <c r="Y8" s="857"/>
      <c r="Z8" s="857"/>
      <c r="AA8" s="857"/>
      <c r="AB8" s="857"/>
      <c r="AC8" s="857"/>
      <c r="AD8" s="857"/>
      <c r="AE8" s="857"/>
    </row>
    <row r="9" spans="1:31">
      <c r="A9" s="857"/>
      <c r="B9" s="462"/>
      <c r="C9" s="126" t="s">
        <v>200</v>
      </c>
      <c r="F9" s="459"/>
      <c r="G9" s="459"/>
      <c r="H9" s="459"/>
      <c r="I9" s="459"/>
      <c r="J9" s="126" t="s">
        <v>197</v>
      </c>
      <c r="K9" s="459"/>
      <c r="L9" s="459"/>
      <c r="M9" s="459"/>
      <c r="N9" s="459"/>
      <c r="O9" s="460"/>
      <c r="P9" s="857"/>
      <c r="Q9" s="857"/>
      <c r="R9" s="857"/>
      <c r="S9" s="857"/>
      <c r="T9" s="857"/>
      <c r="U9" s="857"/>
      <c r="V9" s="857"/>
      <c r="W9" s="857"/>
      <c r="X9" s="857"/>
      <c r="Y9" s="857"/>
      <c r="Z9" s="857"/>
      <c r="AA9" s="857"/>
      <c r="AB9" s="857"/>
      <c r="AC9" s="857"/>
      <c r="AD9" s="857"/>
      <c r="AE9" s="857"/>
    </row>
    <row r="10" spans="1:31">
      <c r="A10" s="857"/>
      <c r="B10" s="458"/>
      <c r="C10" s="463"/>
      <c r="F10" s="459"/>
      <c r="G10" s="459"/>
      <c r="H10" s="459"/>
      <c r="I10" s="459"/>
      <c r="J10" s="459"/>
      <c r="K10" s="459"/>
      <c r="L10" s="459"/>
      <c r="M10" s="459"/>
      <c r="N10" s="459"/>
      <c r="O10" s="460"/>
      <c r="P10" s="857"/>
      <c r="Q10" s="857"/>
      <c r="R10" s="857"/>
      <c r="S10" s="857"/>
      <c r="T10" s="857"/>
      <c r="U10" s="857"/>
      <c r="V10" s="857"/>
      <c r="W10" s="857"/>
      <c r="X10" s="857"/>
      <c r="Y10" s="857"/>
      <c r="Z10" s="857"/>
      <c r="AA10" s="857"/>
      <c r="AB10" s="857"/>
      <c r="AC10" s="857"/>
      <c r="AD10" s="857"/>
      <c r="AE10" s="857"/>
    </row>
    <row r="11" spans="1:31">
      <c r="A11" s="857"/>
      <c r="B11" s="462" t="s">
        <v>189</v>
      </c>
      <c r="C11" s="463" t="s">
        <v>21</v>
      </c>
      <c r="D11" s="459"/>
      <c r="F11" s="459"/>
      <c r="G11" s="459"/>
      <c r="H11" s="463"/>
      <c r="I11" s="459"/>
      <c r="J11" s="463"/>
      <c r="K11" s="459"/>
      <c r="L11" s="459"/>
      <c r="M11" s="459"/>
      <c r="N11" s="459"/>
      <c r="O11" s="460"/>
      <c r="P11" s="857"/>
      <c r="Q11" s="857"/>
      <c r="R11" s="857"/>
      <c r="S11" s="857"/>
      <c r="T11" s="857"/>
      <c r="U11" s="857"/>
      <c r="V11" s="857"/>
      <c r="W11" s="857"/>
      <c r="X11" s="857"/>
      <c r="Y11" s="857"/>
      <c r="Z11" s="857"/>
      <c r="AA11" s="857"/>
      <c r="AB11" s="857"/>
      <c r="AC11" s="857"/>
      <c r="AD11" s="857"/>
      <c r="AE11" s="857"/>
    </row>
    <row r="12" spans="1:31">
      <c r="A12" s="857"/>
      <c r="B12" s="458"/>
      <c r="C12" s="463" t="s">
        <v>363</v>
      </c>
      <c r="D12" s="459"/>
      <c r="F12" s="459"/>
      <c r="G12" s="459"/>
      <c r="H12" s="463"/>
      <c r="I12" s="459"/>
      <c r="J12" s="463"/>
      <c r="K12" s="459"/>
      <c r="L12" s="459"/>
      <c r="M12" s="459"/>
      <c r="N12" s="459"/>
      <c r="O12" s="460"/>
      <c r="P12" s="857"/>
      <c r="Q12" s="857"/>
      <c r="R12" s="857"/>
      <c r="S12" s="857"/>
      <c r="T12" s="857"/>
      <c r="U12" s="857"/>
      <c r="V12" s="857"/>
      <c r="W12" s="857"/>
      <c r="X12" s="857"/>
      <c r="Y12" s="857"/>
      <c r="Z12" s="857"/>
      <c r="AA12" s="857"/>
      <c r="AB12" s="857"/>
      <c r="AC12" s="857"/>
      <c r="AD12" s="857"/>
      <c r="AE12" s="857"/>
    </row>
    <row r="13" spans="1:31">
      <c r="A13" s="857"/>
      <c r="B13" s="458"/>
      <c r="C13" s="463" t="s">
        <v>190</v>
      </c>
      <c r="D13" s="459"/>
      <c r="F13" s="459"/>
      <c r="G13" s="459"/>
      <c r="H13" s="463"/>
      <c r="I13" s="459"/>
      <c r="J13" s="463"/>
      <c r="K13" s="459"/>
      <c r="L13" s="459"/>
      <c r="M13" s="459"/>
      <c r="N13" s="459"/>
      <c r="O13" s="460"/>
      <c r="P13" s="857"/>
      <c r="Q13" s="857"/>
      <c r="R13" s="857"/>
      <c r="S13" s="857"/>
      <c r="T13" s="857"/>
      <c r="U13" s="857"/>
      <c r="V13" s="857"/>
      <c r="W13" s="857"/>
      <c r="X13" s="857"/>
      <c r="Y13" s="857"/>
      <c r="Z13" s="857"/>
      <c r="AA13" s="857"/>
      <c r="AB13" s="857"/>
      <c r="AC13" s="857"/>
      <c r="AD13" s="857"/>
      <c r="AE13" s="857"/>
    </row>
    <row r="14" spans="1:31">
      <c r="A14" s="857"/>
      <c r="B14" s="458"/>
      <c r="C14" s="463" t="s">
        <v>5</v>
      </c>
      <c r="D14" s="459"/>
      <c r="F14" s="459"/>
      <c r="G14" s="459"/>
      <c r="H14" s="463" t="s">
        <v>207</v>
      </c>
      <c r="I14" s="459"/>
      <c r="J14" s="463"/>
      <c r="K14" s="459"/>
      <c r="L14" s="459"/>
      <c r="M14" s="459"/>
      <c r="N14" s="459"/>
      <c r="O14" s="460"/>
      <c r="P14" s="857"/>
      <c r="Q14" s="857"/>
      <c r="R14" s="857"/>
      <c r="S14" s="857"/>
      <c r="T14" s="857"/>
      <c r="U14" s="857"/>
      <c r="V14" s="857"/>
      <c r="W14" s="857"/>
      <c r="X14" s="857"/>
      <c r="Y14" s="857"/>
      <c r="Z14" s="857"/>
      <c r="AA14" s="857"/>
      <c r="AB14" s="857"/>
      <c r="AC14" s="857"/>
      <c r="AD14" s="857"/>
      <c r="AE14" s="857"/>
    </row>
    <row r="15" spans="1:31">
      <c r="A15" s="857"/>
      <c r="B15" s="458"/>
      <c r="C15" s="464"/>
      <c r="D15" s="459"/>
      <c r="F15" s="459"/>
      <c r="G15" s="459"/>
      <c r="H15" s="463" t="s">
        <v>208</v>
      </c>
      <c r="I15" s="459"/>
      <c r="J15" s="463"/>
      <c r="K15" s="459"/>
      <c r="L15" s="459"/>
      <c r="M15" s="459"/>
      <c r="N15" s="459"/>
      <c r="O15" s="460"/>
      <c r="P15" s="857"/>
      <c r="Q15" s="857"/>
      <c r="R15" s="857"/>
      <c r="S15" s="857"/>
      <c r="T15" s="857"/>
      <c r="U15" s="857"/>
      <c r="V15" s="857"/>
      <c r="W15" s="857"/>
      <c r="X15" s="857"/>
      <c r="Y15" s="857"/>
      <c r="Z15" s="857"/>
      <c r="AA15" s="857"/>
      <c r="AB15" s="857"/>
      <c r="AC15" s="857"/>
      <c r="AD15" s="857"/>
      <c r="AE15" s="857"/>
    </row>
    <row r="16" spans="1:31">
      <c r="A16" s="857"/>
      <c r="B16" s="462" t="s">
        <v>742</v>
      </c>
      <c r="C16" s="1290">
        <v>44488</v>
      </c>
      <c r="D16" s="459"/>
      <c r="F16" s="459"/>
      <c r="G16" s="459"/>
      <c r="H16" s="463"/>
      <c r="I16" s="459"/>
      <c r="J16" s="463"/>
      <c r="K16" s="459"/>
      <c r="L16" s="459"/>
      <c r="M16" s="459"/>
      <c r="N16" s="459"/>
      <c r="O16" s="460"/>
      <c r="P16" s="857"/>
      <c r="Q16" s="857"/>
      <c r="R16" s="857"/>
      <c r="S16" s="857"/>
      <c r="T16" s="857"/>
      <c r="U16" s="857"/>
      <c r="V16" s="857"/>
      <c r="W16" s="857"/>
      <c r="X16" s="857"/>
      <c r="Y16" s="857"/>
      <c r="Z16" s="857"/>
      <c r="AA16" s="857"/>
      <c r="AB16" s="857"/>
      <c r="AC16" s="857"/>
      <c r="AD16" s="857"/>
      <c r="AE16" s="857"/>
    </row>
    <row r="17" spans="1:31">
      <c r="A17" s="857"/>
      <c r="B17" s="462" t="s">
        <v>192</v>
      </c>
      <c r="C17" s="465" t="s">
        <v>1053</v>
      </c>
      <c r="D17" s="459"/>
      <c r="F17" s="459"/>
      <c r="G17" s="459"/>
      <c r="H17" s="463" t="s">
        <v>205</v>
      </c>
      <c r="I17" s="459"/>
      <c r="J17" s="463" t="s">
        <v>936</v>
      </c>
      <c r="K17" s="459"/>
      <c r="L17" s="459"/>
      <c r="M17" s="459"/>
      <c r="N17" s="459"/>
      <c r="O17" s="460"/>
      <c r="P17" s="857"/>
      <c r="Q17" s="857"/>
      <c r="R17" s="857"/>
      <c r="S17" s="857"/>
      <c r="T17" s="857"/>
      <c r="U17" s="857"/>
      <c r="V17" s="857"/>
      <c r="W17" s="857"/>
      <c r="X17" s="857"/>
      <c r="Y17" s="857"/>
      <c r="Z17" s="857"/>
      <c r="AA17" s="857"/>
      <c r="AB17" s="857"/>
      <c r="AC17" s="857"/>
      <c r="AD17" s="857"/>
      <c r="AE17" s="857"/>
    </row>
    <row r="18" spans="1:31">
      <c r="A18" s="857"/>
      <c r="B18" s="458"/>
      <c r="C18" s="459"/>
      <c r="D18" s="459"/>
      <c r="F18" s="459"/>
      <c r="G18" s="459"/>
      <c r="H18" s="459"/>
      <c r="I18" s="459"/>
      <c r="J18" s="463" t="s">
        <v>206</v>
      </c>
      <c r="K18" s="459"/>
      <c r="L18" s="459"/>
      <c r="M18" s="459"/>
      <c r="N18" s="459"/>
      <c r="O18" s="460"/>
      <c r="P18" s="857"/>
      <c r="Q18" s="857"/>
      <c r="R18" s="857"/>
      <c r="S18" s="857"/>
      <c r="T18" s="857"/>
      <c r="U18" s="857"/>
      <c r="V18" s="857"/>
      <c r="W18" s="857"/>
      <c r="X18" s="857"/>
      <c r="Y18" s="857"/>
      <c r="Z18" s="857"/>
      <c r="AA18" s="857"/>
      <c r="AB18" s="857"/>
      <c r="AC18" s="857"/>
      <c r="AD18" s="857"/>
      <c r="AE18" s="857"/>
    </row>
    <row r="19" spans="1:31">
      <c r="A19" s="857"/>
      <c r="B19" s="462" t="s">
        <v>194</v>
      </c>
      <c r="C19" s="126" t="s">
        <v>201</v>
      </c>
      <c r="D19" s="459"/>
      <c r="F19" s="459"/>
      <c r="G19" s="459"/>
      <c r="H19" s="459"/>
      <c r="I19" s="459"/>
      <c r="J19" s="463" t="str">
        <f>CONCATENATE("Modellversion ",C17,", Berlin, ",TEXT(C16,"TT.MM.JJJJ"))</f>
        <v>Modellversion 4.3.6, Berlin, 19.10.2021</v>
      </c>
      <c r="K19" s="459"/>
      <c r="L19" s="459"/>
      <c r="M19" s="459"/>
      <c r="N19" s="459"/>
      <c r="O19" s="460"/>
      <c r="P19" s="857"/>
      <c r="Q19" s="857"/>
      <c r="R19" s="857"/>
      <c r="S19" s="857"/>
      <c r="T19" s="857"/>
      <c r="U19" s="857"/>
      <c r="V19" s="857"/>
      <c r="W19" s="857"/>
      <c r="X19" s="857"/>
      <c r="Y19" s="857"/>
      <c r="Z19" s="857"/>
      <c r="AA19" s="857"/>
      <c r="AB19" s="857"/>
      <c r="AC19" s="857"/>
      <c r="AD19" s="857"/>
      <c r="AE19" s="857"/>
    </row>
    <row r="20" spans="1:31">
      <c r="A20" s="857"/>
      <c r="B20" s="466"/>
      <c r="C20" s="467"/>
      <c r="D20" s="467"/>
      <c r="E20" s="467"/>
      <c r="F20" s="467"/>
      <c r="G20" s="467"/>
      <c r="H20" s="467"/>
      <c r="I20" s="467"/>
      <c r="J20" s="467"/>
      <c r="K20" s="467"/>
      <c r="L20" s="467"/>
      <c r="M20" s="467"/>
      <c r="N20" s="467"/>
      <c r="O20" s="468"/>
      <c r="P20" s="857"/>
      <c r="Q20" s="857"/>
      <c r="R20" s="857"/>
      <c r="S20" s="857"/>
      <c r="T20" s="857"/>
      <c r="U20" s="857"/>
      <c r="V20" s="857"/>
      <c r="W20" s="857"/>
      <c r="X20" s="857"/>
      <c r="Y20" s="857"/>
      <c r="Z20" s="857"/>
      <c r="AA20" s="857"/>
      <c r="AB20" s="857"/>
      <c r="AC20" s="857"/>
      <c r="AD20" s="857"/>
      <c r="AE20" s="857"/>
    </row>
    <row r="21" spans="1:31">
      <c r="A21" s="857"/>
      <c r="B21" s="857"/>
      <c r="C21" s="857"/>
      <c r="D21" s="857"/>
      <c r="E21" s="857"/>
      <c r="F21" s="857"/>
      <c r="G21" s="857"/>
      <c r="H21" s="857"/>
      <c r="I21" s="857"/>
      <c r="J21" s="857"/>
      <c r="K21" s="857"/>
      <c r="L21" s="857"/>
      <c r="M21" s="857"/>
      <c r="N21" s="857"/>
      <c r="O21" s="857"/>
      <c r="P21" s="857"/>
      <c r="Q21" s="857"/>
      <c r="R21" s="857"/>
      <c r="S21" s="857"/>
      <c r="T21" s="857"/>
      <c r="U21" s="857"/>
      <c r="V21" s="857"/>
      <c r="W21" s="857"/>
      <c r="X21" s="857"/>
      <c r="Y21" s="857"/>
      <c r="Z21" s="857"/>
      <c r="AA21" s="857"/>
      <c r="AB21" s="857"/>
      <c r="AC21" s="857"/>
      <c r="AD21" s="857"/>
      <c r="AE21" s="857"/>
    </row>
    <row r="22" spans="1:31">
      <c r="A22" s="857"/>
      <c r="B22" s="857"/>
      <c r="C22" s="857"/>
      <c r="D22" s="857"/>
      <c r="E22" s="857"/>
      <c r="F22" s="857"/>
      <c r="G22" s="857"/>
      <c r="H22" s="857"/>
      <c r="I22" s="857"/>
      <c r="J22" s="857"/>
      <c r="K22" s="857"/>
      <c r="L22" s="857"/>
      <c r="M22" s="857"/>
      <c r="N22" s="857"/>
      <c r="O22" s="857"/>
      <c r="P22" s="857"/>
      <c r="Q22" s="857"/>
      <c r="R22" s="857"/>
      <c r="S22" s="857"/>
      <c r="T22" s="857"/>
      <c r="U22" s="857"/>
      <c r="V22" s="857"/>
      <c r="W22" s="857"/>
      <c r="X22" s="857"/>
      <c r="Y22" s="857"/>
      <c r="Z22" s="857"/>
      <c r="AA22" s="857"/>
      <c r="AB22" s="857"/>
      <c r="AC22" s="857"/>
      <c r="AD22" s="857"/>
      <c r="AE22" s="857"/>
    </row>
    <row r="23" spans="1:31">
      <c r="A23" s="857"/>
      <c r="B23" s="857"/>
      <c r="C23" s="857"/>
      <c r="D23" s="857"/>
      <c r="E23" s="857"/>
      <c r="F23" s="857"/>
      <c r="G23" s="857"/>
      <c r="H23" s="857"/>
      <c r="I23" s="857"/>
      <c r="J23" s="857"/>
      <c r="K23" s="857"/>
      <c r="L23" s="857"/>
      <c r="M23" s="857"/>
      <c r="N23" s="857"/>
      <c r="O23" s="857"/>
      <c r="P23" s="857"/>
      <c r="Q23" s="857"/>
      <c r="R23" s="857"/>
      <c r="S23" s="857"/>
      <c r="T23" s="857"/>
      <c r="U23" s="857"/>
      <c r="V23" s="857"/>
      <c r="W23" s="857"/>
      <c r="X23" s="857"/>
      <c r="Y23" s="857"/>
      <c r="Z23" s="857"/>
      <c r="AA23" s="857"/>
      <c r="AB23" s="857"/>
      <c r="AC23" s="857"/>
      <c r="AD23" s="857"/>
      <c r="AE23" s="857"/>
    </row>
    <row r="24" spans="1:31">
      <c r="A24" s="857"/>
      <c r="B24" s="857"/>
      <c r="C24" s="857"/>
      <c r="D24" s="857"/>
      <c r="E24" s="857"/>
      <c r="F24" s="857"/>
      <c r="G24" s="857"/>
      <c r="H24" s="857"/>
      <c r="I24" s="857"/>
      <c r="J24" s="857"/>
      <c r="K24" s="857"/>
      <c r="L24" s="857"/>
      <c r="M24" s="857"/>
      <c r="N24" s="857"/>
      <c r="O24" s="857"/>
      <c r="P24" s="857"/>
      <c r="Q24" s="857"/>
      <c r="R24" s="857"/>
      <c r="S24" s="857"/>
      <c r="T24" s="857"/>
      <c r="U24" s="857"/>
      <c r="V24" s="857"/>
      <c r="W24" s="857"/>
      <c r="X24" s="857"/>
      <c r="Y24" s="857"/>
      <c r="Z24" s="857"/>
      <c r="AA24" s="857"/>
      <c r="AB24" s="857"/>
      <c r="AC24" s="857"/>
      <c r="AD24" s="857"/>
      <c r="AE24" s="857"/>
    </row>
    <row r="25" spans="1:31">
      <c r="A25" s="857"/>
      <c r="B25" s="857"/>
      <c r="C25" s="857"/>
      <c r="D25" s="857"/>
      <c r="E25" s="857"/>
      <c r="F25" s="857"/>
      <c r="G25" s="857"/>
      <c r="H25" s="857"/>
      <c r="I25" s="857"/>
      <c r="J25" s="857"/>
      <c r="K25" s="857"/>
      <c r="L25" s="857"/>
      <c r="M25" s="857"/>
      <c r="N25" s="857"/>
      <c r="O25" s="857"/>
      <c r="P25" s="857"/>
      <c r="Q25" s="857"/>
      <c r="R25" s="857"/>
      <c r="S25" s="857"/>
      <c r="T25" s="857"/>
      <c r="U25" s="857"/>
      <c r="V25" s="857"/>
      <c r="W25" s="857"/>
      <c r="X25" s="857"/>
      <c r="Y25" s="857"/>
      <c r="Z25" s="857"/>
      <c r="AA25" s="857"/>
      <c r="AB25" s="857"/>
      <c r="AC25" s="857"/>
      <c r="AD25" s="857"/>
      <c r="AE25" s="857"/>
    </row>
    <row r="26" spans="1:31">
      <c r="A26" s="857"/>
      <c r="B26" s="857"/>
      <c r="C26" s="857"/>
      <c r="D26" s="857"/>
      <c r="E26" s="857"/>
      <c r="F26" s="857"/>
      <c r="G26" s="857"/>
      <c r="H26" s="857"/>
      <c r="I26" s="857"/>
      <c r="J26" s="857"/>
      <c r="K26" s="857"/>
      <c r="L26" s="857"/>
      <c r="M26" s="857"/>
      <c r="N26" s="857"/>
      <c r="O26" s="857"/>
      <c r="P26" s="857"/>
      <c r="Q26" s="857"/>
      <c r="R26" s="857"/>
      <c r="S26" s="857"/>
      <c r="T26" s="857"/>
      <c r="U26" s="857"/>
      <c r="V26" s="857"/>
      <c r="W26" s="857"/>
      <c r="X26" s="857"/>
      <c r="Y26" s="857"/>
      <c r="Z26" s="857"/>
      <c r="AA26" s="857"/>
      <c r="AB26" s="857"/>
      <c r="AC26" s="857"/>
      <c r="AD26" s="857"/>
      <c r="AE26" s="857"/>
    </row>
    <row r="27" spans="1:31">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c r="AA27" s="857"/>
      <c r="AB27" s="857"/>
      <c r="AC27" s="857"/>
      <c r="AD27" s="857"/>
      <c r="AE27" s="857"/>
    </row>
    <row r="28" spans="1:31">
      <c r="A28" s="857"/>
      <c r="B28" s="857"/>
      <c r="C28" s="857"/>
      <c r="D28" s="857"/>
      <c r="E28" s="857"/>
      <c r="F28" s="857"/>
      <c r="G28" s="857"/>
      <c r="H28" s="857"/>
      <c r="I28" s="857"/>
      <c r="J28" s="857"/>
      <c r="K28" s="857"/>
      <c r="L28" s="857"/>
      <c r="M28" s="857"/>
      <c r="N28" s="857"/>
      <c r="O28" s="857"/>
      <c r="P28" s="857"/>
      <c r="Q28" s="857"/>
      <c r="R28" s="857"/>
      <c r="S28" s="857"/>
      <c r="T28" s="857"/>
      <c r="U28" s="857"/>
      <c r="V28" s="857"/>
      <c r="W28" s="857"/>
      <c r="X28" s="857"/>
      <c r="Y28" s="857"/>
      <c r="Z28" s="857"/>
      <c r="AA28" s="857"/>
      <c r="AB28" s="857"/>
      <c r="AC28" s="857"/>
      <c r="AD28" s="857"/>
      <c r="AE28" s="857"/>
    </row>
    <row r="29" spans="1:31">
      <c r="A29" s="857"/>
      <c r="B29" s="857"/>
      <c r="C29" s="857"/>
      <c r="D29" s="857"/>
      <c r="E29" s="857"/>
      <c r="F29" s="857"/>
      <c r="G29" s="857"/>
      <c r="H29" s="857"/>
      <c r="I29" s="857"/>
      <c r="J29" s="857"/>
      <c r="K29" s="857"/>
      <c r="L29" s="857"/>
      <c r="M29" s="857"/>
      <c r="N29" s="857"/>
      <c r="O29" s="857"/>
      <c r="P29" s="857"/>
      <c r="Q29" s="857"/>
      <c r="R29" s="857"/>
      <c r="S29" s="857"/>
      <c r="T29" s="857"/>
      <c r="U29" s="857"/>
      <c r="V29" s="857"/>
      <c r="W29" s="857"/>
      <c r="X29" s="857"/>
      <c r="Y29" s="857"/>
      <c r="Z29" s="857"/>
      <c r="AA29" s="857"/>
      <c r="AB29" s="857"/>
      <c r="AC29" s="857"/>
      <c r="AD29" s="857"/>
      <c r="AE29" s="857"/>
    </row>
    <row r="30" spans="1:31">
      <c r="A30" s="857"/>
      <c r="B30" s="857"/>
      <c r="C30" s="857"/>
      <c r="D30" s="857"/>
      <c r="E30" s="857"/>
      <c r="F30" s="857"/>
      <c r="G30" s="857"/>
      <c r="H30" s="857"/>
      <c r="I30" s="857"/>
      <c r="J30" s="857"/>
      <c r="K30" s="857"/>
      <c r="L30" s="857"/>
      <c r="M30" s="857"/>
      <c r="N30" s="857"/>
      <c r="O30" s="857"/>
      <c r="P30" s="857"/>
      <c r="Q30" s="857"/>
      <c r="R30" s="857"/>
      <c r="S30" s="857"/>
      <c r="T30" s="857"/>
      <c r="U30" s="857"/>
      <c r="V30" s="857"/>
      <c r="W30" s="857"/>
      <c r="X30" s="857"/>
      <c r="Y30" s="857"/>
      <c r="Z30" s="857"/>
      <c r="AA30" s="857"/>
      <c r="AB30" s="857"/>
      <c r="AC30" s="857"/>
      <c r="AD30" s="857"/>
      <c r="AE30" s="857"/>
    </row>
    <row r="31" spans="1:31">
      <c r="A31" s="857"/>
      <c r="B31" s="857"/>
      <c r="C31" s="857"/>
      <c r="D31" s="857"/>
      <c r="E31" s="857"/>
      <c r="F31" s="857"/>
      <c r="G31" s="857"/>
      <c r="H31" s="857"/>
      <c r="I31" s="857"/>
      <c r="J31" s="857"/>
      <c r="K31" s="857"/>
      <c r="L31" s="857"/>
      <c r="M31" s="857"/>
      <c r="N31" s="857"/>
      <c r="O31" s="857"/>
      <c r="P31" s="857"/>
      <c r="Q31" s="857"/>
      <c r="R31" s="857"/>
      <c r="S31" s="857"/>
      <c r="T31" s="857"/>
      <c r="U31" s="857"/>
      <c r="V31" s="857"/>
      <c r="W31" s="857"/>
      <c r="X31" s="857"/>
      <c r="Y31" s="857"/>
      <c r="Z31" s="857"/>
      <c r="AA31" s="857"/>
      <c r="AB31" s="857"/>
      <c r="AC31" s="857"/>
      <c r="AD31" s="857"/>
      <c r="AE31" s="857"/>
    </row>
    <row r="32" spans="1:31">
      <c r="A32" s="857"/>
      <c r="B32" s="857"/>
      <c r="C32" s="857"/>
      <c r="D32" s="857"/>
      <c r="E32" s="857"/>
      <c r="F32" s="857"/>
      <c r="G32" s="857"/>
      <c r="H32" s="857"/>
      <c r="I32" s="857"/>
      <c r="J32" s="857"/>
      <c r="K32" s="857"/>
      <c r="L32" s="857"/>
      <c r="M32" s="857"/>
      <c r="N32" s="857"/>
      <c r="O32" s="857"/>
      <c r="P32" s="857"/>
      <c r="Q32" s="857"/>
      <c r="R32" s="857"/>
      <c r="S32" s="857"/>
      <c r="T32" s="857"/>
      <c r="U32" s="857"/>
      <c r="V32" s="857"/>
      <c r="W32" s="857"/>
      <c r="X32" s="857"/>
      <c r="Y32" s="857"/>
      <c r="Z32" s="857"/>
      <c r="AA32" s="857"/>
      <c r="AB32" s="857"/>
      <c r="AC32" s="857"/>
      <c r="AD32" s="857"/>
      <c r="AE32" s="857"/>
    </row>
    <row r="33" spans="1:31">
      <c r="A33" s="857"/>
      <c r="B33" s="857"/>
      <c r="C33" s="857"/>
      <c r="D33" s="857"/>
      <c r="E33" s="857"/>
      <c r="F33" s="857"/>
      <c r="G33" s="857"/>
      <c r="H33" s="857"/>
      <c r="I33" s="857"/>
      <c r="J33" s="857"/>
      <c r="K33" s="857"/>
      <c r="L33" s="857"/>
      <c r="M33" s="857"/>
      <c r="N33" s="857"/>
      <c r="O33" s="857"/>
      <c r="P33" s="857"/>
      <c r="Q33" s="857"/>
      <c r="R33" s="857"/>
      <c r="S33" s="857"/>
      <c r="T33" s="857"/>
      <c r="U33" s="857"/>
      <c r="V33" s="857"/>
      <c r="W33" s="857"/>
      <c r="X33" s="857"/>
      <c r="Y33" s="857"/>
      <c r="Z33" s="857"/>
      <c r="AA33" s="857"/>
      <c r="AB33" s="857"/>
      <c r="AC33" s="857"/>
      <c r="AD33" s="857"/>
      <c r="AE33" s="857"/>
    </row>
    <row r="34" spans="1:31">
      <c r="A34" s="857"/>
      <c r="B34" s="857"/>
      <c r="C34" s="857"/>
      <c r="D34" s="857"/>
      <c r="E34" s="857"/>
      <c r="F34" s="857"/>
      <c r="G34" s="857"/>
      <c r="H34" s="857"/>
      <c r="I34" s="857"/>
      <c r="J34" s="857"/>
      <c r="K34" s="857"/>
      <c r="L34" s="857"/>
      <c r="M34" s="857"/>
      <c r="N34" s="857"/>
      <c r="O34" s="857"/>
      <c r="P34" s="857"/>
      <c r="Q34" s="857"/>
      <c r="R34" s="857"/>
      <c r="S34" s="857"/>
      <c r="T34" s="857"/>
      <c r="U34" s="857"/>
      <c r="V34" s="857"/>
      <c r="W34" s="857"/>
      <c r="X34" s="857"/>
      <c r="Y34" s="857"/>
      <c r="Z34" s="857"/>
      <c r="AA34" s="857"/>
      <c r="AB34" s="857"/>
      <c r="AC34" s="857"/>
      <c r="AD34" s="857"/>
      <c r="AE34" s="857"/>
    </row>
    <row r="35" spans="1:31">
      <c r="A35" s="857"/>
      <c r="B35" s="857"/>
      <c r="C35" s="857"/>
      <c r="D35" s="857"/>
      <c r="E35" s="857"/>
      <c r="F35" s="857"/>
      <c r="G35" s="857"/>
      <c r="H35" s="857"/>
      <c r="I35" s="857"/>
      <c r="J35" s="857"/>
      <c r="K35" s="857"/>
      <c r="L35" s="857"/>
      <c r="M35" s="857"/>
      <c r="N35" s="857"/>
      <c r="O35" s="857"/>
      <c r="P35" s="857"/>
      <c r="Q35" s="857"/>
      <c r="R35" s="857"/>
      <c r="S35" s="857"/>
      <c r="T35" s="857"/>
      <c r="U35" s="857"/>
      <c r="V35" s="857"/>
      <c r="W35" s="857"/>
      <c r="X35" s="857"/>
      <c r="Y35" s="857"/>
      <c r="Z35" s="857"/>
      <c r="AA35" s="857"/>
      <c r="AB35" s="857"/>
      <c r="AC35" s="857"/>
      <c r="AD35" s="857"/>
      <c r="AE35" s="857"/>
    </row>
    <row r="36" spans="1:31">
      <c r="A36" s="857"/>
      <c r="B36" s="857"/>
      <c r="C36" s="857"/>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57"/>
      <c r="AB36" s="857"/>
      <c r="AC36" s="857"/>
      <c r="AD36" s="857"/>
      <c r="AE36" s="857"/>
    </row>
    <row r="37" spans="1:31">
      <c r="A37" s="857"/>
      <c r="B37" s="857"/>
      <c r="C37" s="857"/>
      <c r="D37" s="857"/>
      <c r="E37" s="857"/>
      <c r="F37" s="857"/>
      <c r="G37" s="857"/>
      <c r="H37" s="857"/>
      <c r="I37" s="857"/>
      <c r="J37" s="857"/>
      <c r="K37" s="857"/>
      <c r="L37" s="857"/>
      <c r="M37" s="857"/>
      <c r="N37" s="857"/>
      <c r="O37" s="857"/>
      <c r="P37" s="857"/>
      <c r="Q37" s="857"/>
      <c r="R37" s="857"/>
      <c r="S37" s="857"/>
      <c r="T37" s="857"/>
      <c r="U37" s="857"/>
      <c r="V37" s="857"/>
      <c r="W37" s="857"/>
      <c r="X37" s="857"/>
      <c r="Y37" s="857"/>
      <c r="Z37" s="857"/>
      <c r="AA37" s="857"/>
      <c r="AB37" s="857"/>
      <c r="AC37" s="857"/>
      <c r="AD37" s="857"/>
      <c r="AE37" s="857"/>
    </row>
    <row r="38" spans="1:31">
      <c r="A38" s="857"/>
      <c r="B38" s="857"/>
      <c r="C38" s="857"/>
      <c r="D38" s="857"/>
      <c r="E38" s="857"/>
      <c r="F38" s="857"/>
      <c r="G38" s="857"/>
      <c r="H38" s="857"/>
      <c r="I38" s="857"/>
      <c r="J38" s="857"/>
      <c r="K38" s="857"/>
      <c r="L38" s="857"/>
      <c r="M38" s="857"/>
      <c r="N38" s="857"/>
      <c r="O38" s="857"/>
      <c r="P38" s="857"/>
      <c r="Q38" s="857"/>
      <c r="R38" s="857"/>
      <c r="S38" s="857"/>
      <c r="T38" s="857"/>
      <c r="U38" s="857"/>
      <c r="V38" s="857"/>
      <c r="W38" s="857"/>
      <c r="X38" s="857"/>
      <c r="Y38" s="857"/>
      <c r="Z38" s="857"/>
      <c r="AA38" s="857"/>
      <c r="AB38" s="857"/>
      <c r="AC38" s="857"/>
      <c r="AD38" s="857"/>
      <c r="AE38" s="857"/>
    </row>
    <row r="39" spans="1:31">
      <c r="A39" s="857"/>
      <c r="B39" s="857"/>
      <c r="C39" s="857"/>
      <c r="D39" s="857"/>
      <c r="E39" s="857"/>
      <c r="F39" s="857"/>
      <c r="G39" s="857"/>
      <c r="H39" s="857"/>
      <c r="I39" s="857"/>
      <c r="J39" s="857"/>
      <c r="K39" s="857"/>
      <c r="L39" s="857"/>
      <c r="M39" s="857"/>
      <c r="N39" s="857"/>
      <c r="O39" s="857"/>
      <c r="P39" s="857"/>
      <c r="Q39" s="857"/>
      <c r="R39" s="857"/>
      <c r="S39" s="857"/>
      <c r="T39" s="857"/>
      <c r="U39" s="857"/>
      <c r="V39" s="857"/>
      <c r="W39" s="857"/>
      <c r="X39" s="857"/>
      <c r="Y39" s="857"/>
      <c r="Z39" s="857"/>
      <c r="AA39" s="857"/>
      <c r="AB39" s="857"/>
      <c r="AC39" s="857"/>
      <c r="AD39" s="857"/>
      <c r="AE39" s="857"/>
    </row>
    <row r="40" spans="1:31">
      <c r="A40" s="857"/>
      <c r="B40" s="857"/>
      <c r="C40" s="857"/>
      <c r="D40" s="857"/>
      <c r="E40" s="857"/>
      <c r="F40" s="857"/>
      <c r="G40" s="857"/>
      <c r="H40" s="857"/>
      <c r="I40" s="857"/>
      <c r="J40" s="857"/>
      <c r="K40" s="857"/>
      <c r="L40" s="857"/>
      <c r="M40" s="857"/>
      <c r="N40" s="857"/>
      <c r="O40" s="857"/>
      <c r="P40" s="857"/>
      <c r="Q40" s="857"/>
      <c r="R40" s="857"/>
      <c r="S40" s="857"/>
      <c r="T40" s="857"/>
      <c r="U40" s="857"/>
      <c r="V40" s="857"/>
      <c r="W40" s="857"/>
      <c r="X40" s="857"/>
      <c r="Y40" s="857"/>
      <c r="Z40" s="857"/>
      <c r="AA40" s="857"/>
      <c r="AB40" s="857"/>
      <c r="AC40" s="857"/>
      <c r="AD40" s="857"/>
      <c r="AE40" s="857"/>
    </row>
    <row r="41" spans="1:31">
      <c r="A41" s="857"/>
      <c r="B41" s="857"/>
      <c r="C41" s="857"/>
      <c r="D41" s="857"/>
      <c r="E41" s="857"/>
      <c r="F41" s="857"/>
      <c r="G41" s="857"/>
      <c r="H41" s="857"/>
      <c r="I41" s="857"/>
      <c r="J41" s="857"/>
      <c r="K41" s="857"/>
      <c r="L41" s="857"/>
      <c r="M41" s="857"/>
      <c r="N41" s="857"/>
      <c r="O41" s="857"/>
      <c r="P41" s="857"/>
      <c r="Q41" s="857"/>
      <c r="R41" s="857"/>
      <c r="S41" s="857"/>
      <c r="T41" s="857"/>
      <c r="U41" s="857"/>
      <c r="V41" s="857"/>
      <c r="W41" s="857"/>
      <c r="X41" s="857"/>
      <c r="Y41" s="857"/>
      <c r="Z41" s="857"/>
      <c r="AA41" s="857"/>
      <c r="AB41" s="857"/>
      <c r="AC41" s="857"/>
      <c r="AD41" s="857"/>
      <c r="AE41" s="857"/>
    </row>
    <row r="42" spans="1:31">
      <c r="A42" s="857"/>
      <c r="B42" s="857"/>
      <c r="C42" s="857"/>
      <c r="D42" s="857"/>
      <c r="E42" s="857"/>
      <c r="F42" s="857"/>
      <c r="G42" s="857"/>
      <c r="H42" s="857"/>
      <c r="I42" s="857"/>
      <c r="J42" s="857"/>
      <c r="K42" s="857"/>
      <c r="L42" s="857"/>
      <c r="M42" s="857"/>
      <c r="N42" s="857"/>
      <c r="O42" s="857"/>
      <c r="P42" s="857"/>
      <c r="Q42" s="857"/>
      <c r="R42" s="857"/>
      <c r="S42" s="857"/>
      <c r="T42" s="857"/>
      <c r="U42" s="857"/>
      <c r="V42" s="857"/>
      <c r="W42" s="857"/>
      <c r="X42" s="857"/>
      <c r="Y42" s="857"/>
      <c r="Z42" s="857"/>
      <c r="AA42" s="857"/>
      <c r="AB42" s="857"/>
      <c r="AC42" s="857"/>
      <c r="AD42" s="857"/>
      <c r="AE42" s="857"/>
    </row>
    <row r="43" spans="1:31">
      <c r="A43" s="857"/>
      <c r="B43" s="857"/>
      <c r="C43" s="857"/>
      <c r="D43" s="857"/>
      <c r="E43" s="857"/>
      <c r="F43" s="857"/>
      <c r="G43" s="857"/>
      <c r="H43" s="857"/>
      <c r="I43" s="857"/>
      <c r="J43" s="857"/>
      <c r="K43" s="857"/>
      <c r="L43" s="857"/>
      <c r="M43" s="857"/>
      <c r="N43" s="857"/>
      <c r="O43" s="857"/>
      <c r="P43" s="857"/>
      <c r="Q43" s="857"/>
      <c r="R43" s="857"/>
      <c r="S43" s="857"/>
      <c r="T43" s="857"/>
      <c r="U43" s="857"/>
      <c r="V43" s="857"/>
      <c r="W43" s="857"/>
      <c r="X43" s="857"/>
      <c r="Y43" s="857"/>
      <c r="Z43" s="857"/>
      <c r="AA43" s="857"/>
      <c r="AB43" s="857"/>
      <c r="AC43" s="857"/>
      <c r="AD43" s="857"/>
      <c r="AE43" s="857"/>
    </row>
    <row r="44" spans="1:31">
      <c r="A44" s="857"/>
      <c r="B44" s="857"/>
      <c r="C44" s="857"/>
      <c r="D44" s="857"/>
      <c r="E44" s="857"/>
      <c r="F44" s="857"/>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857"/>
      <c r="L45" s="857"/>
      <c r="M45" s="857"/>
      <c r="N45" s="857"/>
      <c r="O45" s="857"/>
      <c r="P45" s="857"/>
      <c r="Q45" s="857"/>
      <c r="R45" s="857"/>
      <c r="S45" s="857"/>
      <c r="T45" s="857"/>
      <c r="U45" s="857"/>
      <c r="V45" s="857"/>
      <c r="W45" s="857"/>
      <c r="X45" s="857"/>
      <c r="Y45" s="857"/>
      <c r="Z45" s="857"/>
      <c r="AA45" s="857"/>
      <c r="AB45" s="857"/>
      <c r="AC45" s="857"/>
      <c r="AD45" s="857"/>
      <c r="AE45" s="857"/>
    </row>
    <row r="46" spans="1:31">
      <c r="A46" s="857"/>
      <c r="B46" s="857"/>
      <c r="C46" s="857"/>
      <c r="D46" s="857"/>
      <c r="E46" s="857"/>
      <c r="F46" s="857"/>
      <c r="G46" s="857"/>
      <c r="H46" s="857"/>
      <c r="I46" s="857"/>
      <c r="J46" s="857"/>
      <c r="K46" s="857"/>
      <c r="L46" s="857"/>
      <c r="M46" s="857"/>
      <c r="N46" s="857"/>
      <c r="O46" s="857"/>
      <c r="P46" s="857"/>
      <c r="Q46" s="857"/>
      <c r="R46" s="857"/>
      <c r="S46" s="857"/>
      <c r="T46" s="857"/>
      <c r="U46" s="857"/>
      <c r="V46" s="857"/>
      <c r="W46" s="857"/>
      <c r="X46" s="857"/>
      <c r="Y46" s="857"/>
      <c r="Z46" s="857"/>
      <c r="AA46" s="857"/>
      <c r="AB46" s="857"/>
      <c r="AC46" s="857"/>
      <c r="AD46" s="857"/>
      <c r="AE46" s="857"/>
    </row>
    <row r="47" spans="1:31">
      <c r="A47" s="857"/>
      <c r="B47" s="857"/>
      <c r="C47" s="857"/>
      <c r="D47" s="857"/>
      <c r="E47" s="857"/>
      <c r="F47" s="857"/>
      <c r="G47" s="857"/>
      <c r="H47" s="857"/>
      <c r="I47" s="857"/>
      <c r="J47" s="857"/>
      <c r="K47" s="857"/>
      <c r="L47" s="857"/>
      <c r="M47" s="857"/>
      <c r="N47" s="857"/>
      <c r="O47" s="857"/>
      <c r="P47" s="857"/>
      <c r="Q47" s="857"/>
      <c r="R47" s="857"/>
      <c r="S47" s="857"/>
      <c r="T47" s="857"/>
      <c r="U47" s="857"/>
      <c r="V47" s="857"/>
      <c r="W47" s="857"/>
      <c r="X47" s="857"/>
      <c r="Y47" s="857"/>
      <c r="Z47" s="857"/>
      <c r="AA47" s="857"/>
      <c r="AB47" s="857"/>
      <c r="AC47" s="857"/>
      <c r="AD47" s="857"/>
      <c r="AE47" s="857"/>
    </row>
    <row r="48" spans="1:31">
      <c r="A48" s="857"/>
      <c r="B48" s="857"/>
      <c r="C48" s="857"/>
      <c r="D48" s="857"/>
      <c r="E48" s="857"/>
      <c r="F48" s="857"/>
      <c r="G48" s="857"/>
      <c r="H48" s="857"/>
      <c r="I48" s="857"/>
      <c r="J48" s="857"/>
      <c r="K48" s="857"/>
      <c r="L48" s="857"/>
      <c r="M48" s="857"/>
      <c r="N48" s="857"/>
      <c r="O48" s="857"/>
      <c r="P48" s="857"/>
      <c r="Q48" s="857"/>
      <c r="R48" s="857"/>
      <c r="S48" s="857"/>
      <c r="T48" s="857"/>
      <c r="U48" s="857"/>
      <c r="V48" s="857"/>
      <c r="W48" s="857"/>
      <c r="X48" s="857"/>
      <c r="Y48" s="857"/>
      <c r="Z48" s="857"/>
      <c r="AA48" s="857"/>
      <c r="AB48" s="857"/>
      <c r="AC48" s="857"/>
      <c r="AD48" s="857"/>
      <c r="AE48" s="857"/>
    </row>
    <row r="49" spans="1:31">
      <c r="A49" s="857"/>
      <c r="B49" s="857"/>
      <c r="C49" s="857"/>
      <c r="D49" s="857"/>
      <c r="E49" s="857"/>
      <c r="F49" s="857"/>
      <c r="G49" s="857"/>
      <c r="H49" s="857"/>
      <c r="I49" s="857"/>
      <c r="J49" s="857"/>
      <c r="K49" s="857"/>
      <c r="L49" s="857"/>
      <c r="M49" s="857"/>
      <c r="N49" s="857"/>
      <c r="O49" s="857"/>
      <c r="P49" s="857"/>
      <c r="Q49" s="857"/>
      <c r="R49" s="857"/>
      <c r="S49" s="857"/>
      <c r="T49" s="857"/>
      <c r="U49" s="857"/>
      <c r="V49" s="857"/>
      <c r="W49" s="857"/>
      <c r="X49" s="857"/>
      <c r="Y49" s="857"/>
      <c r="Z49" s="857"/>
      <c r="AA49" s="857"/>
      <c r="AB49" s="857"/>
      <c r="AC49" s="857"/>
      <c r="AD49" s="857"/>
      <c r="AE49" s="857"/>
    </row>
    <row r="50" spans="1:31">
      <c r="A50" s="857"/>
      <c r="B50" s="857"/>
      <c r="C50" s="857"/>
      <c r="D50" s="857"/>
      <c r="E50" s="857"/>
      <c r="F50" s="857"/>
      <c r="G50" s="857"/>
      <c r="H50" s="857"/>
      <c r="I50" s="857"/>
      <c r="J50" s="857"/>
      <c r="K50" s="857"/>
      <c r="L50" s="857"/>
      <c r="M50" s="857"/>
      <c r="N50" s="857"/>
      <c r="O50" s="857"/>
      <c r="P50" s="857"/>
      <c r="Q50" s="857"/>
      <c r="R50" s="857"/>
      <c r="S50" s="857"/>
      <c r="T50" s="857"/>
      <c r="U50" s="857"/>
      <c r="V50" s="857"/>
      <c r="W50" s="857"/>
      <c r="X50" s="857"/>
      <c r="Y50" s="857"/>
      <c r="Z50" s="857"/>
      <c r="AA50" s="857"/>
      <c r="AB50" s="857"/>
      <c r="AC50" s="857"/>
      <c r="AD50" s="857"/>
      <c r="AE50" s="857"/>
    </row>
    <row r="51" spans="1:31">
      <c r="A51" s="857"/>
      <c r="B51" s="857"/>
      <c r="C51" s="857"/>
      <c r="D51" s="857"/>
      <c r="E51" s="857"/>
      <c r="F51" s="857"/>
      <c r="G51" s="857"/>
      <c r="H51" s="857"/>
      <c r="I51" s="857"/>
      <c r="J51" s="857"/>
      <c r="K51" s="857"/>
      <c r="L51" s="857"/>
      <c r="M51" s="857"/>
      <c r="N51" s="857"/>
      <c r="O51" s="857"/>
      <c r="P51" s="857"/>
      <c r="Q51" s="857"/>
      <c r="R51" s="857"/>
      <c r="S51" s="857"/>
      <c r="T51" s="857"/>
      <c r="U51" s="857"/>
      <c r="V51" s="857"/>
      <c r="W51" s="857"/>
      <c r="X51" s="857"/>
      <c r="Y51" s="857"/>
      <c r="Z51" s="857"/>
      <c r="AA51" s="857"/>
      <c r="AB51" s="857"/>
      <c r="AC51" s="857"/>
      <c r="AD51" s="857"/>
      <c r="AE51" s="857"/>
    </row>
    <row r="52" spans="1:31">
      <c r="A52" s="857"/>
      <c r="B52" s="857"/>
      <c r="C52" s="857"/>
      <c r="D52" s="857"/>
      <c r="E52" s="857"/>
      <c r="F52" s="857"/>
      <c r="G52" s="857"/>
      <c r="H52" s="857"/>
      <c r="I52" s="857"/>
      <c r="J52" s="857"/>
      <c r="K52" s="857"/>
      <c r="L52" s="857"/>
      <c r="M52" s="857"/>
      <c r="N52" s="857"/>
      <c r="O52" s="857"/>
      <c r="P52" s="857"/>
      <c r="Q52" s="857"/>
      <c r="R52" s="857"/>
      <c r="S52" s="857"/>
      <c r="T52" s="857"/>
      <c r="U52" s="857"/>
      <c r="V52" s="857"/>
      <c r="W52" s="857"/>
      <c r="X52" s="857"/>
      <c r="Y52" s="857"/>
      <c r="Z52" s="857"/>
      <c r="AA52" s="857"/>
      <c r="AB52" s="857"/>
      <c r="AC52" s="857"/>
      <c r="AD52" s="857"/>
      <c r="AE52" s="857"/>
    </row>
    <row r="53" spans="1:31">
      <c r="A53" s="857"/>
      <c r="B53" s="857"/>
      <c r="C53" s="857"/>
      <c r="D53" s="857"/>
      <c r="E53" s="857"/>
      <c r="F53" s="857"/>
      <c r="G53" s="857"/>
      <c r="H53" s="857"/>
      <c r="I53" s="857"/>
      <c r="J53" s="857"/>
      <c r="K53" s="857"/>
      <c r="L53" s="857"/>
      <c r="M53" s="857"/>
      <c r="N53" s="857"/>
      <c r="O53" s="857"/>
      <c r="P53" s="857"/>
      <c r="Q53" s="857"/>
      <c r="R53" s="857"/>
      <c r="S53" s="857"/>
      <c r="T53" s="857"/>
      <c r="U53" s="857"/>
      <c r="V53" s="857"/>
      <c r="W53" s="857"/>
      <c r="X53" s="857"/>
      <c r="Y53" s="857"/>
      <c r="Z53" s="857"/>
      <c r="AA53" s="857"/>
      <c r="AB53" s="857"/>
      <c r="AC53" s="857"/>
      <c r="AD53" s="857"/>
      <c r="AE53" s="857"/>
    </row>
    <row r="54" spans="1:31">
      <c r="A54" s="857"/>
      <c r="B54" s="857"/>
      <c r="C54" s="857"/>
      <c r="D54" s="857"/>
      <c r="E54" s="857"/>
      <c r="F54" s="857"/>
      <c r="G54" s="857"/>
      <c r="H54" s="857"/>
      <c r="I54" s="857"/>
      <c r="J54" s="857"/>
      <c r="K54" s="857"/>
      <c r="L54" s="857"/>
      <c r="M54" s="857"/>
      <c r="N54" s="857"/>
      <c r="O54" s="857"/>
      <c r="P54" s="857"/>
      <c r="Q54" s="857"/>
      <c r="R54" s="857"/>
      <c r="S54" s="857"/>
      <c r="T54" s="857"/>
      <c r="U54" s="857"/>
      <c r="V54" s="857"/>
      <c r="W54" s="857"/>
      <c r="X54" s="857"/>
      <c r="Y54" s="857"/>
      <c r="Z54" s="857"/>
      <c r="AA54" s="857"/>
      <c r="AB54" s="857"/>
      <c r="AC54" s="857"/>
      <c r="AD54" s="857"/>
      <c r="AE54" s="857"/>
    </row>
    <row r="55" spans="1:31">
      <c r="A55" s="857"/>
      <c r="B55" s="857"/>
      <c r="C55" s="857"/>
      <c r="D55" s="857"/>
      <c r="E55" s="857"/>
      <c r="F55" s="857"/>
      <c r="G55" s="857"/>
      <c r="H55" s="857"/>
      <c r="I55" s="857"/>
      <c r="J55" s="857"/>
      <c r="K55" s="857"/>
      <c r="L55" s="857"/>
      <c r="M55" s="857"/>
      <c r="N55" s="857"/>
      <c r="O55" s="857"/>
      <c r="P55" s="857"/>
      <c r="Q55" s="857"/>
      <c r="R55" s="857"/>
      <c r="S55" s="857"/>
      <c r="T55" s="857"/>
      <c r="U55" s="857"/>
      <c r="V55" s="857"/>
      <c r="W55" s="857"/>
      <c r="X55" s="857"/>
      <c r="Y55" s="857"/>
      <c r="Z55" s="857"/>
      <c r="AA55" s="857"/>
      <c r="AB55" s="857"/>
      <c r="AC55" s="857"/>
      <c r="AD55" s="857"/>
      <c r="AE55" s="857"/>
    </row>
    <row r="56" spans="1:31">
      <c r="A56" s="857"/>
      <c r="B56" s="857"/>
      <c r="C56" s="857"/>
      <c r="D56" s="857"/>
      <c r="E56" s="857"/>
      <c r="F56" s="857"/>
      <c r="G56" s="857"/>
      <c r="H56" s="857"/>
      <c r="I56" s="857"/>
      <c r="J56" s="857"/>
      <c r="K56" s="857"/>
      <c r="L56" s="857"/>
      <c r="M56" s="857"/>
      <c r="N56" s="857"/>
      <c r="O56" s="857"/>
      <c r="P56" s="857"/>
      <c r="Q56" s="857"/>
      <c r="R56" s="857"/>
      <c r="S56" s="857"/>
      <c r="T56" s="857"/>
      <c r="U56" s="857"/>
      <c r="V56" s="857"/>
      <c r="W56" s="857"/>
      <c r="X56" s="857"/>
      <c r="Y56" s="857"/>
      <c r="Z56" s="857"/>
      <c r="AA56" s="857"/>
      <c r="AB56" s="857"/>
      <c r="AC56" s="857"/>
      <c r="AD56" s="857"/>
      <c r="AE56" s="857"/>
    </row>
    <row r="57" spans="1:31">
      <c r="A57" s="857"/>
      <c r="B57" s="857"/>
      <c r="C57" s="857"/>
      <c r="D57" s="857"/>
      <c r="E57" s="857"/>
      <c r="F57" s="857"/>
      <c r="G57" s="857"/>
      <c r="H57" s="857"/>
      <c r="I57" s="857"/>
      <c r="J57" s="857"/>
      <c r="K57" s="857"/>
      <c r="L57" s="857"/>
      <c r="M57" s="857"/>
      <c r="N57" s="857"/>
      <c r="O57" s="857"/>
      <c r="P57" s="857"/>
      <c r="Q57" s="857"/>
      <c r="R57" s="857"/>
      <c r="S57" s="857"/>
      <c r="T57" s="857"/>
      <c r="U57" s="857"/>
      <c r="V57" s="857"/>
      <c r="W57" s="857"/>
      <c r="X57" s="857"/>
      <c r="Y57" s="857"/>
      <c r="Z57" s="857"/>
      <c r="AA57" s="857"/>
      <c r="AB57" s="857"/>
      <c r="AC57" s="857"/>
      <c r="AD57" s="857"/>
      <c r="AE57" s="857"/>
    </row>
    <row r="58" spans="1:31">
      <c r="A58" s="857"/>
      <c r="B58" s="857"/>
      <c r="C58" s="857"/>
      <c r="D58" s="857"/>
      <c r="E58" s="857"/>
      <c r="F58" s="857"/>
      <c r="G58" s="857"/>
      <c r="H58" s="857"/>
      <c r="I58" s="857"/>
      <c r="J58" s="857"/>
      <c r="K58" s="857"/>
      <c r="L58" s="857"/>
      <c r="M58" s="857"/>
      <c r="N58" s="857"/>
      <c r="O58" s="857"/>
      <c r="P58" s="857"/>
      <c r="Q58" s="857"/>
      <c r="R58" s="857"/>
      <c r="S58" s="857"/>
      <c r="T58" s="857"/>
      <c r="U58" s="857"/>
      <c r="V58" s="857"/>
      <c r="W58" s="857"/>
      <c r="X58" s="857"/>
      <c r="Y58" s="857"/>
      <c r="Z58" s="857"/>
      <c r="AA58" s="857"/>
      <c r="AB58" s="857"/>
      <c r="AC58" s="857"/>
      <c r="AD58" s="857"/>
      <c r="AE58" s="857"/>
    </row>
    <row r="59" spans="1:31">
      <c r="A59" s="857"/>
      <c r="B59" s="857"/>
      <c r="C59" s="857"/>
      <c r="D59" s="857"/>
      <c r="E59" s="857"/>
      <c r="F59" s="857"/>
      <c r="G59" s="857"/>
      <c r="H59" s="857"/>
      <c r="I59" s="857"/>
      <c r="J59" s="857"/>
      <c r="K59" s="857"/>
      <c r="L59" s="857"/>
      <c r="M59" s="857"/>
      <c r="N59" s="857"/>
      <c r="O59" s="857"/>
      <c r="P59" s="857"/>
      <c r="Q59" s="857"/>
      <c r="R59" s="857"/>
      <c r="S59" s="857"/>
      <c r="T59" s="857"/>
      <c r="U59" s="857"/>
      <c r="V59" s="857"/>
      <c r="W59" s="857"/>
      <c r="X59" s="857"/>
      <c r="Y59" s="857"/>
      <c r="Z59" s="857"/>
      <c r="AA59" s="857"/>
      <c r="AB59" s="857"/>
      <c r="AC59" s="857"/>
      <c r="AD59" s="857"/>
      <c r="AE59" s="857"/>
    </row>
    <row r="60" spans="1:31">
      <c r="A60" s="857"/>
      <c r="B60" s="857"/>
      <c r="C60" s="857"/>
      <c r="D60" s="857"/>
      <c r="E60" s="857"/>
      <c r="F60" s="857"/>
      <c r="G60" s="857"/>
      <c r="H60" s="857"/>
      <c r="I60" s="857"/>
      <c r="J60" s="857"/>
      <c r="K60" s="857"/>
      <c r="L60" s="857"/>
      <c r="M60" s="857"/>
      <c r="N60" s="857"/>
      <c r="O60" s="857"/>
      <c r="P60" s="857"/>
      <c r="Q60" s="857"/>
      <c r="R60" s="857"/>
      <c r="S60" s="857"/>
      <c r="T60" s="857"/>
      <c r="U60" s="857"/>
      <c r="V60" s="857"/>
      <c r="W60" s="857"/>
      <c r="X60" s="857"/>
      <c r="Y60" s="857"/>
      <c r="Z60" s="857"/>
      <c r="AA60" s="857"/>
      <c r="AB60" s="857"/>
      <c r="AC60" s="857"/>
      <c r="AD60" s="857"/>
      <c r="AE60" s="857"/>
    </row>
    <row r="61" spans="1:31">
      <c r="A61" s="857"/>
      <c r="B61" s="857"/>
      <c r="C61" s="857"/>
      <c r="D61" s="857"/>
      <c r="E61" s="857"/>
      <c r="F61" s="857"/>
      <c r="G61" s="857"/>
      <c r="H61" s="857"/>
      <c r="I61" s="857"/>
      <c r="J61" s="857"/>
      <c r="K61" s="857"/>
      <c r="L61" s="857"/>
      <c r="M61" s="857"/>
      <c r="N61" s="857"/>
      <c r="O61" s="857"/>
      <c r="P61" s="857"/>
      <c r="Q61" s="857"/>
      <c r="R61" s="857"/>
      <c r="S61" s="857"/>
      <c r="T61" s="857"/>
      <c r="U61" s="857"/>
      <c r="V61" s="857"/>
      <c r="W61" s="857"/>
      <c r="X61" s="857"/>
      <c r="Y61" s="857"/>
      <c r="Z61" s="857"/>
      <c r="AA61" s="857"/>
      <c r="AB61" s="857"/>
      <c r="AC61" s="857"/>
      <c r="AD61" s="857"/>
      <c r="AE61" s="857"/>
    </row>
    <row r="62" spans="1:31">
      <c r="A62" s="857"/>
      <c r="B62" s="857"/>
      <c r="C62" s="857"/>
      <c r="D62" s="857"/>
      <c r="E62" s="857"/>
      <c r="F62" s="857"/>
      <c r="G62" s="857"/>
      <c r="H62" s="857"/>
      <c r="I62" s="857"/>
      <c r="J62" s="857"/>
      <c r="K62" s="857"/>
      <c r="L62" s="857"/>
      <c r="M62" s="857"/>
      <c r="N62" s="857"/>
      <c r="O62" s="857"/>
      <c r="P62" s="857"/>
      <c r="Q62" s="857"/>
      <c r="R62" s="857"/>
      <c r="S62" s="857"/>
      <c r="T62" s="857"/>
      <c r="U62" s="857"/>
      <c r="V62" s="857"/>
      <c r="W62" s="857"/>
      <c r="X62" s="857"/>
      <c r="Y62" s="857"/>
      <c r="Z62" s="857"/>
      <c r="AA62" s="857"/>
      <c r="AB62" s="857"/>
      <c r="AC62" s="857"/>
      <c r="AD62" s="857"/>
      <c r="AE62" s="857"/>
    </row>
    <row r="63" spans="1:31">
      <c r="A63" s="857"/>
      <c r="B63" s="857"/>
      <c r="C63" s="857"/>
      <c r="D63" s="857"/>
      <c r="E63" s="857"/>
      <c r="F63" s="857"/>
      <c r="G63" s="857"/>
      <c r="H63" s="857"/>
      <c r="I63" s="857"/>
      <c r="J63" s="857"/>
      <c r="K63" s="857"/>
      <c r="L63" s="857"/>
      <c r="M63" s="857"/>
      <c r="N63" s="857"/>
      <c r="O63" s="857"/>
      <c r="P63" s="857"/>
      <c r="Q63" s="857"/>
      <c r="R63" s="857"/>
      <c r="S63" s="857"/>
      <c r="T63" s="857"/>
      <c r="U63" s="857"/>
      <c r="V63" s="857"/>
      <c r="W63" s="857"/>
      <c r="X63" s="857"/>
      <c r="Y63" s="857"/>
      <c r="Z63" s="857"/>
      <c r="AA63" s="857"/>
      <c r="AB63" s="857"/>
      <c r="AC63" s="857"/>
      <c r="AD63" s="857"/>
      <c r="AE63" s="857"/>
    </row>
    <row r="64" spans="1:31">
      <c r="A64" s="857"/>
      <c r="B64" s="857"/>
      <c r="C64" s="857"/>
      <c r="D64" s="857"/>
      <c r="E64" s="857"/>
      <c r="F64" s="857"/>
      <c r="G64" s="857"/>
      <c r="H64" s="857"/>
      <c r="I64" s="857"/>
      <c r="J64" s="857"/>
      <c r="K64" s="857"/>
      <c r="L64" s="857"/>
      <c r="M64" s="857"/>
      <c r="N64" s="857"/>
      <c r="O64" s="857"/>
      <c r="P64" s="857"/>
      <c r="Q64" s="857"/>
      <c r="R64" s="857"/>
      <c r="S64" s="857"/>
      <c r="T64" s="857"/>
      <c r="U64" s="857"/>
      <c r="V64" s="857"/>
      <c r="W64" s="857"/>
      <c r="X64" s="857"/>
      <c r="Y64" s="857"/>
      <c r="Z64" s="857"/>
      <c r="AA64" s="857"/>
      <c r="AB64" s="857"/>
      <c r="AC64" s="857"/>
      <c r="AD64" s="857"/>
      <c r="AE64" s="857"/>
    </row>
    <row r="65" spans="1:31">
      <c r="A65" s="857"/>
      <c r="B65" s="857"/>
      <c r="C65" s="857"/>
      <c r="D65" s="857"/>
      <c r="E65" s="857"/>
      <c r="F65" s="857"/>
      <c r="G65" s="857"/>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row>
    <row r="66" spans="1:31">
      <c r="A66" s="857"/>
      <c r="B66" s="857"/>
      <c r="C66" s="857"/>
      <c r="D66" s="857"/>
      <c r="E66" s="857"/>
      <c r="F66" s="857"/>
      <c r="G66" s="857"/>
      <c r="H66" s="857"/>
      <c r="I66" s="857"/>
      <c r="J66" s="857"/>
      <c r="K66" s="857"/>
      <c r="L66" s="857"/>
      <c r="M66" s="857"/>
      <c r="N66" s="857"/>
      <c r="O66" s="857"/>
      <c r="P66" s="857"/>
      <c r="Q66" s="857"/>
      <c r="R66" s="857"/>
      <c r="S66" s="857"/>
      <c r="T66" s="857"/>
      <c r="U66" s="857"/>
      <c r="V66" s="857"/>
      <c r="W66" s="857"/>
      <c r="X66" s="857"/>
      <c r="Y66" s="857"/>
      <c r="Z66" s="857"/>
      <c r="AA66" s="857"/>
      <c r="AB66" s="857"/>
      <c r="AC66" s="857"/>
      <c r="AD66" s="857"/>
      <c r="AE66" s="857"/>
    </row>
    <row r="67" spans="1:31">
      <c r="A67" s="857"/>
      <c r="B67" s="857"/>
      <c r="C67" s="857"/>
      <c r="D67" s="857"/>
      <c r="E67" s="857"/>
      <c r="F67" s="857"/>
      <c r="G67" s="857"/>
      <c r="H67" s="857"/>
      <c r="I67" s="857"/>
      <c r="J67" s="857"/>
      <c r="K67" s="857"/>
      <c r="L67" s="857"/>
      <c r="M67" s="857"/>
      <c r="N67" s="857"/>
      <c r="O67" s="857"/>
      <c r="P67" s="857"/>
      <c r="Q67" s="857"/>
      <c r="R67" s="857"/>
      <c r="S67" s="857"/>
      <c r="T67" s="857"/>
      <c r="U67" s="857"/>
      <c r="V67" s="857"/>
      <c r="W67" s="857"/>
      <c r="X67" s="857"/>
      <c r="Y67" s="857"/>
      <c r="Z67" s="857"/>
      <c r="AA67" s="857"/>
      <c r="AB67" s="857"/>
      <c r="AC67" s="857"/>
      <c r="AD67" s="857"/>
      <c r="AE67" s="857"/>
    </row>
    <row r="68" spans="1:31">
      <c r="A68" s="857"/>
      <c r="B68" s="857"/>
      <c r="C68" s="857"/>
      <c r="D68" s="857"/>
      <c r="E68" s="857"/>
      <c r="F68" s="857"/>
      <c r="G68" s="857"/>
      <c r="H68" s="857"/>
      <c r="I68" s="857"/>
      <c r="J68" s="857"/>
      <c r="K68" s="857"/>
      <c r="L68" s="857"/>
      <c r="M68" s="857"/>
      <c r="N68" s="857"/>
      <c r="O68" s="857"/>
      <c r="P68" s="857"/>
      <c r="Q68" s="857"/>
      <c r="R68" s="857"/>
      <c r="S68" s="857"/>
      <c r="T68" s="857"/>
      <c r="U68" s="857"/>
      <c r="V68" s="857"/>
      <c r="W68" s="857"/>
      <c r="X68" s="857"/>
      <c r="Y68" s="857"/>
      <c r="Z68" s="857"/>
      <c r="AA68" s="857"/>
      <c r="AB68" s="857"/>
      <c r="AC68" s="857"/>
      <c r="AD68" s="857"/>
      <c r="AE68" s="857"/>
    </row>
    <row r="69" spans="1:31">
      <c r="A69" s="857"/>
      <c r="B69" s="857"/>
      <c r="C69" s="857"/>
      <c r="D69" s="857"/>
      <c r="E69" s="857"/>
      <c r="F69" s="857"/>
      <c r="G69" s="857"/>
      <c r="H69" s="857"/>
      <c r="I69" s="857"/>
      <c r="J69" s="857"/>
      <c r="K69" s="857"/>
      <c r="L69" s="857"/>
      <c r="M69" s="857"/>
      <c r="N69" s="857"/>
      <c r="O69" s="857"/>
      <c r="P69" s="857"/>
      <c r="Q69" s="857"/>
      <c r="R69" s="857"/>
      <c r="S69" s="857"/>
      <c r="T69" s="857"/>
      <c r="U69" s="857"/>
      <c r="V69" s="857"/>
      <c r="W69" s="857"/>
      <c r="X69" s="857"/>
      <c r="Y69" s="857"/>
      <c r="Z69" s="857"/>
      <c r="AA69" s="857"/>
      <c r="AB69" s="857"/>
      <c r="AC69" s="857"/>
      <c r="AD69" s="857"/>
      <c r="AE69" s="857"/>
    </row>
    <row r="70" spans="1:31">
      <c r="A70" s="857"/>
      <c r="B70" s="857"/>
      <c r="C70" s="857"/>
      <c r="D70" s="857"/>
      <c r="E70" s="857"/>
      <c r="F70" s="857"/>
      <c r="G70" s="857"/>
      <c r="H70" s="857"/>
      <c r="I70" s="857"/>
      <c r="J70" s="857"/>
      <c r="K70" s="857"/>
      <c r="L70" s="857"/>
      <c r="M70" s="857"/>
      <c r="N70" s="857"/>
      <c r="O70" s="857"/>
      <c r="P70" s="857"/>
      <c r="Q70" s="857"/>
      <c r="R70" s="857"/>
      <c r="S70" s="857"/>
      <c r="T70" s="857"/>
      <c r="U70" s="857"/>
      <c r="V70" s="857"/>
      <c r="W70" s="857"/>
      <c r="X70" s="857"/>
      <c r="Y70" s="857"/>
      <c r="Z70" s="857"/>
      <c r="AA70" s="857"/>
      <c r="AB70" s="857"/>
      <c r="AC70" s="857"/>
      <c r="AD70" s="857"/>
      <c r="AE70" s="857"/>
    </row>
    <row r="71" spans="1:31">
      <c r="A71" s="857"/>
      <c r="B71" s="857"/>
      <c r="C71" s="857"/>
      <c r="D71" s="857"/>
      <c r="E71" s="857"/>
      <c r="F71" s="857"/>
      <c r="G71" s="857"/>
      <c r="H71" s="857"/>
      <c r="I71" s="857"/>
      <c r="J71" s="857"/>
      <c r="K71" s="857"/>
      <c r="L71" s="857"/>
      <c r="M71" s="857"/>
      <c r="N71" s="857"/>
      <c r="O71" s="857"/>
      <c r="P71" s="857"/>
      <c r="Q71" s="857"/>
      <c r="R71" s="857"/>
      <c r="S71" s="857"/>
      <c r="T71" s="857"/>
      <c r="U71" s="857"/>
      <c r="V71" s="857"/>
      <c r="W71" s="857"/>
      <c r="X71" s="857"/>
      <c r="Y71" s="857"/>
      <c r="Z71" s="857"/>
      <c r="AA71" s="857"/>
      <c r="AB71" s="857"/>
      <c r="AC71" s="857"/>
      <c r="AD71" s="857"/>
      <c r="AE71" s="857"/>
    </row>
    <row r="72" spans="1:31">
      <c r="A72" s="857"/>
      <c r="B72" s="857"/>
      <c r="C72" s="857"/>
      <c r="D72" s="857"/>
      <c r="E72" s="857"/>
      <c r="F72" s="857"/>
      <c r="G72" s="857"/>
      <c r="H72" s="857"/>
      <c r="I72" s="857"/>
      <c r="J72" s="857"/>
      <c r="K72" s="857"/>
      <c r="L72" s="857"/>
      <c r="M72" s="857"/>
      <c r="N72" s="857"/>
      <c r="O72" s="857"/>
      <c r="P72" s="857"/>
      <c r="Q72" s="857"/>
      <c r="R72" s="857"/>
      <c r="S72" s="857"/>
      <c r="T72" s="857"/>
      <c r="U72" s="857"/>
      <c r="V72" s="857"/>
      <c r="W72" s="857"/>
      <c r="X72" s="857"/>
      <c r="Y72" s="857"/>
      <c r="Z72" s="857"/>
      <c r="AA72" s="857"/>
      <c r="AB72" s="857"/>
      <c r="AC72" s="857"/>
      <c r="AD72" s="857"/>
      <c r="AE72" s="857"/>
    </row>
    <row r="73" spans="1:31">
      <c r="A73" s="857"/>
      <c r="B73" s="857"/>
      <c r="C73" s="857"/>
      <c r="D73" s="857"/>
      <c r="E73" s="857"/>
      <c r="F73" s="857"/>
      <c r="G73" s="857"/>
      <c r="H73" s="857"/>
      <c r="I73" s="857"/>
      <c r="J73" s="857"/>
      <c r="K73" s="857"/>
      <c r="L73" s="857"/>
      <c r="M73" s="857"/>
      <c r="N73" s="857"/>
      <c r="O73" s="857"/>
      <c r="P73" s="857"/>
      <c r="Q73" s="857"/>
      <c r="R73" s="857"/>
      <c r="S73" s="857"/>
      <c r="T73" s="857"/>
      <c r="U73" s="857"/>
      <c r="V73" s="857"/>
      <c r="W73" s="857"/>
      <c r="X73" s="857"/>
      <c r="Y73" s="857"/>
      <c r="Z73" s="857"/>
      <c r="AA73" s="857"/>
      <c r="AB73" s="857"/>
      <c r="AC73" s="857"/>
      <c r="AD73" s="857"/>
      <c r="AE73" s="857"/>
    </row>
    <row r="74" spans="1:31">
      <c r="A74" s="857"/>
      <c r="B74" s="857"/>
      <c r="C74" s="857"/>
      <c r="D74" s="857"/>
      <c r="E74" s="857"/>
      <c r="F74" s="857"/>
      <c r="G74" s="857"/>
      <c r="H74" s="857"/>
      <c r="I74" s="857"/>
      <c r="J74" s="857"/>
      <c r="K74" s="857"/>
      <c r="L74" s="857"/>
      <c r="M74" s="857"/>
      <c r="N74" s="857"/>
      <c r="O74" s="857"/>
      <c r="P74" s="857"/>
      <c r="Q74" s="857"/>
      <c r="R74" s="857"/>
      <c r="S74" s="857"/>
      <c r="T74" s="857"/>
      <c r="U74" s="857"/>
      <c r="V74" s="857"/>
      <c r="W74" s="857"/>
      <c r="X74" s="857"/>
      <c r="Y74" s="857"/>
      <c r="Z74" s="857"/>
      <c r="AA74" s="857"/>
      <c r="AB74" s="857"/>
      <c r="AC74" s="857"/>
      <c r="AD74" s="857"/>
      <c r="AE74" s="857"/>
    </row>
    <row r="75" spans="1:31">
      <c r="A75" s="857"/>
      <c r="B75" s="857"/>
      <c r="C75" s="857"/>
      <c r="D75" s="857"/>
      <c r="E75" s="857"/>
      <c r="F75" s="857"/>
      <c r="G75" s="857"/>
      <c r="H75" s="857"/>
      <c r="I75" s="857"/>
      <c r="J75" s="857"/>
      <c r="K75" s="857"/>
      <c r="L75" s="857"/>
      <c r="M75" s="857"/>
      <c r="N75" s="857"/>
      <c r="O75" s="857"/>
      <c r="P75" s="857"/>
      <c r="Q75" s="857"/>
      <c r="R75" s="857"/>
      <c r="S75" s="857"/>
      <c r="T75" s="857"/>
      <c r="U75" s="857"/>
      <c r="V75" s="857"/>
      <c r="W75" s="857"/>
      <c r="X75" s="857"/>
      <c r="Y75" s="857"/>
      <c r="Z75" s="857"/>
      <c r="AA75" s="857"/>
      <c r="AB75" s="857"/>
      <c r="AC75" s="857"/>
      <c r="AD75" s="857"/>
      <c r="AE75" s="857"/>
    </row>
    <row r="76" spans="1:31">
      <c r="A76" s="857"/>
      <c r="B76" s="857"/>
      <c r="C76" s="857"/>
      <c r="D76" s="857"/>
      <c r="E76" s="857"/>
      <c r="F76" s="857"/>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7"/>
    </row>
    <row r="77" spans="1:31">
      <c r="A77" s="857"/>
      <c r="B77" s="857"/>
      <c r="C77" s="857"/>
      <c r="D77" s="857"/>
      <c r="E77" s="857"/>
      <c r="F77" s="857"/>
      <c r="G77" s="857"/>
      <c r="H77" s="857"/>
      <c r="I77" s="857"/>
      <c r="J77" s="857"/>
      <c r="K77" s="857"/>
      <c r="L77" s="857"/>
      <c r="M77" s="857"/>
      <c r="N77" s="857"/>
      <c r="O77" s="857"/>
      <c r="P77" s="857"/>
      <c r="Q77" s="857"/>
      <c r="R77" s="857"/>
      <c r="S77" s="857"/>
      <c r="T77" s="857"/>
      <c r="U77" s="857"/>
      <c r="V77" s="857"/>
      <c r="W77" s="857"/>
      <c r="X77" s="857"/>
      <c r="Y77" s="857"/>
      <c r="Z77" s="857"/>
      <c r="AA77" s="857"/>
      <c r="AB77" s="857"/>
      <c r="AC77" s="857"/>
      <c r="AD77" s="857"/>
      <c r="AE77" s="857"/>
    </row>
    <row r="78" spans="1:31">
      <c r="A78" s="857"/>
      <c r="B78" s="857"/>
      <c r="C78" s="857"/>
      <c r="D78" s="857"/>
      <c r="E78" s="857"/>
      <c r="F78" s="857"/>
      <c r="G78" s="857"/>
      <c r="H78" s="857"/>
      <c r="I78" s="857"/>
      <c r="J78" s="857"/>
      <c r="K78" s="857"/>
      <c r="L78" s="857"/>
      <c r="M78" s="857"/>
      <c r="N78" s="857"/>
      <c r="O78" s="857"/>
      <c r="P78" s="857"/>
      <c r="Q78" s="857"/>
      <c r="R78" s="857"/>
      <c r="S78" s="857"/>
      <c r="T78" s="857"/>
      <c r="U78" s="857"/>
      <c r="V78" s="857"/>
      <c r="W78" s="857"/>
      <c r="X78" s="857"/>
      <c r="Y78" s="857"/>
      <c r="Z78" s="857"/>
      <c r="AA78" s="857"/>
      <c r="AB78" s="857"/>
      <c r="AC78" s="857"/>
      <c r="AD78" s="857"/>
      <c r="AE78" s="857"/>
    </row>
    <row r="79" spans="1:31">
      <c r="A79" s="857"/>
      <c r="B79" s="857"/>
      <c r="C79" s="857"/>
      <c r="D79" s="857"/>
      <c r="E79" s="857"/>
      <c r="F79" s="857"/>
      <c r="G79" s="857"/>
      <c r="H79" s="857"/>
      <c r="I79" s="857"/>
      <c r="J79" s="857"/>
      <c r="K79" s="857"/>
      <c r="L79" s="857"/>
      <c r="M79" s="857"/>
      <c r="N79" s="857"/>
      <c r="O79" s="857"/>
      <c r="P79" s="857"/>
      <c r="Q79" s="857"/>
      <c r="R79" s="857"/>
      <c r="S79" s="857"/>
      <c r="T79" s="857"/>
      <c r="U79" s="857"/>
      <c r="V79" s="857"/>
      <c r="W79" s="857"/>
      <c r="X79" s="857"/>
      <c r="Y79" s="857"/>
      <c r="Z79" s="857"/>
      <c r="AA79" s="857"/>
      <c r="AB79" s="857"/>
      <c r="AC79" s="857"/>
      <c r="AD79" s="857"/>
      <c r="AE79" s="857"/>
    </row>
    <row r="80" spans="1:31">
      <c r="A80" s="857"/>
      <c r="B80" s="857"/>
      <c r="C80" s="857"/>
      <c r="D80" s="857"/>
      <c r="E80" s="857"/>
      <c r="F80" s="857"/>
      <c r="G80" s="857"/>
      <c r="H80" s="857"/>
      <c r="I80" s="857"/>
      <c r="J80" s="857"/>
      <c r="K80" s="857"/>
      <c r="L80" s="857"/>
      <c r="M80" s="857"/>
      <c r="N80" s="857"/>
      <c r="O80" s="857"/>
      <c r="P80" s="857"/>
      <c r="Q80" s="857"/>
      <c r="R80" s="857"/>
      <c r="S80" s="857"/>
      <c r="T80" s="857"/>
      <c r="U80" s="857"/>
      <c r="V80" s="857"/>
      <c r="W80" s="857"/>
      <c r="X80" s="857"/>
      <c r="Y80" s="857"/>
      <c r="Z80" s="857"/>
      <c r="AA80" s="857"/>
      <c r="AB80" s="857"/>
      <c r="AC80" s="857"/>
      <c r="AD80" s="857"/>
      <c r="AE80" s="857"/>
    </row>
    <row r="81" spans="1:31">
      <c r="A81" s="857"/>
      <c r="B81" s="857"/>
      <c r="C81" s="857"/>
      <c r="D81" s="857"/>
      <c r="E81" s="857"/>
      <c r="F81" s="857"/>
      <c r="G81" s="857"/>
      <c r="H81" s="857"/>
      <c r="I81" s="857"/>
      <c r="J81" s="857"/>
      <c r="K81" s="857"/>
      <c r="L81" s="857"/>
      <c r="M81" s="857"/>
      <c r="N81" s="857"/>
      <c r="O81" s="857"/>
      <c r="P81" s="857"/>
      <c r="Q81" s="857"/>
      <c r="R81" s="857"/>
      <c r="S81" s="857"/>
      <c r="T81" s="857"/>
      <c r="U81" s="857"/>
      <c r="V81" s="857"/>
      <c r="W81" s="857"/>
      <c r="X81" s="857"/>
      <c r="Y81" s="857"/>
      <c r="Z81" s="857"/>
      <c r="AA81" s="857"/>
      <c r="AB81" s="857"/>
      <c r="AC81" s="857"/>
      <c r="AD81" s="857"/>
      <c r="AE81" s="857"/>
    </row>
    <row r="82" spans="1:31">
      <c r="A82" s="857"/>
      <c r="B82" s="857"/>
      <c r="C82" s="857"/>
      <c r="D82" s="857"/>
      <c r="E82" s="857"/>
      <c r="F82" s="857"/>
      <c r="G82" s="857"/>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row>
    <row r="83" spans="1:31">
      <c r="A83" s="857"/>
      <c r="B83" s="857"/>
      <c r="C83" s="857"/>
      <c r="D83" s="857"/>
      <c r="E83" s="857"/>
      <c r="F83" s="857"/>
      <c r="G83" s="857"/>
      <c r="H83" s="857"/>
      <c r="I83" s="857"/>
      <c r="J83" s="857"/>
      <c r="K83" s="857"/>
      <c r="L83" s="857"/>
      <c r="M83" s="857"/>
      <c r="N83" s="857"/>
      <c r="O83" s="857"/>
      <c r="P83" s="857"/>
      <c r="Q83" s="857"/>
      <c r="R83" s="857"/>
      <c r="S83" s="857"/>
      <c r="T83" s="857"/>
      <c r="U83" s="857"/>
      <c r="V83" s="857"/>
      <c r="W83" s="857"/>
      <c r="X83" s="857"/>
      <c r="Y83" s="857"/>
      <c r="Z83" s="857"/>
      <c r="AA83" s="857"/>
      <c r="AB83" s="857"/>
      <c r="AC83" s="857"/>
      <c r="AD83" s="857"/>
      <c r="AE83" s="857"/>
    </row>
    <row r="84" spans="1:31">
      <c r="A84" s="857"/>
      <c r="B84" s="857"/>
      <c r="C84" s="857"/>
      <c r="D84" s="857"/>
      <c r="E84" s="857"/>
      <c r="F84" s="857"/>
      <c r="G84" s="857"/>
      <c r="H84" s="857"/>
      <c r="I84" s="857"/>
      <c r="J84" s="857"/>
      <c r="K84" s="857"/>
      <c r="L84" s="857"/>
      <c r="M84" s="857"/>
      <c r="N84" s="857"/>
      <c r="O84" s="857"/>
      <c r="P84" s="857"/>
      <c r="Q84" s="857"/>
      <c r="R84" s="857"/>
      <c r="S84" s="857"/>
      <c r="T84" s="857"/>
      <c r="U84" s="857"/>
      <c r="V84" s="857"/>
      <c r="W84" s="857"/>
      <c r="X84" s="857"/>
      <c r="Y84" s="857"/>
      <c r="Z84" s="857"/>
      <c r="AA84" s="857"/>
      <c r="AB84" s="857"/>
      <c r="AC84" s="857"/>
      <c r="AD84" s="857"/>
      <c r="AE84" s="857"/>
    </row>
    <row r="85" spans="1:31">
      <c r="A85" s="857"/>
      <c r="B85" s="857"/>
      <c r="C85" s="857"/>
      <c r="D85" s="857"/>
      <c r="E85" s="857"/>
      <c r="F85" s="857"/>
      <c r="G85" s="857"/>
      <c r="H85" s="857"/>
      <c r="I85" s="857"/>
      <c r="J85" s="857"/>
      <c r="K85" s="857"/>
      <c r="L85" s="857"/>
      <c r="M85" s="857"/>
      <c r="N85" s="857"/>
      <c r="O85" s="857"/>
      <c r="P85" s="857"/>
      <c r="Q85" s="857"/>
      <c r="R85" s="857"/>
      <c r="S85" s="857"/>
      <c r="T85" s="857"/>
      <c r="U85" s="857"/>
      <c r="V85" s="857"/>
      <c r="W85" s="857"/>
      <c r="X85" s="857"/>
      <c r="Y85" s="857"/>
      <c r="Z85" s="857"/>
      <c r="AA85" s="857"/>
      <c r="AB85" s="857"/>
      <c r="AC85" s="857"/>
      <c r="AD85" s="857"/>
      <c r="AE85" s="857"/>
    </row>
    <row r="86" spans="1:31">
      <c r="A86" s="857"/>
      <c r="B86" s="857"/>
      <c r="C86" s="857"/>
      <c r="D86" s="857"/>
      <c r="E86" s="857"/>
      <c r="F86" s="857"/>
      <c r="G86" s="857"/>
      <c r="H86" s="857"/>
      <c r="I86" s="857"/>
      <c r="J86" s="857"/>
      <c r="K86" s="857"/>
      <c r="L86" s="857"/>
      <c r="M86" s="857"/>
      <c r="N86" s="857"/>
      <c r="O86" s="857"/>
      <c r="P86" s="857"/>
      <c r="Q86" s="857"/>
      <c r="R86" s="857"/>
      <c r="S86" s="857"/>
      <c r="T86" s="857"/>
      <c r="U86" s="857"/>
      <c r="V86" s="857"/>
      <c r="W86" s="857"/>
      <c r="X86" s="857"/>
      <c r="Y86" s="857"/>
      <c r="Z86" s="857"/>
      <c r="AA86" s="857"/>
      <c r="AB86" s="857"/>
      <c r="AC86" s="857"/>
      <c r="AD86" s="857"/>
      <c r="AE86" s="857"/>
    </row>
    <row r="87" spans="1:31">
      <c r="A87" s="857"/>
      <c r="B87" s="857"/>
      <c r="C87" s="857"/>
      <c r="D87" s="857"/>
      <c r="E87" s="857"/>
      <c r="F87" s="857"/>
      <c r="G87" s="857"/>
      <c r="H87" s="857"/>
      <c r="I87" s="857"/>
      <c r="J87" s="857"/>
      <c r="K87" s="857"/>
      <c r="L87" s="857"/>
      <c r="M87" s="857"/>
      <c r="N87" s="857"/>
      <c r="O87" s="857"/>
      <c r="P87" s="857"/>
      <c r="Q87" s="857"/>
      <c r="R87" s="857"/>
      <c r="S87" s="857"/>
      <c r="T87" s="857"/>
      <c r="U87" s="857"/>
      <c r="V87" s="857"/>
      <c r="W87" s="857"/>
      <c r="X87" s="857"/>
      <c r="Y87" s="857"/>
      <c r="Z87" s="857"/>
      <c r="AA87" s="857"/>
      <c r="AB87" s="857"/>
      <c r="AC87" s="857"/>
      <c r="AD87" s="857"/>
      <c r="AE87" s="857"/>
    </row>
    <row r="88" spans="1:31">
      <c r="A88" s="857"/>
      <c r="B88" s="857"/>
      <c r="C88" s="857"/>
      <c r="D88" s="857"/>
      <c r="E88" s="857"/>
      <c r="F88" s="857"/>
      <c r="G88" s="857"/>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7"/>
    </row>
    <row r="89" spans="1:31">
      <c r="A89" s="857"/>
      <c r="B89" s="857"/>
      <c r="C89" s="857"/>
      <c r="D89" s="857"/>
      <c r="E89" s="857"/>
      <c r="F89" s="857"/>
      <c r="G89" s="857"/>
      <c r="H89" s="857"/>
      <c r="I89" s="857"/>
      <c r="J89" s="857"/>
      <c r="K89" s="857"/>
      <c r="L89" s="857"/>
      <c r="M89" s="857"/>
      <c r="N89" s="857"/>
      <c r="O89" s="857"/>
      <c r="P89" s="857"/>
      <c r="Q89" s="857"/>
      <c r="R89" s="857"/>
      <c r="S89" s="857"/>
      <c r="T89" s="857"/>
      <c r="U89" s="857"/>
      <c r="V89" s="857"/>
      <c r="W89" s="857"/>
      <c r="X89" s="857"/>
      <c r="Y89" s="857"/>
      <c r="Z89" s="857"/>
      <c r="AA89" s="857"/>
      <c r="AB89" s="857"/>
      <c r="AC89" s="857"/>
      <c r="AD89" s="857"/>
      <c r="AE89" s="857"/>
    </row>
    <row r="90" spans="1:31">
      <c r="A90" s="857"/>
      <c r="B90" s="857"/>
      <c r="C90" s="857"/>
      <c r="D90" s="857"/>
      <c r="E90" s="857"/>
      <c r="F90" s="857"/>
      <c r="G90" s="857"/>
      <c r="H90" s="857"/>
      <c r="I90" s="857"/>
      <c r="J90" s="857"/>
      <c r="K90" s="857"/>
      <c r="L90" s="857"/>
      <c r="M90" s="857"/>
      <c r="N90" s="857"/>
      <c r="O90" s="857"/>
      <c r="P90" s="857"/>
      <c r="Q90" s="857"/>
      <c r="R90" s="857"/>
      <c r="S90" s="857"/>
      <c r="T90" s="857"/>
      <c r="U90" s="857"/>
      <c r="V90" s="857"/>
      <c r="W90" s="857"/>
      <c r="X90" s="857"/>
      <c r="Y90" s="857"/>
      <c r="Z90" s="857"/>
      <c r="AA90" s="857"/>
      <c r="AB90" s="857"/>
      <c r="AC90" s="857"/>
      <c r="AD90" s="857"/>
      <c r="AE90" s="857"/>
    </row>
    <row r="91" spans="1:31">
      <c r="A91" s="857"/>
      <c r="B91" s="857"/>
      <c r="C91" s="857"/>
      <c r="D91" s="857"/>
      <c r="E91" s="857"/>
      <c r="F91" s="857"/>
      <c r="G91" s="857"/>
      <c r="H91" s="857"/>
      <c r="I91" s="857"/>
      <c r="J91" s="857"/>
      <c r="K91" s="857"/>
      <c r="L91" s="857"/>
      <c r="M91" s="857"/>
      <c r="N91" s="857"/>
      <c r="O91" s="857"/>
      <c r="P91" s="857"/>
      <c r="Q91" s="857"/>
      <c r="R91" s="857"/>
      <c r="S91" s="857"/>
      <c r="T91" s="857"/>
      <c r="U91" s="857"/>
      <c r="V91" s="857"/>
      <c r="W91" s="857"/>
      <c r="X91" s="857"/>
      <c r="Y91" s="857"/>
      <c r="Z91" s="857"/>
      <c r="AA91" s="857"/>
      <c r="AB91" s="857"/>
      <c r="AC91" s="857"/>
      <c r="AD91" s="857"/>
      <c r="AE91" s="857"/>
    </row>
    <row r="92" spans="1:31">
      <c r="A92" s="857"/>
      <c r="B92" s="857"/>
      <c r="C92" s="857"/>
      <c r="D92" s="857"/>
      <c r="E92" s="857"/>
      <c r="F92" s="857"/>
      <c r="G92" s="857"/>
      <c r="H92" s="857"/>
      <c r="I92" s="857"/>
      <c r="J92" s="857"/>
      <c r="K92" s="857"/>
      <c r="L92" s="857"/>
      <c r="M92" s="857"/>
      <c r="N92" s="857"/>
      <c r="O92" s="857"/>
      <c r="P92" s="857"/>
      <c r="Q92" s="857"/>
      <c r="R92" s="857"/>
      <c r="S92" s="857"/>
      <c r="T92" s="857"/>
      <c r="U92" s="857"/>
      <c r="V92" s="857"/>
      <c r="W92" s="857"/>
      <c r="X92" s="857"/>
      <c r="Y92" s="857"/>
      <c r="Z92" s="857"/>
      <c r="AA92" s="857"/>
      <c r="AB92" s="857"/>
      <c r="AC92" s="857"/>
      <c r="AD92" s="857"/>
      <c r="AE92" s="857"/>
    </row>
    <row r="93" spans="1:31">
      <c r="A93" s="857"/>
      <c r="B93" s="857"/>
      <c r="C93" s="857"/>
      <c r="D93" s="857"/>
      <c r="E93" s="857"/>
      <c r="F93" s="857"/>
      <c r="G93" s="857"/>
      <c r="H93" s="857"/>
      <c r="I93" s="857"/>
      <c r="J93" s="857"/>
      <c r="K93" s="857"/>
      <c r="L93" s="857"/>
      <c r="M93" s="857"/>
      <c r="N93" s="857"/>
      <c r="O93" s="857"/>
      <c r="P93" s="857"/>
      <c r="Q93" s="857"/>
      <c r="R93" s="857"/>
      <c r="S93" s="857"/>
      <c r="T93" s="857"/>
      <c r="U93" s="857"/>
      <c r="V93" s="857"/>
      <c r="W93" s="857"/>
      <c r="X93" s="857"/>
      <c r="Y93" s="857"/>
      <c r="Z93" s="857"/>
      <c r="AA93" s="857"/>
      <c r="AB93" s="857"/>
      <c r="AC93" s="857"/>
      <c r="AD93" s="857"/>
      <c r="AE93" s="857"/>
    </row>
    <row r="94" spans="1:31">
      <c r="A94" s="857"/>
      <c r="B94" s="857"/>
      <c r="C94" s="857"/>
      <c r="D94" s="857"/>
      <c r="E94" s="857"/>
      <c r="F94" s="857"/>
      <c r="G94" s="857"/>
      <c r="H94" s="857"/>
      <c r="I94" s="857"/>
      <c r="J94" s="857"/>
      <c r="K94" s="857"/>
      <c r="L94" s="857"/>
      <c r="M94" s="857"/>
      <c r="N94" s="857"/>
      <c r="O94" s="857"/>
      <c r="P94" s="857"/>
      <c r="Q94" s="857"/>
      <c r="R94" s="857"/>
      <c r="S94" s="857"/>
      <c r="T94" s="857"/>
      <c r="U94" s="857"/>
      <c r="V94" s="857"/>
      <c r="W94" s="857"/>
      <c r="X94" s="857"/>
      <c r="Y94" s="857"/>
      <c r="Z94" s="857"/>
      <c r="AA94" s="857"/>
      <c r="AB94" s="857"/>
      <c r="AC94" s="857"/>
      <c r="AD94" s="857"/>
      <c r="AE94" s="857"/>
    </row>
    <row r="95" spans="1:31">
      <c r="A95" s="857"/>
      <c r="B95" s="857"/>
      <c r="C95" s="857"/>
      <c r="D95" s="857"/>
      <c r="E95" s="857"/>
      <c r="F95" s="857"/>
      <c r="G95" s="857"/>
      <c r="H95" s="857"/>
      <c r="I95" s="857"/>
      <c r="J95" s="857"/>
      <c r="K95" s="857"/>
      <c r="L95" s="857"/>
      <c r="M95" s="857"/>
      <c r="N95" s="857"/>
      <c r="O95" s="857"/>
      <c r="P95" s="857"/>
      <c r="Q95" s="857"/>
      <c r="R95" s="857"/>
      <c r="S95" s="857"/>
      <c r="T95" s="857"/>
      <c r="U95" s="857"/>
      <c r="V95" s="857"/>
      <c r="W95" s="857"/>
      <c r="X95" s="857"/>
      <c r="Y95" s="857"/>
      <c r="Z95" s="857"/>
      <c r="AA95" s="857"/>
      <c r="AB95" s="857"/>
      <c r="AC95" s="857"/>
      <c r="AD95" s="857"/>
      <c r="AE95" s="857"/>
    </row>
    <row r="96" spans="1:31">
      <c r="A96" s="857"/>
      <c r="B96" s="857"/>
      <c r="C96" s="857"/>
      <c r="D96" s="857"/>
      <c r="E96" s="857"/>
      <c r="F96" s="857"/>
      <c r="G96" s="857"/>
      <c r="H96" s="857"/>
      <c r="I96" s="857"/>
      <c r="J96" s="857"/>
      <c r="K96" s="857"/>
      <c r="L96" s="857"/>
      <c r="M96" s="857"/>
      <c r="N96" s="857"/>
      <c r="O96" s="857"/>
      <c r="P96" s="857"/>
      <c r="Q96" s="857"/>
      <c r="R96" s="857"/>
      <c r="S96" s="857"/>
      <c r="T96" s="857"/>
      <c r="U96" s="857"/>
      <c r="V96" s="857"/>
      <c r="W96" s="857"/>
      <c r="X96" s="857"/>
      <c r="Y96" s="857"/>
      <c r="Z96" s="857"/>
      <c r="AA96" s="857"/>
      <c r="AB96" s="857"/>
      <c r="AC96" s="857"/>
      <c r="AD96" s="857"/>
      <c r="AE96" s="857"/>
    </row>
    <row r="97" spans="1:31">
      <c r="A97" s="857"/>
      <c r="B97" s="857"/>
      <c r="C97" s="857"/>
      <c r="D97" s="857"/>
      <c r="E97" s="857"/>
      <c r="F97" s="857"/>
      <c r="G97" s="857"/>
      <c r="H97" s="857"/>
      <c r="I97" s="857"/>
      <c r="J97" s="857"/>
      <c r="K97" s="857"/>
      <c r="L97" s="857"/>
      <c r="M97" s="857"/>
      <c r="N97" s="857"/>
      <c r="O97" s="857"/>
      <c r="P97" s="857"/>
      <c r="Q97" s="857"/>
      <c r="R97" s="857"/>
      <c r="S97" s="857"/>
      <c r="T97" s="857"/>
      <c r="U97" s="857"/>
      <c r="V97" s="857"/>
      <c r="W97" s="857"/>
      <c r="X97" s="857"/>
      <c r="Y97" s="857"/>
      <c r="Z97" s="857"/>
      <c r="AA97" s="857"/>
      <c r="AB97" s="857"/>
      <c r="AC97" s="857"/>
      <c r="AD97" s="857"/>
      <c r="AE97" s="857"/>
    </row>
    <row r="98" spans="1:31">
      <c r="A98" s="857"/>
      <c r="B98" s="857"/>
      <c r="C98" s="857"/>
      <c r="D98" s="857"/>
      <c r="E98" s="857"/>
      <c r="F98" s="857"/>
      <c r="G98" s="857"/>
      <c r="H98" s="857"/>
      <c r="I98" s="857"/>
      <c r="J98" s="857"/>
      <c r="K98" s="857"/>
      <c r="L98" s="857"/>
      <c r="M98" s="857"/>
      <c r="N98" s="857"/>
      <c r="O98" s="857"/>
      <c r="P98" s="857"/>
      <c r="Q98" s="857"/>
      <c r="R98" s="857"/>
      <c r="S98" s="857"/>
      <c r="T98" s="857"/>
      <c r="U98" s="857"/>
      <c r="V98" s="857"/>
      <c r="W98" s="857"/>
      <c r="X98" s="857"/>
      <c r="Y98" s="857"/>
      <c r="Z98" s="857"/>
      <c r="AA98" s="857"/>
      <c r="AB98" s="857"/>
      <c r="AC98" s="857"/>
      <c r="AD98" s="857"/>
      <c r="AE98" s="857"/>
    </row>
    <row r="99" spans="1:31">
      <c r="A99" s="857"/>
      <c r="B99" s="857"/>
      <c r="C99" s="857"/>
      <c r="D99" s="857"/>
      <c r="E99" s="857"/>
      <c r="F99" s="857"/>
      <c r="G99" s="857"/>
      <c r="H99" s="857"/>
      <c r="I99" s="857"/>
      <c r="J99" s="857"/>
      <c r="K99" s="857"/>
      <c r="L99" s="857"/>
      <c r="M99" s="857"/>
      <c r="N99" s="857"/>
      <c r="O99" s="857"/>
      <c r="P99" s="857"/>
      <c r="Q99" s="857"/>
      <c r="R99" s="857"/>
      <c r="S99" s="857"/>
      <c r="T99" s="857"/>
      <c r="U99" s="857"/>
      <c r="V99" s="857"/>
      <c r="W99" s="857"/>
      <c r="X99" s="857"/>
      <c r="Y99" s="857"/>
      <c r="Z99" s="857"/>
      <c r="AA99" s="857"/>
      <c r="AB99" s="857"/>
      <c r="AC99" s="857"/>
      <c r="AD99" s="857"/>
      <c r="AE99" s="857"/>
    </row>
    <row r="100" spans="1:31">
      <c r="A100" s="857"/>
      <c r="B100" s="857"/>
      <c r="C100" s="857"/>
      <c r="D100" s="857"/>
      <c r="E100" s="857"/>
      <c r="F100" s="857"/>
      <c r="G100" s="857"/>
      <c r="H100" s="857"/>
      <c r="I100" s="857"/>
      <c r="J100" s="857"/>
      <c r="K100" s="857"/>
      <c r="L100" s="857"/>
      <c r="M100" s="857"/>
      <c r="N100" s="857"/>
      <c r="O100" s="857"/>
      <c r="P100" s="857"/>
      <c r="Q100" s="857"/>
      <c r="R100" s="857"/>
      <c r="S100" s="857"/>
      <c r="T100" s="857"/>
      <c r="U100" s="857"/>
      <c r="V100" s="857"/>
      <c r="W100" s="857"/>
      <c r="X100" s="857"/>
      <c r="Y100" s="857"/>
      <c r="Z100" s="857"/>
      <c r="AA100" s="857"/>
      <c r="AB100" s="857"/>
      <c r="AC100" s="857"/>
      <c r="AD100" s="857"/>
      <c r="AE100" s="857"/>
    </row>
    <row r="101" spans="1:31">
      <c r="A101" s="857"/>
      <c r="B101" s="857"/>
      <c r="C101" s="857"/>
      <c r="D101" s="857"/>
      <c r="E101" s="857"/>
      <c r="F101" s="857"/>
      <c r="G101" s="857"/>
      <c r="H101" s="857"/>
      <c r="I101" s="857"/>
      <c r="J101" s="857"/>
      <c r="K101" s="857"/>
      <c r="L101" s="857"/>
      <c r="M101" s="857"/>
      <c r="N101" s="857"/>
      <c r="O101" s="857"/>
      <c r="P101" s="857"/>
      <c r="Q101" s="857"/>
      <c r="R101" s="857"/>
      <c r="S101" s="857"/>
      <c r="T101" s="857"/>
      <c r="U101" s="857"/>
      <c r="V101" s="857"/>
      <c r="W101" s="857"/>
      <c r="X101" s="857"/>
      <c r="Y101" s="857"/>
      <c r="Z101" s="857"/>
      <c r="AA101" s="857"/>
      <c r="AB101" s="857"/>
      <c r="AC101" s="857"/>
      <c r="AD101" s="857"/>
      <c r="AE101" s="857"/>
    </row>
    <row r="102" spans="1:31">
      <c r="A102" s="857"/>
      <c r="B102" s="857"/>
      <c r="C102" s="857"/>
      <c r="D102" s="857"/>
      <c r="E102" s="857"/>
      <c r="F102" s="857"/>
      <c r="G102" s="857"/>
      <c r="H102" s="857"/>
      <c r="I102" s="857"/>
      <c r="J102" s="857"/>
      <c r="K102" s="857"/>
      <c r="L102" s="857"/>
      <c r="M102" s="857"/>
      <c r="N102" s="857"/>
      <c r="O102" s="857"/>
      <c r="P102" s="857"/>
      <c r="Q102" s="857"/>
      <c r="R102" s="857"/>
      <c r="S102" s="857"/>
      <c r="T102" s="857"/>
      <c r="U102" s="857"/>
      <c r="V102" s="857"/>
      <c r="W102" s="857"/>
      <c r="X102" s="857"/>
      <c r="Y102" s="857"/>
      <c r="Z102" s="857"/>
      <c r="AA102" s="857"/>
      <c r="AB102" s="857"/>
      <c r="AC102" s="857"/>
      <c r="AD102" s="857"/>
      <c r="AE102" s="857"/>
    </row>
    <row r="103" spans="1:31">
      <c r="A103" s="857"/>
      <c r="B103" s="857"/>
      <c r="C103" s="857"/>
      <c r="D103" s="857"/>
      <c r="E103" s="857"/>
      <c r="F103" s="857"/>
      <c r="G103" s="857"/>
      <c r="H103" s="857"/>
      <c r="I103" s="857"/>
      <c r="J103" s="857"/>
      <c r="K103" s="857"/>
      <c r="L103" s="857"/>
      <c r="M103" s="857"/>
      <c r="N103" s="857"/>
      <c r="O103" s="857"/>
      <c r="P103" s="857"/>
      <c r="Q103" s="857"/>
      <c r="R103" s="857"/>
      <c r="S103" s="857"/>
      <c r="T103" s="857"/>
      <c r="U103" s="857"/>
      <c r="V103" s="857"/>
      <c r="W103" s="857"/>
      <c r="X103" s="857"/>
      <c r="Y103" s="857"/>
      <c r="Z103" s="857"/>
      <c r="AA103" s="857"/>
      <c r="AB103" s="857"/>
      <c r="AC103" s="857"/>
      <c r="AD103" s="857"/>
      <c r="AE103" s="857"/>
    </row>
    <row r="104" spans="1:31">
      <c r="A104" s="857"/>
      <c r="B104" s="857"/>
      <c r="C104" s="857"/>
      <c r="D104" s="857"/>
      <c r="E104" s="857"/>
      <c r="F104" s="857"/>
      <c r="G104" s="857"/>
      <c r="H104" s="857"/>
      <c r="I104" s="857"/>
      <c r="J104" s="857"/>
      <c r="K104" s="857"/>
      <c r="L104" s="857"/>
      <c r="M104" s="857"/>
      <c r="N104" s="857"/>
      <c r="O104" s="857"/>
      <c r="P104" s="857"/>
      <c r="Q104" s="857"/>
      <c r="R104" s="857"/>
      <c r="S104" s="857"/>
      <c r="T104" s="857"/>
      <c r="U104" s="857"/>
      <c r="V104" s="857"/>
      <c r="W104" s="857"/>
      <c r="X104" s="857"/>
      <c r="Y104" s="857"/>
      <c r="Z104" s="857"/>
      <c r="AA104" s="857"/>
      <c r="AB104" s="857"/>
      <c r="AC104" s="857"/>
      <c r="AD104" s="857"/>
      <c r="AE104" s="857"/>
    </row>
    <row r="105" spans="1:31">
      <c r="A105" s="857"/>
      <c r="B105" s="857"/>
      <c r="C105" s="857"/>
      <c r="D105" s="857"/>
      <c r="E105" s="857"/>
      <c r="F105" s="857"/>
      <c r="G105" s="857"/>
      <c r="H105" s="857"/>
      <c r="I105" s="857"/>
      <c r="J105" s="857"/>
      <c r="K105" s="857"/>
      <c r="L105" s="857"/>
      <c r="M105" s="857"/>
      <c r="N105" s="857"/>
      <c r="O105" s="857"/>
      <c r="P105" s="857"/>
      <c r="Q105" s="857"/>
      <c r="R105" s="857"/>
      <c r="S105" s="857"/>
      <c r="T105" s="857"/>
      <c r="U105" s="857"/>
      <c r="V105" s="857"/>
      <c r="W105" s="857"/>
      <c r="X105" s="857"/>
      <c r="Y105" s="857"/>
      <c r="Z105" s="857"/>
      <c r="AA105" s="857"/>
      <c r="AB105" s="857"/>
      <c r="AC105" s="857"/>
      <c r="AD105" s="857"/>
      <c r="AE105" s="857"/>
    </row>
    <row r="106" spans="1:31">
      <c r="A106" s="857"/>
      <c r="B106" s="857"/>
      <c r="C106" s="857"/>
      <c r="D106" s="857"/>
      <c r="E106" s="857"/>
      <c r="F106" s="857"/>
      <c r="G106" s="857"/>
      <c r="H106" s="857"/>
      <c r="I106" s="857"/>
      <c r="J106" s="857"/>
      <c r="K106" s="857"/>
      <c r="L106" s="857"/>
      <c r="M106" s="857"/>
      <c r="N106" s="857"/>
      <c r="O106" s="857"/>
      <c r="P106" s="857"/>
      <c r="Q106" s="857"/>
      <c r="R106" s="857"/>
      <c r="S106" s="857"/>
      <c r="T106" s="857"/>
      <c r="U106" s="857"/>
      <c r="V106" s="857"/>
      <c r="W106" s="857"/>
      <c r="X106" s="857"/>
      <c r="Y106" s="857"/>
      <c r="Z106" s="857"/>
      <c r="AA106" s="857"/>
      <c r="AB106" s="857"/>
      <c r="AC106" s="857"/>
      <c r="AD106" s="857"/>
      <c r="AE106" s="857"/>
    </row>
    <row r="107" spans="1:31">
      <c r="A107" s="857"/>
      <c r="B107" s="857"/>
      <c r="C107" s="857"/>
      <c r="D107" s="857"/>
      <c r="E107" s="857"/>
      <c r="F107" s="857"/>
      <c r="G107" s="857"/>
      <c r="H107" s="857"/>
      <c r="I107" s="857"/>
      <c r="J107" s="857"/>
      <c r="K107" s="857"/>
      <c r="L107" s="857"/>
      <c r="M107" s="857"/>
      <c r="N107" s="857"/>
      <c r="O107" s="857"/>
      <c r="P107" s="857"/>
      <c r="Q107" s="857"/>
      <c r="R107" s="857"/>
      <c r="S107" s="857"/>
      <c r="T107" s="857"/>
      <c r="U107" s="857"/>
      <c r="V107" s="857"/>
      <c r="W107" s="857"/>
      <c r="X107" s="857"/>
      <c r="Y107" s="857"/>
      <c r="Z107" s="857"/>
      <c r="AA107" s="857"/>
      <c r="AB107" s="857"/>
      <c r="AC107" s="857"/>
      <c r="AD107" s="857"/>
      <c r="AE107" s="857"/>
    </row>
    <row r="108" spans="1:31">
      <c r="A108" s="857"/>
      <c r="B108" s="857"/>
      <c r="C108" s="857"/>
      <c r="D108" s="857"/>
      <c r="E108" s="857"/>
      <c r="F108" s="857"/>
      <c r="G108" s="857"/>
      <c r="H108" s="857"/>
      <c r="I108" s="857"/>
      <c r="J108" s="857"/>
      <c r="K108" s="857"/>
      <c r="L108" s="857"/>
      <c r="M108" s="857"/>
      <c r="N108" s="857"/>
      <c r="O108" s="857"/>
      <c r="P108" s="857"/>
      <c r="Q108" s="857"/>
      <c r="R108" s="857"/>
      <c r="S108" s="857"/>
      <c r="T108" s="857"/>
      <c r="U108" s="857"/>
      <c r="V108" s="857"/>
      <c r="W108" s="857"/>
      <c r="X108" s="857"/>
      <c r="Y108" s="857"/>
      <c r="Z108" s="857"/>
      <c r="AA108" s="857"/>
      <c r="AB108" s="857"/>
      <c r="AC108" s="857"/>
      <c r="AD108" s="857"/>
      <c r="AE108" s="857"/>
    </row>
    <row r="109" spans="1:31">
      <c r="A109" s="857"/>
      <c r="B109" s="857"/>
      <c r="C109" s="857"/>
      <c r="D109" s="857"/>
      <c r="E109" s="857"/>
      <c r="F109" s="857"/>
      <c r="G109" s="857"/>
      <c r="H109" s="857"/>
      <c r="I109" s="857"/>
      <c r="J109" s="857"/>
      <c r="K109" s="857"/>
      <c r="L109" s="857"/>
      <c r="M109" s="857"/>
      <c r="N109" s="857"/>
      <c r="O109" s="857"/>
      <c r="P109" s="857"/>
      <c r="Q109" s="857"/>
      <c r="R109" s="857"/>
      <c r="S109" s="857"/>
      <c r="T109" s="857"/>
      <c r="U109" s="857"/>
      <c r="V109" s="857"/>
      <c r="W109" s="857"/>
      <c r="X109" s="857"/>
      <c r="Y109" s="857"/>
      <c r="Z109" s="857"/>
      <c r="AA109" s="857"/>
      <c r="AB109" s="857"/>
      <c r="AC109" s="857"/>
      <c r="AD109" s="857"/>
      <c r="AE109" s="857"/>
    </row>
    <row r="110" spans="1:31">
      <c r="A110" s="857"/>
      <c r="B110" s="857"/>
      <c r="C110" s="857"/>
      <c r="D110" s="857"/>
      <c r="E110" s="857"/>
      <c r="F110" s="857"/>
      <c r="G110" s="857"/>
      <c r="H110" s="857"/>
      <c r="I110" s="857"/>
      <c r="J110" s="857"/>
      <c r="K110" s="857"/>
      <c r="L110" s="857"/>
      <c r="M110" s="857"/>
      <c r="N110" s="857"/>
      <c r="O110" s="857"/>
      <c r="P110" s="857"/>
      <c r="Q110" s="857"/>
      <c r="R110" s="857"/>
      <c r="S110" s="857"/>
      <c r="T110" s="857"/>
      <c r="U110" s="857"/>
      <c r="V110" s="857"/>
      <c r="W110" s="857"/>
      <c r="X110" s="857"/>
      <c r="Y110" s="857"/>
      <c r="Z110" s="857"/>
      <c r="AA110" s="857"/>
      <c r="AB110" s="857"/>
      <c r="AC110" s="857"/>
      <c r="AD110" s="857"/>
      <c r="AE110" s="857"/>
    </row>
    <row r="111" spans="1:31">
      <c r="A111" s="857"/>
      <c r="B111" s="857"/>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c r="AA111" s="857"/>
      <c r="AB111" s="857"/>
      <c r="AC111" s="857"/>
      <c r="AD111" s="857"/>
      <c r="AE111" s="857"/>
    </row>
    <row r="112" spans="1:31">
      <c r="A112" s="857"/>
      <c r="B112" s="857"/>
      <c r="C112" s="857"/>
      <c r="D112" s="857"/>
      <c r="E112" s="857"/>
      <c r="F112" s="857"/>
      <c r="G112" s="857"/>
      <c r="H112" s="857"/>
      <c r="I112" s="857"/>
      <c r="J112" s="857"/>
      <c r="K112" s="857"/>
      <c r="L112" s="857"/>
      <c r="M112" s="857"/>
      <c r="N112" s="857"/>
      <c r="O112" s="857"/>
      <c r="P112" s="857"/>
      <c r="Q112" s="857"/>
      <c r="R112" s="857"/>
      <c r="S112" s="857"/>
      <c r="T112" s="857"/>
      <c r="U112" s="857"/>
      <c r="V112" s="857"/>
      <c r="W112" s="857"/>
      <c r="X112" s="857"/>
      <c r="Y112" s="857"/>
      <c r="Z112" s="857"/>
      <c r="AA112" s="857"/>
      <c r="AB112" s="857"/>
      <c r="AC112" s="857"/>
      <c r="AD112" s="857"/>
      <c r="AE112" s="857"/>
    </row>
    <row r="113" spans="1:31">
      <c r="A113" s="857"/>
      <c r="B113" s="857"/>
      <c r="C113" s="857"/>
      <c r="D113" s="857"/>
      <c r="E113" s="857"/>
      <c r="F113" s="857"/>
      <c r="G113" s="857"/>
      <c r="H113" s="857"/>
      <c r="I113" s="857"/>
      <c r="J113" s="857"/>
      <c r="K113" s="857"/>
      <c r="L113" s="857"/>
      <c r="M113" s="857"/>
      <c r="N113" s="857"/>
      <c r="O113" s="857"/>
      <c r="P113" s="857"/>
      <c r="Q113" s="857"/>
      <c r="R113" s="857"/>
      <c r="S113" s="857"/>
      <c r="T113" s="857"/>
      <c r="U113" s="857"/>
      <c r="V113" s="857"/>
      <c r="W113" s="857"/>
      <c r="X113" s="857"/>
      <c r="Y113" s="857"/>
      <c r="Z113" s="857"/>
      <c r="AA113" s="857"/>
      <c r="AB113" s="857"/>
      <c r="AC113" s="857"/>
      <c r="AD113" s="857"/>
      <c r="AE113" s="857"/>
    </row>
    <row r="114" spans="1:31">
      <c r="A114" s="857"/>
      <c r="B114" s="857"/>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c r="Y114" s="857"/>
      <c r="Z114" s="857"/>
      <c r="AA114" s="857"/>
      <c r="AB114" s="857"/>
      <c r="AC114" s="857"/>
      <c r="AD114" s="857"/>
      <c r="AE114" s="857"/>
    </row>
    <row r="115" spans="1:31">
      <c r="A115" s="857"/>
      <c r="B115" s="857"/>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c r="Y115" s="857"/>
      <c r="Z115" s="857"/>
      <c r="AA115" s="857"/>
      <c r="AB115" s="857"/>
      <c r="AC115" s="857"/>
      <c r="AD115" s="857"/>
      <c r="AE115" s="857"/>
    </row>
    <row r="116" spans="1:31">
      <c r="A116" s="857"/>
      <c r="B116" s="857"/>
      <c r="C116" s="857"/>
      <c r="D116" s="857"/>
      <c r="E116" s="857"/>
      <c r="F116" s="857"/>
      <c r="G116" s="857"/>
      <c r="H116" s="857"/>
      <c r="I116" s="857"/>
      <c r="J116" s="857"/>
      <c r="K116" s="857"/>
      <c r="L116" s="857"/>
      <c r="M116" s="857"/>
      <c r="N116" s="857"/>
      <c r="O116" s="857"/>
      <c r="P116" s="857"/>
      <c r="Q116" s="857"/>
      <c r="R116" s="857"/>
      <c r="S116" s="857"/>
      <c r="T116" s="857"/>
      <c r="U116" s="857"/>
      <c r="V116" s="857"/>
      <c r="W116" s="857"/>
      <c r="X116" s="857"/>
      <c r="Y116" s="857"/>
      <c r="Z116" s="857"/>
      <c r="AA116" s="857"/>
      <c r="AB116" s="857"/>
      <c r="AC116" s="857"/>
      <c r="AD116" s="857"/>
      <c r="AE116" s="857"/>
    </row>
    <row r="117" spans="1:31">
      <c r="A117" s="857"/>
      <c r="B117" s="857"/>
      <c r="C117" s="857"/>
      <c r="D117" s="857"/>
      <c r="E117" s="857"/>
      <c r="F117" s="857"/>
      <c r="G117" s="857"/>
      <c r="H117" s="857"/>
      <c r="I117" s="857"/>
      <c r="J117" s="857"/>
      <c r="K117" s="857"/>
      <c r="L117" s="857"/>
      <c r="M117" s="857"/>
      <c r="N117" s="857"/>
      <c r="O117" s="857"/>
      <c r="P117" s="857"/>
      <c r="Q117" s="857"/>
      <c r="R117" s="857"/>
      <c r="S117" s="857"/>
      <c r="T117" s="857"/>
      <c r="U117" s="857"/>
      <c r="V117" s="857"/>
      <c r="W117" s="857"/>
      <c r="X117" s="857"/>
      <c r="Y117" s="857"/>
      <c r="Z117" s="857"/>
      <c r="AA117" s="857"/>
      <c r="AB117" s="857"/>
      <c r="AC117" s="857"/>
      <c r="AD117" s="857"/>
      <c r="AE117" s="857"/>
    </row>
    <row r="118" spans="1:31">
      <c r="A118" s="857"/>
      <c r="B118" s="857"/>
      <c r="C118" s="857"/>
      <c r="D118" s="857"/>
      <c r="E118" s="857"/>
      <c r="F118" s="857"/>
      <c r="G118" s="857"/>
      <c r="H118" s="857"/>
      <c r="I118" s="857"/>
      <c r="J118" s="857"/>
      <c r="K118" s="857"/>
      <c r="L118" s="857"/>
      <c r="M118" s="857"/>
      <c r="N118" s="857"/>
      <c r="O118" s="857"/>
      <c r="P118" s="857"/>
      <c r="Q118" s="857"/>
      <c r="R118" s="857"/>
      <c r="S118" s="857"/>
      <c r="T118" s="857"/>
      <c r="U118" s="857"/>
      <c r="V118" s="857"/>
      <c r="W118" s="857"/>
      <c r="X118" s="857"/>
      <c r="Y118" s="857"/>
      <c r="Z118" s="857"/>
      <c r="AA118" s="857"/>
      <c r="AB118" s="857"/>
      <c r="AC118" s="857"/>
      <c r="AD118" s="857"/>
      <c r="AE118" s="857"/>
    </row>
    <row r="119" spans="1:31">
      <c r="A119" s="857"/>
      <c r="B119" s="857"/>
      <c r="C119" s="857"/>
      <c r="D119" s="857"/>
      <c r="E119" s="857"/>
      <c r="F119" s="857"/>
      <c r="G119" s="857"/>
      <c r="H119" s="857"/>
      <c r="I119" s="857"/>
      <c r="J119" s="857"/>
      <c r="K119" s="857"/>
      <c r="L119" s="857"/>
      <c r="M119" s="857"/>
      <c r="N119" s="857"/>
      <c r="O119" s="857"/>
      <c r="P119" s="857"/>
      <c r="Q119" s="857"/>
      <c r="R119" s="857"/>
      <c r="S119" s="857"/>
      <c r="T119" s="857"/>
      <c r="U119" s="857"/>
      <c r="V119" s="857"/>
      <c r="W119" s="857"/>
      <c r="X119" s="857"/>
      <c r="Y119" s="857"/>
      <c r="Z119" s="857"/>
      <c r="AA119" s="857"/>
      <c r="AB119" s="857"/>
      <c r="AC119" s="857"/>
      <c r="AD119" s="857"/>
      <c r="AE119" s="857"/>
    </row>
    <row r="120" spans="1:31">
      <c r="A120" s="857"/>
      <c r="B120" s="857"/>
      <c r="C120" s="857"/>
      <c r="D120" s="857"/>
      <c r="E120" s="857"/>
      <c r="F120" s="857"/>
      <c r="G120" s="857"/>
      <c r="H120" s="857"/>
      <c r="I120" s="857"/>
      <c r="J120" s="857"/>
      <c r="K120" s="857"/>
      <c r="L120" s="857"/>
      <c r="M120" s="857"/>
      <c r="N120" s="857"/>
      <c r="O120" s="857"/>
      <c r="P120" s="857"/>
      <c r="Q120" s="857"/>
      <c r="R120" s="857"/>
      <c r="S120" s="857"/>
      <c r="T120" s="857"/>
      <c r="U120" s="857"/>
      <c r="V120" s="857"/>
      <c r="W120" s="857"/>
      <c r="X120" s="857"/>
      <c r="Y120" s="857"/>
      <c r="Z120" s="857"/>
      <c r="AA120" s="857"/>
      <c r="AB120" s="857"/>
      <c r="AC120" s="857"/>
      <c r="AD120" s="857"/>
      <c r="AE120" s="857"/>
    </row>
    <row r="121" spans="1:31">
      <c r="B121" s="857"/>
      <c r="C121" s="857"/>
      <c r="D121" s="857"/>
      <c r="E121" s="857"/>
      <c r="F121" s="857"/>
      <c r="G121" s="857"/>
      <c r="H121" s="857"/>
      <c r="I121" s="857"/>
      <c r="J121" s="857"/>
      <c r="K121" s="857"/>
      <c r="L121" s="857"/>
      <c r="M121" s="857"/>
      <c r="N121" s="857"/>
      <c r="O121" s="857"/>
      <c r="P121" s="857"/>
      <c r="Q121" s="857"/>
      <c r="R121" s="857"/>
      <c r="S121" s="857"/>
      <c r="T121" s="857"/>
      <c r="U121" s="857"/>
      <c r="V121" s="857"/>
      <c r="W121" s="857"/>
      <c r="X121" s="857"/>
      <c r="Y121" s="857"/>
      <c r="Z121" s="857"/>
      <c r="AA121" s="857"/>
      <c r="AB121" s="857"/>
      <c r="AC121" s="857"/>
      <c r="AD121" s="857"/>
      <c r="AE121" s="857"/>
    </row>
    <row r="122" spans="1:31">
      <c r="B122" s="857"/>
      <c r="C122" s="857"/>
      <c r="D122" s="857"/>
      <c r="E122" s="857"/>
      <c r="F122" s="857"/>
      <c r="G122" s="857"/>
      <c r="H122" s="857"/>
      <c r="I122" s="857"/>
      <c r="J122" s="857"/>
      <c r="K122" s="857"/>
      <c r="L122" s="857"/>
      <c r="M122" s="857"/>
      <c r="N122" s="857"/>
      <c r="O122" s="857"/>
      <c r="P122" s="857"/>
      <c r="Q122" s="857"/>
      <c r="R122" s="857"/>
      <c r="S122" s="857"/>
      <c r="T122" s="857"/>
      <c r="U122" s="857"/>
      <c r="V122" s="857"/>
      <c r="W122" s="857"/>
      <c r="X122" s="857"/>
      <c r="Y122" s="857"/>
      <c r="Z122" s="857"/>
      <c r="AA122" s="857"/>
      <c r="AB122" s="857"/>
      <c r="AC122" s="857"/>
      <c r="AD122" s="857"/>
      <c r="AE122" s="857"/>
    </row>
    <row r="123" spans="1:31">
      <c r="B123" s="857"/>
      <c r="C123" s="857"/>
      <c r="D123" s="857"/>
      <c r="E123" s="857"/>
      <c r="F123" s="857"/>
      <c r="G123" s="857"/>
      <c r="H123" s="857"/>
      <c r="I123" s="857"/>
      <c r="J123" s="857"/>
      <c r="K123" s="857"/>
      <c r="L123" s="857"/>
      <c r="M123" s="857"/>
      <c r="N123" s="857"/>
      <c r="O123" s="857"/>
      <c r="P123" s="857"/>
      <c r="Q123" s="857"/>
      <c r="R123" s="857"/>
      <c r="S123" s="857"/>
      <c r="T123" s="857"/>
      <c r="U123" s="857"/>
      <c r="V123" s="857"/>
      <c r="W123" s="857"/>
      <c r="X123" s="857"/>
      <c r="Y123" s="857"/>
      <c r="Z123" s="857"/>
      <c r="AA123" s="857"/>
      <c r="AB123" s="857"/>
      <c r="AC123" s="857"/>
      <c r="AD123" s="857"/>
      <c r="AE123" s="857"/>
    </row>
    <row r="124" spans="1:31">
      <c r="B124" s="857"/>
      <c r="C124" s="857"/>
      <c r="D124" s="857"/>
      <c r="E124" s="857"/>
      <c r="F124" s="857"/>
      <c r="G124" s="857"/>
      <c r="H124" s="857"/>
      <c r="I124" s="857"/>
      <c r="J124" s="857"/>
      <c r="K124" s="857"/>
      <c r="L124" s="857"/>
      <c r="M124" s="857"/>
      <c r="N124" s="857"/>
      <c r="O124" s="857"/>
      <c r="P124" s="857"/>
      <c r="Q124" s="857"/>
      <c r="R124" s="857"/>
      <c r="S124" s="857"/>
      <c r="T124" s="857"/>
      <c r="U124" s="857"/>
      <c r="V124" s="857"/>
      <c r="W124" s="857"/>
      <c r="X124" s="857"/>
      <c r="Y124" s="857"/>
      <c r="Z124" s="857"/>
      <c r="AA124" s="857"/>
      <c r="AB124" s="857"/>
      <c r="AC124" s="857"/>
      <c r="AD124" s="857"/>
      <c r="AE124" s="857"/>
    </row>
    <row r="125" spans="1:31">
      <c r="B125" s="857"/>
      <c r="C125" s="857"/>
      <c r="D125" s="857"/>
      <c r="E125" s="857"/>
      <c r="F125" s="857"/>
      <c r="G125" s="857"/>
      <c r="H125" s="857"/>
      <c r="I125" s="857"/>
      <c r="J125" s="857"/>
      <c r="K125" s="857"/>
      <c r="L125" s="857"/>
      <c r="M125" s="857"/>
      <c r="N125" s="857"/>
      <c r="O125" s="857"/>
      <c r="P125" s="857"/>
      <c r="Q125" s="857"/>
      <c r="R125" s="857"/>
      <c r="S125" s="857"/>
      <c r="T125" s="857"/>
      <c r="U125" s="857"/>
      <c r="V125" s="857"/>
      <c r="W125" s="857"/>
      <c r="X125" s="857"/>
      <c r="Y125" s="857"/>
      <c r="Z125" s="857"/>
      <c r="AA125" s="857"/>
      <c r="AB125" s="857"/>
      <c r="AC125" s="857"/>
      <c r="AD125" s="857"/>
      <c r="AE125" s="857"/>
    </row>
  </sheetData>
  <sheetProtection algorithmName="SHA-512" hashValue="iyzkhoSNjVBGqlqgDTcyVj0B7LiMpCvTCpfojpmT9vAdT57DtK8F56B0rA085QRbmm72IUOhWmtsI4zKUCymeA==" saltValue="5UJZYOgCTXXWMtqokSNkdA==" spinCount="100000" sheet="1" objects="1" scenarios="1"/>
  <hyperlinks>
    <hyperlink ref="J9" r:id="rId1" xr:uid="{00000000-0004-0000-0600-000000000000}"/>
    <hyperlink ref="C9" r:id="rId2" xr:uid="{00000000-0004-0000-0600-000001000000}"/>
    <hyperlink ref="C19" r:id="rId3" xr:uid="{00000000-0004-0000-0600-000002000000}"/>
  </hyperlinks>
  <pageMargins left="0.7" right="0.7" top="0.78740157499999996" bottom="0.78740157499999996" header="0.3" footer="0.3"/>
  <pageSetup paperSize="9" scale="32" fitToHeight="0" orientation="landscape" horizontalDpi="1200" verticalDpi="1200"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46CE-6809-4C94-B744-1DF8026EB5D9}">
  <sheetPr codeName="Tabelle12">
    <tabColor theme="5" tint="-0.499984740745262"/>
  </sheetPr>
  <dimension ref="A1:O33"/>
  <sheetViews>
    <sheetView workbookViewId="0">
      <selection activeCell="D9" sqref="D9"/>
    </sheetView>
  </sheetViews>
  <sheetFormatPr baseColWidth="10" defaultColWidth="11.5703125" defaultRowHeight="14.25"/>
  <cols>
    <col min="1" max="1" width="74.85546875" style="1314" customWidth="1"/>
    <col min="2" max="7" width="11.85546875" style="1314" customWidth="1"/>
    <col min="8" max="13" width="12.28515625" style="1314" customWidth="1"/>
    <col min="14" max="16384" width="11.5703125" style="1314"/>
  </cols>
  <sheetData>
    <row r="1" spans="1:15" ht="15.75" thickBot="1">
      <c r="B1" s="1363">
        <v>2019</v>
      </c>
      <c r="C1" s="1363">
        <v>2020</v>
      </c>
      <c r="D1" s="1363">
        <v>2021</v>
      </c>
      <c r="E1" s="1363">
        <v>2022</v>
      </c>
      <c r="F1" s="1363">
        <v>2023</v>
      </c>
      <c r="G1" s="1363">
        <f>F1+1</f>
        <v>2024</v>
      </c>
      <c r="H1" s="1363">
        <f t="shared" ref="H1:M1" si="0">G1+1</f>
        <v>2025</v>
      </c>
      <c r="I1" s="1363">
        <f t="shared" si="0"/>
        <v>2026</v>
      </c>
      <c r="J1" s="1363">
        <f t="shared" si="0"/>
        <v>2027</v>
      </c>
      <c r="K1" s="1363">
        <f t="shared" si="0"/>
        <v>2028</v>
      </c>
      <c r="L1" s="1363">
        <f t="shared" si="0"/>
        <v>2029</v>
      </c>
      <c r="M1" s="1363">
        <f t="shared" si="0"/>
        <v>2030</v>
      </c>
    </row>
    <row r="2" spans="1:15">
      <c r="A2" s="1315" t="s">
        <v>970</v>
      </c>
      <c r="B2" s="1364">
        <f>'MOD-Berechnungen'!O181</f>
        <v>46.28</v>
      </c>
      <c r="C2" s="1377">
        <f>'MOD-Berechnungen'!P181</f>
        <v>49.34</v>
      </c>
      <c r="D2" s="1377">
        <f>'MOD-Berechnungen'!Q181</f>
        <v>40.74</v>
      </c>
      <c r="E2" s="1377">
        <f>'MOD-Berechnungen'!R181</f>
        <v>78.400000000000006</v>
      </c>
      <c r="F2" s="1377">
        <f>'MOD-Berechnungen'!S181</f>
        <v>87.52</v>
      </c>
      <c r="G2" s="1377">
        <f>'MOD-Berechnungen'!T181</f>
        <v>72.53</v>
      </c>
      <c r="H2" s="1377">
        <f>'MOD-Berechnungen'!U181</f>
        <v>71.599999999999994</v>
      </c>
      <c r="I2" s="1377">
        <f>'MOD-Berechnungen'!V181</f>
        <v>70.62</v>
      </c>
      <c r="J2" s="1377">
        <f>'MOD-Berechnungen'!W181</f>
        <v>70.350000000000009</v>
      </c>
      <c r="K2" s="1377">
        <f>'MOD-Berechnungen'!X181</f>
        <v>69.61</v>
      </c>
      <c r="L2" s="1377">
        <f>'MOD-Berechnungen'!Y181</f>
        <v>68.930000000000007</v>
      </c>
      <c r="M2" s="1377">
        <f>'MOD-Berechnungen'!Z181</f>
        <v>68.58</v>
      </c>
    </row>
    <row r="3" spans="1:15">
      <c r="A3" s="1316" t="s">
        <v>971</v>
      </c>
      <c r="B3" s="1365">
        <f>SUM('GrD-Grafikdaten (2)'!P$99:P$112)</f>
        <v>33.464938749090436</v>
      </c>
      <c r="C3" s="1367">
        <f>SUM('GrD-Grafikdaten (2)'!Q$99:Q$112)</f>
        <v>34.398569474325541</v>
      </c>
      <c r="D3" s="1367">
        <f>SUM('GrD-Grafikdaten (2)'!R$99:R$112)</f>
        <v>34.61805086481364</v>
      </c>
      <c r="E3" s="1367">
        <f>SUM('GrD-Grafikdaten (2)'!S$99:S$112)</f>
        <v>34.72780946899335</v>
      </c>
      <c r="F3" s="1367">
        <f>SUM('GrD-Grafikdaten (2)'!T$99:T$112)</f>
        <v>35.527691301415487</v>
      </c>
      <c r="G3" s="1367">
        <f>SUM('GrD-Grafikdaten (2)'!U$99:U$112)</f>
        <v>35.391465925755057</v>
      </c>
      <c r="H3" s="1367">
        <f>SUM('GrD-Grafikdaten (2)'!V$99:V$112)</f>
        <v>35.209441987959963</v>
      </c>
      <c r="I3" s="1367">
        <f>SUM('GrD-Grafikdaten (2)'!W$99:W$112)</f>
        <v>34.359549452613777</v>
      </c>
      <c r="J3" s="1367">
        <f>SUM('GrD-Grafikdaten (2)'!X$99:X$112)</f>
        <v>32.825287266655181</v>
      </c>
      <c r="K3" s="1367">
        <f>SUM('GrD-Grafikdaten (2)'!Y$99:Y$112)</f>
        <v>31.667776385515992</v>
      </c>
      <c r="L3" s="1367">
        <f>SUM('GrD-Grafikdaten (2)'!Z$99:Z$112)</f>
        <v>30.622247296950242</v>
      </c>
      <c r="M3" s="1369">
        <f>SUM('GrD-Grafikdaten (2)'!AA$99:AA$112)</f>
        <v>28.693484815169747</v>
      </c>
    </row>
    <row r="4" spans="1:15">
      <c r="A4" s="1316" t="s">
        <v>972</v>
      </c>
      <c r="B4" s="1365">
        <f>'GrD-Grafikdaten'!O$180</f>
        <v>6.406581826229905</v>
      </c>
      <c r="C4" s="1367">
        <f>'GrD-Grafikdaten'!P$180</f>
        <v>6.7581163138201807</v>
      </c>
      <c r="D4" s="1367">
        <f>'GrD-Grafikdaten'!Q$180</f>
        <v>6.5036153637169205</v>
      </c>
      <c r="E4" s="1367">
        <f>'GrD-Grafikdaten'!R$180</f>
        <v>3.7230827721473405</v>
      </c>
      <c r="F4" s="1367">
        <f ca="1">'GrD-Grafikdaten'!S$180</f>
        <v>2.2272344363967198</v>
      </c>
      <c r="G4" s="1367">
        <f ca="1">'GrD-Grafikdaten'!T$180</f>
        <v>3.997717348887194</v>
      </c>
      <c r="H4" s="1367">
        <f ca="1">'GrD-Grafikdaten'!U$180</f>
        <v>3.5327567363462515</v>
      </c>
      <c r="I4" s="1367">
        <f ca="1">'GrD-Grafikdaten'!V$180</f>
        <v>3.3456608408726511</v>
      </c>
      <c r="J4" s="1367">
        <f ca="1">'GrD-Grafikdaten'!W$180</f>
        <v>2.7477292039835279</v>
      </c>
      <c r="K4" s="1367">
        <f ca="1">'GrD-Grafikdaten'!X$180</f>
        <v>2.3631891682261594</v>
      </c>
      <c r="L4" s="1367">
        <f ca="1">'GrD-Grafikdaten'!Y$180</f>
        <v>1.9970413628901464</v>
      </c>
      <c r="M4" s="1369">
        <f ca="1">'GrD-Grafikdaten'!Z$180</f>
        <v>1.5260557430647477</v>
      </c>
    </row>
    <row r="5" spans="1:15">
      <c r="A5" s="1316" t="s">
        <v>276</v>
      </c>
      <c r="B5" s="1366">
        <f>'MOD-Berechnungen'!O186</f>
        <v>354.66726129538745</v>
      </c>
      <c r="C5" s="1368">
        <f>'MOD-Berechnungen'!P186</f>
        <v>355.83902681963139</v>
      </c>
      <c r="D5" s="1368">
        <f>'MOD-Berechnungen'!Q186</f>
        <v>344.3843929356766</v>
      </c>
      <c r="E5" s="1368">
        <f>'MOD-Berechnungen'!R186</f>
        <v>350.43121045918406</v>
      </c>
      <c r="F5" s="1368">
        <f>'MOD-Berechnungen'!S186</f>
        <v>351.65670871715338</v>
      </c>
      <c r="G5" s="1368">
        <f>'MOD-Berechnungen'!T186</f>
        <v>347.89191503554167</v>
      </c>
      <c r="H5" s="1368">
        <f>'MOD-Berechnungen'!U186</f>
        <v>344.58420735144824</v>
      </c>
      <c r="I5" s="1368">
        <f>'MOD-Berechnungen'!V186</f>
        <v>342.53824657393028</v>
      </c>
      <c r="J5" s="1368">
        <f>'MOD-Berechnungen'!W186</f>
        <v>364.34117677239362</v>
      </c>
      <c r="K5" s="1368">
        <f>'MOD-Berechnungen'!X186</f>
        <v>386.2774378443678</v>
      </c>
      <c r="L5" s="1368">
        <f>'MOD-Berechnungen'!Y186</f>
        <v>408.35038565683288</v>
      </c>
      <c r="M5" s="1370">
        <f>'MOD-Berechnungen'!Z186</f>
        <v>430.58401900727017</v>
      </c>
    </row>
    <row r="6" spans="1:15">
      <c r="A6" s="1316" t="s">
        <v>973</v>
      </c>
      <c r="B6" s="1366">
        <f>'MOD-Berechnungen'!O372</f>
        <v>24.881022321186435</v>
      </c>
      <c r="C6" s="1368">
        <f>'MOD-Berechnungen'!P372</f>
        <v>24.294834018302296</v>
      </c>
      <c r="D6" s="1368">
        <f>'MOD-Berechnungen'!Q372</f>
        <v>26.470038192870835</v>
      </c>
      <c r="E6" s="1368">
        <f>'MOD-Berechnungen'!R372</f>
        <v>19.851235874736449</v>
      </c>
      <c r="F6" s="1368">
        <f>'MOD-Berechnungen'!S372</f>
        <v>15.905072964073817</v>
      </c>
      <c r="G6" s="1368">
        <f>'MOD-Berechnungen'!T372</f>
        <v>18.549094170373753</v>
      </c>
      <c r="H6" s="1368">
        <f>'MOD-Berechnungen'!U372</f>
        <v>18.666290045109481</v>
      </c>
      <c r="I6" s="1368">
        <f>'MOD-Berechnungen'!V372</f>
        <v>17.528439040889019</v>
      </c>
      <c r="J6" s="1368">
        <f>'MOD-Berechnungen'!W372</f>
        <v>16.096995527137405</v>
      </c>
      <c r="K6" s="1368">
        <f>'MOD-Berechnungen'!X372</f>
        <v>15.183288964214979</v>
      </c>
      <c r="L6" s="1368">
        <f>'MOD-Berechnungen'!Y372</f>
        <v>14.213135325416305</v>
      </c>
      <c r="M6" s="1370">
        <f>'MOD-Berechnungen'!Z372</f>
        <v>12.663905915381537</v>
      </c>
    </row>
    <row r="7" spans="1:15">
      <c r="A7" s="1316" t="s">
        <v>449</v>
      </c>
      <c r="B7" s="1366">
        <f>'MOD-Berechnungen'!O381</f>
        <v>1.492861339271186</v>
      </c>
      <c r="C7" s="1368">
        <f>'MOD-Berechnungen'!P381</f>
        <v>1.9435867214641838</v>
      </c>
      <c r="D7" s="1368">
        <f>'MOD-Berechnungen'!Q381</f>
        <v>2.6470038192870837</v>
      </c>
      <c r="E7" s="1368">
        <f>'MOD-Berechnungen'!R381</f>
        <v>0.99256179373682252</v>
      </c>
      <c r="F7" s="1368">
        <f>'MOD-Berechnungen'!S381</f>
        <v>0.95430437784442901</v>
      </c>
      <c r="G7" s="1368">
        <f>'MOD-Berechnungen'!T381</f>
        <v>1.1129456502224251</v>
      </c>
      <c r="H7" s="1368">
        <f>'MOD-Berechnungen'!U381</f>
        <v>1.1199774027065688</v>
      </c>
      <c r="I7" s="1368">
        <f>'MOD-Berechnungen'!V381</f>
        <v>1.051706342453341</v>
      </c>
      <c r="J7" s="1368">
        <f>'MOD-Berechnungen'!W381</f>
        <v>0.9658197316282443</v>
      </c>
      <c r="K7" s="1368">
        <f>'MOD-Berechnungen'!X381</f>
        <v>0.91099733785289871</v>
      </c>
      <c r="L7" s="1368">
        <f>'MOD-Berechnungen'!Y381</f>
        <v>0.85278811952497824</v>
      </c>
      <c r="M7" s="1370">
        <f>'MOD-Berechnungen'!Z381</f>
        <v>0.7598343549228922</v>
      </c>
    </row>
    <row r="8" spans="1:15">
      <c r="A8" s="1316" t="s">
        <v>450</v>
      </c>
      <c r="B8" s="1366">
        <f>'MOD-Berechnungen'!O382</f>
        <v>3.6518353547200002</v>
      </c>
      <c r="C8" s="1368">
        <f>'MOD-Berechnungen'!P382</f>
        <v>2.19040541733</v>
      </c>
      <c r="D8" s="1368">
        <f>'MOD-Berechnungen'!Q382</f>
        <v>-4.0803942770500008</v>
      </c>
      <c r="E8" s="1368">
        <f>'MOD-Berechnungen'!R382</f>
        <v>4.5469536436400002</v>
      </c>
      <c r="F8" s="1368">
        <f ca="1">'MOD-Berechnungen'!S382</f>
        <v>5.9271580274705027</v>
      </c>
      <c r="G8" s="1368">
        <f ca="1">'MOD-Berechnungen'!T382</f>
        <v>0.95430437784443045</v>
      </c>
      <c r="H8" s="1368">
        <f ca="1">'MOD-Berechnungen'!U382</f>
        <v>1.1129456502224246</v>
      </c>
      <c r="I8" s="1368">
        <f ca="1">'MOD-Berechnungen'!V382</f>
        <v>1.1199774027065672</v>
      </c>
      <c r="J8" s="1368">
        <f ca="1">'MOD-Berechnungen'!W382</f>
        <v>1.0517063424533397</v>
      </c>
      <c r="K8" s="1368">
        <f ca="1">'MOD-Berechnungen'!X382</f>
        <v>0.96581973162824397</v>
      </c>
      <c r="L8" s="1368">
        <f ca="1">'MOD-Berechnungen'!Y382</f>
        <v>0.91099733785289949</v>
      </c>
      <c r="M8" s="1370">
        <f ca="1">'MOD-Berechnungen'!Z382</f>
        <v>0.85278811952497868</v>
      </c>
    </row>
    <row r="9" spans="1:15">
      <c r="A9" s="1316" t="s">
        <v>868</v>
      </c>
      <c r="B9" s="1371">
        <v>0</v>
      </c>
      <c r="C9" s="1372">
        <f>'D-Zuschuss'!P6</f>
        <v>0</v>
      </c>
      <c r="D9" s="1372">
        <f>'D-Zuschuss'!Q6</f>
        <v>10.8</v>
      </c>
      <c r="E9" s="1372">
        <f>'D-Zuschuss'!R6</f>
        <v>3.25</v>
      </c>
      <c r="F9" s="1372">
        <f>'D-Zuschuss'!S6</f>
        <v>3.1</v>
      </c>
      <c r="G9" s="1372">
        <f>'D-Zuschuss'!T6</f>
        <v>4.8</v>
      </c>
      <c r="H9" s="1372">
        <f>'D-Zuschuss'!U6</f>
        <v>6.5</v>
      </c>
      <c r="I9" s="1372">
        <f>'D-Zuschuss'!V6</f>
        <v>6</v>
      </c>
      <c r="J9" s="1372">
        <f>'D-Zuschuss'!W6</f>
        <v>6</v>
      </c>
      <c r="K9" s="1372">
        <f>'D-Zuschuss'!X6</f>
        <v>6</v>
      </c>
      <c r="L9" s="1372">
        <f>'D-Zuschuss'!Y6</f>
        <v>6</v>
      </c>
      <c r="M9" s="1381">
        <f>'D-Zuschuss'!Z6</f>
        <v>6</v>
      </c>
    </row>
    <row r="10" spans="1:15" ht="15" thickBot="1">
      <c r="A10" s="1320" t="s">
        <v>974</v>
      </c>
      <c r="B10" s="1373">
        <f>B6+B7-B8-B9</f>
        <v>22.722048305737623</v>
      </c>
      <c r="C10" s="1374">
        <f t="shared" ref="C10:M10" si="1">C6+C7-C8-C9</f>
        <v>24.048015322436477</v>
      </c>
      <c r="D10" s="1374">
        <f t="shared" si="1"/>
        <v>22.397436289207914</v>
      </c>
      <c r="E10" s="1374">
        <f t="shared" si="1"/>
        <v>13.04684402483327</v>
      </c>
      <c r="F10" s="1374">
        <f t="shared" ca="1" si="1"/>
        <v>7.8322193144477446</v>
      </c>
      <c r="G10" s="1374">
        <f t="shared" ca="1" si="1"/>
        <v>13.907735442751747</v>
      </c>
      <c r="H10" s="1374">
        <f t="shared" ca="1" si="1"/>
        <v>12.173321797593623</v>
      </c>
      <c r="I10" s="1374">
        <f t="shared" ca="1" si="1"/>
        <v>11.460167980635791</v>
      </c>
      <c r="J10" s="1374">
        <f t="shared" ca="1" si="1"/>
        <v>10.01110891631231</v>
      </c>
      <c r="K10" s="1374">
        <f t="shared" ca="1" si="1"/>
        <v>9.1284665704396346</v>
      </c>
      <c r="L10" s="1374">
        <f t="shared" ca="1" si="1"/>
        <v>8.1549261070883841</v>
      </c>
      <c r="M10" s="1375">
        <f t="shared" ca="1" si="1"/>
        <v>6.5709521507794513</v>
      </c>
    </row>
    <row r="11" spans="1:15" ht="15" thickBot="1">
      <c r="A11" s="1316"/>
      <c r="B11" s="1317"/>
      <c r="C11" s="1318"/>
      <c r="D11" s="1318"/>
      <c r="E11" s="1318"/>
      <c r="F11" s="1318"/>
      <c r="G11" s="1318"/>
      <c r="H11" s="1318"/>
      <c r="I11" s="1318"/>
      <c r="J11" s="1318"/>
      <c r="K11" s="1318"/>
      <c r="L11" s="1318"/>
      <c r="M11" s="1319"/>
      <c r="O11" s="1321"/>
    </row>
    <row r="12" spans="1:15" s="1322" customFormat="1" ht="15" thickBot="1">
      <c r="A12" s="1315" t="s">
        <v>455</v>
      </c>
      <c r="B12" s="1364">
        <f t="shared" ref="B12:M12" si="2">B10/B5*100</f>
        <v>6.406581826229905</v>
      </c>
      <c r="C12" s="1377">
        <f t="shared" si="2"/>
        <v>6.7581163138201807</v>
      </c>
      <c r="D12" s="1377">
        <f t="shared" si="2"/>
        <v>6.5036153637169205</v>
      </c>
      <c r="E12" s="1377">
        <f t="shared" si="2"/>
        <v>3.7230827721473405</v>
      </c>
      <c r="F12" s="1377">
        <f t="shared" ca="1" si="2"/>
        <v>2.2272344363967198</v>
      </c>
      <c r="G12" s="1377">
        <f t="shared" ca="1" si="2"/>
        <v>3.997717348887194</v>
      </c>
      <c r="H12" s="1377">
        <f t="shared" ca="1" si="2"/>
        <v>3.5327567363462515</v>
      </c>
      <c r="I12" s="1377">
        <f t="shared" ca="1" si="2"/>
        <v>3.3456608408726511</v>
      </c>
      <c r="J12" s="1377">
        <f t="shared" ca="1" si="2"/>
        <v>2.7477292039835279</v>
      </c>
      <c r="K12" s="1377">
        <f t="shared" ca="1" si="2"/>
        <v>2.3631891682261594</v>
      </c>
      <c r="L12" s="1377">
        <f t="shared" ca="1" si="2"/>
        <v>1.9970413628901464</v>
      </c>
      <c r="M12" s="1378">
        <f t="shared" ca="1" si="2"/>
        <v>1.5260557430647477</v>
      </c>
    </row>
    <row r="13" spans="1:15" s="1324" customFormat="1" ht="15" thickBot="1">
      <c r="A13" s="1323" t="s">
        <v>975</v>
      </c>
      <c r="B13" s="1376">
        <f>'MOD-Berechnungen'!O390</f>
        <v>6.406581826229905</v>
      </c>
      <c r="C13" s="1379">
        <f>'MOD-Berechnungen'!P390</f>
        <v>6.7581163138201807</v>
      </c>
      <c r="D13" s="1379">
        <f>'MOD-Berechnungen'!Q390</f>
        <v>6.5036153637169205</v>
      </c>
      <c r="E13" s="1379">
        <f>'MOD-Berechnungen'!R390</f>
        <v>3.7230827721473405</v>
      </c>
      <c r="F13" s="1379">
        <f ca="1">'MOD-Berechnungen'!S390</f>
        <v>2.2272344363967198</v>
      </c>
      <c r="G13" s="1379">
        <f ca="1">'MOD-Berechnungen'!T390</f>
        <v>3.997717348887194</v>
      </c>
      <c r="H13" s="1379">
        <f ca="1">'MOD-Berechnungen'!U390</f>
        <v>3.5327567363462515</v>
      </c>
      <c r="I13" s="1379">
        <f ca="1">'MOD-Berechnungen'!V390</f>
        <v>3.3456608408726511</v>
      </c>
      <c r="J13" s="1379">
        <f ca="1">'MOD-Berechnungen'!W390</f>
        <v>2.7477292039835279</v>
      </c>
      <c r="K13" s="1379">
        <f ca="1">'MOD-Berechnungen'!X390</f>
        <v>2.3631891682261594</v>
      </c>
      <c r="L13" s="1379">
        <f ca="1">'MOD-Berechnungen'!Y390</f>
        <v>1.9970413628901464</v>
      </c>
      <c r="M13" s="1380">
        <f ca="1">'MOD-Berechnungen'!Z390</f>
        <v>1.5260557430647477</v>
      </c>
    </row>
    <row r="14" spans="1:15">
      <c r="A14" s="1316"/>
      <c r="M14" s="1325"/>
    </row>
    <row r="15" spans="1:15" ht="15" customHeight="1" thickBot="1">
      <c r="A15" s="1326"/>
      <c r="B15" s="1327"/>
      <c r="C15" s="1327"/>
      <c r="D15" s="1327"/>
      <c r="E15" s="1327"/>
      <c r="F15" s="1327"/>
      <c r="G15" s="1327"/>
      <c r="H15" s="1327"/>
      <c r="I15" s="1327"/>
      <c r="J15" s="1327"/>
      <c r="K15" s="1327"/>
      <c r="L15" s="1327"/>
      <c r="M15" s="1327"/>
    </row>
    <row r="16" spans="1:15" ht="15" customHeight="1" thickBot="1">
      <c r="A16" s="1328" t="s">
        <v>990</v>
      </c>
      <c r="B16" s="1329" t="str">
        <f>ControlPanel!L26</f>
        <v>Referenz</v>
      </c>
      <c r="C16" s="1318"/>
      <c r="D16" s="1318"/>
      <c r="E16" s="1318"/>
      <c r="F16" s="1318"/>
      <c r="G16" s="1318"/>
      <c r="H16" s="1318"/>
      <c r="I16" s="1318"/>
      <c r="J16" s="1318"/>
      <c r="K16" s="1318"/>
      <c r="L16" s="1318"/>
      <c r="M16" s="1318"/>
    </row>
    <row r="17" spans="1:13" ht="15" customHeight="1" thickBot="1">
      <c r="A17" s="1328" t="s">
        <v>871</v>
      </c>
      <c r="B17" s="1329" t="str">
        <f>ControlPanel!I45</f>
        <v>Referenz</v>
      </c>
    </row>
    <row r="18" spans="1:13" ht="15" customHeight="1">
      <c r="A18" s="1328" t="s">
        <v>989</v>
      </c>
      <c r="B18" s="1329" t="str">
        <f>ControlPanel!L19</f>
        <v>Referenz</v>
      </c>
      <c r="C18" s="1327"/>
      <c r="D18" s="1327"/>
      <c r="E18" s="1327"/>
      <c r="F18" s="1327"/>
      <c r="G18" s="1327"/>
      <c r="H18" s="1327"/>
      <c r="I18" s="1327"/>
      <c r="J18" s="1327"/>
      <c r="K18" s="1327"/>
      <c r="L18" s="1327"/>
      <c r="M18" s="1327"/>
    </row>
    <row r="19" spans="1:13" ht="15" customHeight="1">
      <c r="A19" s="1326"/>
      <c r="B19" s="1327"/>
      <c r="C19" s="1327"/>
      <c r="D19" s="1327"/>
      <c r="E19" s="1327"/>
      <c r="F19" s="1327"/>
      <c r="G19" s="1327"/>
      <c r="H19" s="1327"/>
      <c r="I19" s="1327"/>
      <c r="J19" s="1327"/>
      <c r="K19" s="1327"/>
      <c r="L19" s="1327"/>
      <c r="M19" s="1327"/>
    </row>
    <row r="20" spans="1:13" ht="15" customHeight="1">
      <c r="A20" s="1326"/>
      <c r="B20" s="1327"/>
      <c r="C20" s="1327"/>
      <c r="D20" s="1327"/>
      <c r="E20" s="1327"/>
      <c r="F20" s="1327"/>
      <c r="G20" s="1327"/>
      <c r="H20" s="1327"/>
      <c r="I20" s="1327"/>
      <c r="J20" s="1327"/>
      <c r="K20" s="1327"/>
      <c r="L20" s="1327"/>
      <c r="M20" s="1327"/>
    </row>
    <row r="21" spans="1:13" ht="15" customHeight="1">
      <c r="A21" s="1326"/>
      <c r="B21" s="1327"/>
      <c r="C21" s="1327"/>
      <c r="D21" s="1327"/>
      <c r="E21" s="1327"/>
      <c r="F21" s="1327"/>
      <c r="G21" s="1327"/>
      <c r="H21" s="1327"/>
      <c r="I21" s="1327"/>
      <c r="J21" s="1327"/>
      <c r="K21" s="1327"/>
      <c r="L21" s="1327"/>
      <c r="M21" s="1327"/>
    </row>
    <row r="22" spans="1:13" ht="15" customHeight="1">
      <c r="A22" s="1326"/>
      <c r="B22" s="1327"/>
      <c r="C22" s="1327"/>
      <c r="D22" s="1327"/>
      <c r="E22" s="1327"/>
      <c r="F22" s="1327"/>
      <c r="G22" s="1327"/>
      <c r="H22" s="1327"/>
      <c r="I22" s="1327"/>
      <c r="J22" s="1327"/>
      <c r="K22" s="1327"/>
      <c r="L22" s="1327"/>
      <c r="M22" s="1327"/>
    </row>
    <row r="23" spans="1:13" ht="15" customHeight="1">
      <c r="A23" s="1326"/>
      <c r="B23" s="1327"/>
      <c r="C23" s="1327"/>
      <c r="D23" s="1327"/>
      <c r="E23" s="1327"/>
      <c r="F23" s="1327"/>
      <c r="G23" s="1327"/>
      <c r="H23" s="1327"/>
      <c r="I23" s="1327"/>
      <c r="J23" s="1327"/>
      <c r="K23" s="1327"/>
      <c r="L23" s="1327"/>
      <c r="M23" s="1327"/>
    </row>
    <row r="24" spans="1:13" ht="15" customHeight="1">
      <c r="B24" s="1330"/>
      <c r="C24" s="1330"/>
      <c r="D24" s="1330"/>
      <c r="E24" s="1330"/>
      <c r="F24" s="1330"/>
      <c r="G24" s="1330"/>
      <c r="H24" s="1330"/>
      <c r="I24" s="1330"/>
      <c r="J24" s="1330"/>
      <c r="K24" s="1330"/>
      <c r="L24" s="1330"/>
      <c r="M24" s="1330"/>
    </row>
    <row r="25" spans="1:13" ht="15" customHeight="1">
      <c r="B25" s="1330"/>
      <c r="C25" s="1330"/>
      <c r="D25" s="1330"/>
      <c r="E25" s="1330"/>
      <c r="F25" s="1330"/>
      <c r="G25" s="1330"/>
      <c r="H25" s="1330"/>
      <c r="I25" s="1330"/>
      <c r="J25" s="1330"/>
      <c r="K25" s="1330"/>
      <c r="L25" s="1330"/>
      <c r="M25" s="1330"/>
    </row>
    <row r="26" spans="1:13" ht="15" customHeight="1">
      <c r="B26" s="1331"/>
      <c r="C26" s="1331"/>
      <c r="D26" s="1331"/>
      <c r="E26" s="1331"/>
      <c r="F26" s="1331"/>
      <c r="G26" s="1331"/>
      <c r="H26" s="1331"/>
      <c r="I26" s="1331"/>
      <c r="J26" s="1331"/>
      <c r="K26" s="1331"/>
      <c r="L26" s="1331"/>
      <c r="M26" s="1331"/>
    </row>
    <row r="27" spans="1:13" ht="15" customHeight="1">
      <c r="B27" s="1318"/>
      <c r="C27" s="1318"/>
      <c r="D27" s="1318"/>
      <c r="E27" s="1318"/>
      <c r="F27" s="1318"/>
      <c r="G27" s="1318"/>
      <c r="H27" s="1318"/>
      <c r="I27" s="1318"/>
      <c r="J27" s="1318"/>
      <c r="K27" s="1318"/>
      <c r="L27" s="1318"/>
      <c r="M27" s="1318"/>
    </row>
    <row r="28" spans="1:13" ht="15" customHeight="1">
      <c r="B28" s="1318"/>
      <c r="C28" s="1318"/>
      <c r="D28" s="1318"/>
      <c r="E28" s="1318"/>
      <c r="F28" s="1318"/>
      <c r="G28" s="1318"/>
      <c r="H28" s="1318"/>
      <c r="I28" s="1318"/>
      <c r="J28" s="1318"/>
      <c r="K28" s="1318"/>
      <c r="L28" s="1318"/>
      <c r="M28" s="1318"/>
    </row>
    <row r="29" spans="1:13" ht="15" customHeight="1"/>
    <row r="30" spans="1:13" ht="15" customHeight="1">
      <c r="B30" s="1318"/>
      <c r="C30" s="1318"/>
      <c r="D30" s="1318"/>
      <c r="E30" s="1318"/>
      <c r="F30" s="1318"/>
      <c r="G30" s="1318"/>
      <c r="H30" s="1318"/>
      <c r="I30" s="1318"/>
      <c r="J30" s="1318"/>
      <c r="K30" s="1318"/>
      <c r="L30" s="1318"/>
      <c r="M30" s="1318"/>
    </row>
    <row r="31" spans="1:13" ht="15" customHeight="1">
      <c r="B31" s="1318"/>
      <c r="C31" s="1318"/>
      <c r="D31" s="1318"/>
      <c r="E31" s="1318"/>
      <c r="F31" s="1318"/>
      <c r="G31" s="1318"/>
      <c r="H31" s="1318"/>
      <c r="I31" s="1318"/>
      <c r="J31" s="1318"/>
      <c r="K31" s="1318"/>
      <c r="L31" s="1318"/>
      <c r="M31" s="1318"/>
    </row>
    <row r="32" spans="1:13" ht="15" customHeight="1"/>
    <row r="33" ht="15" customHeight="1"/>
  </sheetData>
  <sheetProtection algorithmName="SHA-512" hashValue="ho7NGbVt0IZbYbH61CRZpE58naWB4IDh046ToFu5dSduhZ8WWnq6gQn6e42p+GmDW9GcqJaijX4GnuL8WX/SAg==" saltValue="PZoRP+YuLhiWAeQglfPIDA==" spinCount="100000"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theme="9"/>
  </sheetPr>
  <dimension ref="A1:E66"/>
  <sheetViews>
    <sheetView workbookViewId="0"/>
  </sheetViews>
  <sheetFormatPr baseColWidth="10" defaultColWidth="11.42578125" defaultRowHeight="15" customHeight="1"/>
  <cols>
    <col min="1" max="1" width="5.7109375" style="454" customWidth="1"/>
    <col min="2" max="2" width="5.7109375" style="528" customWidth="1"/>
    <col min="3" max="3" width="35.7109375" customWidth="1"/>
    <col min="4" max="4" width="10.7109375" customWidth="1"/>
    <col min="5" max="5" width="11.5703125" customWidth="1"/>
    <col min="6" max="16384" width="11.42578125" style="454"/>
  </cols>
  <sheetData>
    <row r="1" spans="1:4" ht="15" customHeight="1">
      <c r="A1" s="454" t="s">
        <v>183</v>
      </c>
    </row>
    <row r="2" spans="1:4" ht="15" customHeight="1">
      <c r="B2" s="876"/>
    </row>
    <row r="3" spans="1:4" ht="15" customHeight="1">
      <c r="B3" s="878" t="s">
        <v>2</v>
      </c>
    </row>
    <row r="4" spans="1:4" ht="15" customHeight="1">
      <c r="B4" s="880"/>
      <c r="C4" s="881"/>
      <c r="D4" s="881"/>
    </row>
    <row r="5" spans="1:4" ht="15" customHeight="1">
      <c r="B5" s="879" t="s">
        <v>9</v>
      </c>
      <c r="C5" s="879" t="s">
        <v>1</v>
      </c>
      <c r="D5" s="879"/>
    </row>
    <row r="6" spans="1:4" ht="15" customHeight="1">
      <c r="B6" s="877"/>
      <c r="C6" s="93"/>
      <c r="D6" s="529"/>
    </row>
    <row r="7" spans="1:4" ht="15" customHeight="1">
      <c r="B7" s="877">
        <v>1</v>
      </c>
      <c r="C7" s="93" t="s">
        <v>150</v>
      </c>
      <c r="D7" s="529" t="s">
        <v>10</v>
      </c>
    </row>
    <row r="8" spans="1:4" ht="15" customHeight="1">
      <c r="B8" s="877">
        <v>2</v>
      </c>
      <c r="C8" s="93" t="s">
        <v>152</v>
      </c>
      <c r="D8" s="529" t="s">
        <v>10</v>
      </c>
    </row>
    <row r="9" spans="1:4" ht="15" customHeight="1">
      <c r="B9" s="877">
        <v>3</v>
      </c>
      <c r="C9" s="93" t="s">
        <v>151</v>
      </c>
      <c r="D9" s="529" t="s">
        <v>10</v>
      </c>
    </row>
    <row r="10" spans="1:4" ht="15" customHeight="1">
      <c r="B10" s="877">
        <v>4</v>
      </c>
      <c r="C10" s="93" t="s">
        <v>136</v>
      </c>
      <c r="D10" s="529" t="s">
        <v>10</v>
      </c>
    </row>
    <row r="11" spans="1:4" ht="15" customHeight="1">
      <c r="B11" s="877">
        <v>5</v>
      </c>
      <c r="C11" s="93" t="s">
        <v>615</v>
      </c>
      <c r="D11" s="529" t="s">
        <v>10</v>
      </c>
    </row>
    <row r="12" spans="1:4" ht="15" customHeight="1">
      <c r="B12" s="877">
        <v>6</v>
      </c>
      <c r="C12" s="93" t="s">
        <v>185</v>
      </c>
      <c r="D12" s="529" t="s">
        <v>10</v>
      </c>
    </row>
    <row r="13" spans="1:4" ht="15" customHeight="1">
      <c r="B13" s="877">
        <v>7</v>
      </c>
      <c r="C13" s="93" t="s">
        <v>184</v>
      </c>
      <c r="D13" s="529" t="s">
        <v>10</v>
      </c>
    </row>
    <row r="14" spans="1:4" ht="15" customHeight="1">
      <c r="B14" s="877">
        <v>8</v>
      </c>
      <c r="C14" s="93" t="s">
        <v>985</v>
      </c>
      <c r="D14" s="529" t="s">
        <v>10</v>
      </c>
    </row>
    <row r="15" spans="1:4" ht="15" customHeight="1">
      <c r="B15" s="877">
        <v>9</v>
      </c>
      <c r="C15" s="93" t="s">
        <v>2</v>
      </c>
      <c r="D15" s="529" t="s">
        <v>10</v>
      </c>
    </row>
    <row r="16" spans="1:4" ht="15" customHeight="1">
      <c r="B16" s="877">
        <v>10</v>
      </c>
      <c r="C16" s="93" t="s">
        <v>225</v>
      </c>
      <c r="D16" s="529" t="s">
        <v>10</v>
      </c>
    </row>
    <row r="17" spans="2:4" ht="15" customHeight="1">
      <c r="B17" s="877">
        <v>11</v>
      </c>
      <c r="C17" s="93" t="s">
        <v>102</v>
      </c>
      <c r="D17" s="529" t="s">
        <v>10</v>
      </c>
    </row>
    <row r="18" spans="2:4" ht="15" customHeight="1">
      <c r="B18" s="877">
        <v>12</v>
      </c>
      <c r="C18" s="93" t="s">
        <v>204</v>
      </c>
      <c r="D18" s="529" t="s">
        <v>10</v>
      </c>
    </row>
    <row r="19" spans="2:4" ht="15" customHeight="1">
      <c r="B19" s="877">
        <v>13</v>
      </c>
      <c r="C19" s="93" t="s">
        <v>220</v>
      </c>
      <c r="D19" s="529" t="s">
        <v>10</v>
      </c>
    </row>
    <row r="20" spans="2:4" ht="15" customHeight="1">
      <c r="B20" s="877">
        <v>14</v>
      </c>
      <c r="C20" s="93" t="s">
        <v>616</v>
      </c>
      <c r="D20" s="529" t="s">
        <v>10</v>
      </c>
    </row>
    <row r="21" spans="2:4" ht="15" customHeight="1">
      <c r="B21" s="877">
        <v>15</v>
      </c>
      <c r="C21" s="93" t="s">
        <v>617</v>
      </c>
      <c r="D21" s="529" t="s">
        <v>10</v>
      </c>
    </row>
    <row r="22" spans="2:4" ht="15" customHeight="1">
      <c r="B22" s="877">
        <v>16</v>
      </c>
      <c r="C22" s="93" t="s">
        <v>86</v>
      </c>
      <c r="D22" s="529" t="s">
        <v>10</v>
      </c>
    </row>
    <row r="23" spans="2:4" ht="15" customHeight="1">
      <c r="B23" s="877">
        <v>17</v>
      </c>
      <c r="C23" s="93" t="s">
        <v>618</v>
      </c>
      <c r="D23" s="529" t="s">
        <v>10</v>
      </c>
    </row>
    <row r="24" spans="2:4" ht="15" customHeight="1">
      <c r="B24" s="877">
        <v>18</v>
      </c>
      <c r="C24" s="93" t="s">
        <v>46</v>
      </c>
      <c r="D24" s="529" t="s">
        <v>10</v>
      </c>
    </row>
    <row r="25" spans="2:4" ht="15" customHeight="1">
      <c r="B25" s="877">
        <v>19</v>
      </c>
      <c r="C25" s="93" t="s">
        <v>45</v>
      </c>
      <c r="D25" s="529" t="s">
        <v>10</v>
      </c>
    </row>
    <row r="26" spans="2:4" ht="15" customHeight="1">
      <c r="B26" s="877">
        <v>20</v>
      </c>
      <c r="C26" s="93" t="s">
        <v>32</v>
      </c>
      <c r="D26" s="529" t="s">
        <v>10</v>
      </c>
    </row>
    <row r="27" spans="2:4" ht="15" customHeight="1">
      <c r="B27" s="877">
        <v>21</v>
      </c>
      <c r="C27" s="93" t="s">
        <v>30</v>
      </c>
      <c r="D27" s="529" t="s">
        <v>10</v>
      </c>
    </row>
    <row r="28" spans="2:4" ht="15" customHeight="1">
      <c r="B28" s="877">
        <v>22</v>
      </c>
      <c r="C28" s="93" t="s">
        <v>619</v>
      </c>
      <c r="D28" s="529" t="s">
        <v>10</v>
      </c>
    </row>
    <row r="29" spans="2:4" ht="15" customHeight="1">
      <c r="B29" s="877">
        <v>23</v>
      </c>
      <c r="C29" s="93" t="s">
        <v>31</v>
      </c>
      <c r="D29" s="529" t="s">
        <v>10</v>
      </c>
    </row>
    <row r="30" spans="2:4" ht="15" customHeight="1">
      <c r="B30" s="877">
        <v>24</v>
      </c>
      <c r="C30" s="93" t="s">
        <v>33</v>
      </c>
      <c r="D30" s="529" t="s">
        <v>10</v>
      </c>
    </row>
    <row r="31" spans="2:4" ht="15" customHeight="1">
      <c r="B31" s="877">
        <v>25</v>
      </c>
      <c r="C31" s="93" t="s">
        <v>620</v>
      </c>
      <c r="D31" s="529" t="s">
        <v>10</v>
      </c>
    </row>
    <row r="32" spans="2:4" ht="15" customHeight="1">
      <c r="B32" s="877">
        <v>26</v>
      </c>
      <c r="C32" s="93" t="s">
        <v>37</v>
      </c>
      <c r="D32" s="529" t="s">
        <v>10</v>
      </c>
    </row>
    <row r="33" spans="2:4" ht="15" customHeight="1">
      <c r="B33" s="877">
        <v>27</v>
      </c>
      <c r="C33" s="93" t="s">
        <v>41</v>
      </c>
      <c r="D33" s="529" t="s">
        <v>10</v>
      </c>
    </row>
    <row r="34" spans="2:4" ht="15" customHeight="1">
      <c r="B34" s="877">
        <v>28</v>
      </c>
      <c r="C34" s="93" t="s">
        <v>365</v>
      </c>
      <c r="D34" s="529" t="s">
        <v>10</v>
      </c>
    </row>
    <row r="35" spans="2:4" ht="15" customHeight="1">
      <c r="B35" s="877">
        <v>29</v>
      </c>
      <c r="C35" s="93" t="s">
        <v>621</v>
      </c>
      <c r="D35" s="529" t="s">
        <v>10</v>
      </c>
    </row>
    <row r="36" spans="2:4" ht="15" customHeight="1">
      <c r="B36" s="877">
        <v>30</v>
      </c>
      <c r="C36" s="93" t="s">
        <v>364</v>
      </c>
      <c r="D36" s="529" t="s">
        <v>10</v>
      </c>
    </row>
    <row r="37" spans="2:4" ht="15" customHeight="1">
      <c r="B37" s="877">
        <v>31</v>
      </c>
      <c r="C37" s="93" t="s">
        <v>293</v>
      </c>
      <c r="D37" s="529" t="s">
        <v>10</v>
      </c>
    </row>
    <row r="38" spans="2:4" ht="15" customHeight="1">
      <c r="B38" s="877">
        <v>32</v>
      </c>
      <c r="C38" s="93" t="s">
        <v>63</v>
      </c>
      <c r="D38" s="529" t="s">
        <v>10</v>
      </c>
    </row>
    <row r="39" spans="2:4" ht="15" customHeight="1">
      <c r="B39" s="877">
        <v>33</v>
      </c>
      <c r="C39" s="93" t="s">
        <v>83</v>
      </c>
      <c r="D39" s="529" t="s">
        <v>10</v>
      </c>
    </row>
    <row r="40" spans="2:4" ht="15" customHeight="1">
      <c r="B40" s="877">
        <v>34</v>
      </c>
      <c r="C40" s="93" t="s">
        <v>622</v>
      </c>
      <c r="D40" s="529" t="s">
        <v>10</v>
      </c>
    </row>
    <row r="41" spans="2:4" ht="15" customHeight="1">
      <c r="B41" s="877">
        <v>35</v>
      </c>
      <c r="C41" s="93" t="s">
        <v>294</v>
      </c>
      <c r="D41" s="529" t="s">
        <v>10</v>
      </c>
    </row>
    <row r="42" spans="2:4" ht="15" customHeight="1">
      <c r="B42" s="877">
        <v>36</v>
      </c>
      <c r="C42" s="93" t="s">
        <v>295</v>
      </c>
      <c r="D42" s="529" t="s">
        <v>10</v>
      </c>
    </row>
    <row r="43" spans="2:4" ht="15" customHeight="1">
      <c r="B43" s="877">
        <v>37</v>
      </c>
      <c r="C43" s="93" t="s">
        <v>366</v>
      </c>
      <c r="D43" s="529" t="s">
        <v>10</v>
      </c>
    </row>
    <row r="44" spans="2:4" ht="15" customHeight="1">
      <c r="B44" s="877">
        <v>38</v>
      </c>
      <c r="C44" s="93" t="s">
        <v>986</v>
      </c>
      <c r="D44" s="529" t="s">
        <v>10</v>
      </c>
    </row>
    <row r="45" spans="2:4" ht="15" customHeight="1">
      <c r="B45" s="877">
        <v>39</v>
      </c>
      <c r="C45" s="93" t="s">
        <v>623</v>
      </c>
      <c r="D45" s="529" t="s">
        <v>10</v>
      </c>
    </row>
    <row r="46" spans="2:4" ht="15" customHeight="1">
      <c r="B46" s="877">
        <v>40</v>
      </c>
      <c r="C46" s="93" t="s">
        <v>624</v>
      </c>
      <c r="D46" s="529" t="s">
        <v>10</v>
      </c>
    </row>
    <row r="47" spans="2:4" ht="15" customHeight="1">
      <c r="B47" s="877">
        <v>41</v>
      </c>
      <c r="C47" s="93" t="s">
        <v>49</v>
      </c>
      <c r="D47" s="529" t="s">
        <v>10</v>
      </c>
    </row>
    <row r="48" spans="2:4" ht="15" customHeight="1">
      <c r="B48" s="877">
        <v>42</v>
      </c>
      <c r="C48" s="93" t="s">
        <v>296</v>
      </c>
      <c r="D48" s="529" t="s">
        <v>10</v>
      </c>
    </row>
    <row r="49" spans="2:4" ht="15" customHeight="1">
      <c r="B49" s="877">
        <v>43</v>
      </c>
      <c r="C49" s="93" t="s">
        <v>625</v>
      </c>
      <c r="D49" s="529" t="s">
        <v>10</v>
      </c>
    </row>
    <row r="50" spans="2:4" ht="15" customHeight="1">
      <c r="B50" s="877">
        <v>44</v>
      </c>
      <c r="C50" s="93" t="s">
        <v>626</v>
      </c>
      <c r="D50" s="529" t="s">
        <v>10</v>
      </c>
    </row>
    <row r="51" spans="2:4" ht="15" customHeight="1">
      <c r="B51" s="877">
        <v>45</v>
      </c>
      <c r="C51" s="93" t="s">
        <v>627</v>
      </c>
      <c r="D51" s="529" t="s">
        <v>10</v>
      </c>
    </row>
    <row r="52" spans="2:4" ht="15" customHeight="1">
      <c r="B52" s="877">
        <v>46</v>
      </c>
      <c r="C52" s="93" t="s">
        <v>987</v>
      </c>
      <c r="D52" s="529" t="s">
        <v>10</v>
      </c>
    </row>
    <row r="53" spans="2:4" ht="15" customHeight="1">
      <c r="B53" s="877">
        <v>47</v>
      </c>
      <c r="C53" s="93" t="s">
        <v>42</v>
      </c>
      <c r="D53" s="529" t="s">
        <v>10</v>
      </c>
    </row>
    <row r="54" spans="2:4" ht="15" customHeight="1">
      <c r="B54" s="877">
        <v>48</v>
      </c>
      <c r="C54" s="93" t="s">
        <v>297</v>
      </c>
      <c r="D54" s="529" t="s">
        <v>10</v>
      </c>
    </row>
    <row r="55" spans="2:4" ht="15" customHeight="1">
      <c r="B55" s="877">
        <v>49</v>
      </c>
      <c r="C55" s="93" t="s">
        <v>298</v>
      </c>
      <c r="D55" s="529" t="s">
        <v>10</v>
      </c>
    </row>
    <row r="56" spans="2:4" ht="15" customHeight="1">
      <c r="B56" s="877">
        <v>50</v>
      </c>
      <c r="C56" s="93" t="s">
        <v>299</v>
      </c>
      <c r="D56" s="529" t="s">
        <v>10</v>
      </c>
    </row>
    <row r="57" spans="2:4" ht="15" customHeight="1">
      <c r="B57" s="877">
        <v>51</v>
      </c>
      <c r="C57" s="93" t="s">
        <v>300</v>
      </c>
      <c r="D57" s="529" t="s">
        <v>10</v>
      </c>
    </row>
    <row r="58" spans="2:4" ht="15" customHeight="1">
      <c r="B58" s="877">
        <v>52</v>
      </c>
      <c r="C58" s="93" t="s">
        <v>301</v>
      </c>
      <c r="D58" s="529" t="s">
        <v>10</v>
      </c>
    </row>
    <row r="59" spans="2:4" ht="15" customHeight="1">
      <c r="B59" s="877">
        <v>53</v>
      </c>
      <c r="C59" s="93" t="s">
        <v>82</v>
      </c>
      <c r="D59" s="529" t="s">
        <v>10</v>
      </c>
    </row>
    <row r="60" spans="2:4" ht="15" customHeight="1">
      <c r="B60" s="877">
        <v>54</v>
      </c>
      <c r="C60" s="93" t="s">
        <v>367</v>
      </c>
      <c r="D60" s="529" t="s">
        <v>10</v>
      </c>
    </row>
    <row r="61" spans="2:4" ht="15" customHeight="1">
      <c r="B61" s="877">
        <v>55</v>
      </c>
      <c r="C61" s="93" t="s">
        <v>628</v>
      </c>
      <c r="D61" s="529" t="s">
        <v>10</v>
      </c>
    </row>
    <row r="62" spans="2:4" ht="15" customHeight="1">
      <c r="B62" s="877">
        <v>56</v>
      </c>
      <c r="C62" s="93" t="s">
        <v>629</v>
      </c>
      <c r="D62" s="529" t="s">
        <v>10</v>
      </c>
    </row>
    <row r="63" spans="2:4" ht="15" customHeight="1">
      <c r="B63" s="877">
        <v>57</v>
      </c>
      <c r="C63" s="93" t="s">
        <v>630</v>
      </c>
      <c r="D63" s="529" t="s">
        <v>10</v>
      </c>
    </row>
    <row r="64" spans="2:4" ht="15" customHeight="1">
      <c r="B64" s="877">
        <v>58</v>
      </c>
      <c r="C64" s="93" t="s">
        <v>734</v>
      </c>
      <c r="D64" s="529" t="s">
        <v>10</v>
      </c>
    </row>
    <row r="65" spans="2:4" ht="15" customHeight="1">
      <c r="B65" s="877">
        <v>59</v>
      </c>
      <c r="C65" s="93" t="s">
        <v>631</v>
      </c>
      <c r="D65" s="529" t="s">
        <v>10</v>
      </c>
    </row>
    <row r="66" spans="2:4" ht="15" customHeight="1">
      <c r="B66" s="877">
        <v>60</v>
      </c>
      <c r="C66" s="93" t="s">
        <v>988</v>
      </c>
      <c r="D66" s="529" t="s">
        <v>10</v>
      </c>
    </row>
  </sheetData>
  <sheetProtection algorithmName="SHA-512" hashValue="Do+bSsCc8yrd3YcQqRLLmQRBnvKXQHbn98PfvigdArVYYktFZWYLw/IYcfcvnr0rOBXgZBGopY1UsqzcdBYHDw==" saltValue="Hi41xFbl7oj5NxtrLGpkKg==" spinCount="100000" sheet="1" objects="1" scenarios="1"/>
  <phoneticPr fontId="13" type="noConversion"/>
  <conditionalFormatting sqref="D40:D41">
    <cfRule type="cellIs" dxfId="239" priority="51" stopIfTrue="1" operator="equal">
      <formula>#REF!</formula>
    </cfRule>
  </conditionalFormatting>
  <conditionalFormatting sqref="D26 D45 D49 D15:D24 D38 D34:D35 D30:D31 D43">
    <cfRule type="cellIs" dxfId="238" priority="50" stopIfTrue="1" operator="equal">
      <formula>#REF!</formula>
    </cfRule>
  </conditionalFormatting>
  <conditionalFormatting sqref="D42">
    <cfRule type="cellIs" dxfId="237" priority="49" stopIfTrue="1" operator="equal">
      <formula>#REF!</formula>
    </cfRule>
  </conditionalFormatting>
  <conditionalFormatting sqref="D39">
    <cfRule type="cellIs" dxfId="236" priority="48" stopIfTrue="1" operator="equal">
      <formula>#REF!</formula>
    </cfRule>
  </conditionalFormatting>
  <conditionalFormatting sqref="D14">
    <cfRule type="cellIs" dxfId="235" priority="47" stopIfTrue="1" operator="equal">
      <formula>#REF!</formula>
    </cfRule>
  </conditionalFormatting>
  <conditionalFormatting sqref="D25">
    <cfRule type="cellIs" dxfId="234" priority="46" stopIfTrue="1" operator="equal">
      <formula>#REF!</formula>
    </cfRule>
  </conditionalFormatting>
  <conditionalFormatting sqref="D33">
    <cfRule type="cellIs" dxfId="233" priority="45" stopIfTrue="1" operator="equal">
      <formula>#REF!</formula>
    </cfRule>
  </conditionalFormatting>
  <conditionalFormatting sqref="D32">
    <cfRule type="cellIs" dxfId="232" priority="44" stopIfTrue="1" operator="equal">
      <formula>#REF!</formula>
    </cfRule>
  </conditionalFormatting>
  <conditionalFormatting sqref="D27">
    <cfRule type="cellIs" dxfId="231" priority="43" stopIfTrue="1" operator="equal">
      <formula>#REF!</formula>
    </cfRule>
  </conditionalFormatting>
  <conditionalFormatting sqref="D46">
    <cfRule type="cellIs" dxfId="230" priority="42" stopIfTrue="1" operator="equal">
      <formula>#REF!</formula>
    </cfRule>
  </conditionalFormatting>
  <conditionalFormatting sqref="D47">
    <cfRule type="cellIs" dxfId="229" priority="41" stopIfTrue="1" operator="equal">
      <formula>#REF!</formula>
    </cfRule>
  </conditionalFormatting>
  <conditionalFormatting sqref="D36">
    <cfRule type="cellIs" dxfId="228" priority="40" stopIfTrue="1" operator="equal">
      <formula>#REF!</formula>
    </cfRule>
  </conditionalFormatting>
  <conditionalFormatting sqref="D37">
    <cfRule type="cellIs" dxfId="227" priority="39" stopIfTrue="1" operator="equal">
      <formula>#REF!</formula>
    </cfRule>
  </conditionalFormatting>
  <conditionalFormatting sqref="D44">
    <cfRule type="cellIs" dxfId="226" priority="38" stopIfTrue="1" operator="equal">
      <formula>#REF!</formula>
    </cfRule>
  </conditionalFormatting>
  <conditionalFormatting sqref="D48">
    <cfRule type="cellIs" dxfId="225" priority="37" stopIfTrue="1" operator="equal">
      <formula>#REF!</formula>
    </cfRule>
  </conditionalFormatting>
  <conditionalFormatting sqref="D50">
    <cfRule type="cellIs" dxfId="224" priority="36" stopIfTrue="1" operator="equal">
      <formula>#REF!</formula>
    </cfRule>
  </conditionalFormatting>
  <conditionalFormatting sqref="D51">
    <cfRule type="cellIs" dxfId="223" priority="35" stopIfTrue="1" operator="equal">
      <formula>#REF!</formula>
    </cfRule>
  </conditionalFormatting>
  <conditionalFormatting sqref="D52:D53">
    <cfRule type="cellIs" dxfId="222" priority="34" stopIfTrue="1" operator="equal">
      <formula>#REF!</formula>
    </cfRule>
  </conditionalFormatting>
  <conditionalFormatting sqref="D28">
    <cfRule type="cellIs" dxfId="221" priority="33" stopIfTrue="1" operator="equal">
      <formula>#REF!</formula>
    </cfRule>
  </conditionalFormatting>
  <conditionalFormatting sqref="D29">
    <cfRule type="cellIs" dxfId="220" priority="32" stopIfTrue="1" operator="equal">
      <formula>#REF!</formula>
    </cfRule>
  </conditionalFormatting>
  <conditionalFormatting sqref="B40:C41">
    <cfRule type="cellIs" dxfId="219" priority="31" stopIfTrue="1" operator="equal">
      <formula>#REF!</formula>
    </cfRule>
  </conditionalFormatting>
  <conditionalFormatting sqref="B26:C26 B45:C45 B49:C49 B15:C24 B38:C38 B34:C35 B30:C31 B43:C43">
    <cfRule type="cellIs" dxfId="218" priority="30" stopIfTrue="1" operator="equal">
      <formula>#REF!</formula>
    </cfRule>
  </conditionalFormatting>
  <conditionalFormatting sqref="B42:C42">
    <cfRule type="cellIs" dxfId="217" priority="29" stopIfTrue="1" operator="equal">
      <formula>#REF!</formula>
    </cfRule>
  </conditionalFormatting>
  <conditionalFormatting sqref="B39:C39">
    <cfRule type="cellIs" dxfId="216" priority="28" stopIfTrue="1" operator="equal">
      <formula>#REF!</formula>
    </cfRule>
  </conditionalFormatting>
  <conditionalFormatting sqref="B14:C14">
    <cfRule type="cellIs" dxfId="215" priority="27" stopIfTrue="1" operator="equal">
      <formula>#REF!</formula>
    </cfRule>
  </conditionalFormatting>
  <conditionalFormatting sqref="B25:C25">
    <cfRule type="cellIs" dxfId="214" priority="26" stopIfTrue="1" operator="equal">
      <formula>#REF!</formula>
    </cfRule>
  </conditionalFormatting>
  <conditionalFormatting sqref="B33:C33">
    <cfRule type="cellIs" dxfId="213" priority="25" stopIfTrue="1" operator="equal">
      <formula>#REF!</formula>
    </cfRule>
  </conditionalFormatting>
  <conditionalFormatting sqref="B32:C32">
    <cfRule type="cellIs" dxfId="212" priority="24" stopIfTrue="1" operator="equal">
      <formula>#REF!</formula>
    </cfRule>
  </conditionalFormatting>
  <conditionalFormatting sqref="B27:C27">
    <cfRule type="cellIs" dxfId="211" priority="23" stopIfTrue="1" operator="equal">
      <formula>#REF!</formula>
    </cfRule>
  </conditionalFormatting>
  <conditionalFormatting sqref="B46:C46">
    <cfRule type="cellIs" dxfId="210" priority="22" stopIfTrue="1" operator="equal">
      <formula>#REF!</formula>
    </cfRule>
  </conditionalFormatting>
  <conditionalFormatting sqref="B47:C47">
    <cfRule type="cellIs" dxfId="209" priority="21" stopIfTrue="1" operator="equal">
      <formula>#REF!</formula>
    </cfRule>
  </conditionalFormatting>
  <conditionalFormatting sqref="B36:C36">
    <cfRule type="cellIs" dxfId="208" priority="20" stopIfTrue="1" operator="equal">
      <formula>#REF!</formula>
    </cfRule>
  </conditionalFormatting>
  <conditionalFormatting sqref="B37:C37">
    <cfRule type="cellIs" dxfId="207" priority="19" stopIfTrue="1" operator="equal">
      <formula>#REF!</formula>
    </cfRule>
  </conditionalFormatting>
  <conditionalFormatting sqref="B44:C44">
    <cfRule type="cellIs" dxfId="206" priority="18" stopIfTrue="1" operator="equal">
      <formula>#REF!</formula>
    </cfRule>
  </conditionalFormatting>
  <conditionalFormatting sqref="B48:C48">
    <cfRule type="cellIs" dxfId="205" priority="17" stopIfTrue="1" operator="equal">
      <formula>#REF!</formula>
    </cfRule>
  </conditionalFormatting>
  <conditionalFormatting sqref="B50:C50">
    <cfRule type="cellIs" dxfId="204" priority="16" stopIfTrue="1" operator="equal">
      <formula>#REF!</formula>
    </cfRule>
  </conditionalFormatting>
  <conditionalFormatting sqref="B51:C51">
    <cfRule type="cellIs" dxfId="203" priority="15" stopIfTrue="1" operator="equal">
      <formula>#REF!</formula>
    </cfRule>
  </conditionalFormatting>
  <conditionalFormatting sqref="B52:C53">
    <cfRule type="cellIs" dxfId="202" priority="14" stopIfTrue="1" operator="equal">
      <formula>#REF!</formula>
    </cfRule>
  </conditionalFormatting>
  <conditionalFormatting sqref="B28:C28">
    <cfRule type="cellIs" dxfId="201" priority="13" stopIfTrue="1" operator="equal">
      <formula>#REF!</formula>
    </cfRule>
  </conditionalFormatting>
  <conditionalFormatting sqref="B29:C29">
    <cfRule type="cellIs" dxfId="200" priority="12" stopIfTrue="1" operator="equal">
      <formula>#REF!</formula>
    </cfRule>
  </conditionalFormatting>
  <conditionalFormatting sqref="D6:D13">
    <cfRule type="cellIs" dxfId="199" priority="11" stopIfTrue="1" operator="equal">
      <formula>#REF!</formula>
    </cfRule>
  </conditionalFormatting>
  <conditionalFormatting sqref="B6:C13 B5">
    <cfRule type="cellIs" dxfId="198" priority="10" stopIfTrue="1" operator="equal">
      <formula>#REF!</formula>
    </cfRule>
  </conditionalFormatting>
  <conditionalFormatting sqref="C5:D5">
    <cfRule type="cellIs" dxfId="197" priority="9" stopIfTrue="1" operator="equal">
      <formula>#REF!</formula>
    </cfRule>
  </conditionalFormatting>
  <conditionalFormatting sqref="D54:D62">
    <cfRule type="cellIs" dxfId="196" priority="8" stopIfTrue="1" operator="equal">
      <formula>#REF!</formula>
    </cfRule>
  </conditionalFormatting>
  <conditionalFormatting sqref="B54:C62">
    <cfRule type="cellIs" dxfId="195" priority="7" stopIfTrue="1" operator="equal">
      <formula>#REF!</formula>
    </cfRule>
  </conditionalFormatting>
  <conditionalFormatting sqref="D63">
    <cfRule type="cellIs" dxfId="194" priority="6" stopIfTrue="1" operator="equal">
      <formula>#REF!</formula>
    </cfRule>
  </conditionalFormatting>
  <conditionalFormatting sqref="B63:C63">
    <cfRule type="cellIs" dxfId="193" priority="5" stopIfTrue="1" operator="equal">
      <formula>#REF!</formula>
    </cfRule>
  </conditionalFormatting>
  <conditionalFormatting sqref="D64">
    <cfRule type="cellIs" dxfId="192" priority="4" stopIfTrue="1" operator="equal">
      <formula>#REF!</formula>
    </cfRule>
  </conditionalFormatting>
  <conditionalFormatting sqref="B64:C64">
    <cfRule type="cellIs" dxfId="191" priority="3" stopIfTrue="1" operator="equal">
      <formula>#REF!</formula>
    </cfRule>
  </conditionalFormatting>
  <conditionalFormatting sqref="D65:D66">
    <cfRule type="cellIs" dxfId="190" priority="2" stopIfTrue="1" operator="equal">
      <formula>#REF!</formula>
    </cfRule>
  </conditionalFormatting>
  <conditionalFormatting sqref="B65:C66">
    <cfRule type="cellIs" dxfId="189" priority="1" stopIfTrue="1" operator="equal">
      <formula>#REF!</formula>
    </cfRule>
  </conditionalFormatting>
  <hyperlinks>
    <hyperlink ref="C7" location="'Start-Experte'!A1" display="Start-Experte" xr:uid="{33CD477C-07F7-45E4-81F6-6F259DF71FCD}"/>
    <hyperlink ref="C8" location="'ControlPanel'!A1" display="ControlPanel" xr:uid="{D9AE1D2F-013C-45C0-9738-FC8254EE9FCE}"/>
    <hyperlink ref="C9" location="'Parameter-Entscheider'!A1" display="Parameter-Entscheider" xr:uid="{B90C6FC0-CC5B-42E7-8D3D-D1F88867D2EE}"/>
    <hyperlink ref="C10" location="'Start'!A1" display="Start" xr:uid="{C6EEB7C1-4893-4764-B0BB-98DCCBF435CE}"/>
    <hyperlink ref="C11" location="'Ergebnisse'!A1" display="Ergebnisse" xr:uid="{1B3A5915-070D-497E-8DF6-287982098CB0}"/>
    <hyperlink ref="C12" location="'Manual'!A1" display="Manual" xr:uid="{AA833D14-907F-4DFB-A461-014182CEA273}"/>
    <hyperlink ref="C13" location="'Impressum'!A1" display="Impressum" xr:uid="{615B0AB8-E6BC-4278-B1C4-EE4B5F9A05FB}"/>
    <hyperlink ref="C14" location="'Interface EEG-BEHG-Rechner'!A1" display="Interface EEG-BEHG-Rechner" xr:uid="{702F30D6-B8BB-4064-BA79-A1FD9B682A23}"/>
    <hyperlink ref="C15" location="'Index'!A1" display="Index" xr:uid="{D17130A2-E9D4-4D38-999E-1C6BC2DD12B4}"/>
    <hyperlink ref="C16" location="'IndexComplete'!A1" display="IndexComplete" xr:uid="{EA09B81B-9CF1-437A-8D30-6FAF80625F1D}"/>
    <hyperlink ref="C17" location="'MOD-Berechnungen'!A1" display="MOD-Berechnungen" xr:uid="{E1034816-90D6-4C8C-AD28-DA7F52F604CD}"/>
    <hyperlink ref="C18" location="'MOD-Jahresgang'!A1" display="MOD-Jahresgang" xr:uid="{FE347929-B6E4-43B6-82A3-5BC2451850C0}"/>
    <hyperlink ref="C19" location="'GrD-Grafikdaten'!A1" display="GrD-Grafikdaten" xr:uid="{28A14EA6-C8E0-407A-8C57-B627791E5DB1}"/>
    <hyperlink ref="C20" location="'GrD-Grafikdaten (2)'!A1" display="GrD-Grafikdaten (2)" xr:uid="{49677119-1E95-4B34-B839-BB9B7FFB8509}"/>
    <hyperlink ref="C21" location="'MOD_Absenkung_Wind_offshore'!A1" display="MOD_Absenkung_Wind_offshore" xr:uid="{C46881CB-F044-429A-8512-71BA05AEC7DD}"/>
    <hyperlink ref="C22" location="'D-Vergütungssatz Neuanlagen'!A1" display="D-Vergütungssatz Neuanlagen" xr:uid="{14C7BC58-3D21-42A8-AA4B-97D0BB4D13C8}"/>
    <hyperlink ref="C23" location="'D-Bruttozubau'!A1" display="D-Bruttozubau" xr:uid="{6285C9A6-5606-4889-B0FB-15273F1C8380}"/>
    <hyperlink ref="C24" location="'D-Standardauslastung'!A1" display="D-Standardauslastung" xr:uid="{449D1A6B-B45E-4F91-AEAC-A34FFDFCD3B6}"/>
    <hyperlink ref="C25" location="'D-Dargebotsfaktor'!A1" display="D-Dargebotsfaktor" xr:uid="{EF140979-082B-46BC-91DF-DA44819C5D93}"/>
    <hyperlink ref="C26" location="'D-Spot-Skalierungsfaktor'!A1" display="D-Spot-Skalierungsfaktor" xr:uid="{7E5AFEA0-3A14-4C32-A4F7-849051DF49B4}"/>
    <hyperlink ref="C27" location="'D-Profilfaktoren'!A1" display="D-Profilfaktoren" xr:uid="{EBA14BFA-137C-44C0-99FD-21E01641A34E}"/>
    <hyperlink ref="C28" location="'D-Dauer Goldenes Ende'!A1" display="D-Dauer Goldenes Ende" xr:uid="{5D8C04A5-DEA5-4295-A567-879656EBFAAA}"/>
    <hyperlink ref="C29" location="'D-Future Strompreis'!A1" display="D-Future Strompreis" xr:uid="{17A308D6-6FDE-44CC-A81C-E761DB77CAD1}"/>
    <hyperlink ref="C30" location="'D-Liquiditätspuffer'!A1" display="D-Liquiditätspuffer" xr:uid="{E27E9A3C-2002-4911-907E-D714FB33119A}"/>
    <hyperlink ref="C31" location="'D-Nettostromverbrauch'!A1" display="D-Nettostromverbrauch" xr:uid="{A5057519-3121-4AC3-91C8-173910DE79DA}"/>
    <hyperlink ref="C32" location="'D-Privilegierter Letztverbrauch'!A1" display="D-Privilegierter Letztverbrauch" xr:uid="{0779CD55-4E90-4338-B31B-C92019C17C23}"/>
    <hyperlink ref="C33" location="'D-Umlage priv. Letztverbrauch'!A1" display="D-Umlage priv. Letztverbrauch" xr:uid="{F4A86AE1-EAC1-40C3-B402-2E897FDD8A8C}"/>
    <hyperlink ref="C34" location="'D-Faktor Zusatzprivilegierung'!A1" display="D-Faktor Zusatzprivilegierung" xr:uid="{888F09EF-7AAB-4B01-BAD0-243362B2A2AE}"/>
    <hyperlink ref="C35" location="'D-Umlage EV Bestand'!A1" display="D-Umlage EV Bestand" xr:uid="{F1BD23D1-D747-4582-93CA-2205CB508EBF}"/>
    <hyperlink ref="C36" location="'D-Eigenverbrauch KWK Neue'!A1" display="D-Eigenverbrauch KWK Neue" xr:uid="{A2985B79-D7E1-4253-A916-61220BA25B98}"/>
    <hyperlink ref="C37" location="'D-Umlage Eigenverbrauch PV+KWK'!A1" display="D-Umlage Eigenverbrauch PV+KWK" xr:uid="{1EA64988-AB82-4E4B-A430-43A718C1CED9}"/>
    <hyperlink ref="C38" location="'D-vermiedene Netzentgelte'!A1" display="D-vermiedene Netzentgelte" xr:uid="{C06664D2-79EF-41C7-A072-AA31F6A9E75E}"/>
    <hyperlink ref="C39" location="'D-Sonstige Kosten'!A1" display="D-Sonstige Kosten" xr:uid="{A7F352DA-A3EA-426B-8863-F597B846DCE7}"/>
    <hyperlink ref="C40" location="'D-Inflationsrate'!A1" display="D-Inflationsrate" xr:uid="{01BAFA50-14E7-4648-9295-20F0A2A7831A}"/>
    <hyperlink ref="C41" location="'D-Prognosefehler Kontostand'!A1" display="D-Prognosefehler Kontostand" xr:uid="{73E8F220-72F5-4DB2-A4F5-D2D57A7556B1}"/>
    <hyperlink ref="C42" location="'D-Kontostand aktuelles Jahr'!A1" display="D-Kontostand aktuelles Jahr" xr:uid="{333A9A4F-E3AD-46E0-B471-0DC886CC2676}"/>
    <hyperlink ref="C43" location="'D-Anteil Eigenverbrauch EE neu'!A1" display="D-Anteil Eigenverbrauch EE neu" xr:uid="{F7802555-E6A6-4F30-AB66-5895EF28F32B}"/>
    <hyperlink ref="C44" location="'D-Zuschuss'!A1" display="D-Zuschuss" xr:uid="{CCA94951-266D-43E7-9A0A-E6473B229EE1}"/>
    <hyperlink ref="C45" location="'D-Strommenge ges.'!A1" display="D-Strommenge ges." xr:uid="{21BB8699-EE24-4910-B5D7-32D71B860A7C}"/>
    <hyperlink ref="C46" location="'D-Strommenge FV+DM'!A1" display="D-Strommenge FV+DM" xr:uid="{C96327DE-C96C-433E-A131-8D5D9F9DAC39}"/>
    <hyperlink ref="C47" location="'D-Mittlerer Vergütungssatz'!A1" display="D-Mittlerer Vergütungssatz" xr:uid="{9281EA97-B47D-402C-B32B-EB7F0AD6926A}"/>
    <hyperlink ref="C48" location="'D-Kontostand Vorjahr'!A1" display="D-Kontostand Vorjahr" xr:uid="{EB867849-5775-4158-9AEB-CD2D137F5F7D}"/>
    <hyperlink ref="C49" location="'D-Bestand Kapazität'!A1" display="D-Bestand Kapazität" xr:uid="{309D862C-8881-4884-95DF-06C05F4ECEE0}"/>
    <hyperlink ref="C50" location="'D-Bestand Strommenge'!A1" display="D-Bestand Strommenge" xr:uid="{B6DFD075-99FB-4CAE-875A-8A5BD413F403}"/>
    <hyperlink ref="C51" location="'D-Bestand Zahlungen'!A1" display="D-Bestand Zahlungen" xr:uid="{A0EE7267-8676-4B9D-81D9-D72E1BB4B351}"/>
    <hyperlink ref="C52" location="'Nebenrechnung_Bestand Zahlungen'!A1" display="Nebenrechnung_Bestand Zahlungen" xr:uid="{D60CBFAA-EC3C-44A0-A424-784F23A48FA6}"/>
    <hyperlink ref="C53" location="'D-Grünstromprivileg'!A1" display="D-Grünstromprivileg" xr:uid="{D1F0EDFB-AFC5-4A79-A439-4905F1B7412F}"/>
    <hyperlink ref="C54" location="'D-Eigenverbrauch fossil Bestand'!A1" display="D-Eigenverbrauch fossil Bestand" xr:uid="{1638B739-204E-4328-BA58-00E3A0CC716B}"/>
    <hyperlink ref="C55" location="'D-Eigenverbrauch fossile Neue'!A1" display="D-Eigenverbrauch fossile Neue" xr:uid="{27503547-B7F9-493B-AB4C-0121D72BF2E6}"/>
    <hyperlink ref="C56" location="'D-Eigenverbrauch EE-Bestand'!A1" display="D-Eigenverbrauch EE-Bestand" xr:uid="{7C1E18C7-605E-4DE5-B92D-453D422510EE}"/>
    <hyperlink ref="C57" location="'D-Umlagereduktion Grünstrom'!A1" display="D-Umlagereduktion Grünstrom" xr:uid="{238549BC-F209-43B4-8B75-21E5C5301B0F}"/>
    <hyperlink ref="C58" location="'D-Umlage Eigenverb fossile Neue'!A1" display="D-Umlage Eigenverb fossile Neue" xr:uid="{0946D3E7-C94C-4E00-AED8-9F3724296959}"/>
    <hyperlink ref="C59" location="'D-Vergütung Eigenverbrauch'!A1" display="D-Vergütung Eigenverbrauch" xr:uid="{D377411A-F4F8-4986-81EB-4A4EFCEAEEC7}"/>
    <hyperlink ref="C60" location="'D-Managementprämie_Bestand'!A1" display="D-Managementprämie_Bestand" xr:uid="{B8F74533-1976-4B09-B5E6-DE6361EB7EBC}"/>
    <hyperlink ref="C61" location="'D-Netzverl. u. KW-Eigenverbr.'!A1" display="D-Netzverl. u. KW-Eigenverbr." xr:uid="{46A7464A-2A39-4851-8797-DE3358E859C9}"/>
    <hyperlink ref="C62" location="'D-Kapazitäten 2009'!A1" display="D-Kapazitäten 2009" xr:uid="{CB424907-8DCB-42D2-9521-14CDB80C483F}"/>
    <hyperlink ref="C63" location="'D-Rückbau vor 2015'!A1" display="D-Rückbau vor 2015" xr:uid="{FC6AA380-FB78-4EF5-B852-CCCF8FC0CF19}"/>
    <hyperlink ref="C64" location="'D-EE-Kapazitäten nicht EEG'!A1" display="D-EE-Kapazitäten nicht EEG" xr:uid="{DB9D56CB-6DFF-4E67-A60D-7DB1A0010C9F}"/>
    <hyperlink ref="C65" location="'D-EE-Strommengen nicht EEG'!A1" display="D-EE-Strommengen nicht EEG" xr:uid="{11745075-CF82-4A09-8F41-49AF0BAD1EB7}"/>
    <hyperlink ref="C66" location="'D-Profilfaktoren_Marktprämie'!A1" display="D-Profilfaktoren_Marktprämie" xr:uid="{12E4C50F-3A4A-4DD7-9456-50A10EC7D261}"/>
  </hyperlinks>
  <pageMargins left="0.78740157499999996" right="0.78740157499999996" top="0.984251969" bottom="0.984251969" header="0.4921259845" footer="0.4921259845"/>
  <pageSetup paperSize="9" orientation="portrait" horizontalDpi="1200" verticalDpi="1200" r:id="rId1"/>
  <headerFooter alignWithMargins="0"/>
  <drawing r:id="rId2"/>
  <legacyDrawing r:id="rId3"/>
  <controls>
    <mc:AlternateContent xmlns:mc="http://schemas.openxmlformats.org/markup-compatibility/2006">
      <mc:Choice Requires="x14">
        <control shapeId="20481" r:id="rId4" name="IndexAktualisieren">
          <controlPr defaultSize="0" autoLine="0" r:id="rId5">
            <anchor moveWithCells="1">
              <from>
                <xdr:col>6</xdr:col>
                <xdr:colOff>0</xdr:colOff>
                <xdr:row>4</xdr:row>
                <xdr:rowOff>0</xdr:rowOff>
              </from>
              <to>
                <xdr:col>10</xdr:col>
                <xdr:colOff>0</xdr:colOff>
                <xdr:row>6</xdr:row>
                <xdr:rowOff>133350</xdr:rowOff>
              </to>
            </anchor>
          </controlPr>
        </control>
      </mc:Choice>
      <mc:Fallback>
        <control shapeId="20481" r:id="rId4" name="IndexAktualisieren"/>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228CAF4B1FC2244A0E04C58DC8C8A51" ma:contentTypeVersion="2" ma:contentTypeDescription="Ein neues Dokument erstellen." ma:contentTypeScope="" ma:versionID="8a9a587f08f49f6c8075c73e18de86df">
  <xsd:schema xmlns:xsd="http://www.w3.org/2001/XMLSchema" xmlns:xs="http://www.w3.org/2001/XMLSchema" xmlns:p="http://schemas.microsoft.com/office/2006/metadata/properties" xmlns:ns2="c5f4236d-6050-4628-a38c-c8cdf0f1c91e" targetNamespace="http://schemas.microsoft.com/office/2006/metadata/properties" ma:root="true" ma:fieldsID="8f276b649ba0bec6f99c7d6265c755d8" ns2:_="">
    <xsd:import namespace="c5f4236d-6050-4628-a38c-c8cdf0f1c91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f4236d-6050-4628-a38c-c8cdf0f1c9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2615A-16CF-4F8A-80FC-B468C99BC0E2}">
  <ds:schemaRefs>
    <ds:schemaRef ds:uri="http://purl.org/dc/dcmitype/"/>
    <ds:schemaRef ds:uri="c5f4236d-6050-4628-a38c-c8cdf0f1c91e"/>
    <ds:schemaRef ds:uri="http://schemas.microsoft.com/office/infopath/2007/PartnerControls"/>
    <ds:schemaRef ds:uri="http://purl.org/dc/elements/1.1/"/>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6229948-0DA6-40C0-855E-290D85CB1C14}">
  <ds:schemaRefs>
    <ds:schemaRef ds:uri="http://schemas.microsoft.com/sharepoint/v3/contenttype/forms"/>
  </ds:schemaRefs>
</ds:datastoreItem>
</file>

<file path=customXml/itemProps3.xml><?xml version="1.0" encoding="utf-8"?>
<ds:datastoreItem xmlns:ds="http://schemas.openxmlformats.org/officeDocument/2006/customXml" ds:itemID="{D6BB6700-B22F-43FF-B067-2C925FE4C3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f4236d-6050-4628-a38c-c8cdf0f1c9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60</vt:i4>
      </vt:variant>
      <vt:variant>
        <vt:lpstr>Benannte Bereiche</vt:lpstr>
      </vt:variant>
      <vt:variant>
        <vt:i4>48</vt:i4>
      </vt:variant>
    </vt:vector>
  </HeadingPairs>
  <TitlesOfParts>
    <vt:vector size="108" baseType="lpstr">
      <vt:lpstr>Start-Experte</vt:lpstr>
      <vt:lpstr>ControlPanel</vt:lpstr>
      <vt:lpstr>Parameter-Entscheider</vt:lpstr>
      <vt:lpstr>Start</vt:lpstr>
      <vt:lpstr>Ergebnisse</vt:lpstr>
      <vt:lpstr>Manual</vt:lpstr>
      <vt:lpstr>Impressum</vt:lpstr>
      <vt:lpstr>Interface EEG-CO2-Preis-Rechner</vt:lpstr>
      <vt:lpstr>Index</vt:lpstr>
      <vt:lpstr>IndexComplete</vt:lpstr>
      <vt:lpstr>MOD-Berechnungen</vt:lpstr>
      <vt:lpstr>MOD-Jahresgang</vt:lpstr>
      <vt:lpstr>GrD-Grafikdaten</vt:lpstr>
      <vt:lpstr>GrD-Grafikdaten (2)</vt:lpstr>
      <vt:lpstr>MOD_Absenkung_Wind_offshore</vt:lpstr>
      <vt:lpstr>D-Vergütungssatz Neuanlagen</vt:lpstr>
      <vt:lpstr>D-Bruttozubau</vt:lpstr>
      <vt:lpstr>D-Standardauslastung</vt:lpstr>
      <vt:lpstr>D-Dargebotsfaktor</vt:lpstr>
      <vt:lpstr>D-Spot-Skalierungsfaktor</vt:lpstr>
      <vt:lpstr>D-Profilfaktoren</vt:lpstr>
      <vt:lpstr>D-Dauer Goldenes Ende</vt:lpstr>
      <vt:lpstr>D-Future Strompreis</vt:lpstr>
      <vt:lpstr>D-Liquiditätspuffer</vt:lpstr>
      <vt:lpstr>D-Nettostromverbrauch</vt:lpstr>
      <vt:lpstr>D-Privilegierter Letztverbrauch</vt:lpstr>
      <vt:lpstr>D-Umlage priv. Letztverbrauch</vt:lpstr>
      <vt:lpstr>D-Faktor Zusatzprivilegierung</vt:lpstr>
      <vt:lpstr>D-Umlage EV Bestand</vt:lpstr>
      <vt:lpstr>D-Eigenverbrauch KWK Neue</vt:lpstr>
      <vt:lpstr>D-Umlage Eigenverbrauch PV+KWK</vt:lpstr>
      <vt:lpstr>D-vermiedene Netzentgelte</vt:lpstr>
      <vt:lpstr>D-Sonstige Kosten</vt:lpstr>
      <vt:lpstr>D-Inflationsrate</vt:lpstr>
      <vt:lpstr>D-Prognosefehler Kontostand</vt:lpstr>
      <vt:lpstr>D-Kontostand aktuelles Jahr</vt:lpstr>
      <vt:lpstr>D-Anteil Eigenverbrauch EE neu</vt:lpstr>
      <vt:lpstr>D-Zuschuss</vt:lpstr>
      <vt:lpstr>D-Strommenge ges.</vt:lpstr>
      <vt:lpstr>D-Strommenge FV+DM</vt:lpstr>
      <vt:lpstr>D-Mittlerer Vergütungssatz</vt:lpstr>
      <vt:lpstr>D-Kontostand Vorjahr</vt:lpstr>
      <vt:lpstr>D-Bestand Kapazität</vt:lpstr>
      <vt:lpstr>D-Bestand Strommenge</vt:lpstr>
      <vt:lpstr>D-Bestand Zahlungen</vt:lpstr>
      <vt:lpstr>Nebenrechnung_Bestand Zahlungen</vt:lpstr>
      <vt:lpstr>D-Grünstromprivileg</vt:lpstr>
      <vt:lpstr>D-Eigenverbrauch fossil Bestand</vt:lpstr>
      <vt:lpstr>D-Eigenverbrauch fossile Neue</vt:lpstr>
      <vt:lpstr>D-Eigenverbrauch EE-Bestand</vt:lpstr>
      <vt:lpstr>D-Umlagereduktion Grünstrom</vt:lpstr>
      <vt:lpstr>D-Umlage Eigenverb fossile Neue</vt:lpstr>
      <vt:lpstr>D-Vergütung Eigenverbrauch</vt:lpstr>
      <vt:lpstr>D-Managementprämie_Bestand</vt:lpstr>
      <vt:lpstr>D-Netzverl. u. KW-Eigenverbr.</vt:lpstr>
      <vt:lpstr>D-Kapazitäten 2009</vt:lpstr>
      <vt:lpstr>D-Rückbau vor 2015</vt:lpstr>
      <vt:lpstr>D-EE-Kapazitäten nicht EEG</vt:lpstr>
      <vt:lpstr>D-EE-Strommengen nicht EEG</vt:lpstr>
      <vt:lpstr>D-Profilfaktoren_Marktprämie</vt:lpstr>
      <vt:lpstr>'D-Anteil Eigenverbrauch EE neu'!Druckbereich</vt:lpstr>
      <vt:lpstr>'D-Bestand Kapazität'!Druckbereich</vt:lpstr>
      <vt:lpstr>'D-Bestand Strommenge'!Druckbereich</vt:lpstr>
      <vt:lpstr>'D-Bestand Zahlungen'!Druckbereich</vt:lpstr>
      <vt:lpstr>'D-Bruttozubau'!Druckbereich</vt:lpstr>
      <vt:lpstr>'D-Dargebotsfaktor'!Druckbereich</vt:lpstr>
      <vt:lpstr>'D-Dauer Goldenes Ende'!Druckbereich</vt:lpstr>
      <vt:lpstr>'D-EE-Kapazitäten nicht EEG'!Druckbereich</vt:lpstr>
      <vt:lpstr>'D-EE-Strommengen nicht EEG'!Druckbereich</vt:lpstr>
      <vt:lpstr>'D-Eigenverbrauch EE-Bestand'!Druckbereich</vt:lpstr>
      <vt:lpstr>'D-Eigenverbrauch fossil Bestand'!Druckbereich</vt:lpstr>
      <vt:lpstr>'D-Eigenverbrauch fossile Neue'!Druckbereich</vt:lpstr>
      <vt:lpstr>'D-Eigenverbrauch KWK Neue'!Druckbereich</vt:lpstr>
      <vt:lpstr>'D-Faktor Zusatzprivilegierung'!Druckbereich</vt:lpstr>
      <vt:lpstr>'D-Future Strompreis'!Druckbereich</vt:lpstr>
      <vt:lpstr>'D-Grünstromprivileg'!Druckbereich</vt:lpstr>
      <vt:lpstr>'D-Inflationsrate'!Druckbereich</vt:lpstr>
      <vt:lpstr>'D-Kapazitäten 2009'!Druckbereich</vt:lpstr>
      <vt:lpstr>'D-Kontostand aktuelles Jahr'!Druckbereich</vt:lpstr>
      <vt:lpstr>'D-Kontostand Vorjahr'!Druckbereich</vt:lpstr>
      <vt:lpstr>'D-Liquiditätspuffer'!Druckbereich</vt:lpstr>
      <vt:lpstr>'D-Managementprämie_Bestand'!Druckbereich</vt:lpstr>
      <vt:lpstr>'D-Mittlerer Vergütungssatz'!Druckbereich</vt:lpstr>
      <vt:lpstr>'D-Nettostromverbrauch'!Druckbereich</vt:lpstr>
      <vt:lpstr>'D-Netzverl. u. KW-Eigenverbr.'!Druckbereich</vt:lpstr>
      <vt:lpstr>'D-Privilegierter Letztverbrauch'!Druckbereich</vt:lpstr>
      <vt:lpstr>'D-Profilfaktoren'!Druckbereich</vt:lpstr>
      <vt:lpstr>'D-Profilfaktoren_Marktprämie'!Druckbereich</vt:lpstr>
      <vt:lpstr>'D-Prognosefehler Kontostand'!Druckbereich</vt:lpstr>
      <vt:lpstr>'D-Rückbau vor 2015'!Druckbereich</vt:lpstr>
      <vt:lpstr>'D-Sonstige Kosten'!Druckbereich</vt:lpstr>
      <vt:lpstr>'D-Spot-Skalierungsfaktor'!Druckbereich</vt:lpstr>
      <vt:lpstr>'D-Standardauslastung'!Druckbereich</vt:lpstr>
      <vt:lpstr>'D-Strommenge FV+DM'!Druckbereich</vt:lpstr>
      <vt:lpstr>'D-Strommenge ges.'!Druckbereich</vt:lpstr>
      <vt:lpstr>'D-Umlage Eigenverb fossile Neue'!Druckbereich</vt:lpstr>
      <vt:lpstr>'D-Umlage Eigenverbrauch PV+KWK'!Druckbereich</vt:lpstr>
      <vt:lpstr>'D-Umlage EV Bestand'!Druckbereich</vt:lpstr>
      <vt:lpstr>'D-Umlage priv. Letztverbrauch'!Druckbereich</vt:lpstr>
      <vt:lpstr>'D-Umlagereduktion Grünstrom'!Druckbereich</vt:lpstr>
      <vt:lpstr>'D-Vergütung Eigenverbrauch'!Druckbereich</vt:lpstr>
      <vt:lpstr>'D-Vergütungssatz Neuanlagen'!Druckbereich</vt:lpstr>
      <vt:lpstr>'D-vermiedene Netzentgelte'!Druckbereich</vt:lpstr>
      <vt:lpstr>'D-Zuschuss'!Druckbereich</vt:lpstr>
      <vt:lpstr>Manual!Druckbereich</vt:lpstr>
      <vt:lpstr>'MOD-Berechnungen'!Druckbereich</vt:lpstr>
      <vt:lpstr>'MOD-Jahresgang'!Druckbereich</vt:lpstr>
      <vt:lpstr>'Start-Experte'!Druckbereich</vt:lpstr>
    </vt:vector>
  </TitlesOfParts>
  <Manager>M.Haller@oeko.de</Manager>
  <Company>Öko-Institut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AGORA EEG-Calculator</dc:title>
  <dc:creator>M.Haller@oeko.de;C.Loreck@oeko.de;H.Hermann@oeko.de;F.Matthes@oeko.de</dc:creator>
  <dc:description>erstellt vom Öko-Institut im Auftrag von Agora Energiewende</dc:description>
  <cp:lastModifiedBy>fabian.hein</cp:lastModifiedBy>
  <cp:lastPrinted>2013-03-16T13:35:54Z</cp:lastPrinted>
  <dcterms:created xsi:type="dcterms:W3CDTF">2007-03-04T15:57:25Z</dcterms:created>
  <dcterms:modified xsi:type="dcterms:W3CDTF">2021-10-19T13:34:12Z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0x010100C228CAF4B1FC2244A0E04C58DC8C8A51</vt:lpwstr>
  </property>
</Properties>
</file>