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theme/themeOverride2.xml" ContentType="application/vnd.openxmlformats-officedocument.themeOverrid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theme/themeOverride5.xml" ContentType="application/vnd.openxmlformats-officedocument.themeOverride+xml"/>
  <Override PartName="/xl/charts/chart11.xml" ContentType="application/vnd.openxmlformats-officedocument.drawingml.chart+xml"/>
  <Override PartName="/xl/theme/themeOverride6.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printerSettings/printerSettings2.bin" ContentType="application/vnd.openxmlformats-officedocument.spreadsheetml.printerSettings"/>
  <Override PartName="/xl/drawings/drawing6.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printerSettings/printerSettings3.bin" ContentType="application/vnd.openxmlformats-officedocument.spreadsheetml.printerSettings"/>
  <Override PartName="/xl/drawings/drawing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charts/chart22.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DieseArbeitsmappe"/>
  <mc:AlternateContent xmlns:mc="http://schemas.openxmlformats.org/markup-compatibility/2006">
    <mc:Choice Requires="x15">
      <x15ac:absPath xmlns:x15ac="http://schemas.microsoft.com/office/spreadsheetml/2010/11/ac" url="C:\Users\Thorsten\Documents\Projekte\2021-03_DE_BEHG-CO2-Tool\30_Research_(internal)\v100\"/>
    </mc:Choice>
  </mc:AlternateContent>
  <xr:revisionPtr revIDLastSave="0" documentId="13_ncr:1_{B8C68751-65A8-4189-9F26-66BB65E1DC59}" xr6:coauthVersionLast="47" xr6:coauthVersionMax="47" xr10:uidLastSave="{00000000-0000-0000-0000-000000000000}"/>
  <workbookProtection workbookAlgorithmName="SHA-512" workbookHashValue="uM40M2yAaJ/eAV33ml0OQAK99cfKNRrcbf4ozZ5uD5wNPqVpnG9javWFbwpBDIHykIhVTZV3hkhECbx1c+e97A==" workbookSaltValue="Yaf7QLpl6v0SQzAnFHaQ4g==" workbookSpinCount="100000" lockStructure="1"/>
  <bookViews>
    <workbookView xWindow="-120" yWindow="-120" windowWidth="29040" windowHeight="15840" xr2:uid="{00C13D4F-82E6-45DB-A550-58A78AEB3598}"/>
  </bookViews>
  <sheets>
    <sheet name="Info" sheetId="59" r:id="rId1"/>
    <sheet name="Start - Ergebnisse" sheetId="39" r:id="rId2"/>
    <sheet name="Konfiguration Szenarien" sheetId="31" r:id="rId3"/>
    <sheet name="Steuer- und Abgabensätze" sheetId="1" r:id="rId4"/>
    <sheet name="Berechnung Produktpreise" sheetId="3" r:id="rId5"/>
    <sheet name="Endverbraucherpreise" sheetId="22" r:id="rId6"/>
    <sheet name="Berechnung Steuereinnahmen" sheetId="4" r:id="rId7"/>
    <sheet name="Verbrauchsstatistiken" sheetId="58" r:id="rId8"/>
    <sheet name="Interface EEG-CO2-Preis-Rechner" sheetId="30" r:id="rId9"/>
    <sheet name="Musterhaushalte" sheetId="26" state="hidden" r:id="rId10"/>
    <sheet name="Kalibierung Steuereinnahmen" sheetId="10" state="hidden" r:id="rId11"/>
    <sheet name="Datenquellen" sheetId="49" state="hidden" r:id="rId12"/>
    <sheet name="Absätze Mineralöl" sheetId="5" state="hidden" r:id="rId13"/>
    <sheet name="Absätze Heizöl EL" sheetId="11" state="hidden" r:id="rId14"/>
    <sheet name="Absätze Heizöl S" sheetId="21" state="hidden" r:id="rId15"/>
    <sheet name="Absätze Flüssiggas" sheetId="20" state="hidden" r:id="rId16"/>
    <sheet name="Absätze Erdgas" sheetId="9" state="hidden" r:id="rId17"/>
    <sheet name="Absätze und Umlagen Strom" sheetId="12" state="hidden" r:id="rId18"/>
    <sheet name="Physikalische Parameter" sheetId="2" state="hidden" r:id="rId19"/>
    <sheet name="Graphikdaten 1" sheetId="43" state="hidden" r:id="rId20"/>
    <sheet name="Graphikdaten 2" sheetId="47" state="hidden" r:id="rId21"/>
    <sheet name="Graphikdaten 3" sheetId="35" state="hidden" r:id="rId22"/>
    <sheet name="Dropdown-Struktur" sheetId="32" state="hidden" r:id="rId23"/>
  </sheets>
  <externalReferences>
    <externalReference r:id="rId24"/>
    <externalReference r:id="rId25"/>
    <externalReference r:id="rId26"/>
    <externalReference r:id="rId27"/>
    <externalReference r:id="rId28"/>
    <externalReference r:id="rId29"/>
    <externalReference r:id="rId30"/>
  </externalReferences>
  <definedNames>
    <definedName name="__123Graph_E" localSheetId="20" hidden="1">'[1]Bil nat'!#REF!</definedName>
    <definedName name="__123Graph_E" localSheetId="21" hidden="1">'[1]Bil nat'!#REF!</definedName>
    <definedName name="__123Graph_E" hidden="1">'[1]Bil nat'!#REF!</definedName>
    <definedName name="__123Graph_F" localSheetId="20" hidden="1">'[1]Bil nat'!#REF!</definedName>
    <definedName name="__123Graph_F" localSheetId="21" hidden="1">'[1]Bil nat'!#REF!</definedName>
    <definedName name="__123Graph_F" hidden="1">'[1]Bil nat'!#REF!</definedName>
    <definedName name="__123Graph_X" localSheetId="20" hidden="1">'[1]Bil nat'!#REF!</definedName>
    <definedName name="__123Graph_X" localSheetId="21" hidden="1">'[1]Bil nat'!#REF!</definedName>
    <definedName name="__123Graph_X" hidden="1">'[1]Bil nat'!#REF!</definedName>
    <definedName name="__q33" localSheetId="20" hidden="1">{"'Verkehr-Personen'!$A$5:$J$26"}</definedName>
    <definedName name="__q33" localSheetId="21" hidden="1">{"'Verkehr-Personen'!$A$5:$J$26"}</definedName>
    <definedName name="__q33" hidden="1">{"'Verkehr-Personen'!$A$5:$J$26"}</definedName>
    <definedName name="__r" localSheetId="20" hidden="1">{"'Verkehr-Personen'!$A$5:$J$26"}</definedName>
    <definedName name="__r" localSheetId="21" hidden="1">{"'Verkehr-Personen'!$A$5:$J$26"}</definedName>
    <definedName name="__r" hidden="1">{"'Verkehr-Personen'!$A$5:$J$26"}</definedName>
    <definedName name="__r6r6" localSheetId="21" hidden="1">{"'Verkehr-Personen'!$A$5:$J$26"}</definedName>
    <definedName name="__r6r6" hidden="1">{"'Verkehr-Personen'!$A$5:$J$26"}</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2" hidden="1">'Konfiguration Szenarien'!$A$55:$A$58</definedName>
    <definedName name="_q33" localSheetId="20" hidden="1">{"'Verkehr-Personen'!$A$5:$J$26"}</definedName>
    <definedName name="_q33" localSheetId="21" hidden="1">{"'Verkehr-Personen'!$A$5:$J$26"}</definedName>
    <definedName name="_q33" hidden="1">{"'Verkehr-Personen'!$A$5:$J$26"}</definedName>
    <definedName name="_q34" localSheetId="20" hidden="1">{"'Verkehr-Personen'!$A$5:$J$26"}</definedName>
    <definedName name="_q34" localSheetId="21" hidden="1">{"'Verkehr-Personen'!$A$5:$J$26"}</definedName>
    <definedName name="_q34" hidden="1">{"'Verkehr-Personen'!$A$5:$J$26"}</definedName>
    <definedName name="_r" localSheetId="20" hidden="1">{"'Verkehr-Personen'!$A$5:$J$26"}</definedName>
    <definedName name="_r" localSheetId="21" hidden="1">{"'Verkehr-Personen'!$A$5:$J$26"}</definedName>
    <definedName name="_r" hidden="1">{"'Verkehr-Personen'!$A$5:$J$26"}</definedName>
    <definedName name="_r6r6" localSheetId="20" hidden="1">{"'Verkehr-Personen'!$A$5:$J$26"}</definedName>
    <definedName name="_r6r6" localSheetId="21" hidden="1">{"'Verkehr-Personen'!$A$5:$J$26"}</definedName>
    <definedName name="_r6r6" hidden="1">{"'Verkehr-Personen'!$A$5:$J$26"}</definedName>
    <definedName name="a" localSheetId="20" hidden="1">{"'Verkehr-Personen'!$A$5:$J$26"}</definedName>
    <definedName name="a" localSheetId="21" hidden="1">{"'Verkehr-Personen'!$A$5:$J$26"}</definedName>
    <definedName name="a" hidden="1">{"'Verkehr-Personen'!$A$5:$J$26"}</definedName>
    <definedName name="aaaa" localSheetId="20" hidden="1">{"'Verkehr-Personen'!$A$5:$J$26"}</definedName>
    <definedName name="aaaa" localSheetId="21" hidden="1">{"'Verkehr-Personen'!$A$5:$J$26"}</definedName>
    <definedName name="aaaa" hidden="1">{"'Verkehr-Personen'!$A$5:$J$26"}</definedName>
    <definedName name="ääääääää" localSheetId="20" hidden="1">{"'Verkehr-Personen'!$A$5:$J$26"}</definedName>
    <definedName name="ääääääää" localSheetId="21" hidden="1">{"'Verkehr-Personen'!$A$5:$J$26"}</definedName>
    <definedName name="ääääääää" hidden="1">{"'Verkehr-Personen'!$A$5:$J$26"}</definedName>
    <definedName name="aaaaaabb" localSheetId="20" hidden="1">{"'Verkehr-Personen'!$A$5:$J$26"}</definedName>
    <definedName name="aaaaaabb" localSheetId="21" hidden="1">{"'Verkehr-Personen'!$A$5:$J$26"}</definedName>
    <definedName name="aaaaaabb" hidden="1">{"'Verkehr-Personen'!$A$5:$J$26"}</definedName>
    <definedName name="aaws" localSheetId="20" hidden="1">{"'Verkehr-Personen'!$A$5:$J$26"}</definedName>
    <definedName name="aaws" localSheetId="21" hidden="1">{"'Verkehr-Personen'!$A$5:$J$26"}</definedName>
    <definedName name="aaws" hidden="1">{"'Verkehr-Personen'!$A$5:$J$26"}</definedName>
    <definedName name="abc" localSheetId="20" hidden="1">{"'Verkehr-Personen'!$A$5:$J$26"}</definedName>
    <definedName name="abc" localSheetId="21" hidden="1">{"'Verkehr-Personen'!$A$5:$J$26"}</definedName>
    <definedName name="abc" hidden="1">{"'Verkehr-Personen'!$A$5:$J$26"}</definedName>
    <definedName name="abssoll" localSheetId="20" hidden="1">{"'Verkehr-Personen'!$A$5:$J$26"}</definedName>
    <definedName name="abssoll" localSheetId="21" hidden="1">{"'Verkehr-Personen'!$A$5:$J$26"}</definedName>
    <definedName name="abssoll" hidden="1">{"'Verkehr-Personen'!$A$5:$J$26"}</definedName>
    <definedName name="achtele" localSheetId="20" hidden="1">{"'Verkehr-Personen'!$A$5:$J$26"}</definedName>
    <definedName name="achtele" localSheetId="21" hidden="1">{"'Verkehr-Personen'!$A$5:$J$26"}</definedName>
    <definedName name="achtele" hidden="1">{"'Verkehr-Personen'!$A$5:$J$26"}</definedName>
    <definedName name="aeffle" localSheetId="20" hidden="1">{"'Verkehr-Personen'!$A$5:$J$26"}</definedName>
    <definedName name="aeffle" localSheetId="21" hidden="1">{"'Verkehr-Personen'!$A$5:$J$26"}</definedName>
    <definedName name="aeffle" hidden="1">{"'Verkehr-Personen'!$A$5:$J$26"}</definedName>
    <definedName name="aejrpfyk" localSheetId="20" hidden="1">{"'Verkehr-Personen'!$A$5:$J$26"}</definedName>
    <definedName name="aejrpfyk" localSheetId="21" hidden="1">{"'Verkehr-Personen'!$A$5:$J$26"}</definedName>
    <definedName name="aejrpfyk" hidden="1">{"'Verkehr-Personen'!$A$5:$J$26"}</definedName>
    <definedName name="akaiserkoenig" localSheetId="20" hidden="1">{"'Verkehr-Personen'!$A$5:$J$26"}</definedName>
    <definedName name="akaiserkoenig" localSheetId="21" hidden="1">{"'Verkehr-Personen'!$A$5:$J$26"}</definedName>
    <definedName name="akaiserkoenig" hidden="1">{"'Verkehr-Personen'!$A$5:$J$26"}</definedName>
    <definedName name="alexander" localSheetId="20" hidden="1">{"'Verkehr-Personen'!$A$5:$J$26"}</definedName>
    <definedName name="alexander" localSheetId="21" hidden="1">{"'Verkehr-Personen'!$A$5:$J$26"}</definedName>
    <definedName name="alexander" hidden="1">{"'Verkehr-Personen'!$A$5:$J$26"}</definedName>
    <definedName name="allesgestreift" localSheetId="20" hidden="1">{"'Verkehr-Personen'!$A$5:$J$26"}</definedName>
    <definedName name="allesgestreift" localSheetId="21" hidden="1">{"'Verkehr-Personen'!$A$5:$J$26"}</definedName>
    <definedName name="allesgestreift" hidden="1">{"'Verkehr-Personen'!$A$5:$J$26"}</definedName>
    <definedName name="alpen" localSheetId="20" hidden="1">{"'Verkehr-Personen'!$A$5:$J$26"}</definedName>
    <definedName name="alpen" localSheetId="21" hidden="1">{"'Verkehr-Personen'!$A$5:$J$26"}</definedName>
    <definedName name="alpen" hidden="1">{"'Verkehr-Personen'!$A$5:$J$26"}</definedName>
    <definedName name="alpenle" localSheetId="20" hidden="1">{"'Verkehr-Personen'!$A$5:$J$26"}</definedName>
    <definedName name="alpenle" localSheetId="21" hidden="1">{"'Verkehr-Personen'!$A$5:$J$26"}</definedName>
    <definedName name="alpenle" hidden="1">{"'Verkehr-Personen'!$A$5:$J$26"}</definedName>
    <definedName name="alple" localSheetId="20" hidden="1">{"'Verkehr-Personen'!$A$5:$J$26"}</definedName>
    <definedName name="alple" localSheetId="21" hidden="1">{"'Verkehr-Personen'!$A$5:$J$26"}</definedName>
    <definedName name="alple" hidden="1">{"'Verkehr-Personen'!$A$5:$J$26"}</definedName>
    <definedName name="amadeus" localSheetId="20" hidden="1">{"'Verkehr-Personen'!$A$5:$J$26"}</definedName>
    <definedName name="amadeus" localSheetId="21" hidden="1">{"'Verkehr-Personen'!$A$5:$J$26"}</definedName>
    <definedName name="amadeus" hidden="1">{"'Verkehr-Personen'!$A$5:$J$26"}</definedName>
    <definedName name="amdicksten" localSheetId="20" hidden="1">{"'Verkehr-Personen'!$A$5:$J$26"}</definedName>
    <definedName name="amdicksten" localSheetId="21" hidden="1">{"'Verkehr-Personen'!$A$5:$J$26"}</definedName>
    <definedName name="amdicksten" hidden="1">{"'Verkehr-Personen'!$A$5:$J$26"}</definedName>
    <definedName name="Anne" localSheetId="20" hidden="1">{"'Verkehr-Personen'!$A$5:$J$26"}</definedName>
    <definedName name="Anne" localSheetId="21" hidden="1">{"'Verkehr-Personen'!$A$5:$J$26"}</definedName>
    <definedName name="Anne" hidden="1">{"'Verkehr-Personen'!$A$5:$J$26"}</definedName>
    <definedName name="annemarie" localSheetId="20" hidden="1">{"'Verkehr-Personen'!$A$5:$J$26"}</definedName>
    <definedName name="annemarie" localSheetId="21" hidden="1">{"'Verkehr-Personen'!$A$5:$J$26"}</definedName>
    <definedName name="annemarie" hidden="1">{"'Verkehr-Personen'!$A$5:$J$26"}</definedName>
    <definedName name="Anti" localSheetId="20" hidden="1">{"'Verkehr-Personen'!$A$5:$J$26"}</definedName>
    <definedName name="Anti" localSheetId="21" hidden="1">{"'Verkehr-Personen'!$A$5:$J$26"}</definedName>
    <definedName name="Anti" hidden="1">{"'Verkehr-Personen'!$A$5:$J$26"}</definedName>
    <definedName name="Anton" localSheetId="20" hidden="1">{"'Verkehr-Personen'!$A$5:$J$26"}</definedName>
    <definedName name="Anton" localSheetId="21" hidden="1">{"'Verkehr-Personen'!$A$5:$J$26"}</definedName>
    <definedName name="Anton" hidden="1">{"'Verkehr-Personen'!$A$5:$J$26"}</definedName>
    <definedName name="anzug" localSheetId="20" hidden="1">{"'Verkehr-Personen'!$A$5:$J$26"}</definedName>
    <definedName name="anzug" localSheetId="21" hidden="1">{"'Verkehr-Personen'!$A$5:$J$26"}</definedName>
    <definedName name="anzug" hidden="1">{"'Verkehr-Personen'!$A$5:$J$26"}</definedName>
    <definedName name="ardnerle" localSheetId="20" hidden="1">{"'Verkehr-Personen'!$A$5:$J$26"}</definedName>
    <definedName name="ardnerle" localSheetId="21" hidden="1">{"'Verkehr-Personen'!$A$5:$J$26"}</definedName>
    <definedName name="ardnerle" hidden="1">{"'Verkehr-Personen'!$A$5:$J$26"}</definedName>
    <definedName name="arsch" localSheetId="20" hidden="1">{"'Verkehr-Personen'!$A$5:$J$26"}</definedName>
    <definedName name="arsch" localSheetId="21" hidden="1">{"'Verkehr-Personen'!$A$5:$J$26"}</definedName>
    <definedName name="arsch" hidden="1">{"'Verkehr-Personen'!$A$5:$J$26"}</definedName>
    <definedName name="asang" localSheetId="20" hidden="1">{"'Verkehr-Personen'!$A$5:$J$26"}</definedName>
    <definedName name="asang" localSheetId="21" hidden="1">{"'Verkehr-Personen'!$A$5:$J$26"}</definedName>
    <definedName name="asang" hidden="1">{"'Verkehr-Personen'!$A$5:$J$26"}</definedName>
    <definedName name="asdwae" localSheetId="20" hidden="1">{"'Verkehr-Personen'!$A$5:$J$26"}</definedName>
    <definedName name="asdwae" localSheetId="21" hidden="1">{"'Verkehr-Personen'!$A$5:$J$26"}</definedName>
    <definedName name="asdwae" hidden="1">{"'Verkehr-Personen'!$A$5:$J$26"}</definedName>
    <definedName name="assd" localSheetId="20" hidden="1">{"'Verkehr-Personen'!$A$5:$J$26"}</definedName>
    <definedName name="assd" localSheetId="21" hidden="1">{"'Verkehr-Personen'!$A$5:$J$26"}</definedName>
    <definedName name="assd" hidden="1">{"'Verkehr-Personen'!$A$5:$J$26"}</definedName>
    <definedName name="aubtob" localSheetId="20" hidden="1">{"'Verkehr-Personen'!$A$5:$J$26"}</definedName>
    <definedName name="aubtob" localSheetId="21" hidden="1">{"'Verkehr-Personen'!$A$5:$J$26"}</definedName>
    <definedName name="aubtob" hidden="1">{"'Verkehr-Personen'!$A$5:$J$26"}</definedName>
    <definedName name="aues" localSheetId="20" hidden="1">{"'Verkehr-Personen'!$A$5:$J$26"}</definedName>
    <definedName name="aues" localSheetId="21" hidden="1">{"'Verkehr-Personen'!$A$5:$J$26"}</definedName>
    <definedName name="aues" hidden="1">{"'Verkehr-Personen'!$A$5:$J$26"}</definedName>
    <definedName name="Auto" localSheetId="20" hidden="1">{"'Verkehr-Personen'!$A$5:$J$26"}</definedName>
    <definedName name="Auto" localSheetId="21" hidden="1">{"'Verkehr-Personen'!$A$5:$J$26"}</definedName>
    <definedName name="Auto" hidden="1">{"'Verkehr-Personen'!$A$5:$J$26"}</definedName>
    <definedName name="autob" localSheetId="20" hidden="1">{"'Verkehr-Personen'!$A$5:$J$26"}</definedName>
    <definedName name="autob" localSheetId="21" hidden="1">{"'Verkehr-Personen'!$A$5:$J$26"}</definedName>
    <definedName name="autob" hidden="1">{"'Verkehr-Personen'!$A$5:$J$26"}</definedName>
    <definedName name="awer" localSheetId="20" hidden="1">{"'Verkehr-Personen'!$A$5:$J$26"}</definedName>
    <definedName name="awer" localSheetId="21" hidden="1">{"'Verkehr-Personen'!$A$5:$J$26"}</definedName>
    <definedName name="awer" hidden="1">{"'Verkehr-Personen'!$A$5:$J$26"}</definedName>
    <definedName name="awesdf" localSheetId="20" hidden="1">{"'Verkehr-Personen'!$A$5:$J$26"}</definedName>
    <definedName name="awesdf" localSheetId="21" hidden="1">{"'Verkehr-Personen'!$A$5:$J$26"}</definedName>
    <definedName name="awesdf" hidden="1">{"'Verkehr-Personen'!$A$5:$J$26"}</definedName>
    <definedName name="aylk" localSheetId="20" hidden="1">{"'Verkehr-Personen'!$A$5:$J$26"}</definedName>
    <definedName name="aylk" localSheetId="21" hidden="1">{"'Verkehr-Personen'!$A$5:$J$26"}</definedName>
    <definedName name="aylk" hidden="1">{"'Verkehr-Personen'!$A$5:$J$26"}</definedName>
    <definedName name="aysdxcb" localSheetId="20" hidden="1">{"'Verkehr-Personen'!$A$5:$J$26"}</definedName>
    <definedName name="aysdxcb" localSheetId="21" hidden="1">{"'Verkehr-Personen'!$A$5:$J$26"}</definedName>
    <definedName name="aysdxcb" hidden="1">{"'Verkehr-Personen'!$A$5:$J$26"}</definedName>
    <definedName name="b" localSheetId="20" hidden="1">{#N/A,#N/A,FALSE,"Mecklenburg-Vorpommern"}</definedName>
    <definedName name="b" localSheetId="21" hidden="1">{#N/A,#N/A,FALSE,"Mecklenburg-Vorpommern"}</definedName>
    <definedName name="b" hidden="1">{#N/A,#N/A,FALSE,"Mecklenburg-Vorpommern"}</definedName>
    <definedName name="babi" localSheetId="20" hidden="1">{"'Verkehr-Personen'!$A$5:$J$26"}</definedName>
    <definedName name="babi" localSheetId="21" hidden="1">{"'Verkehr-Personen'!$A$5:$J$26"}</definedName>
    <definedName name="babi" hidden="1">{"'Verkehr-Personen'!$A$5:$J$26"}</definedName>
    <definedName name="babiliele" localSheetId="20" hidden="1">{"'Verkehr-Personen'!$A$5:$J$26"}</definedName>
    <definedName name="babiliele" localSheetId="21" hidden="1">{"'Verkehr-Personen'!$A$5:$J$26"}</definedName>
    <definedName name="babiliele" hidden="1">{"'Verkehr-Personen'!$A$5:$J$26"}</definedName>
    <definedName name="bachle" localSheetId="20" hidden="1">{"'Verkehr-Personen'!$A$5:$J$26"}</definedName>
    <definedName name="bachle" localSheetId="21" hidden="1">{"'Verkehr-Personen'!$A$5:$J$26"}</definedName>
    <definedName name="bachle" hidden="1">{"'Verkehr-Personen'!$A$5:$J$26"}</definedName>
    <definedName name="bahnkard" localSheetId="20" hidden="1">{"'Verkehr-Personen'!$A$5:$J$26"}</definedName>
    <definedName name="bahnkard" localSheetId="21" hidden="1">{"'Verkehr-Personen'!$A$5:$J$26"}</definedName>
    <definedName name="bahnkard" hidden="1">{"'Verkehr-Personen'!$A$5:$J$26"}</definedName>
    <definedName name="bahnkrateeeen" localSheetId="20" hidden="1">{"'Verkehr-Personen'!$A$5:$J$26"}</definedName>
    <definedName name="bahnkrateeeen" localSheetId="21" hidden="1">{"'Verkehr-Personen'!$A$5:$J$26"}</definedName>
    <definedName name="bahnkrateeeen" hidden="1">{"'Verkehr-Personen'!$A$5:$J$26"}</definedName>
    <definedName name="bb"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arbeiten" localSheetId="20" hidden="1">{"'Verkehr-Personen'!$A$5:$J$26"}</definedName>
    <definedName name="bearbeiten" localSheetId="21" hidden="1">{"'Verkehr-Personen'!$A$5:$J$26"}</definedName>
    <definedName name="bearbeiten" hidden="1">{"'Verkehr-Personen'!$A$5:$J$26"}</definedName>
    <definedName name="behalten" localSheetId="20" hidden="1">{"'Verkehr-Personen'!$A$5:$J$26"}</definedName>
    <definedName name="behalten" localSheetId="21" hidden="1">{"'Verkehr-Personen'!$A$5:$J$26"}</definedName>
    <definedName name="behalten" hidden="1">{"'Verkehr-Personen'!$A$5:$J$26"}</definedName>
    <definedName name="beierle" localSheetId="20" hidden="1">{"'Verkehr-Personen'!$A$5:$J$26"}</definedName>
    <definedName name="beierle" localSheetId="21" hidden="1">{"'Verkehr-Personen'!$A$5:$J$26"}</definedName>
    <definedName name="beierle" hidden="1">{"'Verkehr-Personen'!$A$5:$J$26"}</definedName>
    <definedName name="bekommendndnd" localSheetId="20" hidden="1">{"'Verkehr-Personen'!$A$5:$J$26"}</definedName>
    <definedName name="bekommendndnd" localSheetId="21" hidden="1">{"'Verkehr-Personen'!$A$5:$J$26"}</definedName>
    <definedName name="bekommendndnd" hidden="1">{"'Verkehr-Personen'!$A$5:$J$26"}</definedName>
    <definedName name="beleibt" localSheetId="20" hidden="1">{"'Verkehr-Personen'!$A$5:$J$26"}</definedName>
    <definedName name="beleibt" localSheetId="21" hidden="1">{"'Verkehr-Personen'!$A$5:$J$26"}</definedName>
    <definedName name="beleibt" hidden="1">{"'Verkehr-Personen'!$A$5:$J$26"}</definedName>
    <definedName name="belibt" localSheetId="20" hidden="1">{"'Verkehr-Personen'!$A$5:$J$26"}</definedName>
    <definedName name="belibt" localSheetId="21" hidden="1">{"'Verkehr-Personen'!$A$5:$J$26"}</definedName>
    <definedName name="belibt" hidden="1">{"'Verkehr-Personen'!$A$5:$J$26"}</definedName>
    <definedName name="benz" localSheetId="20" hidden="1">{"'Verkehr-Personen'!$A$5:$J$26"}</definedName>
    <definedName name="benz" localSheetId="21" hidden="1">{"'Verkehr-Personen'!$A$5:$J$26"}</definedName>
    <definedName name="benz" hidden="1">{"'Verkehr-Personen'!$A$5:$J$26"}</definedName>
    <definedName name="Benzin_CO2_in_EUR_je_Liter" localSheetId="20">[2]Steuern_DE!$AL$2</definedName>
    <definedName name="Benzin_CO2_in_EUR_je_Liter">#REF!</definedName>
    <definedName name="Bernd" localSheetId="20" hidden="1">{"'Verkehr-Personen'!$A$5:$J$26"}</definedName>
    <definedName name="Bernd" localSheetId="21" hidden="1">{"'Verkehr-Personen'!$A$5:$J$26"}</definedName>
    <definedName name="Bernd" hidden="1">{"'Verkehr-Personen'!$A$5:$J$26"}</definedName>
    <definedName name="Beschriftung">OFFSET([3]Daten!$B$10,0,0,COUNTA([3]Daten!$B$10:$B$24),-1)</definedName>
    <definedName name="Beschriftung2">OFFSET(#REF!,0,0,COUNTA(#REF!),-1)</definedName>
    <definedName name="Beschriftung3">OFFSET(#REF!,0,0,COUNTA(#REF!),-1)</definedName>
    <definedName name="bettle" localSheetId="20" hidden="1">{"'Verkehr-Personen'!$A$5:$J$26"}</definedName>
    <definedName name="bettle" localSheetId="21" hidden="1">{"'Verkehr-Personen'!$A$5:$J$26"}</definedName>
    <definedName name="bettle" hidden="1">{"'Verkehr-Personen'!$A$5:$J$26"}</definedName>
    <definedName name="bettt" localSheetId="20" hidden="1">{"'Verkehr-Personen'!$A$5:$J$26"}</definedName>
    <definedName name="bettt" localSheetId="21" hidden="1">{"'Verkehr-Personen'!$A$5:$J$26"}</definedName>
    <definedName name="bettt" hidden="1">{"'Verkehr-Personen'!$A$5:$J$26"}</definedName>
    <definedName name="birbitkommt" localSheetId="20" hidden="1">{"'Verkehr-Personen'!$A$5:$J$26"}</definedName>
    <definedName name="birbitkommt" localSheetId="21" hidden="1">{"'Verkehr-Personen'!$A$5:$J$26"}</definedName>
    <definedName name="birbitkommt" hidden="1">{"'Verkehr-Personen'!$A$5:$J$26"}</definedName>
    <definedName name="birger" localSheetId="20" hidden="1">{"'Verkehr-Personen'!$A$5:$J$26"}</definedName>
    <definedName name="birger" localSheetId="21" hidden="1">{"'Verkehr-Personen'!$A$5:$J$26"}</definedName>
    <definedName name="birger" hidden="1">{"'Verkehr-Personen'!$A$5:$J$26"}</definedName>
    <definedName name="birgerle" localSheetId="20" hidden="1">{"'Verkehr-Personen'!$A$5:$J$26"}</definedName>
    <definedName name="birgerle" localSheetId="21" hidden="1">{"'Verkehr-Personen'!$A$5:$J$26"}</definedName>
    <definedName name="birgerle" hidden="1">{"'Verkehr-Personen'!$A$5:$J$26"}</definedName>
    <definedName name="birgitkommt" localSheetId="20" hidden="1">{"'Verkehr-Personen'!$A$5:$J$26"}</definedName>
    <definedName name="birgitkommt" localSheetId="21" hidden="1">{"'Verkehr-Personen'!$A$5:$J$26"}</definedName>
    <definedName name="birgitkommt" hidden="1">{"'Verkehr-Personen'!$A$5:$J$26"}</definedName>
    <definedName name="bismarck" localSheetId="20" hidden="1">{"'Verkehr-Personen'!$A$5:$J$26"}</definedName>
    <definedName name="bismarck" localSheetId="21" hidden="1">{"'Verkehr-Personen'!$A$5:$J$26"}</definedName>
    <definedName name="bismarck" hidden="1">{"'Verkehr-Personen'!$A$5:$J$26"}</definedName>
    <definedName name="blaeee" localSheetId="20" hidden="1">{"'Verkehr-Personen'!$A$5:$J$26"}</definedName>
    <definedName name="blaeee" localSheetId="21" hidden="1">{"'Verkehr-Personen'!$A$5:$J$26"}</definedName>
    <definedName name="blaeee" hidden="1">{"'Verkehr-Personen'!$A$5:$J$26"}</definedName>
    <definedName name="blaettle" localSheetId="20" hidden="1">{"'Verkehr-Personen'!$A$5:$J$26"}</definedName>
    <definedName name="blaettle" localSheetId="21" hidden="1">{"'Verkehr-Personen'!$A$5:$J$26"}</definedName>
    <definedName name="blaettle" hidden="1">{"'Verkehr-Personen'!$A$5:$J$26"}</definedName>
    <definedName name="blaettlelein" localSheetId="20" hidden="1">{"'Verkehr-Personen'!$A$5:$J$26"}</definedName>
    <definedName name="blaettlelein" localSheetId="21" hidden="1">{"'Verkehr-Personen'!$A$5:$J$26"}</definedName>
    <definedName name="blaettlelein" hidden="1">{"'Verkehr-Personen'!$A$5:$J$26"}</definedName>
    <definedName name="blattt" localSheetId="20" hidden="1">{"'Verkehr-Personen'!$A$5:$J$26"}</definedName>
    <definedName name="blattt" localSheetId="21" hidden="1">{"'Verkehr-Personen'!$A$5:$J$26"}</definedName>
    <definedName name="blattt" hidden="1">{"'Verkehr-Personen'!$A$5:$J$26"}</definedName>
    <definedName name="blattttttttt" localSheetId="20" hidden="1">{"'Verkehr-Personen'!$A$5:$J$26"}</definedName>
    <definedName name="blattttttttt" localSheetId="21" hidden="1">{"'Verkehr-Personen'!$A$5:$J$26"}</definedName>
    <definedName name="blattttttttt" hidden="1">{"'Verkehr-Personen'!$A$5:$J$26"}</definedName>
    <definedName name="blauaeugig" localSheetId="20" hidden="1">{"'Verkehr-Personen'!$A$5:$J$26"}</definedName>
    <definedName name="blauaeugig" localSheetId="21" hidden="1">{"'Verkehr-Personen'!$A$5:$J$26"}</definedName>
    <definedName name="blauaeugig" hidden="1">{"'Verkehr-Personen'!$A$5:$J$26"}</definedName>
    <definedName name="blaueaugen" localSheetId="20" hidden="1">{"'Verkehr-Personen'!$A$5:$J$26"}</definedName>
    <definedName name="blaueaugen" localSheetId="21" hidden="1">{"'Verkehr-Personen'!$A$5:$J$26"}</definedName>
    <definedName name="blaueaugen" hidden="1">{"'Verkehr-Personen'!$A$5:$J$26"}</definedName>
    <definedName name="blaueswunder" localSheetId="20" hidden="1">{"'Verkehr-Personen'!$A$5:$J$26"}</definedName>
    <definedName name="blaueswunder" localSheetId="21" hidden="1">{"'Verkehr-Personen'!$A$5:$J$26"}</definedName>
    <definedName name="blaueswunder" hidden="1">{"'Verkehr-Personen'!$A$5:$J$26"}</definedName>
    <definedName name="blederfilm" localSheetId="20" hidden="1">{"'Verkehr-Personen'!$A$5:$J$26"}</definedName>
    <definedName name="blederfilm" localSheetId="21" hidden="1">{"'Verkehr-Personen'!$A$5:$J$26"}</definedName>
    <definedName name="blederfilm" hidden="1">{"'Verkehr-Personen'!$A$5:$J$26"}</definedName>
    <definedName name="bloed" localSheetId="20" hidden="1">{"'Verkehr-Personen'!$A$5:$J$26"}</definedName>
    <definedName name="bloed" localSheetId="21" hidden="1">{"'Verkehr-Personen'!$A$5:$J$26"}</definedName>
    <definedName name="bloed" hidden="1">{"'Verkehr-Personen'!$A$5:$J$26"}</definedName>
    <definedName name="bloedeleut" localSheetId="20" hidden="1">{"'Verkehr-Personen'!$A$5:$J$26"}</definedName>
    <definedName name="bloedeleut" localSheetId="21" hidden="1">{"'Verkehr-Personen'!$A$5:$J$26"}</definedName>
    <definedName name="bloedeleut" hidden="1">{"'Verkehr-Personen'!$A$5:$J$26"}</definedName>
    <definedName name="blondehaare" localSheetId="20" hidden="1">{"'Verkehr-Personen'!$A$5:$J$26"}</definedName>
    <definedName name="blondehaare" localSheetId="21" hidden="1">{"'Verkehr-Personen'!$A$5:$J$26"}</definedName>
    <definedName name="blondehaare" hidden="1">{"'Verkehr-Personen'!$A$5:$J$26"}</definedName>
    <definedName name="blueht" localSheetId="20" hidden="1">{"'Verkehr-Personen'!$A$5:$J$26"}</definedName>
    <definedName name="blueht" localSheetId="21" hidden="1">{"'Verkehr-Personen'!$A$5:$J$26"}</definedName>
    <definedName name="blueht" hidden="1">{"'Verkehr-Personen'!$A$5:$J$26"}</definedName>
    <definedName name="bluesele" localSheetId="20" hidden="1">{"'Verkehr-Personen'!$A$5:$J$26"}</definedName>
    <definedName name="bluesele" localSheetId="21" hidden="1">{"'Verkehr-Personen'!$A$5:$J$26"}</definedName>
    <definedName name="bluesele" hidden="1">{"'Verkehr-Personen'!$A$5:$J$26"}</definedName>
    <definedName name="blume" localSheetId="20" hidden="1">{"'Verkehr-Personen'!$A$5:$J$26"}</definedName>
    <definedName name="blume" localSheetId="21" hidden="1">{"'Verkehr-Personen'!$A$5:$J$26"}</definedName>
    <definedName name="blume" hidden="1">{"'Verkehr-Personen'!$A$5:$J$26"}</definedName>
    <definedName name="blumenkohl" localSheetId="20" hidden="1">{"'Verkehr-Personen'!$A$5:$J$26"}</definedName>
    <definedName name="blumenkohl" localSheetId="21" hidden="1">{"'Verkehr-Personen'!$A$5:$J$26"}</definedName>
    <definedName name="blumenkohl" hidden="1">{"'Verkehr-Personen'!$A$5:$J$26"}</definedName>
    <definedName name="bluse" localSheetId="20" hidden="1">{"'Verkehr-Personen'!$A$5:$J$26"}</definedName>
    <definedName name="bluse" localSheetId="21" hidden="1">{"'Verkehr-Personen'!$A$5:$J$26"}</definedName>
    <definedName name="bluse" hidden="1">{"'Verkehr-Personen'!$A$5:$J$26"}</definedName>
    <definedName name="blutwurst" localSheetId="20" hidden="1">{"'Verkehr-Personen'!$A$5:$J$26"}</definedName>
    <definedName name="blutwurst" localSheetId="21" hidden="1">{"'Verkehr-Personen'!$A$5:$J$26"}</definedName>
    <definedName name="blutwurst" hidden="1">{"'Verkehr-Personen'!$A$5:$J$26"}</definedName>
    <definedName name="blutwurstleinilein" localSheetId="20" hidden="1">{"'Verkehr-Personen'!$A$5:$J$26"}</definedName>
    <definedName name="blutwurstleinilein" localSheetId="21" hidden="1">{"'Verkehr-Personen'!$A$5:$J$26"}</definedName>
    <definedName name="blutwurstleinilein" hidden="1">{"'Verkehr-Personen'!$A$5:$J$26"}</definedName>
    <definedName name="blutwurtst" localSheetId="20" hidden="1">{"'Verkehr-Personen'!$A$5:$J$26"}</definedName>
    <definedName name="blutwurtst" localSheetId="21" hidden="1">{"'Verkehr-Personen'!$A$5:$J$26"}</definedName>
    <definedName name="blutwurtst" hidden="1">{"'Verkehr-Personen'!$A$5:$J$26"}</definedName>
    <definedName name="boenisch" localSheetId="20" hidden="1">{"'Verkehr-Personen'!$A$5:$J$26"}</definedName>
    <definedName name="boenisch" localSheetId="21" hidden="1">{"'Verkehr-Personen'!$A$5:$J$26"}</definedName>
    <definedName name="boenisch" hidden="1">{"'Verkehr-Personen'!$A$5:$J$26"}</definedName>
    <definedName name="braun" localSheetId="20" hidden="1">{"'Verkehr-Personen'!$A$5:$J$26"}</definedName>
    <definedName name="braun" localSheetId="21" hidden="1">{"'Verkehr-Personen'!$A$5:$J$26"}</definedName>
    <definedName name="braun" hidden="1">{"'Verkehr-Personen'!$A$5:$J$26"}</definedName>
    <definedName name="braunäugig" localSheetId="20" hidden="1">{"'Verkehr-Personen'!$A$5:$J$26"}</definedName>
    <definedName name="braunäugig" localSheetId="21" hidden="1">{"'Verkehr-Personen'!$A$5:$J$26"}</definedName>
    <definedName name="braunäugig" hidden="1">{"'Verkehr-Personen'!$A$5:$J$26"}</definedName>
    <definedName name="braunschwarz" localSheetId="20" hidden="1">{"'Verkehr-Personen'!$A$5:$J$26"}</definedName>
    <definedName name="braunschwarz" localSheetId="21" hidden="1">{"'Verkehr-Personen'!$A$5:$J$26"}</definedName>
    <definedName name="braunschwarz" hidden="1">{"'Verkehr-Personen'!$A$5:$J$26"}</definedName>
    <definedName name="brot" localSheetId="20" hidden="1">{"'Verkehr-Personen'!$A$5:$J$26"}</definedName>
    <definedName name="brot" localSheetId="21" hidden="1">{"'Verkehr-Personen'!$A$5:$J$26"}</definedName>
    <definedName name="brot" hidden="1">{"'Verkehr-Personen'!$A$5:$J$26"}</definedName>
    <definedName name="Bruno" localSheetId="20" hidden="1">{"'Verkehr-Personen'!$A$5:$J$26"}</definedName>
    <definedName name="Bruno" localSheetId="21" hidden="1">{"'Verkehr-Personen'!$A$5:$J$26"}</definedName>
    <definedName name="Bruno" hidden="1">{"'Verkehr-Personen'!$A$5:$J$26"}</definedName>
    <definedName name="brunokommt" localSheetId="20" hidden="1">{"'Verkehr-Personen'!$A$5:$J$26"}</definedName>
    <definedName name="brunokommt" localSheetId="21" hidden="1">{"'Verkehr-Personen'!$A$5:$J$26"}</definedName>
    <definedName name="brunokommt" hidden="1">{"'Verkehr-Personen'!$A$5:$J$26"}</definedName>
    <definedName name="brunokommtbald" localSheetId="20" hidden="1">{"'Verkehr-Personen'!$A$5:$J$26"}</definedName>
    <definedName name="brunokommtbald" localSheetId="21" hidden="1">{"'Verkehr-Personen'!$A$5:$J$26"}</definedName>
    <definedName name="brunokommtbald" hidden="1">{"'Verkehr-Personen'!$A$5:$J$26"}</definedName>
    <definedName name="brunoossososoososos" localSheetId="20" hidden="1">{"'Verkehr-Personen'!$A$5:$J$26"}</definedName>
    <definedName name="brunoossososoososos" localSheetId="21" hidden="1">{"'Verkehr-Personen'!$A$5:$J$26"}</definedName>
    <definedName name="brunoossososoososos" hidden="1">{"'Verkehr-Personen'!$A$5:$J$26"}</definedName>
    <definedName name="brustkrebs" localSheetId="20" hidden="1">{"'Verkehr-Personen'!$A$5:$J$26"}</definedName>
    <definedName name="brustkrebs" localSheetId="21" hidden="1">{"'Verkehr-Personen'!$A$5:$J$26"}</definedName>
    <definedName name="brustkrebs" hidden="1">{"'Verkehr-Personen'!$A$5:$J$26"}</definedName>
    <definedName name="bsmarckle" localSheetId="20" hidden="1">{"'Verkehr-Personen'!$A$5:$J$26"}</definedName>
    <definedName name="bsmarckle" localSheetId="21" hidden="1">{"'Verkehr-Personen'!$A$5:$J$26"}</definedName>
    <definedName name="bsmarckle" hidden="1">{"'Verkehr-Personen'!$A$5:$J$26"}</definedName>
    <definedName name="bycicle" localSheetId="20" hidden="1">{"'Verkehr-Personen'!$A$5:$J$26"}</definedName>
    <definedName name="bycicle" localSheetId="21" hidden="1">{"'Verkehr-Personen'!$A$5:$J$26"}</definedName>
    <definedName name="bycicle" hidden="1">{"'Verkehr-Personen'!$A$5:$J$26"}</definedName>
    <definedName name="callas" localSheetId="20" hidden="1">{"'Verkehr-Personen'!$A$5:$J$26"}</definedName>
    <definedName name="callas" localSheetId="21" hidden="1">{"'Verkehr-Personen'!$A$5:$J$26"}</definedName>
    <definedName name="callas" hidden="1">{"'Verkehr-Personen'!$A$5:$J$26"}</definedName>
    <definedName name="callasle" localSheetId="20" hidden="1">{"'Verkehr-Personen'!$A$5:$J$26"}</definedName>
    <definedName name="callasle" localSheetId="21" hidden="1">{"'Verkehr-Personen'!$A$5:$J$26"}</definedName>
    <definedName name="callasle" hidden="1">{"'Verkehr-Personen'!$A$5:$J$26"}</definedName>
    <definedName name="ccc" localSheetId="20" hidden="1">{"'Verkehr-Personen'!$A$5:$J$26"}</definedName>
    <definedName name="ccc" localSheetId="21" hidden="1">{"'Verkehr-Personen'!$A$5:$J$26"}</definedName>
    <definedName name="ccc" hidden="1">{"'Verkehr-Personen'!$A$5:$J$26"}</definedName>
    <definedName name="ccccccccccccc" localSheetId="20" hidden="1">{"'Verkehr-Personen'!$A$5:$J$26"}</definedName>
    <definedName name="ccccccccccccc" localSheetId="21" hidden="1">{"'Verkehr-Personen'!$A$5:$J$26"}</definedName>
    <definedName name="ccccccccccccc" hidden="1">{"'Verkehr-Personen'!$A$5:$J$26"}</definedName>
    <definedName name="cccccccccccccc" localSheetId="20" hidden="1">{"'Verkehr-Personen'!$A$5:$J$26"}</definedName>
    <definedName name="cccccccccccccc" localSheetId="21" hidden="1">{"'Verkehr-Personen'!$A$5:$J$26"}</definedName>
    <definedName name="cccccccccccccc" hidden="1">{"'Verkehr-Personen'!$A$5:$J$26"}</definedName>
    <definedName name="chen" localSheetId="20" hidden="1">{"'Verkehr-Personen'!$A$5:$J$26"}</definedName>
    <definedName name="chen" localSheetId="21" hidden="1">{"'Verkehr-Personen'!$A$5:$J$26"}</definedName>
    <definedName name="chen" hidden="1">{"'Verkehr-Personen'!$A$5:$J$26"}</definedName>
    <definedName name="Chris" localSheetId="20" hidden="1">{"'Verkehr-Personen'!$A$5:$J$26"}</definedName>
    <definedName name="Chris" localSheetId="21" hidden="1">{"'Verkehr-Personen'!$A$5:$J$26"}</definedName>
    <definedName name="Chris" hidden="1">{"'Verkehr-Personen'!$A$5:$J$26"}</definedName>
    <definedName name="citroen" localSheetId="20" hidden="1">{"'Verkehr-Personen'!$A$5:$J$26"}</definedName>
    <definedName name="citroen" localSheetId="21" hidden="1">{"'Verkehr-Personen'!$A$5:$J$26"}</definedName>
    <definedName name="citroen" hidden="1">{"'Verkehr-Personen'!$A$5:$J$26"}</definedName>
    <definedName name="cola" localSheetId="20" hidden="1">{"'Verkehr-Personen'!$A$5:$J$26"}</definedName>
    <definedName name="cola" localSheetId="21" hidden="1">{"'Verkehr-Personen'!$A$5:$J$26"}</definedName>
    <definedName name="cola" hidden="1">{"'Verkehr-Personen'!$A$5:$J$26"}</definedName>
    <definedName name="coladdd" localSheetId="20" hidden="1">{"'Verkehr-Personen'!$A$5:$J$26"}</definedName>
    <definedName name="coladdd" localSheetId="21" hidden="1">{"'Verkehr-Personen'!$A$5:$J$26"}</definedName>
    <definedName name="coladdd" hidden="1">{"'Verkehr-Personen'!$A$5:$J$26"}</definedName>
    <definedName name="collalslslsls" localSheetId="20" hidden="1">{"'Verkehr-Personen'!$A$5:$J$26"}</definedName>
    <definedName name="collalslslsls" localSheetId="21" hidden="1">{"'Verkehr-Personen'!$A$5:$J$26"}</definedName>
    <definedName name="collalslslsls" hidden="1">{"'Verkehr-Personen'!$A$5:$J$26"}</definedName>
    <definedName name="Conny" localSheetId="20" hidden="1">{"'Verkehr-Personen'!$A$5:$J$26"}</definedName>
    <definedName name="Conny" localSheetId="21" hidden="1">{"'Verkehr-Personen'!$A$5:$J$26"}</definedName>
    <definedName name="Conny" hidden="1">{"'Verkehr-Personen'!$A$5:$J$26"}</definedName>
    <definedName name="d" localSheetId="20" hidden="1">{"nach Förderung",#N/A,FALSE,"Länder Gesamt"}</definedName>
    <definedName name="d" localSheetId="21" hidden="1">{"nach Förderung",#N/A,FALSE,"Länder Gesamt"}</definedName>
    <definedName name="d" hidden="1">{"nach Förderung",#N/A,FALSE,"Länder Gesamt"}</definedName>
    <definedName name="dani" localSheetId="20" hidden="1">{"'Verkehr-Personen'!$A$5:$J$26"}</definedName>
    <definedName name="dani" localSheetId="21" hidden="1">{"'Verkehr-Personen'!$A$5:$J$26"}</definedName>
    <definedName name="dani" hidden="1">{"'Verkehr-Personen'!$A$5:$J$26"}</definedName>
    <definedName name="daniel" localSheetId="20" hidden="1">{"'Verkehr-Personen'!$A$5:$J$26"}</definedName>
    <definedName name="daniel" localSheetId="21" hidden="1">{"'Verkehr-Personen'!$A$5:$J$26"}</definedName>
    <definedName name="daniel" hidden="1">{"'Verkehr-Personen'!$A$5:$J$26"}</definedName>
    <definedName name="darmkrebs" localSheetId="20" hidden="1">{"'Verkehr-Personen'!$A$5:$J$26"}</definedName>
    <definedName name="darmkrebs" localSheetId="21" hidden="1">{"'Verkehr-Personen'!$A$5:$J$26"}</definedName>
    <definedName name="darmkrebs" hidden="1">{"'Verkehr-Personen'!$A$5:$J$26"}</definedName>
    <definedName name="dasistzumauswachsen" localSheetId="20" hidden="1">{"'Verkehr-Personen'!$A$5:$J$26"}</definedName>
    <definedName name="dasistzumauswachsen" localSheetId="21" hidden="1">{"'Verkehr-Personen'!$A$5:$J$26"}</definedName>
    <definedName name="dasistzumauswachsen" hidden="1">{"'Verkehr-Personen'!$A$5:$J$26"}</definedName>
    <definedName name="dasitpuppe" localSheetId="20" hidden="1">{"'Verkehr-Personen'!$A$5:$J$26"}</definedName>
    <definedName name="dasitpuppe" localSheetId="21" hidden="1">{"'Verkehr-Personen'!$A$5:$J$26"}</definedName>
    <definedName name="dasitpuppe" hidden="1">{"'Verkehr-Personen'!$A$5:$J$26"}</definedName>
    <definedName name="Daten01">OFFSET([3]Daten!$C$10,0,0,COUNTA([3]Daten!$C$10:$C$24),-1)</definedName>
    <definedName name="Daten02">OFFSET([3]Daten!$D$10,0,0,COUNTA([3]Daten!$D$10:$D$24),-1)</definedName>
    <definedName name="Daten03">OFFSET([3]Daten!$E$10,0,0,COUNTA([3]Daten!$E$10:$E$24),-1)</definedName>
    <definedName name="Daten04">OFFSET([3]Daten!$F$10,0,0,COUNTA([3]Daten!$F$10:$F$24),-1)</definedName>
    <definedName name="Daten05">OFFSET([3]Daten!$G$10,0,0,COUNTA([3]Daten!$G$10:$G$24),-1)</definedName>
    <definedName name="Daten06">OFFSET([3]Daten!$H$10,0,0,COUNTA([3]Daten!$H$10:$H$24),-1)</definedName>
    <definedName name="Daten07">OFFSET([3]Daten!$I$10,0,0,COUNTA([3]Daten!$I$10:$I$24),-1)</definedName>
    <definedName name="Daten08">OFFSET([3]Daten!$J$10,0,0,COUNTA([3]Daten!$J$10:$J$24),-1)</definedName>
    <definedName name="Daten09">OFFSET([3]Daten!$K$10,0,0,COUNTA([3]Daten!$K$10:$K$24),-1)</definedName>
    <definedName name="Daten10">OFFSET([3]Daten!$L$10,0,0,COUNTA([3]Daten!$L$10:$L$24),-1)</definedName>
    <definedName name="dddd" localSheetId="20" hidden="1">{"'Verkehr-Personen'!$A$5:$J$26"}</definedName>
    <definedName name="dddd" localSheetId="21" hidden="1">{"'Verkehr-Personen'!$A$5:$J$26"}</definedName>
    <definedName name="dddd" hidden="1">{"'Verkehr-Personen'!$A$5:$J$26"}</definedName>
    <definedName name="dddddddddddddddoof" localSheetId="20" hidden="1">{"'Verkehr-Personen'!$A$5:$J$26"}</definedName>
    <definedName name="dddddddddddddddoof" localSheetId="21" hidden="1">{"'Verkehr-Personen'!$A$5:$J$26"}</definedName>
    <definedName name="dddddddddddddddoof" hidden="1">{"'Verkehr-Personen'!$A$5:$J$26"}</definedName>
    <definedName name="dddddddddddddpeope" localSheetId="20" hidden="1">{"'Verkehr-Personen'!$A$5:$J$26"}</definedName>
    <definedName name="dddddddddddddpeope" localSheetId="21" hidden="1">{"'Verkehr-Personen'!$A$5:$J$26"}</definedName>
    <definedName name="dddddddddddddpeope" hidden="1">{"'Verkehr-Personen'!$A$5:$J$26"}</definedName>
    <definedName name="ddddrrr" localSheetId="20" hidden="1">{"'Verkehr-Personen'!$A$5:$J$26"}</definedName>
    <definedName name="ddddrrr" localSheetId="21" hidden="1">{"'Verkehr-Personen'!$A$5:$J$26"}</definedName>
    <definedName name="ddddrrr" hidden="1">{"'Verkehr-Personen'!$A$5:$J$26"}</definedName>
    <definedName name="dddoooooooooood" localSheetId="20" hidden="1">{"'Verkehr-Personen'!$A$5:$J$26"}</definedName>
    <definedName name="dddoooooooooood" localSheetId="21" hidden="1">{"'Verkehr-Personen'!$A$5:$J$26"}</definedName>
    <definedName name="dddoooooooooood" hidden="1">{"'Verkehr-Personen'!$A$5:$J$26"}</definedName>
    <definedName name="decke" localSheetId="20" hidden="1">{"'Verkehr-Personen'!$A$5:$J$26"}</definedName>
    <definedName name="decke" localSheetId="21" hidden="1">{"'Verkehr-Personen'!$A$5:$J$26"}</definedName>
    <definedName name="decke" hidden="1">{"'Verkehr-Personen'!$A$5:$J$26"}</definedName>
    <definedName name="deinle" localSheetId="20" hidden="1">{"'Verkehr-Personen'!$A$5:$J$26"}</definedName>
    <definedName name="deinle" localSheetId="21" hidden="1">{"'Verkehr-Personen'!$A$5:$J$26"}</definedName>
    <definedName name="deinle" hidden="1">{"'Verkehr-Personen'!$A$5:$J$26"}</definedName>
    <definedName name="deristdoffff" localSheetId="20" hidden="1">{"'Verkehr-Personen'!$A$5:$J$26"}</definedName>
    <definedName name="deristdoffff" localSheetId="21" hidden="1">{"'Verkehr-Personen'!$A$5:$J$26"}</definedName>
    <definedName name="deristdoffff" hidden="1">{"'Verkehr-Personen'!$A$5:$J$26"}</definedName>
    <definedName name="dfgd" localSheetId="20" hidden="1">{"'Verkehr-Personen'!$A$5:$J$26"}</definedName>
    <definedName name="dfgd" localSheetId="21" hidden="1">{"'Verkehr-Personen'!$A$5:$J$26"}</definedName>
    <definedName name="dfgd" hidden="1">{"'Verkehr-Personen'!$A$5:$J$26"}</definedName>
    <definedName name="dfsd" localSheetId="20" hidden="1">{"'Verkehr-Personen'!$A$5:$J$26"}</definedName>
    <definedName name="dfsd" localSheetId="21" hidden="1">{"'Verkehr-Personen'!$A$5:$J$26"}</definedName>
    <definedName name="dfsd" hidden="1">{"'Verkehr-Personen'!$A$5:$J$26"}</definedName>
    <definedName name="Diagramm5">[4]EB97_Zahlen_für_Grafiken!$A$11:$S$24</definedName>
    <definedName name="dick" localSheetId="20" hidden="1">{"'Verkehr-Personen'!$A$5:$J$26"}</definedName>
    <definedName name="dick" localSheetId="21" hidden="1">{"'Verkehr-Personen'!$A$5:$J$26"}</definedName>
    <definedName name="dick" hidden="1">{"'Verkehr-Personen'!$A$5:$J$26"}</definedName>
    <definedName name="dicklich" localSheetId="20" hidden="1">{"'Verkehr-Personen'!$A$5:$J$26"}</definedName>
    <definedName name="dicklich" localSheetId="21" hidden="1">{"'Verkehr-Personen'!$A$5:$J$26"}</definedName>
    <definedName name="dicklich" hidden="1">{"'Verkehr-Personen'!$A$5:$J$26"}</definedName>
    <definedName name="didididide" localSheetId="20" hidden="1">{"'Verkehr-Personen'!$A$5:$J$26"}</definedName>
    <definedName name="didididide" localSheetId="21" hidden="1">{"'Verkehr-Personen'!$A$5:$J$26"}</definedName>
    <definedName name="didididide" hidden="1">{"'Verkehr-Personen'!$A$5:$J$26"}</definedName>
    <definedName name="Diesel_CO2_in_EUR_je_Liter" localSheetId="20">[2]Steuern_DE!$AL$3</definedName>
    <definedName name="Diesel_CO2_in_EUR_je_Liter">#REF!</definedName>
    <definedName name="Dieter" localSheetId="20" hidden="1">{"'Verkehr-Personen'!$A$5:$J$26"}</definedName>
    <definedName name="Dieter" localSheetId="21" hidden="1">{"'Verkehr-Personen'!$A$5:$J$26"}</definedName>
    <definedName name="Dieter" hidden="1">{"'Verkehr-Personen'!$A$5:$J$26"}</definedName>
    <definedName name="diewohnen" localSheetId="20" hidden="1">{"'Verkehr-Personen'!$A$5:$J$26"}</definedName>
    <definedName name="diewohnen" localSheetId="21" hidden="1">{"'Verkehr-Personen'!$A$5:$J$26"}</definedName>
    <definedName name="diewohnen" hidden="1">{"'Verkehr-Personen'!$A$5:$J$26"}</definedName>
    <definedName name="Diff" localSheetId="21" hidden="1">{"'Verkehr-Personen'!$A$5:$J$26"}</definedName>
    <definedName name="Diff" hidden="1">{"'Verkehr-Personen'!$A$5:$J$26"}</definedName>
    <definedName name="Diff_Kosten" localSheetId="20">[2]BesAR!$K$13</definedName>
    <definedName name="Diff_Kosten">#REF!</definedName>
    <definedName name="doch" localSheetId="20" hidden="1">{"'Verkehr-Personen'!$A$5:$J$26"}</definedName>
    <definedName name="doch" localSheetId="21" hidden="1">{"'Verkehr-Personen'!$A$5:$J$26"}</definedName>
    <definedName name="doch" hidden="1">{"'Verkehr-Personen'!$A$5:$J$26"}</definedName>
    <definedName name="doddddddddddddddddddddd" localSheetId="20" hidden="1">{"'Verkehr-Personen'!$A$5:$J$26"}</definedName>
    <definedName name="doddddddddddddddddddddd" localSheetId="21" hidden="1">{"'Verkehr-Personen'!$A$5:$J$26"}</definedName>
    <definedName name="doddddddddddddddddddddd" hidden="1">{"'Verkehr-Personen'!$A$5:$J$26"}</definedName>
    <definedName name="dof" localSheetId="20" hidden="1">{"'Verkehr-Personen'!$A$5:$J$26"}</definedName>
    <definedName name="dof" localSheetId="21" hidden="1">{"'Verkehr-Personen'!$A$5:$J$26"}</definedName>
    <definedName name="dof" hidden="1">{"'Verkehr-Personen'!$A$5:$J$26"}</definedName>
    <definedName name="dofile" localSheetId="20" hidden="1">{"'Verkehr-Personen'!$A$5:$J$26"}</definedName>
    <definedName name="dofile" localSheetId="21" hidden="1">{"'Verkehr-Personen'!$A$5:$J$26"}</definedName>
    <definedName name="dofile" hidden="1">{"'Verkehr-Personen'!$A$5:$J$26"}</definedName>
    <definedName name="dofundbleod" localSheetId="20" hidden="1">{"'Verkehr-Personen'!$A$5:$J$26"}</definedName>
    <definedName name="dofundbleod" localSheetId="21" hidden="1">{"'Verkehr-Personen'!$A$5:$J$26"}</definedName>
    <definedName name="dofundbleod" hidden="1">{"'Verkehr-Personen'!$A$5:$J$26"}</definedName>
    <definedName name="dofunddaemlich" localSheetId="20" hidden="1">{"'Verkehr-Personen'!$A$5:$J$26"}</definedName>
    <definedName name="dofunddaemlich" localSheetId="21" hidden="1">{"'Verkehr-Personen'!$A$5:$J$26"}</definedName>
    <definedName name="dofunddaemlich" hidden="1">{"'Verkehr-Personen'!$A$5:$J$26"}</definedName>
    <definedName name="Dooof" localSheetId="20" hidden="1">{"'Verkehr-Personen'!$A$5:$J$26"}</definedName>
    <definedName name="Dooof" localSheetId="21" hidden="1">{"'Verkehr-Personen'!$A$5:$J$26"}</definedName>
    <definedName name="Dooof" hidden="1">{"'Verkehr-Personen'!$A$5:$J$26"}</definedName>
    <definedName name="dorenhecke" localSheetId="20" hidden="1">{"'Verkehr-Personen'!$A$5:$J$26"}</definedName>
    <definedName name="dorenhecke" localSheetId="21" hidden="1">{"'Verkehr-Personen'!$A$5:$J$26"}</definedName>
    <definedName name="dorenhecke" hidden="1">{"'Verkehr-Personen'!$A$5:$J$26"}</definedName>
    <definedName name="dpppppppppppp" localSheetId="20" hidden="1">{"'Verkehr-Personen'!$A$5:$J$26"}</definedName>
    <definedName name="dpppppppppppp" localSheetId="21" hidden="1">{"'Verkehr-Personen'!$A$5:$J$26"}</definedName>
    <definedName name="dpppppppppppp" hidden="1">{"'Verkehr-Personen'!$A$5:$J$26"}</definedName>
    <definedName name="drehen" localSheetId="20" hidden="1">{"'Verkehr-Personen'!$A$5:$J$26"}</definedName>
    <definedName name="drehen" localSheetId="21" hidden="1">{"'Verkehr-Personen'!$A$5:$J$26"}</definedName>
    <definedName name="drehen" hidden="1">{"'Verkehr-Personen'!$A$5:$J$26"}</definedName>
    <definedName name="drrdrtirt" localSheetId="20" hidden="1">{"'Verkehr-Personen'!$A$5:$J$26"}</definedName>
    <definedName name="drrdrtirt" localSheetId="21" hidden="1">{"'Verkehr-Personen'!$A$5:$J$26"}</definedName>
    <definedName name="drrdrtirt" hidden="1">{"'Verkehr-Personen'!$A$5:$J$26"}</definedName>
    <definedName name="drtzfgjh" localSheetId="20" hidden="1">{"'Verkehr-Personen'!$A$5:$J$26"}</definedName>
    <definedName name="drtzfgjh" localSheetId="21" hidden="1">{"'Verkehr-Personen'!$A$5:$J$26"}</definedName>
    <definedName name="drtzfgjh" hidden="1">{"'Verkehr-Personen'!$A$5:$J$26"}</definedName>
    <definedName name="dummundbloed" localSheetId="20" hidden="1">{"'Verkehr-Personen'!$A$5:$J$26"}</definedName>
    <definedName name="dummundbloed" localSheetId="21" hidden="1">{"'Verkehr-Personen'!$A$5:$J$26"}</definedName>
    <definedName name="dummundbloed" hidden="1">{"'Verkehr-Personen'!$A$5:$J$26"}</definedName>
    <definedName name="dunkelrot" localSheetId="20" hidden="1">{"'Verkehr-Personen'!$A$5:$J$26"}</definedName>
    <definedName name="dunkelrot" localSheetId="21" hidden="1">{"'Verkehr-Personen'!$A$5:$J$26"}</definedName>
    <definedName name="dunkelrot" hidden="1">{"'Verkehr-Personen'!$A$5:$J$26"}</definedName>
    <definedName name="dunkelrotbraun" localSheetId="20" hidden="1">{"'Verkehr-Personen'!$A$5:$J$26"}</definedName>
    <definedName name="dunkelrotbraun" localSheetId="21" hidden="1">{"'Verkehr-Personen'!$A$5:$J$26"}</definedName>
    <definedName name="dunkelrotbraun" hidden="1">{"'Verkehr-Personen'!$A$5:$J$26"}</definedName>
    <definedName name="dunkelrotglelb" localSheetId="20" hidden="1">{"'Verkehr-Personen'!$A$5:$J$26"}</definedName>
    <definedName name="dunkelrotglelb" localSheetId="21" hidden="1">{"'Verkehr-Personen'!$A$5:$J$26"}</definedName>
    <definedName name="dunkelrotglelb" hidden="1">{"'Verkehr-Personen'!$A$5:$J$26"}</definedName>
    <definedName name="dyx" localSheetId="20" hidden="1">{"'Verkehr-Personen'!$A$5:$J$26"}</definedName>
    <definedName name="dyx" localSheetId="21" hidden="1">{"'Verkehr-Personen'!$A$5:$J$26"}</definedName>
    <definedName name="dyx" hidden="1">{"'Verkehr-Personen'!$A$5:$J$26"}</definedName>
    <definedName name="e" localSheetId="20" hidden="1">{"nach Ländern",#N/A,FALSE,"Länder Gesamt"}</definedName>
    <definedName name="e" localSheetId="21" hidden="1">{"nach Ländern",#N/A,FALSE,"Länder Gesamt"}</definedName>
    <definedName name="e" hidden="1">{"nach Ländern",#N/A,FALSE,"Länder Gesamt"}</definedName>
    <definedName name="Edith" localSheetId="20" hidden="1">{"'Verkehr-Personen'!$A$5:$J$26"}</definedName>
    <definedName name="Edith" localSheetId="21" hidden="1">{"'Verkehr-Personen'!$A$5:$J$26"}</definedName>
    <definedName name="Edith" hidden="1">{"'Verkehr-Personen'!$A$5:$J$26"}</definedName>
    <definedName name="eeeeeeeeeee" localSheetId="20" hidden="1">{"'Verkehr-Personen'!$A$5:$J$26"}</definedName>
    <definedName name="eeeeeeeeeee" localSheetId="21" hidden="1">{"'Verkehr-Personen'!$A$5:$J$26"}</definedName>
    <definedName name="eeeeeeeeeee" hidden="1">{"'Verkehr-Personen'!$A$5:$J$26"}</definedName>
    <definedName name="EEG_Umlage" localSheetId="20">[2]BesAR!$E$13</definedName>
    <definedName name="EEG_Umlage">#REF!</definedName>
    <definedName name="efrzfrz" localSheetId="20" hidden="1">{"'Verkehr-Personen'!$A$5:$J$26"}</definedName>
    <definedName name="efrzfrz" localSheetId="21" hidden="1">{"'Verkehr-Personen'!$A$5:$J$26"}</definedName>
    <definedName name="efrzfrz" hidden="1">{"'Verkehr-Personen'!$A$5:$J$26"}</definedName>
    <definedName name="egdf" localSheetId="20" hidden="1">{"'Verkehr-Personen'!$A$5:$J$26"}</definedName>
    <definedName name="egdf" localSheetId="21" hidden="1">{"'Verkehr-Personen'!$A$5:$J$26"}</definedName>
    <definedName name="egdf" hidden="1">{"'Verkehr-Personen'!$A$5:$J$26"}</definedName>
    <definedName name="egfd" localSheetId="20" hidden="1">{"'Verkehr-Personen'!$A$5:$J$26"}</definedName>
    <definedName name="egfd" localSheetId="21" hidden="1">{"'Verkehr-Personen'!$A$5:$J$26"}</definedName>
    <definedName name="egfd" hidden="1">{"'Verkehr-Personen'!$A$5:$J$26"}</definedName>
    <definedName name="einkauf" localSheetId="20" hidden="1">{"'Verkehr-Personen'!$A$5:$J$26"}</definedName>
    <definedName name="einkauf" localSheetId="21" hidden="1">{"'Verkehr-Personen'!$A$5:$J$26"}</definedName>
    <definedName name="einkauf" hidden="1">{"'Verkehr-Personen'!$A$5:$J$26"}</definedName>
    <definedName name="einkaufen" localSheetId="20" hidden="1">{"'Verkehr-Personen'!$A$5:$J$26"}</definedName>
    <definedName name="einkaufen" localSheetId="21" hidden="1">{"'Verkehr-Personen'!$A$5:$J$26"}</definedName>
    <definedName name="einkaufen" hidden="1">{"'Verkehr-Personen'!$A$5:$J$26"}</definedName>
    <definedName name="elsasser" localSheetId="20" hidden="1">{"'Verkehr-Personen'!$A$5:$J$26"}</definedName>
    <definedName name="elsasser" localSheetId="21" hidden="1">{"'Verkehr-Personen'!$A$5:$J$26"}</definedName>
    <definedName name="elsasser" hidden="1">{"'Verkehr-Personen'!$A$5:$J$26"}</definedName>
    <definedName name="embolie" localSheetId="20" hidden="1">{"'Verkehr-Personen'!$A$5:$J$26"}</definedName>
    <definedName name="embolie" localSheetId="21" hidden="1">{"'Verkehr-Personen'!$A$5:$J$26"}</definedName>
    <definedName name="embolie" hidden="1">{"'Verkehr-Personen'!$A$5:$J$26"}</definedName>
    <definedName name="enelbert" localSheetId="20" hidden="1">{"'Verkehr-Personen'!$A$5:$J$26"}</definedName>
    <definedName name="enelbert" localSheetId="21" hidden="1">{"'Verkehr-Personen'!$A$5:$J$26"}</definedName>
    <definedName name="enelbert" hidden="1">{"'Verkehr-Personen'!$A$5:$J$26"}</definedName>
    <definedName name="erdfb" localSheetId="20" hidden="1">{"'Verkehr-Personen'!$A$5:$J$26"}</definedName>
    <definedName name="erdfb" localSheetId="21" hidden="1">{"'Verkehr-Personen'!$A$5:$J$26"}</definedName>
    <definedName name="erdfb" hidden="1">{"'Verkehr-Personen'!$A$5:$J$26"}</definedName>
    <definedName name="erdfbxc" localSheetId="20" hidden="1">{"'Verkehr-Personen'!$A$5:$J$26"}</definedName>
    <definedName name="erdfbxc" localSheetId="21" hidden="1">{"'Verkehr-Personen'!$A$5:$J$26"}</definedName>
    <definedName name="erdfbxc" hidden="1">{"'Verkehr-Personen'!$A$5:$J$26"}</definedName>
    <definedName name="Erdgas_CO2_in_EUR_je_kWh" localSheetId="20">[2]Steuern_DE!$AL$5</definedName>
    <definedName name="Erdgas_CO2_in_EUR_je_kWh">#REF!</definedName>
    <definedName name="erdxc" localSheetId="20" hidden="1">{"'Verkehr-Personen'!$A$5:$J$26"}</definedName>
    <definedName name="erdxc" localSheetId="21" hidden="1">{"'Verkehr-Personen'!$A$5:$J$26"}</definedName>
    <definedName name="erdxc" hidden="1">{"'Verkehr-Personen'!$A$5:$J$26"}</definedName>
    <definedName name="ERG" localSheetId="20" hidden="1">{"'Verkehr-Personen'!$A$5:$J$26"}</definedName>
    <definedName name="ERG" localSheetId="21" hidden="1">{"'Verkehr-Personen'!$A$5:$J$26"}</definedName>
    <definedName name="ERG" hidden="1">{"'Verkehr-Personen'!$A$5:$J$26"}</definedName>
    <definedName name="ernte" localSheetId="20" hidden="1">{"'Verkehr-Personen'!$A$5:$J$26"}</definedName>
    <definedName name="ernte" localSheetId="21" hidden="1">{"'Verkehr-Personen'!$A$5:$J$26"}</definedName>
    <definedName name="ernte" hidden="1">{"'Verkehr-Personen'!$A$5:$J$26"}</definedName>
    <definedName name="esdf" localSheetId="20" hidden="1">{"'Verkehr-Personen'!$A$5:$J$26"}</definedName>
    <definedName name="esdf" localSheetId="21" hidden="1">{"'Verkehr-Personen'!$A$5:$J$26"}</definedName>
    <definedName name="esdf" hidden="1">{"'Verkehr-Personen'!$A$5:$J$26"}</definedName>
    <definedName name="esele" localSheetId="20" hidden="1">{"'Verkehr-Personen'!$A$5:$J$26"}</definedName>
    <definedName name="esele" localSheetId="21" hidden="1">{"'Verkehr-Personen'!$A$5:$J$26"}</definedName>
    <definedName name="esele" hidden="1">{"'Verkehr-Personen'!$A$5:$J$26"}</definedName>
    <definedName name="esreicht" localSheetId="20" hidden="1">{"'Verkehr-Personen'!$A$5:$J$26"}</definedName>
    <definedName name="esreicht" localSheetId="21" hidden="1">{"'Verkehr-Personen'!$A$5:$J$26"}</definedName>
    <definedName name="esreicht" hidden="1">{"'Verkehr-Personen'!$A$5:$J$26"}</definedName>
    <definedName name="esreichtle" localSheetId="20" hidden="1">{"'Verkehr-Personen'!$A$5:$J$26"}</definedName>
    <definedName name="esreichtle" localSheetId="21" hidden="1">{"'Verkehr-Personen'!$A$5:$J$26"}</definedName>
    <definedName name="esreichtle" hidden="1">{"'Verkehr-Personen'!$A$5:$J$26"}</definedName>
    <definedName name="esreichtwirklich" localSheetId="20" hidden="1">{"'Verkehr-Personen'!$A$5:$J$26"}</definedName>
    <definedName name="esreichtwirklich" localSheetId="21" hidden="1">{"'Verkehr-Personen'!$A$5:$J$26"}</definedName>
    <definedName name="esreichtwirklich" hidden="1">{"'Verkehr-Personen'!$A$5:$J$26"}</definedName>
    <definedName name="esreichtwirklichun" localSheetId="20" hidden="1">{"'Verkehr-Personen'!$A$5:$J$26"}</definedName>
    <definedName name="esreichtwirklichun" localSheetId="21" hidden="1">{"'Verkehr-Personen'!$A$5:$J$26"}</definedName>
    <definedName name="esreichtwirklichun" hidden="1">{"'Verkehr-Personen'!$A$5:$J$26"}</definedName>
    <definedName name="esreichtwirklllll" localSheetId="20" hidden="1">{"'Verkehr-Personen'!$A$5:$J$26"}</definedName>
    <definedName name="esreichtwirklllll" localSheetId="21" hidden="1">{"'Verkehr-Personen'!$A$5:$J$26"}</definedName>
    <definedName name="esreichtwirklllll" hidden="1">{"'Verkehr-Personen'!$A$5:$J$26"}</definedName>
    <definedName name="esreichwirkli" localSheetId="20" hidden="1">{"'Verkehr-Personen'!$A$5:$J$26"}</definedName>
    <definedName name="esreichwirkli" localSheetId="21" hidden="1">{"'Verkehr-Personen'!$A$5:$J$26"}</definedName>
    <definedName name="esreichwirkli" hidden="1">{"'Verkehr-Personen'!$A$5:$J$26"}</definedName>
    <definedName name="etfg" localSheetId="20" hidden="1">{"'Verkehr-Personen'!$A$5:$J$26"}</definedName>
    <definedName name="etfg" localSheetId="21" hidden="1">{"'Verkehr-Personen'!$A$5:$J$26"}</definedName>
    <definedName name="etfg" hidden="1">{"'Verkehr-Personen'!$A$5:$J$26"}</definedName>
    <definedName name="ewsd" localSheetId="20" hidden="1">{"'Verkehr-Personen'!$A$5:$J$26"}</definedName>
    <definedName name="ewsd" localSheetId="21" hidden="1">{"'Verkehr-Personen'!$A$5:$J$26"}</definedName>
    <definedName name="ewsd" hidden="1">{"'Verkehr-Personen'!$A$5:$J$26"}</definedName>
    <definedName name="ewsdxc" localSheetId="20" hidden="1">{"'Verkehr-Personen'!$A$5:$J$26"}</definedName>
    <definedName name="ewsdxc" localSheetId="21" hidden="1">{"'Verkehr-Personen'!$A$5:$J$26"}</definedName>
    <definedName name="ewsdxc" hidden="1">{"'Verkehr-Personen'!$A$5:$J$26"}</definedName>
    <definedName name="ewsgdxvc" localSheetId="20" hidden="1">{"'Verkehr-Personen'!$A$5:$J$26"}</definedName>
    <definedName name="ewsgdxvc" localSheetId="21" hidden="1">{"'Verkehr-Personen'!$A$5:$J$26"}</definedName>
    <definedName name="ewsgdxvc" hidden="1">{"'Verkehr-Personen'!$A$5:$J$26"}</definedName>
    <definedName name="ExterneDaten_1" localSheetId="22" hidden="1">'Dropdown-Struktur'!$A$1:$A$17</definedName>
    <definedName name="ExterneDaten_2" localSheetId="22" hidden="1">'Dropdown-Struktur'!$C$1:$C$8</definedName>
    <definedName name="farttten" localSheetId="20" hidden="1">{"'Verkehr-Personen'!$A$5:$J$26"}</definedName>
    <definedName name="farttten" localSheetId="21" hidden="1">{"'Verkehr-Personen'!$A$5:$J$26"}</definedName>
    <definedName name="farttten" hidden="1">{"'Verkehr-Personen'!$A$5:$J$26"}</definedName>
    <definedName name="fcg" localSheetId="20" hidden="1">{"'Verkehr-Personen'!$A$5:$J$26"}</definedName>
    <definedName name="fcg" localSheetId="21" hidden="1">{"'Verkehr-Personen'!$A$5:$J$26"}</definedName>
    <definedName name="fcg" hidden="1">{"'Verkehr-Personen'!$A$5:$J$26"}</definedName>
    <definedName name="fehlerhaft" localSheetId="20" hidden="1">{"'Verkehr-Personen'!$A$5:$J$26"}</definedName>
    <definedName name="fehlerhaft" localSheetId="21" hidden="1">{"'Verkehr-Personen'!$A$5:$J$26"}</definedName>
    <definedName name="fehlerhaft" hidden="1">{"'Verkehr-Personen'!$A$5:$J$26"}</definedName>
    <definedName name="fenster" localSheetId="20" hidden="1">{"'Verkehr-Personen'!$A$5:$J$26"}</definedName>
    <definedName name="fenster" localSheetId="21" hidden="1">{"'Verkehr-Personen'!$A$5:$J$26"}</definedName>
    <definedName name="fenster" hidden="1">{"'Verkehr-Personen'!$A$5:$J$26"}</definedName>
    <definedName name="fensterle" localSheetId="20" hidden="1">{"'Verkehr-Personen'!$A$5:$J$26"}</definedName>
    <definedName name="fensterle" localSheetId="21" hidden="1">{"'Verkehr-Personen'!$A$5:$J$26"}</definedName>
    <definedName name="fensterle" hidden="1">{"'Verkehr-Personen'!$A$5:$J$26"}</definedName>
    <definedName name="fernsehen" localSheetId="20" hidden="1">{"'Verkehr-Personen'!$A$5:$J$26"}</definedName>
    <definedName name="fernsehen" localSheetId="21" hidden="1">{"'Verkehr-Personen'!$A$5:$J$26"}</definedName>
    <definedName name="fernsehen" hidden="1">{"'Verkehr-Personen'!$A$5:$J$26"}</definedName>
    <definedName name="ferro" localSheetId="20" hidden="1">{"'Verkehr-Personen'!$A$5:$J$26"}</definedName>
    <definedName name="ferro" localSheetId="21" hidden="1">{"'Verkehr-Personen'!$A$5:$J$26"}</definedName>
    <definedName name="ferro" hidden="1">{"'Verkehr-Personen'!$A$5:$J$26"}</definedName>
    <definedName name="fesr" localSheetId="20" hidden="1">{"'Verkehr-Personen'!$A$5:$J$26"}</definedName>
    <definedName name="fesr" localSheetId="21" hidden="1">{"'Verkehr-Personen'!$A$5:$J$26"}</definedName>
    <definedName name="fesr" hidden="1">{"'Verkehr-Personen'!$A$5:$J$26"}</definedName>
    <definedName name="fettte" localSheetId="20" hidden="1">{"'Verkehr-Personen'!$A$5:$J$26"}</definedName>
    <definedName name="fettte" localSheetId="21" hidden="1">{"'Verkehr-Personen'!$A$5:$J$26"}</definedName>
    <definedName name="fettte" hidden="1">{"'Verkehr-Personen'!$A$5:$J$26"}</definedName>
    <definedName name="fffdf" localSheetId="20" hidden="1">{"'Verkehr-Personen'!$A$5:$J$26"}</definedName>
    <definedName name="fffdf" localSheetId="21" hidden="1">{"'Verkehr-Personen'!$A$5:$J$26"}</definedName>
    <definedName name="fffdf" hidden="1">{"'Verkehr-Personen'!$A$5:$J$26"}</definedName>
    <definedName name="ffffle" localSheetId="20" hidden="1">{"'Verkehr-Personen'!$A$5:$J$26"}</definedName>
    <definedName name="ffffle" localSheetId="21" hidden="1">{"'Verkehr-Personen'!$A$5:$J$26"}</definedName>
    <definedName name="ffffle" hidden="1">{"'Verkehr-Personen'!$A$5:$J$26"}</definedName>
    <definedName name="fliegerle" localSheetId="20" hidden="1">{"'Verkehr-Personen'!$A$5:$J$26"}</definedName>
    <definedName name="fliegerle" localSheetId="21" hidden="1">{"'Verkehr-Personen'!$A$5:$J$26"}</definedName>
    <definedName name="fliegerle" hidden="1">{"'Verkehr-Personen'!$A$5:$J$26"}</definedName>
    <definedName name="flugzeug" localSheetId="20" hidden="1">{"'Verkehr-Personen'!$A$5:$J$26"}</definedName>
    <definedName name="flugzeug" localSheetId="21" hidden="1">{"'Verkehr-Personen'!$A$5:$J$26"}</definedName>
    <definedName name="flugzeug" hidden="1">{"'Verkehr-Personen'!$A$5:$J$26"}</definedName>
    <definedName name="forst" localSheetId="20" hidden="1">{"'Verkehr-Personen'!$A$5:$J$26"}</definedName>
    <definedName name="forst" localSheetId="21" hidden="1">{"'Verkehr-Personen'!$A$5:$J$26"}</definedName>
    <definedName name="forst" hidden="1">{"'Verkehr-Personen'!$A$5:$J$26"}</definedName>
    <definedName name="foto" localSheetId="20" hidden="1">{"'Verkehr-Personen'!$A$5:$J$26"}</definedName>
    <definedName name="foto" localSheetId="21" hidden="1">{"'Verkehr-Personen'!$A$5:$J$26"}</definedName>
    <definedName name="foto" hidden="1">{"'Verkehr-Personen'!$A$5:$J$26"}</definedName>
    <definedName name="franken" localSheetId="20" hidden="1">{"'Verkehr-Personen'!$A$5:$J$26"}</definedName>
    <definedName name="franken" localSheetId="21" hidden="1">{"'Verkehr-Personen'!$A$5:$J$26"}</definedName>
    <definedName name="franken" hidden="1">{"'Verkehr-Personen'!$A$5:$J$26"}</definedName>
    <definedName name="Franz" localSheetId="20" hidden="1">{"'Verkehr-Personen'!$A$5:$J$26"}</definedName>
    <definedName name="Franz" localSheetId="21" hidden="1">{"'Verkehr-Personen'!$A$5:$J$26"}</definedName>
    <definedName name="Franz" hidden="1">{"'Verkehr-Personen'!$A$5:$J$26"}</definedName>
    <definedName name="franzle" localSheetId="20" hidden="1">{"'Verkehr-Personen'!$A$5:$J$26"}</definedName>
    <definedName name="franzle" localSheetId="21" hidden="1">{"'Verkehr-Personen'!$A$5:$J$26"}</definedName>
    <definedName name="franzle" hidden="1">{"'Verkehr-Personen'!$A$5:$J$26"}</definedName>
    <definedName name="fraugraefin" localSheetId="20" hidden="1">{"'Verkehr-Personen'!$A$5:$J$26"}</definedName>
    <definedName name="fraugraefin" localSheetId="21" hidden="1">{"'Verkehr-Personen'!$A$5:$J$26"}</definedName>
    <definedName name="fraugraefin" hidden="1">{"'Verkehr-Personen'!$A$5:$J$26"}</definedName>
    <definedName name="friederich" localSheetId="20" hidden="1">{"'Verkehr-Personen'!$A$5:$J$26"}</definedName>
    <definedName name="friederich" localSheetId="21" hidden="1">{"'Verkehr-Personen'!$A$5:$J$26"}</definedName>
    <definedName name="friederich" hidden="1">{"'Verkehr-Personen'!$A$5:$J$26"}</definedName>
    <definedName name="Fritz" localSheetId="20" hidden="1">{"'Verkehr-Personen'!$A$5:$J$26"}</definedName>
    <definedName name="Fritz" localSheetId="21" hidden="1">{"'Verkehr-Personen'!$A$5:$J$26"}</definedName>
    <definedName name="Fritz" hidden="1">{"'Verkehr-Personen'!$A$5:$J$26"}</definedName>
    <definedName name="fruehling" localSheetId="20" hidden="1">{"'Verkehr-Personen'!$A$5:$J$26"}</definedName>
    <definedName name="fruehling" localSheetId="21" hidden="1">{"'Verkehr-Personen'!$A$5:$J$26"}</definedName>
    <definedName name="fruehling" hidden="1">{"'Verkehr-Personen'!$A$5:$J$26"}</definedName>
    <definedName name="fruheherbst" localSheetId="20" hidden="1">{"'Verkehr-Personen'!$A$5:$J$26"}</definedName>
    <definedName name="fruheherbst" localSheetId="21" hidden="1">{"'Verkehr-Personen'!$A$5:$J$26"}</definedName>
    <definedName name="fruheherbst" hidden="1">{"'Verkehr-Personen'!$A$5:$J$26"}</definedName>
    <definedName name="fuehlen" localSheetId="20" hidden="1">{"'Verkehr-Personen'!$A$5:$J$26"}</definedName>
    <definedName name="fuehlen" localSheetId="21" hidden="1">{"'Verkehr-Personen'!$A$5:$J$26"}</definedName>
    <definedName name="fuehlen" hidden="1">{"'Verkehr-Personen'!$A$5:$J$26"}</definedName>
    <definedName name="fuesse" localSheetId="20" hidden="1">{"'Verkehr-Personen'!$A$5:$J$26"}</definedName>
    <definedName name="fuesse" localSheetId="21" hidden="1">{"'Verkehr-Personen'!$A$5:$J$26"}</definedName>
    <definedName name="fuesse" hidden="1">{"'Verkehr-Personen'!$A$5:$J$26"}</definedName>
    <definedName name="gabriele" localSheetId="20" hidden="1">{"'Verkehr-Personen'!$A$5:$J$26"}</definedName>
    <definedName name="gabriele" localSheetId="21" hidden="1">{"'Verkehr-Personen'!$A$5:$J$26"}</definedName>
    <definedName name="gabriele" hidden="1">{"'Verkehr-Personen'!$A$5:$J$26"}</definedName>
    <definedName name="gabrieleferro" localSheetId="20" hidden="1">{"'Verkehr-Personen'!$A$5:$J$26"}</definedName>
    <definedName name="gabrieleferro" localSheetId="21" hidden="1">{"'Verkehr-Personen'!$A$5:$J$26"}</definedName>
    <definedName name="gabrieleferro" hidden="1">{"'Verkehr-Personen'!$A$5:$J$26"}</definedName>
    <definedName name="garbrudldldld" localSheetId="20" hidden="1">{"'Verkehr-Personen'!$A$5:$J$26"}</definedName>
    <definedName name="garbrudldldld" localSheetId="21" hidden="1">{"'Verkehr-Personen'!$A$5:$J$26"}</definedName>
    <definedName name="garbrudldldld" hidden="1">{"'Verkehr-Personen'!$A$5:$J$26"}</definedName>
    <definedName name="garbruek" localSheetId="20" hidden="1">{"'Verkehr-Personen'!$A$5:$J$26"}</definedName>
    <definedName name="garbruek" localSheetId="21" hidden="1">{"'Verkehr-Personen'!$A$5:$J$26"}</definedName>
    <definedName name="garbruek" hidden="1">{"'Verkehr-Personen'!$A$5:$J$26"}</definedName>
    <definedName name="gegeloiej" localSheetId="20" hidden="1">{"'Verkehr-Personen'!$A$5:$J$26"}</definedName>
    <definedName name="gegeloiej" localSheetId="21" hidden="1">{"'Verkehr-Personen'!$A$5:$J$26"}</definedName>
    <definedName name="gegeloiej" hidden="1">{"'Verkehr-Personen'!$A$5:$J$26"}</definedName>
    <definedName name="gelb" localSheetId="20" hidden="1">{"'Verkehr-Personen'!$A$5:$J$26"}</definedName>
    <definedName name="gelb" localSheetId="21" hidden="1">{"'Verkehr-Personen'!$A$5:$J$26"}</definedName>
    <definedName name="gelb" hidden="1">{"'Verkehr-Personen'!$A$5:$J$26"}</definedName>
    <definedName name="gelbswusurstt" localSheetId="20" hidden="1">{"'Verkehr-Personen'!$A$5:$J$26"}</definedName>
    <definedName name="gelbswusurstt" localSheetId="21" hidden="1">{"'Verkehr-Personen'!$A$5:$J$26"}</definedName>
    <definedName name="gelbswusurstt" hidden="1">{"'Verkehr-Personen'!$A$5:$J$26"}</definedName>
    <definedName name="gelbwurtst" localSheetId="20" hidden="1">{"'Verkehr-Personen'!$A$5:$J$26"}</definedName>
    <definedName name="gelbwurtst" localSheetId="21" hidden="1">{"'Verkehr-Personen'!$A$5:$J$26"}</definedName>
    <definedName name="gelbwurtst" hidden="1">{"'Verkehr-Personen'!$A$5:$J$26"}</definedName>
    <definedName name="gemuetttttllelele" localSheetId="20" hidden="1">{"'Verkehr-Personen'!$A$5:$J$26"}</definedName>
    <definedName name="gemuetttttllelele" localSheetId="21" hidden="1">{"'Verkehr-Personen'!$A$5:$J$26"}</definedName>
    <definedName name="gemuetttttllelele" hidden="1">{"'Verkehr-Personen'!$A$5:$J$26"}</definedName>
    <definedName name="gemutleie" localSheetId="20" hidden="1">{"'Verkehr-Personen'!$A$5:$J$26"}</definedName>
    <definedName name="gemutleie" localSheetId="21" hidden="1">{"'Verkehr-Personen'!$A$5:$J$26"}</definedName>
    <definedName name="gemutleie" hidden="1">{"'Verkehr-Personen'!$A$5:$J$26"}</definedName>
    <definedName name="gemutlicheeeeeee" localSheetId="20" hidden="1">{"'Verkehr-Personen'!$A$5:$J$26"}</definedName>
    <definedName name="gemutlicheeeeeee" localSheetId="21" hidden="1">{"'Verkehr-Personen'!$A$5:$J$26"}</definedName>
    <definedName name="gemutlicheeeeeee" hidden="1">{"'Verkehr-Personen'!$A$5:$J$26"}</definedName>
    <definedName name="germane" localSheetId="20" hidden="1">{"'Verkehr-Personen'!$A$5:$J$26"}</definedName>
    <definedName name="germane" localSheetId="21" hidden="1">{"'Verkehr-Personen'!$A$5:$J$26"}</definedName>
    <definedName name="germane" hidden="1">{"'Verkehr-Personen'!$A$5:$J$26"}</definedName>
    <definedName name="germanen" localSheetId="20" hidden="1">{"'Verkehr-Personen'!$A$5:$J$26"}</definedName>
    <definedName name="germanen" localSheetId="21" hidden="1">{"'Verkehr-Personen'!$A$5:$J$26"}</definedName>
    <definedName name="germanen" hidden="1">{"'Verkehr-Personen'!$A$5:$J$26"}</definedName>
    <definedName name="gescheidle" localSheetId="20" hidden="1">{"'Verkehr-Personen'!$A$5:$J$26"}</definedName>
    <definedName name="gescheidle" localSheetId="21" hidden="1">{"'Verkehr-Personen'!$A$5:$J$26"}</definedName>
    <definedName name="gescheidle" hidden="1">{"'Verkehr-Personen'!$A$5:$J$26"}</definedName>
    <definedName name="geschichtle" localSheetId="20" hidden="1">{"'Verkehr-Personen'!$A$5:$J$26"}</definedName>
    <definedName name="geschichtle" localSheetId="21" hidden="1">{"'Verkehr-Personen'!$A$5:$J$26"}</definedName>
    <definedName name="geschichtle" hidden="1">{"'Verkehr-Personen'!$A$5:$J$26"}</definedName>
    <definedName name="gestreift" localSheetId="20" hidden="1">{"'Verkehr-Personen'!$A$5:$J$26"}</definedName>
    <definedName name="gestreift" localSheetId="21" hidden="1">{"'Verkehr-Personen'!$A$5:$J$26"}</definedName>
    <definedName name="gestreift" hidden="1">{"'Verkehr-Personen'!$A$5:$J$26"}</definedName>
    <definedName name="Geweiter" localSheetId="20" hidden="1">{"'Verkehr-Personen'!$A$5:$J$26"}</definedName>
    <definedName name="Geweiter" localSheetId="21" hidden="1">{"'Verkehr-Personen'!$A$5:$J$26"}</definedName>
    <definedName name="Geweiter" hidden="1">{"'Verkehr-Personen'!$A$5:$J$26"}</definedName>
    <definedName name="gewitter" localSheetId="20" hidden="1">{"'Verkehr-Personen'!$A$5:$J$26"}</definedName>
    <definedName name="gewitter" localSheetId="21" hidden="1">{"'Verkehr-Personen'!$A$5:$J$26"}</definedName>
    <definedName name="gewitter" hidden="1">{"'Verkehr-Personen'!$A$5:$J$26"}</definedName>
    <definedName name="gges" localSheetId="20" hidden="1">{"'Verkehr-Personen'!$A$5:$J$26"}</definedName>
    <definedName name="gges" localSheetId="21" hidden="1">{"'Verkehr-Personen'!$A$5:$J$26"}</definedName>
    <definedName name="gges" hidden="1">{"'Verkehr-Personen'!$A$5:$J$26"}</definedName>
    <definedName name="glems" localSheetId="20" hidden="1">{"'Verkehr-Personen'!$A$5:$J$26"}</definedName>
    <definedName name="glems" localSheetId="21" hidden="1">{"'Verkehr-Personen'!$A$5:$J$26"}</definedName>
    <definedName name="glems" hidden="1">{"'Verkehr-Personen'!$A$5:$J$26"}</definedName>
    <definedName name="glemsle" localSheetId="20" hidden="1">{"'Verkehr-Personen'!$A$5:$J$26"}</definedName>
    <definedName name="glemsle" localSheetId="21" hidden="1">{"'Verkehr-Personen'!$A$5:$J$26"}</definedName>
    <definedName name="glemsle" hidden="1">{"'Verkehr-Personen'!$A$5:$J$26"}</definedName>
    <definedName name="glockenblume" localSheetId="20" hidden="1">{"'Verkehr-Personen'!$A$5:$J$26"}</definedName>
    <definedName name="glockenblume" localSheetId="21" hidden="1">{"'Verkehr-Personen'!$A$5:$J$26"}</definedName>
    <definedName name="glockenblume" hidden="1">{"'Verkehr-Personen'!$A$5:$J$26"}</definedName>
    <definedName name="glotzen" localSheetId="20" hidden="1">{"'Verkehr-Personen'!$A$5:$J$26"}</definedName>
    <definedName name="glotzen" localSheetId="21" hidden="1">{"'Verkehr-Personen'!$A$5:$J$26"}</definedName>
    <definedName name="glotzen" hidden="1">{"'Verkehr-Personen'!$A$5:$J$26"}</definedName>
    <definedName name="goethe" localSheetId="20" hidden="1">{"'Verkehr-Personen'!$A$5:$J$26"}</definedName>
    <definedName name="goethe" localSheetId="21" hidden="1">{"'Verkehr-Personen'!$A$5:$J$26"}</definedName>
    <definedName name="goethe" hidden="1">{"'Verkehr-Personen'!$A$5:$J$26"}</definedName>
    <definedName name="goethele" localSheetId="20" hidden="1">{"'Verkehr-Personen'!$A$5:$J$26"}</definedName>
    <definedName name="goethele" localSheetId="21" hidden="1">{"'Verkehr-Personen'!$A$5:$J$26"}</definedName>
    <definedName name="goethele" hidden="1">{"'Verkehr-Personen'!$A$5:$J$26"}</definedName>
    <definedName name="gotthardle" localSheetId="20" hidden="1">{"'Verkehr-Personen'!$A$5:$J$26"}</definedName>
    <definedName name="gotthardle" localSheetId="21" hidden="1">{"'Verkehr-Personen'!$A$5:$J$26"}</definedName>
    <definedName name="gotthardle" hidden="1">{"'Verkehr-Personen'!$A$5:$J$26"}</definedName>
    <definedName name="graf" localSheetId="20" hidden="1">{"'Verkehr-Personen'!$A$5:$J$26"}</definedName>
    <definedName name="graf" localSheetId="21" hidden="1">{"'Verkehr-Personen'!$A$5:$J$26"}</definedName>
    <definedName name="graf" hidden="1">{"'Verkehr-Personen'!$A$5:$J$26"}</definedName>
    <definedName name="grafle" localSheetId="20" hidden="1">{"'Verkehr-Personen'!$A$5:$J$26"}</definedName>
    <definedName name="grafle" localSheetId="21" hidden="1">{"'Verkehr-Personen'!$A$5:$J$26"}</definedName>
    <definedName name="grafle" hidden="1">{"'Verkehr-Personen'!$A$5:$J$26"}</definedName>
    <definedName name="grauaugigig" localSheetId="20" hidden="1">{"'Verkehr-Personen'!$A$5:$J$26"}</definedName>
    <definedName name="grauaugigig" localSheetId="21" hidden="1">{"'Verkehr-Personen'!$A$5:$J$26"}</definedName>
    <definedName name="grauaugigig" hidden="1">{"'Verkehr-Personen'!$A$5:$J$26"}</definedName>
    <definedName name="griechen" localSheetId="20" hidden="1">{"'Verkehr-Personen'!$A$5:$J$26"}</definedName>
    <definedName name="griechen" localSheetId="21" hidden="1">{"'Verkehr-Personen'!$A$5:$J$26"}</definedName>
    <definedName name="griechen" hidden="1">{"'Verkehr-Personen'!$A$5:$J$26"}</definedName>
    <definedName name="griecheneee" localSheetId="20" hidden="1">{"'Verkehr-Personen'!$A$5:$J$26"}</definedName>
    <definedName name="griecheneee" localSheetId="21" hidden="1">{"'Verkehr-Personen'!$A$5:$J$26"}</definedName>
    <definedName name="griecheneee" hidden="1">{"'Verkehr-Personen'!$A$5:$J$26"}</definedName>
    <definedName name="griechenland" localSheetId="20" hidden="1">{"'Verkehr-Personen'!$A$5:$J$26"}</definedName>
    <definedName name="griechenland" localSheetId="21" hidden="1">{"'Verkehr-Personen'!$A$5:$J$26"}</definedName>
    <definedName name="griechenland" hidden="1">{"'Verkehr-Personen'!$A$5:$J$26"}</definedName>
    <definedName name="griechenlandddddddd" localSheetId="20" hidden="1">{"'Verkehr-Personen'!$A$5:$J$26"}</definedName>
    <definedName name="griechenlandddddddd" localSheetId="21" hidden="1">{"'Verkehr-Personen'!$A$5:$J$26"}</definedName>
    <definedName name="griechenlandddddddd" hidden="1">{"'Verkehr-Personen'!$A$5:$J$26"}</definedName>
    <definedName name="griechenlllsop" localSheetId="20" hidden="1">{"'Verkehr-Personen'!$A$5:$J$26"}</definedName>
    <definedName name="griechenlllsop" localSheetId="21" hidden="1">{"'Verkehr-Personen'!$A$5:$J$26"}</definedName>
    <definedName name="griechenlllsop" hidden="1">{"'Verkehr-Personen'!$A$5:$J$26"}</definedName>
    <definedName name="griechenrr" localSheetId="20" hidden="1">{"'Verkehr-Personen'!$A$5:$J$26"}</definedName>
    <definedName name="griechenrr" localSheetId="21" hidden="1">{"'Verkehr-Personen'!$A$5:$J$26"}</definedName>
    <definedName name="griechenrr" hidden="1">{"'Verkehr-Personen'!$A$5:$J$26"}</definedName>
    <definedName name="grieckk" localSheetId="20" hidden="1">{"'Verkehr-Personen'!$A$5:$J$26"}</definedName>
    <definedName name="grieckk" localSheetId="21" hidden="1">{"'Verkehr-Personen'!$A$5:$J$26"}</definedName>
    <definedName name="grieckk" hidden="1">{"'Verkehr-Personen'!$A$5:$J$26"}</definedName>
    <definedName name="griessss" localSheetId="20" hidden="1">{"'Verkehr-Personen'!$A$5:$J$26"}</definedName>
    <definedName name="griessss" localSheetId="21" hidden="1">{"'Verkehr-Personen'!$A$5:$J$26"}</definedName>
    <definedName name="griessss" hidden="1">{"'Verkehr-Personen'!$A$5:$J$26"}</definedName>
    <definedName name="grocjemöamd" localSheetId="20" hidden="1">{"'Verkehr-Personen'!$A$5:$J$26"}</definedName>
    <definedName name="grocjemöamd" localSheetId="21" hidden="1">{"'Verkehr-Personen'!$A$5:$J$26"}</definedName>
    <definedName name="grocjemöamd" hidden="1">{"'Verkehr-Personen'!$A$5:$J$26"}</definedName>
    <definedName name="grotagnda" localSheetId="20" hidden="1">{"'Verkehr-Personen'!$A$5:$J$26"}</definedName>
    <definedName name="grotagnda" localSheetId="21" hidden="1">{"'Verkehr-Personen'!$A$5:$J$26"}</definedName>
    <definedName name="grotagnda" hidden="1">{"'Verkehr-Personen'!$A$5:$J$26"}</definedName>
    <definedName name="gruen" localSheetId="20" hidden="1">{"'Verkehr-Personen'!$A$5:$J$26"}</definedName>
    <definedName name="gruen" localSheetId="21" hidden="1">{"'Verkehr-Personen'!$A$5:$J$26"}</definedName>
    <definedName name="gruen" hidden="1">{"'Verkehr-Personen'!$A$5:$J$26"}</definedName>
    <definedName name="gruenaegui" localSheetId="20" hidden="1">{"'Verkehr-Personen'!$A$5:$J$26"}</definedName>
    <definedName name="gruenaegui" localSheetId="21" hidden="1">{"'Verkehr-Personen'!$A$5:$J$26"}</definedName>
    <definedName name="gruenaegui" hidden="1">{"'Verkehr-Personen'!$A$5:$J$26"}</definedName>
    <definedName name="grunblau" localSheetId="20" hidden="1">{"'Verkehr-Personen'!$A$5:$J$26"}</definedName>
    <definedName name="grunblau" localSheetId="21" hidden="1">{"'Verkehr-Personen'!$A$5:$J$26"}</definedName>
    <definedName name="grunblau" hidden="1">{"'Verkehr-Personen'!$A$5:$J$26"}</definedName>
    <definedName name="gruneweiss" localSheetId="20" hidden="1">{"'Verkehr-Personen'!$A$5:$J$26"}</definedName>
    <definedName name="gruneweiss" localSheetId="21" hidden="1">{"'Verkehr-Personen'!$A$5:$J$26"}</definedName>
    <definedName name="gruneweiss" hidden="1">{"'Verkehr-Personen'!$A$5:$J$26"}</definedName>
    <definedName name="grungelb" localSheetId="20" hidden="1">{"'Verkehr-Personen'!$A$5:$J$26"}</definedName>
    <definedName name="grungelb" localSheetId="21" hidden="1">{"'Verkehr-Personen'!$A$5:$J$26"}</definedName>
    <definedName name="grungelb" hidden="1">{"'Verkehr-Personen'!$A$5:$J$26"}</definedName>
    <definedName name="gtvbjk" localSheetId="20" hidden="1">{"'Verkehr-Personen'!$A$5:$J$26"}</definedName>
    <definedName name="gtvbjk" localSheetId="21" hidden="1">{"'Verkehr-Personen'!$A$5:$J$26"}</definedName>
    <definedName name="gtvbjk" hidden="1">{"'Verkehr-Personen'!$A$5:$J$26"}</definedName>
    <definedName name="guetle" localSheetId="20" hidden="1">{"'Verkehr-Personen'!$A$5:$J$26"}</definedName>
    <definedName name="guetle" localSheetId="21" hidden="1">{"'Verkehr-Personen'!$A$5:$J$26"}</definedName>
    <definedName name="guetle" hidden="1">{"'Verkehr-Personen'!$A$5:$J$26"}</definedName>
    <definedName name="gut" localSheetId="20" hidden="1">{"'Verkehr-Personen'!$A$5:$J$26"}</definedName>
    <definedName name="gut" localSheetId="21" hidden="1">{"'Verkehr-Personen'!$A$5:$J$26"}</definedName>
    <definedName name="gut" hidden="1">{"'Verkehr-Personen'!$A$5:$J$26"}</definedName>
    <definedName name="gutle" localSheetId="20" hidden="1">{"'Verkehr-Personen'!$A$5:$J$26"}</definedName>
    <definedName name="gutle" localSheetId="21" hidden="1">{"'Verkehr-Personen'!$A$5:$J$26"}</definedName>
    <definedName name="gutle" hidden="1">{"'Verkehr-Personen'!$A$5:$J$26"}</definedName>
    <definedName name="habs" localSheetId="20" hidden="1">{"'Verkehr-Personen'!$A$5:$J$26"}</definedName>
    <definedName name="habs" localSheetId="21" hidden="1">{"'Verkehr-Personen'!$A$5:$J$26"}</definedName>
    <definedName name="habs" hidden="1">{"'Verkehr-Personen'!$A$5:$J$26"}</definedName>
    <definedName name="habsburg" localSheetId="20" hidden="1">{"'Verkehr-Personen'!$A$5:$J$26"}</definedName>
    <definedName name="habsburg" localSheetId="21" hidden="1">{"'Verkehr-Personen'!$A$5:$J$26"}</definedName>
    <definedName name="habsburg" hidden="1">{"'Verkehr-Personen'!$A$5:$J$26"}</definedName>
    <definedName name="haeberle" localSheetId="20" hidden="1">{"'Verkehr-Personen'!$A$5:$J$26"}</definedName>
    <definedName name="haeberle" localSheetId="21" hidden="1">{"'Verkehr-Personen'!$A$5:$J$26"}</definedName>
    <definedName name="haeberle" hidden="1">{"'Verkehr-Personen'!$A$5:$J$26"}</definedName>
    <definedName name="hanna" localSheetId="20" hidden="1">{"'Verkehr-Personen'!$A$5:$J$26"}</definedName>
    <definedName name="hanna" localSheetId="21" hidden="1">{"'Verkehr-Personen'!$A$5:$J$26"}</definedName>
    <definedName name="hanna" hidden="1">{"'Verkehr-Personen'!$A$5:$J$26"}</definedName>
    <definedName name="hannele" localSheetId="20" hidden="1">{"'Verkehr-Personen'!$A$5:$J$26"}</definedName>
    <definedName name="hannele" localSheetId="21" hidden="1">{"'Verkehr-Personen'!$A$5:$J$26"}</definedName>
    <definedName name="hannele" hidden="1">{"'Verkehr-Personen'!$A$5:$J$26"}</definedName>
    <definedName name="haufle" localSheetId="20" hidden="1">{"'Verkehr-Personen'!$A$5:$J$26"}</definedName>
    <definedName name="haufle" localSheetId="21" hidden="1">{"'Verkehr-Personen'!$A$5:$J$26"}</definedName>
    <definedName name="haufle" hidden="1">{"'Verkehr-Personen'!$A$5:$J$26"}</definedName>
    <definedName name="hausle" localSheetId="20" hidden="1">{"'Verkehr-Personen'!$A$5:$J$26"}</definedName>
    <definedName name="hausle" localSheetId="21" hidden="1">{"'Verkehr-Personen'!$A$5:$J$26"}</definedName>
    <definedName name="hausle" hidden="1">{"'Verkehr-Personen'!$A$5:$J$26"}</definedName>
    <definedName name="hausleleinielein" localSheetId="20" hidden="1">{"'Verkehr-Personen'!$A$5:$J$26"}</definedName>
    <definedName name="hausleleinielein" localSheetId="21" hidden="1">{"'Verkehr-Personen'!$A$5:$J$26"}</definedName>
    <definedName name="hausleleinielein" hidden="1">{"'Verkehr-Personen'!$A$5:$J$26"}</definedName>
    <definedName name="hautkrebs" localSheetId="20" hidden="1">{"'Verkehr-Personen'!$A$5:$J$26"}</definedName>
    <definedName name="hautkrebs" localSheetId="21" hidden="1">{"'Verkehr-Personen'!$A$5:$J$26"}</definedName>
    <definedName name="hautkrebs" hidden="1">{"'Verkehr-Personen'!$A$5:$J$26"}</definedName>
    <definedName name="heckenle" localSheetId="20" hidden="1">{"'Verkehr-Personen'!$A$5:$J$26"}</definedName>
    <definedName name="heckenle" localSheetId="21" hidden="1">{"'Verkehr-Personen'!$A$5:$J$26"}</definedName>
    <definedName name="heckenle" hidden="1">{"'Verkehr-Personen'!$A$5:$J$26"}</definedName>
    <definedName name="heia" localSheetId="20" hidden="1">{"'Verkehr-Personen'!$A$5:$J$26"}</definedName>
    <definedName name="heia" localSheetId="21" hidden="1">{"'Verkehr-Personen'!$A$5:$J$26"}</definedName>
    <definedName name="heia" hidden="1">{"'Verkehr-Personen'!$A$5:$J$26"}</definedName>
    <definedName name="heinrich" localSheetId="20" hidden="1">{"'Verkehr-Personen'!$A$5:$J$26"}</definedName>
    <definedName name="heinrich" localSheetId="21" hidden="1">{"'Verkehr-Personen'!$A$5:$J$26"}</definedName>
    <definedName name="heinrich" hidden="1">{"'Verkehr-Personen'!$A$5:$J$26"}</definedName>
    <definedName name="Heizöl_CO2_in_EUR_je_Liter" localSheetId="20">[2]Steuern_DE!$AL$4</definedName>
    <definedName name="Heizöl_CO2_in_EUR_je_Liter">#REF!</definedName>
    <definedName name="heldelfingen" localSheetId="20" hidden="1">{"'Verkehr-Personen'!$A$5:$J$26"}</definedName>
    <definedName name="heldelfingen" localSheetId="21" hidden="1">{"'Verkehr-Personen'!$A$5:$J$26"}</definedName>
    <definedName name="heldelfingen" hidden="1">{"'Verkehr-Personen'!$A$5:$J$26"}</definedName>
    <definedName name="hemmingway" localSheetId="20" hidden="1">{"'Verkehr-Personen'!$A$5:$J$26"}</definedName>
    <definedName name="hemmingway" localSheetId="21" hidden="1">{"'Verkehr-Personen'!$A$5:$J$26"}</definedName>
    <definedName name="hemmingway" hidden="1">{"'Verkehr-Personen'!$A$5:$J$26"}</definedName>
    <definedName name="herbst" localSheetId="20" hidden="1">{"'Verkehr-Personen'!$A$5:$J$26"}</definedName>
    <definedName name="herbst" localSheetId="21" hidden="1">{"'Verkehr-Personen'!$A$5:$J$26"}</definedName>
    <definedName name="herbst" hidden="1">{"'Verkehr-Personen'!$A$5:$J$26"}</definedName>
    <definedName name="herzkrebs" localSheetId="20" hidden="1">{"'Verkehr-Personen'!$A$5:$J$26"}</definedName>
    <definedName name="herzkrebs" localSheetId="21" hidden="1">{"'Verkehr-Personen'!$A$5:$J$26"}</definedName>
    <definedName name="herzkrebs" hidden="1">{"'Verkehr-Personen'!$A$5:$J$26"}</definedName>
    <definedName name="herzlogle" localSheetId="20" hidden="1">{"'Verkehr-Personen'!$A$5:$J$26"}</definedName>
    <definedName name="herzlogle" localSheetId="21" hidden="1">{"'Verkehr-Personen'!$A$5:$J$26"}</definedName>
    <definedName name="herzlogle" hidden="1">{"'Verkehr-Personen'!$A$5:$J$26"}</definedName>
    <definedName name="herzog" localSheetId="20" hidden="1">{"'Verkehr-Personen'!$A$5:$J$26"}</definedName>
    <definedName name="herzog" localSheetId="21" hidden="1">{"'Verkehr-Personen'!$A$5:$J$26"}</definedName>
    <definedName name="herzog" hidden="1">{"'Verkehr-Personen'!$A$5:$J$26"}</definedName>
    <definedName name="heumaden" localSheetId="20" hidden="1">{"'Verkehr-Personen'!$A$5:$J$26"}</definedName>
    <definedName name="heumaden" localSheetId="21" hidden="1">{"'Verkehr-Personen'!$A$5:$J$26"}</definedName>
    <definedName name="heumaden" hidden="1">{"'Verkehr-Personen'!$A$5:$J$26"}</definedName>
    <definedName name="heunenenen" localSheetId="20" hidden="1">{"'Verkehr-Personen'!$A$5:$J$26"}</definedName>
    <definedName name="heunenenen" localSheetId="21" hidden="1">{"'Verkehr-Personen'!$A$5:$J$26"}</definedName>
    <definedName name="heunenenen" hidden="1">{"'Verkehr-Personen'!$A$5:$J$26"}</definedName>
    <definedName name="hg" localSheetId="20" hidden="1">{"'Verkehr-Personen'!$A$5:$J$26"}</definedName>
    <definedName name="hg" localSheetId="21" hidden="1">{"'Verkehr-Personen'!$A$5:$J$26"}</definedName>
    <definedName name="hg" hidden="1">{"'Verkehr-Personen'!$A$5:$J$26"}</definedName>
    <definedName name="hhhhhhhhhhh" localSheetId="20" hidden="1">{"'Verkehr-Personen'!$A$5:$J$26"}</definedName>
    <definedName name="hhhhhhhhhhh" localSheetId="21" hidden="1">{"'Verkehr-Personen'!$A$5:$J$26"}</definedName>
    <definedName name="hhhhhhhhhhh" hidden="1">{"'Verkehr-Personen'!$A$5:$J$26"}</definedName>
    <definedName name="himmel" localSheetId="20" hidden="1">{"'Verkehr-Personen'!$A$5:$J$26"}</definedName>
    <definedName name="himmel" localSheetId="21" hidden="1">{"'Verkehr-Personen'!$A$5:$J$26"}</definedName>
    <definedName name="himmel" hidden="1">{"'Verkehr-Personen'!$A$5:$J$26"}</definedName>
    <definedName name="hintern" localSheetId="20" hidden="1">{"'Verkehr-Personen'!$A$5:$J$26"}</definedName>
    <definedName name="hintern" localSheetId="21" hidden="1">{"'Verkehr-Personen'!$A$5:$J$26"}</definedName>
    <definedName name="hintern" hidden="1">{"'Verkehr-Personen'!$A$5:$J$26"}</definedName>
    <definedName name="hirsche" localSheetId="20" hidden="1">{"'Verkehr-Personen'!$A$5:$J$26"}</definedName>
    <definedName name="hirsche" localSheetId="21" hidden="1">{"'Verkehr-Personen'!$A$5:$J$26"}</definedName>
    <definedName name="hirsche" hidden="1">{"'Verkehr-Personen'!$A$5:$J$26"}</definedName>
    <definedName name="hl" localSheetId="20" hidden="1">{"'Verkehr-Personen'!$A$5:$J$26"}</definedName>
    <definedName name="hl" localSheetId="21" hidden="1">{"'Verkehr-Personen'!$A$5:$J$26"}</definedName>
    <definedName name="hl" hidden="1">{"'Verkehr-Personen'!$A$5:$J$26"}</definedName>
    <definedName name="hocker" localSheetId="20" hidden="1">{"'Verkehr-Personen'!$A$5:$J$26"}</definedName>
    <definedName name="hocker" localSheetId="21" hidden="1">{"'Verkehr-Personen'!$A$5:$J$26"}</definedName>
    <definedName name="hocker" hidden="1">{"'Verkehr-Personen'!$A$5:$J$26"}</definedName>
    <definedName name="hoclkerll" localSheetId="20" hidden="1">{"'Verkehr-Personen'!$A$5:$J$26"}</definedName>
    <definedName name="hoclkerll" localSheetId="21" hidden="1">{"'Verkehr-Personen'!$A$5:$J$26"}</definedName>
    <definedName name="hoclkerll" hidden="1">{"'Verkehr-Personen'!$A$5:$J$26"}</definedName>
    <definedName name="hoeren" localSheetId="20" hidden="1">{"'Verkehr-Personen'!$A$5:$J$26"}</definedName>
    <definedName name="hoeren" localSheetId="21" hidden="1">{"'Verkehr-Personen'!$A$5:$J$26"}</definedName>
    <definedName name="hoeren" hidden="1">{"'Verkehr-Personen'!$A$5:$J$26"}</definedName>
    <definedName name="hohen" localSheetId="20" hidden="1">{"'Verkehr-Personen'!$A$5:$J$26"}</definedName>
    <definedName name="hohen" localSheetId="21" hidden="1">{"'Verkehr-Personen'!$A$5:$J$26"}</definedName>
    <definedName name="hohen" hidden="1">{"'Verkehr-Personen'!$A$5:$J$26"}</definedName>
    <definedName name="hohenzoll" localSheetId="20" hidden="1">{"'Verkehr-Personen'!$A$5:$J$26"}</definedName>
    <definedName name="hohenzoll" localSheetId="21" hidden="1">{"'Verkehr-Personen'!$A$5:$J$26"}</definedName>
    <definedName name="hohenzoll" hidden="1">{"'Verkehr-Personen'!$A$5:$J$26"}</definedName>
    <definedName name="hohenzollern" localSheetId="20" hidden="1">{"'Verkehr-Personen'!$A$5:$J$26"}</definedName>
    <definedName name="hohenzollern" localSheetId="21" hidden="1">{"'Verkehr-Personen'!$A$5:$J$26"}</definedName>
    <definedName name="hohenzollern" hidden="1">{"'Verkehr-Personen'!$A$5:$J$26"}</definedName>
    <definedName name="ht" localSheetId="20" hidden="1">{"'Verkehr-Personen'!$A$5:$J$26"}</definedName>
    <definedName name="ht" localSheetId="21" hidden="1">{"'Verkehr-Personen'!$A$5:$J$26"}</definedName>
    <definedName name="ht" hidden="1">{"'Verkehr-Personen'!$A$5:$J$26"}</definedName>
    <definedName name="HTML_CodePage" hidden="1">1252</definedName>
    <definedName name="HTML_Control" localSheetId="20" hidden="1">{"'Verkehr-Personen'!$A$5:$J$26"}</definedName>
    <definedName name="HTML_Control" localSheetId="21" hidden="1">{"'Verkehr-Personen'!$A$5:$J$26"}</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hubschraubern" localSheetId="20" hidden="1">{"'Verkehr-Personen'!$A$5:$J$26"}</definedName>
    <definedName name="hubschraubern" localSheetId="21" hidden="1">{"'Verkehr-Personen'!$A$5:$J$26"}</definedName>
    <definedName name="hubschraubern" hidden="1">{"'Verkehr-Personen'!$A$5:$J$26"}</definedName>
    <definedName name="huehnle" localSheetId="20" hidden="1">{"'Verkehr-Personen'!$A$5:$J$26"}</definedName>
    <definedName name="huehnle" localSheetId="21" hidden="1">{"'Verkehr-Personen'!$A$5:$J$26"}</definedName>
    <definedName name="huehnle" hidden="1">{"'Verkehr-Personen'!$A$5:$J$26"}</definedName>
    <definedName name="huendle" localSheetId="20" hidden="1">{"'Verkehr-Personen'!$A$5:$J$26"}</definedName>
    <definedName name="huendle" localSheetId="21" hidden="1">{"'Verkehr-Personen'!$A$5:$J$26"}</definedName>
    <definedName name="huendle" hidden="1">{"'Verkehr-Personen'!$A$5:$J$26"}</definedName>
    <definedName name="humbolde" localSheetId="20" hidden="1">{"'Verkehr-Personen'!$A$5:$J$26"}</definedName>
    <definedName name="humbolde" localSheetId="21" hidden="1">{"'Verkehr-Personen'!$A$5:$J$26"}</definedName>
    <definedName name="humbolde" hidden="1">{"'Verkehr-Personen'!$A$5:$J$26"}</definedName>
    <definedName name="hund" localSheetId="20" hidden="1">{"'Verkehr-Personen'!$A$5:$J$26"}</definedName>
    <definedName name="hund" localSheetId="21" hidden="1">{"'Verkehr-Personen'!$A$5:$J$26"}</definedName>
    <definedName name="hund" hidden="1">{"'Verkehr-Personen'!$A$5:$J$26"}</definedName>
    <definedName name="hundle" localSheetId="20" hidden="1">{"'Verkehr-Personen'!$A$5:$J$26"}</definedName>
    <definedName name="hundle" localSheetId="21" hidden="1">{"'Verkehr-Personen'!$A$5:$J$26"}</definedName>
    <definedName name="hundle" hidden="1">{"'Verkehr-Personen'!$A$5:$J$26"}</definedName>
    <definedName name="hunnen" localSheetId="20" hidden="1">{"'Verkehr-Personen'!$A$5:$J$26"}</definedName>
    <definedName name="hunnen" localSheetId="21" hidden="1">{"'Verkehr-Personen'!$A$5:$J$26"}</definedName>
    <definedName name="hunnen" hidden="1">{"'Verkehr-Personen'!$A$5:$J$26"}</definedName>
    <definedName name="i" localSheetId="20" hidden="1">{"'Verkehr-Personen'!$A$5:$J$26"}</definedName>
    <definedName name="i" localSheetId="21" hidden="1">{"'Verkehr-Personen'!$A$5:$J$26"}</definedName>
    <definedName name="i" hidden="1">{"'Verkehr-Personen'!$A$5:$J$26"}</definedName>
    <definedName name="icheerdverrueckt" localSheetId="20" hidden="1">{"'Verkehr-Personen'!$A$5:$J$26"}</definedName>
    <definedName name="icheerdverrueckt" localSheetId="21" hidden="1">{"'Verkehr-Personen'!$A$5:$J$26"}</definedName>
    <definedName name="icheerdverrueckt" hidden="1">{"'Verkehr-Personen'!$A$5:$J$26"}</definedName>
    <definedName name="ichhabedieschnauzevoll" localSheetId="20" hidden="1">{"'Verkehr-Personen'!$A$5:$J$26"}</definedName>
    <definedName name="ichhabedieschnauzevoll" localSheetId="21" hidden="1">{"'Verkehr-Personen'!$A$5:$J$26"}</definedName>
    <definedName name="ichhabedieschnauzevoll" hidden="1">{"'Verkehr-Personen'!$A$5:$J$26"}</definedName>
    <definedName name="ichwillnichtmehr" localSheetId="20" hidden="1">{"'Verkehr-Personen'!$A$5:$J$26"}</definedName>
    <definedName name="ichwillnichtmehr" localSheetId="21" hidden="1">{"'Verkehr-Personen'!$A$5:$J$26"}</definedName>
    <definedName name="ichwillnichtmehr" hidden="1">{"'Verkehr-Personen'!$A$5:$J$26"}</definedName>
    <definedName name="igitt" localSheetId="20" hidden="1">{"'Verkehr-Personen'!$A$5:$J$26"}</definedName>
    <definedName name="igitt" localSheetId="21" hidden="1">{"'Verkehr-Personen'!$A$5:$J$26"}</definedName>
    <definedName name="igitt" hidden="1">{"'Verkehr-Personen'!$A$5:$J$26"}</definedName>
    <definedName name="ihrle" localSheetId="20" hidden="1">{"'Verkehr-Personen'!$A$5:$J$26"}</definedName>
    <definedName name="ihrle" localSheetId="21" hidden="1">{"'Verkehr-Personen'!$A$5:$J$26"}</definedName>
    <definedName name="ihrle" hidden="1">{"'Verkehr-Personen'!$A$5:$J$26"}</definedName>
    <definedName name="iii" localSheetId="20" hidden="1">{"'Verkehr-Personen'!$A$5:$J$26"}</definedName>
    <definedName name="iii" localSheetId="21" hidden="1">{"'Verkehr-Personen'!$A$5:$J$26"}</definedName>
    <definedName name="iii" hidden="1">{"'Verkehr-Personen'!$A$5:$J$26"}</definedName>
    <definedName name="iiihgz" localSheetId="20" hidden="1">{"'Verkehr-Personen'!$A$5:$J$26"}</definedName>
    <definedName name="iiihgz" localSheetId="21" hidden="1">{"'Verkehr-Personen'!$A$5:$J$26"}</definedName>
    <definedName name="iiihgz" hidden="1">{"'Verkehr-Personen'!$A$5:$J$26"}</definedName>
    <definedName name="iiiii" localSheetId="20" hidden="1">{"'Verkehr-Personen'!$A$5:$J$26"}</definedName>
    <definedName name="iiiii" localSheetId="21" hidden="1">{"'Verkehr-Personen'!$A$5:$J$26"}</definedName>
    <definedName name="iiiii" hidden="1">{"'Verkehr-Personen'!$A$5:$J$26"}</definedName>
    <definedName name="iiiiiiiiiiiiiiiiiiii" localSheetId="20" hidden="1">{"'Verkehr-Personen'!$A$5:$J$26"}</definedName>
    <definedName name="iiiiiiiiiiiiiiiiiiii" localSheetId="21" hidden="1">{"'Verkehr-Personen'!$A$5:$J$26"}</definedName>
    <definedName name="iiiiiiiiiiiiiiiiiiii" hidden="1">{"'Verkehr-Personen'!$A$5:$J$26"}</definedName>
    <definedName name="iiiiiiiiiiiiiiiiiiiiiiiiiii" localSheetId="20" hidden="1">{"'Verkehr-Personen'!$A$5:$J$26"}</definedName>
    <definedName name="iiiiiiiiiiiiiiiiiiiiiiiiiii" localSheetId="21" hidden="1">{"'Verkehr-Personen'!$A$5:$J$26"}</definedName>
    <definedName name="iiiiiiiiiiiiiiiiiiiiiiiiiii" hidden="1">{"'Verkehr-Personen'!$A$5:$J$26"}</definedName>
    <definedName name="ilkm" localSheetId="20" hidden="1">{"'Verkehr-Personen'!$A$5:$J$26"}</definedName>
    <definedName name="ilkm" localSheetId="21" hidden="1">{"'Verkehr-Personen'!$A$5:$J$26"}</definedName>
    <definedName name="ilkm" hidden="1">{"'Verkehr-Personen'!$A$5:$J$26"}</definedName>
    <definedName name="Ilse" localSheetId="20" hidden="1">{"'Verkehr-Personen'!$A$5:$J$26"}</definedName>
    <definedName name="Ilse" localSheetId="21" hidden="1">{"'Verkehr-Personen'!$A$5:$J$26"}</definedName>
    <definedName name="Ilse" hidden="1">{"'Verkehr-Personen'!$A$5:$J$26"}</definedName>
    <definedName name="ioutt" localSheetId="20" hidden="1">{"'Verkehr-Personen'!$A$5:$J$26"}</definedName>
    <definedName name="ioutt" localSheetId="21" hidden="1">{"'Verkehr-Personen'!$A$5:$J$26"}</definedName>
    <definedName name="ioutt" hidden="1">{"'Verkehr-Personen'!$A$5:$J$26"}</definedName>
    <definedName name="irhle" localSheetId="20" hidden="1">{"'Verkehr-Personen'!$A$5:$J$26"}</definedName>
    <definedName name="irhle" localSheetId="21" hidden="1">{"'Verkehr-Personen'!$A$5:$J$26"}</definedName>
    <definedName name="irhle" hidden="1">{"'Verkehr-Personen'!$A$5:$J$26"}</definedName>
    <definedName name="irm" localSheetId="20" hidden="1">{"'Verkehr-Personen'!$A$5:$J$26"}</definedName>
    <definedName name="irm" localSheetId="21" hidden="1">{"'Verkehr-Personen'!$A$5:$J$26"}</definedName>
    <definedName name="irm" hidden="1">{"'Verkehr-Personen'!$A$5:$J$26"}</definedName>
    <definedName name="italien" localSheetId="20" hidden="1">{"'Verkehr-Personen'!$A$5:$J$26"}</definedName>
    <definedName name="italien" localSheetId="21" hidden="1">{"'Verkehr-Personen'!$A$5:$J$26"}</definedName>
    <definedName name="italien" hidden="1">{"'Verkehr-Personen'!$A$5:$J$26"}</definedName>
    <definedName name="itititi" localSheetId="20" hidden="1">{"'Verkehr-Personen'!$A$5:$J$26"}</definedName>
    <definedName name="itititi" localSheetId="21" hidden="1">{"'Verkehr-Personen'!$A$5:$J$26"}</definedName>
    <definedName name="itititi" hidden="1">{"'Verkehr-Personen'!$A$5:$J$26"}</definedName>
    <definedName name="itititititi" localSheetId="20" hidden="1">{"'Verkehr-Personen'!$A$5:$J$26"}</definedName>
    <definedName name="itititititi" localSheetId="21" hidden="1">{"'Verkehr-Personen'!$A$5:$J$26"}</definedName>
    <definedName name="itititititi" hidden="1">{"'Verkehr-Personen'!$A$5:$J$26"}</definedName>
    <definedName name="iuzt" localSheetId="20" hidden="1">{"'Verkehr-Personen'!$A$5:$J$26"}</definedName>
    <definedName name="iuzt" localSheetId="21" hidden="1">{"'Verkehr-Personen'!$A$5:$J$26"}</definedName>
    <definedName name="iuzt" hidden="1">{"'Verkehr-Personen'!$A$5:$J$26"}</definedName>
    <definedName name="iuztrmnbvc" localSheetId="20" hidden="1">{"'Verkehr-Personen'!$A$5:$J$26"}</definedName>
    <definedName name="iuztrmnbvc" localSheetId="21" hidden="1">{"'Verkehr-Personen'!$A$5:$J$26"}</definedName>
    <definedName name="iuztrmnbvc" hidden="1">{"'Verkehr-Personen'!$A$5:$J$26"}</definedName>
    <definedName name="izrew" localSheetId="20" hidden="1">{"'Verkehr-Personen'!$A$5:$J$26"}</definedName>
    <definedName name="izrew" localSheetId="21" hidden="1">{"'Verkehr-Personen'!$A$5:$J$26"}</definedName>
    <definedName name="izrew" hidden="1">{"'Verkehr-Personen'!$A$5:$J$26"}</definedName>
    <definedName name="jakobus" localSheetId="20" hidden="1">{"'Verkehr-Personen'!$A$5:$J$26"}</definedName>
    <definedName name="jakobus" localSheetId="21" hidden="1">{"'Verkehr-Personen'!$A$5:$J$26"}</definedName>
    <definedName name="jakobus" hidden="1">{"'Verkehr-Personen'!$A$5:$J$26"}</definedName>
    <definedName name="Jantzer" localSheetId="20" hidden="1">{"'Verkehr-Personen'!$A$5:$J$26"}</definedName>
    <definedName name="Jantzer" localSheetId="21" hidden="1">{"'Verkehr-Personen'!$A$5:$J$26"}</definedName>
    <definedName name="Jantzer" hidden="1">{"'Verkehr-Personen'!$A$5:$J$26"}</definedName>
    <definedName name="jaohann" localSheetId="20" hidden="1">{"'Verkehr-Personen'!$A$5:$J$26"}</definedName>
    <definedName name="jaohann" localSheetId="21" hidden="1">{"'Verkehr-Personen'!$A$5:$J$26"}</definedName>
    <definedName name="jaohann" hidden="1">{"'Verkehr-Personen'!$A$5:$J$26"}</definedName>
    <definedName name="jesusle" localSheetId="20" hidden="1">{"'Verkehr-Personen'!$A$5:$J$26"}</definedName>
    <definedName name="jesusle" localSheetId="21" hidden="1">{"'Verkehr-Personen'!$A$5:$J$26"}</definedName>
    <definedName name="jesusle" hidden="1">{"'Verkehr-Personen'!$A$5:$J$26"}</definedName>
    <definedName name="jeztnicht" localSheetId="20" hidden="1">{"'Verkehr-Personen'!$A$5:$J$26"}</definedName>
    <definedName name="jeztnicht" localSheetId="21" hidden="1">{"'Verkehr-Personen'!$A$5:$J$26"}</definedName>
    <definedName name="jeztnicht" hidden="1">{"'Verkehr-Personen'!$A$5:$J$26"}</definedName>
    <definedName name="jghgkri" localSheetId="20" hidden="1">{"'Verkehr-Personen'!$A$5:$J$26"}</definedName>
    <definedName name="jghgkri" localSheetId="21" hidden="1">{"'Verkehr-Personen'!$A$5:$J$26"}</definedName>
    <definedName name="jghgkri" hidden="1">{"'Verkehr-Personen'!$A$5:$J$26"}</definedName>
    <definedName name="jghz" localSheetId="20" hidden="1">{"'Verkehr-Personen'!$A$5:$J$26"}</definedName>
    <definedName name="jghz" localSheetId="21" hidden="1">{"'Verkehr-Personen'!$A$5:$J$26"}</definedName>
    <definedName name="jghz" hidden="1">{"'Verkehr-Personen'!$A$5:$J$26"}</definedName>
    <definedName name="jjsaöjas" localSheetId="20" hidden="1">{"'Verkehr-Personen'!$A$5:$J$26"}</definedName>
    <definedName name="jjsaöjas" localSheetId="21" hidden="1">{"'Verkehr-Personen'!$A$5:$J$26"}</definedName>
    <definedName name="jjsaöjas" hidden="1">{"'Verkehr-Personen'!$A$5:$J$26"}</definedName>
    <definedName name="joachim" localSheetId="20" hidden="1">{"'Verkehr-Personen'!$A$5:$J$26"}</definedName>
    <definedName name="joachim" localSheetId="21" hidden="1">{"'Verkehr-Personen'!$A$5:$J$26"}</definedName>
    <definedName name="joachim" hidden="1">{"'Verkehr-Personen'!$A$5:$J$26"}</definedName>
    <definedName name="Joha" localSheetId="20" hidden="1">{"'Verkehr-Personen'!$A$5:$J$26"}</definedName>
    <definedName name="Joha" localSheetId="21" hidden="1">{"'Verkehr-Personen'!$A$5:$J$26"}</definedName>
    <definedName name="Joha" hidden="1">{"'Verkehr-Personen'!$A$5:$J$26"}</definedName>
    <definedName name="johanna" localSheetId="20" hidden="1">{"'Verkehr-Personen'!$A$5:$J$26"}</definedName>
    <definedName name="johanna" localSheetId="21" hidden="1">{"'Verkehr-Personen'!$A$5:$J$26"}</definedName>
    <definedName name="johanna" hidden="1">{"'Verkehr-Personen'!$A$5:$J$26"}</definedName>
    <definedName name="johannabett" localSheetId="20" hidden="1">{"'Verkehr-Personen'!$A$5:$J$26"}</definedName>
    <definedName name="johannabett" localSheetId="21" hidden="1">{"'Verkehr-Personen'!$A$5:$J$26"}</definedName>
    <definedName name="johannabett" hidden="1">{"'Verkehr-Personen'!$A$5:$J$26"}</definedName>
    <definedName name="johannd" localSheetId="20" hidden="1">{"'Verkehr-Personen'!$A$5:$J$26"}</definedName>
    <definedName name="johannd" localSheetId="21" hidden="1">{"'Verkehr-Personen'!$A$5:$J$26"}</definedName>
    <definedName name="johannd" hidden="1">{"'Verkehr-Personen'!$A$5:$J$26"}</definedName>
    <definedName name="johannnnnna" localSheetId="20" hidden="1">{"'Verkehr-Personen'!$A$5:$J$26"}</definedName>
    <definedName name="johannnnnna" localSheetId="21" hidden="1">{"'Verkehr-Personen'!$A$5:$J$26"}</definedName>
    <definedName name="johannnnnna" hidden="1">{"'Verkehr-Personen'!$A$5:$J$26"}</definedName>
    <definedName name="johnannawie" localSheetId="20" hidden="1">{"'Verkehr-Personen'!$A$5:$J$26"}</definedName>
    <definedName name="johnannawie" localSheetId="21" hidden="1">{"'Verkehr-Personen'!$A$5:$J$26"}</definedName>
    <definedName name="johnannawie" hidden="1">{"'Verkehr-Personen'!$A$5:$J$26"}</definedName>
    <definedName name="Josef" localSheetId="20" hidden="1">{"'Verkehr-Personen'!$A$5:$J$26"}</definedName>
    <definedName name="Josef" localSheetId="21" hidden="1">{"'Verkehr-Personen'!$A$5:$J$26"}</definedName>
    <definedName name="Josef" hidden="1">{"'Verkehr-Personen'!$A$5:$J$26"}</definedName>
    <definedName name="josefle" localSheetId="20" hidden="1">{"'Verkehr-Personen'!$A$5:$J$26"}</definedName>
    <definedName name="josefle" localSheetId="21" hidden="1">{"'Verkehr-Personen'!$A$5:$J$26"}</definedName>
    <definedName name="josefle" hidden="1">{"'Verkehr-Personen'!$A$5:$J$26"}</definedName>
    <definedName name="jqes" localSheetId="20" hidden="1">{"'Verkehr-Personen'!$A$5:$J$26"}</definedName>
    <definedName name="jqes" localSheetId="21" hidden="1">{"'Verkehr-Personen'!$A$5:$J$26"}</definedName>
    <definedName name="jqes" hidden="1">{"'Verkehr-Personen'!$A$5:$J$26"}</definedName>
    <definedName name="jublen" localSheetId="20" hidden="1">{"'Verkehr-Personen'!$A$5:$J$26"}</definedName>
    <definedName name="jublen" localSheetId="21" hidden="1">{"'Verkehr-Personen'!$A$5:$J$26"}</definedName>
    <definedName name="jublen" hidden="1">{"'Verkehr-Personen'!$A$5:$J$26"}</definedName>
    <definedName name="judas" localSheetId="20" hidden="1">{"'Verkehr-Personen'!$A$5:$J$26"}</definedName>
    <definedName name="judas" localSheetId="21" hidden="1">{"'Verkehr-Personen'!$A$5:$J$26"}</definedName>
    <definedName name="judas" hidden="1">{"'Verkehr-Personen'!$A$5:$J$26"}</definedName>
    <definedName name="Juergen" localSheetId="20" hidden="1">{"'Verkehr-Personen'!$A$5:$J$26"}</definedName>
    <definedName name="Juergen" localSheetId="21" hidden="1">{"'Verkehr-Personen'!$A$5:$J$26"}</definedName>
    <definedName name="Juergen" hidden="1">{"'Verkehr-Personen'!$A$5:$J$26"}</definedName>
    <definedName name="JUpp" localSheetId="20" hidden="1">{"'Verkehr-Personen'!$A$5:$J$26"}</definedName>
    <definedName name="JUpp" localSheetId="21" hidden="1">{"'Verkehr-Personen'!$A$5:$J$26"}</definedName>
    <definedName name="JUpp" hidden="1">{"'Verkehr-Personen'!$A$5:$J$26"}</definedName>
    <definedName name="kaetzle" localSheetId="20" hidden="1">{"'Verkehr-Personen'!$A$5:$J$26"}</definedName>
    <definedName name="kaetzle" localSheetId="21" hidden="1">{"'Verkehr-Personen'!$A$5:$J$26"}</definedName>
    <definedName name="kaetzle" hidden="1">{"'Verkehr-Personen'!$A$5:$J$26"}</definedName>
    <definedName name="kaiser" localSheetId="20" hidden="1">{"'Verkehr-Personen'!$A$5:$J$26"}</definedName>
    <definedName name="kaiser" localSheetId="21" hidden="1">{"'Verkehr-Personen'!$A$5:$J$26"}</definedName>
    <definedName name="kaiser" hidden="1">{"'Verkehr-Personen'!$A$5:$J$26"}</definedName>
    <definedName name="kaiserlel" localSheetId="20" hidden="1">{"'Verkehr-Personen'!$A$5:$J$26"}</definedName>
    <definedName name="kaiserlel" localSheetId="21" hidden="1">{"'Verkehr-Personen'!$A$5:$J$26"}</definedName>
    <definedName name="kaiserlel" hidden="1">{"'Verkehr-Personen'!$A$5:$J$26"}</definedName>
    <definedName name="kaopfab" localSheetId="20" hidden="1">{"'Verkehr-Personen'!$A$5:$J$26"}</definedName>
    <definedName name="kaopfab" localSheetId="21" hidden="1">{"'Verkehr-Personen'!$A$5:$J$26"}</definedName>
    <definedName name="kaopfab" hidden="1">{"'Verkehr-Personen'!$A$5:$J$26"}</definedName>
    <definedName name="kariert" localSheetId="20" hidden="1">{"'Verkehr-Personen'!$A$5:$J$26"}</definedName>
    <definedName name="kariert" localSheetId="21" hidden="1">{"'Verkehr-Personen'!$A$5:$J$26"}</definedName>
    <definedName name="kariert" hidden="1">{"'Verkehr-Personen'!$A$5:$J$26"}</definedName>
    <definedName name="karl" localSheetId="20" hidden="1">{"'Verkehr-Personen'!$A$5:$J$26"}</definedName>
    <definedName name="karl" localSheetId="21" hidden="1">{"'Verkehr-Personen'!$A$5:$J$26"}</definedName>
    <definedName name="karl" hidden="1">{"'Verkehr-Personen'!$A$5:$J$26"}</definedName>
    <definedName name="kartoeffel" localSheetId="20" hidden="1">{"'Verkehr-Personen'!$A$5:$J$26"}</definedName>
    <definedName name="kartoeffel" localSheetId="21" hidden="1">{"'Verkehr-Personen'!$A$5:$J$26"}</definedName>
    <definedName name="kartoeffel" hidden="1">{"'Verkehr-Personen'!$A$5:$J$26"}</definedName>
    <definedName name="kartoffel" localSheetId="20" hidden="1">{"'Verkehr-Personen'!$A$5:$J$26"}</definedName>
    <definedName name="kartoffel" localSheetId="21" hidden="1">{"'Verkehr-Personen'!$A$5:$J$26"}</definedName>
    <definedName name="kartoffel" hidden="1">{"'Verkehr-Personen'!$A$5:$J$26"}</definedName>
    <definedName name="kddkkdk" localSheetId="20" hidden="1">{"'Verkehr-Personen'!$A$5:$J$26"}</definedName>
    <definedName name="kddkkdk" localSheetId="21" hidden="1">{"'Verkehr-Personen'!$A$5:$J$26"}</definedName>
    <definedName name="kddkkdk" hidden="1">{"'Verkehr-Personen'!$A$5:$J$26"}</definedName>
    <definedName name="kdues" localSheetId="20" hidden="1">{"'Verkehr-Personen'!$A$5:$J$26"}</definedName>
    <definedName name="kdues" localSheetId="21" hidden="1">{"'Verkehr-Personen'!$A$5:$J$26"}</definedName>
    <definedName name="kdues" hidden="1">{"'Verkehr-Personen'!$A$5:$J$26"}</definedName>
    <definedName name="kegeln" localSheetId="20" hidden="1">{"'Verkehr-Personen'!$A$5:$J$26"}</definedName>
    <definedName name="kegeln" localSheetId="21" hidden="1">{"'Verkehr-Personen'!$A$5:$J$26"}</definedName>
    <definedName name="kegeln" hidden="1">{"'Verkehr-Personen'!$A$5:$J$26"}</definedName>
    <definedName name="keindle" localSheetId="20" hidden="1">{"'Verkehr-Personen'!$A$5:$J$26"}</definedName>
    <definedName name="keindle" localSheetId="21" hidden="1">{"'Verkehr-Personen'!$A$5:$J$26"}</definedName>
    <definedName name="keindle" hidden="1">{"'Verkehr-Personen'!$A$5:$J$26"}</definedName>
    <definedName name="kelten" localSheetId="20" hidden="1">{"'Verkehr-Personen'!$A$5:$J$26"}</definedName>
    <definedName name="kelten" localSheetId="21" hidden="1">{"'Verkehr-Personen'!$A$5:$J$26"}</definedName>
    <definedName name="kelten" hidden="1">{"'Verkehr-Personen'!$A$5:$J$26"}</definedName>
    <definedName name="Kerl" localSheetId="20" hidden="1">{"'Verkehr-Personen'!$A$5:$J$26"}</definedName>
    <definedName name="Kerl" localSheetId="21" hidden="1">{"'Verkehr-Personen'!$A$5:$J$26"}</definedName>
    <definedName name="Kerl" hidden="1">{"'Verkehr-Personen'!$A$5:$J$26"}</definedName>
    <definedName name="kersch" localSheetId="20" hidden="1">{"'Verkehr-Personen'!$A$5:$J$26"}</definedName>
    <definedName name="kersch" localSheetId="21" hidden="1">{"'Verkehr-Personen'!$A$5:$J$26"}</definedName>
    <definedName name="kersch" hidden="1">{"'Verkehr-Personen'!$A$5:$J$26"}</definedName>
    <definedName name="khgkhkh" localSheetId="20" hidden="1">{"'Verkehr-Personen'!$A$5:$J$26"}</definedName>
    <definedName name="khgkhkh" localSheetId="21" hidden="1">{"'Verkehr-Personen'!$A$5:$J$26"}</definedName>
    <definedName name="khgkhkh" hidden="1">{"'Verkehr-Personen'!$A$5:$J$26"}</definedName>
    <definedName name="kind" localSheetId="20" hidden="1">{"'Verkehr-Personen'!$A$5:$J$26"}</definedName>
    <definedName name="kind" localSheetId="21" hidden="1">{"'Verkehr-Personen'!$A$5:$J$26"}</definedName>
    <definedName name="kind" hidden="1">{"'Verkehr-Personen'!$A$5:$J$26"}</definedName>
    <definedName name="kindeinchen" localSheetId="20" hidden="1">{"'Verkehr-Personen'!$A$5:$J$26"}</definedName>
    <definedName name="kindeinchen" localSheetId="21" hidden="1">{"'Verkehr-Personen'!$A$5:$J$26"}</definedName>
    <definedName name="kindeinchen" hidden="1">{"'Verkehr-Personen'!$A$5:$J$26"}</definedName>
    <definedName name="kindle" localSheetId="20" hidden="1">{"'Verkehr-Personen'!$A$5:$J$26"}</definedName>
    <definedName name="kindle" localSheetId="21" hidden="1">{"'Verkehr-Personen'!$A$5:$J$26"}</definedName>
    <definedName name="kindle" hidden="1">{"'Verkehr-Personen'!$A$5:$J$26"}</definedName>
    <definedName name="kindleinchen" localSheetId="20" hidden="1">{"'Verkehr-Personen'!$A$5:$J$26"}</definedName>
    <definedName name="kindleinchen" localSheetId="21" hidden="1">{"'Verkehr-Personen'!$A$5:$J$26"}</definedName>
    <definedName name="kindleinchen" hidden="1">{"'Verkehr-Personen'!$A$5:$J$26"}</definedName>
    <definedName name="kirstin" localSheetId="20" hidden="1">{"'Verkehr-Personen'!$A$5:$J$26"}</definedName>
    <definedName name="kirstin" localSheetId="21" hidden="1">{"'Verkehr-Personen'!$A$5:$J$26"}</definedName>
    <definedName name="kirstin" hidden="1">{"'Verkehr-Personen'!$A$5:$J$26"}</definedName>
    <definedName name="kirte" localSheetId="20" hidden="1">{"'Verkehr-Personen'!$A$5:$J$26"}</definedName>
    <definedName name="kirte" localSheetId="21" hidden="1">{"'Verkehr-Personen'!$A$5:$J$26"}</definedName>
    <definedName name="kirte" hidden="1">{"'Verkehr-Personen'!$A$5:$J$26"}</definedName>
    <definedName name="kjkjkj" localSheetId="20" hidden="1">{"'Verkehr-Personen'!$A$5:$J$26"}</definedName>
    <definedName name="kjkjkj" localSheetId="21" hidden="1">{"'Verkehr-Personen'!$A$5:$J$26"}</definedName>
    <definedName name="kjkjkj" hidden="1">{"'Verkehr-Personen'!$A$5:$J$26"}</definedName>
    <definedName name="kjkjkjkgg" localSheetId="20" hidden="1">{"'Verkehr-Personen'!$A$5:$J$26"}</definedName>
    <definedName name="kjkjkjkgg" localSheetId="21" hidden="1">{"'Verkehr-Personen'!$A$5:$J$26"}</definedName>
    <definedName name="kjkjkjkgg" hidden="1">{"'Verkehr-Personen'!$A$5:$J$26"}</definedName>
    <definedName name="kjkjkjkjkjjj" localSheetId="20" hidden="1">{"'Verkehr-Personen'!$A$5:$J$26"}</definedName>
    <definedName name="kjkjkjkjkjjj" localSheetId="21" hidden="1">{"'Verkehr-Personen'!$A$5:$J$26"}</definedName>
    <definedName name="kjkjkjkjkjjj" hidden="1">{"'Verkehr-Personen'!$A$5:$J$26"}</definedName>
    <definedName name="kjkjuiz" localSheetId="20" hidden="1">{"'Verkehr-Personen'!$A$5:$J$26"}</definedName>
    <definedName name="kjkjuiz" localSheetId="21" hidden="1">{"'Verkehr-Personen'!$A$5:$J$26"}</definedName>
    <definedName name="kjkjuiz" hidden="1">{"'Verkehr-Personen'!$A$5:$J$26"}</definedName>
    <definedName name="kjkzoew" localSheetId="20" hidden="1">{"'Verkehr-Personen'!$A$5:$J$26"}</definedName>
    <definedName name="kjkzoew" localSheetId="21" hidden="1">{"'Verkehr-Personen'!$A$5:$J$26"}</definedName>
    <definedName name="kjkzoew" hidden="1">{"'Verkehr-Personen'!$A$5:$J$26"}</definedName>
    <definedName name="kk" localSheetId="20" hidden="1">{"'Verkehr-Personen'!$A$5:$J$26"}</definedName>
    <definedName name="kk" localSheetId="21" hidden="1">{"'Verkehr-Personen'!$A$5:$J$26"}</definedName>
    <definedName name="kk" hidden="1">{"'Verkehr-Personen'!$A$5:$J$26"}</definedName>
    <definedName name="kkk" localSheetId="20" hidden="1">{"'Verkehr-Personen'!$A$5:$J$26"}</definedName>
    <definedName name="kkk" localSheetId="21" hidden="1">{"'Verkehr-Personen'!$A$5:$J$26"}</definedName>
    <definedName name="kkk" hidden="1">{"'Verkehr-Personen'!$A$5:$J$26"}</definedName>
    <definedName name="kkkkk" localSheetId="20" hidden="1">{"'Verkehr-Personen'!$A$5:$J$26"}</definedName>
    <definedName name="kkkkk" localSheetId="21" hidden="1">{"'Verkehr-Personen'!$A$5:$J$26"}</definedName>
    <definedName name="kkkkk" hidden="1">{"'Verkehr-Personen'!$A$5:$J$26"}</definedName>
    <definedName name="kköüöü" localSheetId="20" hidden="1">{"'Verkehr-Personen'!$A$5:$J$26"}</definedName>
    <definedName name="kköüöü" localSheetId="21" hidden="1">{"'Verkehr-Personen'!$A$5:$J$26"}</definedName>
    <definedName name="kköüöü" hidden="1">{"'Verkehr-Personen'!$A$5:$J$26"}</definedName>
    <definedName name="klau" localSheetId="20" hidden="1">{"'Verkehr-Personen'!$A$5:$J$26"}</definedName>
    <definedName name="klau" localSheetId="21" hidden="1">{"'Verkehr-Personen'!$A$5:$J$26"}</definedName>
    <definedName name="klau" hidden="1">{"'Verkehr-Personen'!$A$5:$J$26"}</definedName>
    <definedName name="Klaus" localSheetId="20" hidden="1">{"'Verkehr-Personen'!$A$5:$J$26"}</definedName>
    <definedName name="Klaus" localSheetId="21" hidden="1">{"'Verkehr-Personen'!$A$5:$J$26"}</definedName>
    <definedName name="Klaus" hidden="1">{"'Verkehr-Personen'!$A$5:$J$26"}</definedName>
    <definedName name="Klauspeter" localSheetId="20" hidden="1">{"'Verkehr-Personen'!$A$5:$J$26"}</definedName>
    <definedName name="Klauspeter" localSheetId="21" hidden="1">{"'Verkehr-Personen'!$A$5:$J$26"}</definedName>
    <definedName name="Klauspeter" hidden="1">{"'Verkehr-Personen'!$A$5:$J$26"}</definedName>
    <definedName name="kleid" localSheetId="20" hidden="1">{"'Verkehr-Personen'!$A$5:$J$26"}</definedName>
    <definedName name="kleid" localSheetId="21" hidden="1">{"'Verkehr-Personen'!$A$5:$J$26"}</definedName>
    <definedName name="kleid" hidden="1">{"'Verkehr-Personen'!$A$5:$J$26"}</definedName>
    <definedName name="kleinundblond" localSheetId="20" hidden="1">{"'Verkehr-Personen'!$A$5:$J$26"}</definedName>
    <definedName name="kleinundblond" localSheetId="21" hidden="1">{"'Verkehr-Personen'!$A$5:$J$26"}</definedName>
    <definedName name="kleinundblond" hidden="1">{"'Verkehr-Personen'!$A$5:$J$26"}</definedName>
    <definedName name="klkj" localSheetId="20" hidden="1">{"'Verkehr-Personen'!$A$5:$J$26"}</definedName>
    <definedName name="klkj" localSheetId="21" hidden="1">{"'Verkehr-Personen'!$A$5:$J$26"}</definedName>
    <definedName name="klkj" hidden="1">{"'Verkehr-Personen'!$A$5:$J$26"}</definedName>
    <definedName name="koenig" localSheetId="20" hidden="1">{"'Verkehr-Personen'!$A$5:$J$26"}</definedName>
    <definedName name="koenig" localSheetId="21" hidden="1">{"'Verkehr-Personen'!$A$5:$J$26"}</definedName>
    <definedName name="koenig" hidden="1">{"'Verkehr-Personen'!$A$5:$J$26"}</definedName>
    <definedName name="koersch" localSheetId="20" hidden="1">{"'Verkehr-Personen'!$A$5:$J$26"}</definedName>
    <definedName name="koersch" localSheetId="21" hidden="1">{"'Verkehr-Personen'!$A$5:$J$26"}</definedName>
    <definedName name="koersch" hidden="1">{"'Verkehr-Personen'!$A$5:$J$26"}</definedName>
    <definedName name="komputerle" localSheetId="20" hidden="1">{"'Verkehr-Personen'!$A$5:$J$26"}</definedName>
    <definedName name="komputerle" localSheetId="21" hidden="1">{"'Verkehr-Personen'!$A$5:$J$26"}</definedName>
    <definedName name="komputerle" hidden="1">{"'Verkehr-Personen'!$A$5:$J$26"}</definedName>
    <definedName name="kopf" localSheetId="20" hidden="1">{"'Verkehr-Personen'!$A$5:$J$26"}</definedName>
    <definedName name="kopf" localSheetId="21" hidden="1">{"'Verkehr-Personen'!$A$5:$J$26"}</definedName>
    <definedName name="kopf" hidden="1">{"'Verkehr-Personen'!$A$5:$J$26"}</definedName>
    <definedName name="kopfab" localSheetId="20" hidden="1">{"'Verkehr-Personen'!$A$5:$J$26"}</definedName>
    <definedName name="kopfab" localSheetId="21" hidden="1">{"'Verkehr-Personen'!$A$5:$J$26"}</definedName>
    <definedName name="kopfab" hidden="1">{"'Verkehr-Personen'!$A$5:$J$26"}</definedName>
    <definedName name="kopff" localSheetId="20" hidden="1">{"'Verkehr-Personen'!$A$5:$J$26"}</definedName>
    <definedName name="kopff" localSheetId="21" hidden="1">{"'Verkehr-Personen'!$A$5:$J$26"}</definedName>
    <definedName name="kopff" hidden="1">{"'Verkehr-Personen'!$A$5:$J$26"}</definedName>
    <definedName name="kopfffab" localSheetId="20" hidden="1">{"'Verkehr-Personen'!$A$5:$J$26"}</definedName>
    <definedName name="kopfffab" localSheetId="21" hidden="1">{"'Verkehr-Personen'!$A$5:$J$26"}</definedName>
    <definedName name="kopfffab" hidden="1">{"'Verkehr-Personen'!$A$5:$J$26"}</definedName>
    <definedName name="krach" localSheetId="20" hidden="1">{"'Verkehr-Personen'!$A$5:$J$26"}</definedName>
    <definedName name="krach" localSheetId="21" hidden="1">{"'Verkehr-Personen'!$A$5:$J$26"}</definedName>
    <definedName name="krach" hidden="1">{"'Verkehr-Personen'!$A$5:$J$26"}</definedName>
    <definedName name="kraut" localSheetId="20" hidden="1">{"'Verkehr-Personen'!$A$5:$J$26"}</definedName>
    <definedName name="kraut" localSheetId="21" hidden="1">{"'Verkehr-Personen'!$A$5:$J$26"}</definedName>
    <definedName name="kraut" hidden="1">{"'Verkehr-Personen'!$A$5:$J$26"}</definedName>
    <definedName name="krebse" localSheetId="20" hidden="1">{"'Verkehr-Personen'!$A$5:$J$26"}</definedName>
    <definedName name="krebse" localSheetId="21" hidden="1">{"'Verkehr-Personen'!$A$5:$J$26"}</definedName>
    <definedName name="krebse" hidden="1">{"'Verkehr-Personen'!$A$5:$J$26"}</definedName>
    <definedName name="krippenle" localSheetId="20" hidden="1">{"'Verkehr-Personen'!$A$5:$J$26"}</definedName>
    <definedName name="krippenle" localSheetId="21" hidden="1">{"'Verkehr-Personen'!$A$5:$J$26"}</definedName>
    <definedName name="krippenle" hidden="1">{"'Verkehr-Personen'!$A$5:$J$26"}</definedName>
    <definedName name="Kriterium_Bereich1">INDIRECT([5]Tool!$J$46)</definedName>
    <definedName name="Kriterium_Bereich2">INDIRECT([5]Tool!$M$46)</definedName>
    <definedName name="Kriterium_Bereich3">INDIRECT([5]Tool!$P$46)</definedName>
    <definedName name="Kriterium_Bereich4">INDIRECT([5]Tool!$S$46)</definedName>
    <definedName name="Kriterium1">'[5]Wirkung CO2-Preis'!$D$15</definedName>
    <definedName name="Kriterium2">'[5]Wirkung CO2-Preis'!$D$16</definedName>
    <definedName name="Kriterium3">'[5]Wirkung CO2-Preis'!$D$17</definedName>
    <definedName name="Kriterium4">'[5]Wirkung CO2-Preis'!$D$18</definedName>
    <definedName name="KriteriumStadtKreisgewählt">[5]Tool!$K$30</definedName>
    <definedName name="ksajfö" localSheetId="21" hidden="1">{"'Verkehr-Personen'!$A$5:$J$26"}</definedName>
    <definedName name="ksajfö" hidden="1">{"'Verkehr-Personen'!$A$5:$J$26"}</definedName>
    <definedName name="Kudret" localSheetId="20" hidden="1">{"'Verkehr-Personen'!$A$5:$J$26"}</definedName>
    <definedName name="Kudret" localSheetId="21" hidden="1">{"'Verkehr-Personen'!$A$5:$J$26"}</definedName>
    <definedName name="Kudret" hidden="1">{"'Verkehr-Personen'!$A$5:$J$26"}</definedName>
    <definedName name="kuhftap" localSheetId="20" hidden="1">{"'Verkehr-Personen'!$A$5:$J$26"}</definedName>
    <definedName name="kuhftap" localSheetId="21" hidden="1">{"'Verkehr-Personen'!$A$5:$J$26"}</definedName>
    <definedName name="kuhftap" hidden="1">{"'Verkehr-Personen'!$A$5:$J$26"}</definedName>
    <definedName name="kuhfu" localSheetId="20" hidden="1">{"'Verkehr-Personen'!$A$5:$J$26"}</definedName>
    <definedName name="kuhfu" localSheetId="21" hidden="1">{"'Verkehr-Personen'!$A$5:$J$26"}</definedName>
    <definedName name="kuhfu" hidden="1">{"'Verkehr-Personen'!$A$5:$J$26"}</definedName>
    <definedName name="kumpf" localSheetId="20" hidden="1">{"'Verkehr-Personen'!$A$5:$J$26"}</definedName>
    <definedName name="kumpf" localSheetId="21" hidden="1">{"'Verkehr-Personen'!$A$5:$J$26"}</definedName>
    <definedName name="kumpf" hidden="1">{"'Verkehr-Personen'!$A$5:$J$26"}</definedName>
    <definedName name="kunsterle" localSheetId="20" hidden="1">{"'Verkehr-Personen'!$A$5:$J$26"}</definedName>
    <definedName name="kunsterle" localSheetId="21" hidden="1">{"'Verkehr-Personen'!$A$5:$J$26"}</definedName>
    <definedName name="kunsterle" hidden="1">{"'Verkehr-Personen'!$A$5:$J$26"}</definedName>
    <definedName name="kusnnsopz" localSheetId="20" hidden="1">{"'Verkehr-Personen'!$A$5:$J$26"}</definedName>
    <definedName name="kusnnsopz" localSheetId="21" hidden="1">{"'Verkehr-Personen'!$A$5:$J$26"}</definedName>
    <definedName name="kusnnsopz" hidden="1">{"'Verkehr-Personen'!$A$5:$J$26"}</definedName>
    <definedName name="laendle" localSheetId="20" hidden="1">{"'Verkehr-Personen'!$A$5:$J$26"}</definedName>
    <definedName name="laendle" localSheetId="21" hidden="1">{"'Verkehr-Personen'!$A$5:$J$26"}</definedName>
    <definedName name="laendle" hidden="1">{"'Verkehr-Personen'!$A$5:$J$26"}</definedName>
    <definedName name="laödl" localSheetId="20" hidden="1">{"'Verkehr-Personen'!$A$5:$J$26"}</definedName>
    <definedName name="laödl" localSheetId="21" hidden="1">{"'Verkehr-Personen'!$A$5:$J$26"}</definedName>
    <definedName name="laödl" hidden="1">{"'Verkehr-Personen'!$A$5:$J$26"}</definedName>
    <definedName name="laufen" localSheetId="20" hidden="1">{"'Verkehr-Personen'!$A$5:$J$26"}</definedName>
    <definedName name="laufen" localSheetId="21" hidden="1">{"'Verkehr-Personen'!$A$5:$J$26"}</definedName>
    <definedName name="laufen" hidden="1">{"'Verkehr-Personen'!$A$5:$J$26"}</definedName>
    <definedName name="leon" localSheetId="20" hidden="1">{"'Verkehr-Personen'!$A$5:$J$26"}</definedName>
    <definedName name="leon" localSheetId="21" hidden="1">{"'Verkehr-Personen'!$A$5:$J$26"}</definedName>
    <definedName name="leon" hidden="1">{"'Verkehr-Personen'!$A$5:$J$26"}</definedName>
    <definedName name="leonie" localSheetId="20" hidden="1">{"'Verkehr-Personen'!$A$5:$J$26"}</definedName>
    <definedName name="leonie" localSheetId="21" hidden="1">{"'Verkehr-Personen'!$A$5:$J$26"}</definedName>
    <definedName name="leonie" hidden="1">{"'Verkehr-Personen'!$A$5:$J$26"}</definedName>
    <definedName name="lesen" localSheetId="20" hidden="1">{"'Verkehr-Personen'!$A$5:$J$26"}</definedName>
    <definedName name="lesen" localSheetId="21" hidden="1">{"'Verkehr-Personen'!$A$5:$J$26"}</definedName>
    <definedName name="lesen" hidden="1">{"'Verkehr-Personen'!$A$5:$J$26"}</definedName>
    <definedName name="leten" localSheetId="20" hidden="1">{"'Verkehr-Personen'!$A$5:$J$26"}</definedName>
    <definedName name="leten" localSheetId="21" hidden="1">{"'Verkehr-Personen'!$A$5:$J$26"}</definedName>
    <definedName name="leten" hidden="1">{"'Verkehr-Personen'!$A$5:$J$26"}</definedName>
    <definedName name="liebeleute" localSheetId="20" hidden="1">{"'Verkehr-Personen'!$A$5:$J$26"}</definedName>
    <definedName name="liebeleute" localSheetId="21" hidden="1">{"'Verkehr-Personen'!$A$5:$J$26"}</definedName>
    <definedName name="liebeleute" hidden="1">{"'Verkehr-Personen'!$A$5:$J$26"}</definedName>
    <definedName name="liederlich" localSheetId="20" hidden="1">{"'Verkehr-Personen'!$A$5:$J$26"}</definedName>
    <definedName name="liederlich" localSheetId="21" hidden="1">{"'Verkehr-Personen'!$A$5:$J$26"}</definedName>
    <definedName name="liederlich" hidden="1">{"'Verkehr-Personen'!$A$5:$J$26"}</definedName>
    <definedName name="liste" localSheetId="20" hidden="1">{"'Verkehr-Personen'!$A$5:$J$26"}</definedName>
    <definedName name="liste" localSheetId="21" hidden="1">{"'Verkehr-Personen'!$A$5:$J$26"}</definedName>
    <definedName name="liste" hidden="1">{"'Verkehr-Personen'!$A$5:$J$26"}</definedName>
    <definedName name="listennn" localSheetId="20" hidden="1">{"'Verkehr-Personen'!$A$5:$J$26"}</definedName>
    <definedName name="listennn" localSheetId="21" hidden="1">{"'Verkehr-Personen'!$A$5:$J$26"}</definedName>
    <definedName name="listennn" hidden="1">{"'Verkehr-Personen'!$A$5:$J$26"}</definedName>
    <definedName name="llflfl" localSheetId="20" hidden="1">{"'Verkehr-Personen'!$A$5:$J$26"}</definedName>
    <definedName name="llflfl" localSheetId="21" hidden="1">{"'Verkehr-Personen'!$A$5:$J$26"}</definedName>
    <definedName name="llflfl" hidden="1">{"'Verkehr-Personen'!$A$5:$J$26"}</definedName>
    <definedName name="llllll" localSheetId="20" hidden="1">{"'Verkehr-Personen'!$A$5:$J$26"}</definedName>
    <definedName name="llllll" localSheetId="21" hidden="1">{"'Verkehr-Personen'!$A$5:$J$26"}</definedName>
    <definedName name="llllll" hidden="1">{"'Verkehr-Personen'!$A$5:$J$26"}</definedName>
    <definedName name="llllllllll" localSheetId="20" hidden="1">{"'Verkehr-Personen'!$A$5:$J$26"}</definedName>
    <definedName name="llllllllll" localSheetId="21" hidden="1">{"'Verkehr-Personen'!$A$5:$J$26"}</definedName>
    <definedName name="llllllllll" hidden="1">{"'Verkehr-Personen'!$A$5:$J$26"}</definedName>
    <definedName name="lllllllllllllll" localSheetId="20" hidden="1">{"'Verkehr-Personen'!$A$5:$J$26"}</definedName>
    <definedName name="lllllllllllllll" localSheetId="21" hidden="1">{"'Verkehr-Personen'!$A$5:$J$26"}</definedName>
    <definedName name="lllllllllllllll" hidden="1">{"'Verkehr-Personen'!$A$5:$J$26"}</definedName>
    <definedName name="loeten" localSheetId="20" hidden="1">{"'Verkehr-Personen'!$A$5:$J$26"}</definedName>
    <definedName name="loeten" localSheetId="21" hidden="1">{"'Verkehr-Personen'!$A$5:$J$26"}</definedName>
    <definedName name="loeten" hidden="1">{"'Verkehr-Personen'!$A$5:$J$26"}</definedName>
    <definedName name="louise" localSheetId="20" hidden="1">{"'Verkehr-Personen'!$A$5:$J$26"}</definedName>
    <definedName name="louise" localSheetId="21" hidden="1">{"'Verkehr-Personen'!$A$5:$J$26"}</definedName>
    <definedName name="louise" hidden="1">{"'Verkehr-Personen'!$A$5:$J$26"}</definedName>
    <definedName name="luftroehrenkrebs" localSheetId="20" hidden="1">{"'Verkehr-Personen'!$A$5:$J$26"}</definedName>
    <definedName name="luftroehrenkrebs" localSheetId="21" hidden="1">{"'Verkehr-Personen'!$A$5:$J$26"}</definedName>
    <definedName name="luftroehrenkrebs" hidden="1">{"'Verkehr-Personen'!$A$5:$J$26"}</definedName>
    <definedName name="lungen" localSheetId="20" hidden="1">{"'Verkehr-Personen'!$A$5:$J$26"}</definedName>
    <definedName name="lungen" localSheetId="21" hidden="1">{"'Verkehr-Personen'!$A$5:$J$26"}</definedName>
    <definedName name="lungen" hidden="1">{"'Verkehr-Personen'!$A$5:$J$26"}</definedName>
    <definedName name="lungenkrebs" localSheetId="20" hidden="1">{"'Verkehr-Personen'!$A$5:$J$26"}</definedName>
    <definedName name="lungenkrebs" localSheetId="21" hidden="1">{"'Verkehr-Personen'!$A$5:$J$26"}</definedName>
    <definedName name="lungenkrebs" hidden="1">{"'Verkehr-Personen'!$A$5:$J$26"}</definedName>
    <definedName name="lungentzuendung" localSheetId="20" hidden="1">{"'Verkehr-Personen'!$A$5:$J$26"}</definedName>
    <definedName name="lungentzuendung" localSheetId="21" hidden="1">{"'Verkehr-Personen'!$A$5:$J$26"}</definedName>
    <definedName name="lungentzuendung" hidden="1">{"'Verkehr-Personen'!$A$5:$J$26"}</definedName>
    <definedName name="ma" localSheetId="20" hidden="1">{"'Verkehr-Personen'!$A$5:$J$26"}</definedName>
    <definedName name="ma" localSheetId="21" hidden="1">{"'Verkehr-Personen'!$A$5:$J$26"}</definedName>
    <definedName name="ma" hidden="1">{"'Verkehr-Personen'!$A$5:$J$26"}</definedName>
    <definedName name="macle" localSheetId="20" hidden="1">{"'Verkehr-Personen'!$A$5:$J$26"}</definedName>
    <definedName name="macle" localSheetId="21" hidden="1">{"'Verkehr-Personen'!$A$5:$J$26"}</definedName>
    <definedName name="macle" hidden="1">{"'Verkehr-Personen'!$A$5:$J$26"}</definedName>
    <definedName name="magenkrebs" localSheetId="20" hidden="1">{"'Verkehr-Personen'!$A$5:$J$26"}</definedName>
    <definedName name="magenkrebs" localSheetId="21" hidden="1">{"'Verkehr-Personen'!$A$5:$J$26"}</definedName>
    <definedName name="magenkrebs" hidden="1">{"'Verkehr-Personen'!$A$5:$J$26"}</definedName>
    <definedName name="margot" localSheetId="20" hidden="1">{"'Verkehr-Personen'!$A$5:$J$26"}</definedName>
    <definedName name="margot" localSheetId="21" hidden="1">{"'Verkehr-Personen'!$A$5:$J$26"}</definedName>
    <definedName name="margot" hidden="1">{"'Verkehr-Personen'!$A$5:$J$26"}</definedName>
    <definedName name="maria" localSheetId="20" hidden="1">{"'Verkehr-Personen'!$A$5:$J$26"}</definedName>
    <definedName name="maria" localSheetId="21" hidden="1">{"'Verkehr-Personen'!$A$5:$J$26"}</definedName>
    <definedName name="maria" hidden="1">{"'Verkehr-Personen'!$A$5:$J$26"}</definedName>
    <definedName name="mariacallas" localSheetId="20" hidden="1">{"'Verkehr-Personen'!$A$5:$J$26"}</definedName>
    <definedName name="mariacallas" localSheetId="21" hidden="1">{"'Verkehr-Personen'!$A$5:$J$26"}</definedName>
    <definedName name="mariacallas" hidden="1">{"'Verkehr-Personen'!$A$5:$J$26"}</definedName>
    <definedName name="mariale" localSheetId="20" hidden="1">{"'Verkehr-Personen'!$A$5:$J$26"}</definedName>
    <definedName name="mariale" localSheetId="21" hidden="1">{"'Verkehr-Personen'!$A$5:$J$26"}</definedName>
    <definedName name="mariale" hidden="1">{"'Verkehr-Personen'!$A$5:$J$26"}</definedName>
    <definedName name="Marie" localSheetId="20" hidden="1">{"'Verkehr-Personen'!$A$5:$J$26"}</definedName>
    <definedName name="Marie" localSheetId="21" hidden="1">{"'Verkehr-Personen'!$A$5:$J$26"}</definedName>
    <definedName name="Marie" hidden="1">{"'Verkehr-Personen'!$A$5:$J$26"}</definedName>
    <definedName name="mariechen" localSheetId="20" hidden="1">{"'Verkehr-Personen'!$A$5:$J$26"}</definedName>
    <definedName name="mariechen" localSheetId="21" hidden="1">{"'Verkehr-Personen'!$A$5:$J$26"}</definedName>
    <definedName name="mariechen" hidden="1">{"'Verkehr-Personen'!$A$5:$J$26"}</definedName>
    <definedName name="marion" localSheetId="20" hidden="1">{"'Verkehr-Personen'!$A$5:$J$26"}</definedName>
    <definedName name="marion" localSheetId="21" hidden="1">{"'Verkehr-Personen'!$A$5:$J$26"}</definedName>
    <definedName name="marion" hidden="1">{"'Verkehr-Personen'!$A$5:$J$26"}</definedName>
    <definedName name="mark" localSheetId="20" hidden="1">{"'Verkehr-Personen'!$A$5:$J$26"}</definedName>
    <definedName name="mark" localSheetId="21" hidden="1">{"'Verkehr-Personen'!$A$5:$J$26"}</definedName>
    <definedName name="mark" hidden="1">{"'Verkehr-Personen'!$A$5:$J$26"}</definedName>
    <definedName name="markreber" localSheetId="20" hidden="1">{"'Verkehr-Personen'!$A$5:$J$26"}</definedName>
    <definedName name="markreber" localSheetId="21" hidden="1">{"'Verkehr-Personen'!$A$5:$J$26"}</definedName>
    <definedName name="markreber" hidden="1">{"'Verkehr-Personen'!$A$5:$J$26"}</definedName>
    <definedName name="mary" localSheetId="20" hidden="1">{"'Verkehr-Personen'!$A$5:$J$26"}</definedName>
    <definedName name="mary" localSheetId="21" hidden="1">{"'Verkehr-Personen'!$A$5:$J$26"}</definedName>
    <definedName name="mary" hidden="1">{"'Verkehr-Personen'!$A$5:$J$26"}</definedName>
    <definedName name="maryreberle" localSheetId="20" hidden="1">{"'Verkehr-Personen'!$A$5:$J$26"}</definedName>
    <definedName name="maryreberle" localSheetId="21" hidden="1">{"'Verkehr-Personen'!$A$5:$J$26"}</definedName>
    <definedName name="maryreberle" hidden="1">{"'Verkehr-Personen'!$A$5:$J$26"}</definedName>
    <definedName name="maximilian" localSheetId="20" hidden="1">{"'Verkehr-Personen'!$A$5:$J$26"}</definedName>
    <definedName name="maximilian" localSheetId="21" hidden="1">{"'Verkehr-Personen'!$A$5:$J$26"}</definedName>
    <definedName name="maximilian" hidden="1">{"'Verkehr-Personen'!$A$5:$J$26"}</definedName>
    <definedName name="maximiliane" localSheetId="20" hidden="1">{"'Verkehr-Personen'!$A$5:$J$26"}</definedName>
    <definedName name="maximiliane" localSheetId="21" hidden="1">{"'Verkehr-Personen'!$A$5:$J$26"}</definedName>
    <definedName name="maximiliane" hidden="1">{"'Verkehr-Personen'!$A$5:$J$26"}</definedName>
    <definedName name="mayreber" localSheetId="20" hidden="1">{"'Verkehr-Personen'!$A$5:$J$26"}</definedName>
    <definedName name="mayreber" localSheetId="21" hidden="1">{"'Verkehr-Personen'!$A$5:$J$26"}</definedName>
    <definedName name="mayreber" hidden="1">{"'Verkehr-Personen'!$A$5:$J$26"}</definedName>
    <definedName name="mefisto" localSheetId="20" hidden="1">{"'Verkehr-Personen'!$A$5:$J$26"}</definedName>
    <definedName name="mefisto" localSheetId="21" hidden="1">{"'Verkehr-Personen'!$A$5:$J$26"}</definedName>
    <definedName name="mefisto" hidden="1">{"'Verkehr-Personen'!$A$5:$J$26"}</definedName>
    <definedName name="mehreengele" localSheetId="20" hidden="1">{"'Verkehr-Personen'!$A$5:$J$26"}</definedName>
    <definedName name="mehreengele" localSheetId="21" hidden="1">{"'Verkehr-Personen'!$A$5:$J$26"}</definedName>
    <definedName name="mehreengele" hidden="1">{"'Verkehr-Personen'!$A$5:$J$26"}</definedName>
    <definedName name="mehringen" localSheetId="20" hidden="1">{"'Verkehr-Personen'!$A$5:$J$26"}</definedName>
    <definedName name="mehringen" localSheetId="21" hidden="1">{"'Verkehr-Personen'!$A$5:$J$26"}</definedName>
    <definedName name="mehringen" hidden="1">{"'Verkehr-Personen'!$A$5:$J$26"}</definedName>
    <definedName name="meier" localSheetId="20" hidden="1">{"'Verkehr-Personen'!$A$5:$J$26"}</definedName>
    <definedName name="meier" localSheetId="21" hidden="1">{"'Verkehr-Personen'!$A$5:$J$26"}</definedName>
    <definedName name="meier" hidden="1">{"'Verkehr-Personen'!$A$5:$J$26"}</definedName>
    <definedName name="meierle" localSheetId="20" hidden="1">{"'Verkehr-Personen'!$A$5:$J$26"}</definedName>
    <definedName name="meierle" localSheetId="21" hidden="1">{"'Verkehr-Personen'!$A$5:$J$26"}</definedName>
    <definedName name="meierle" hidden="1">{"'Verkehr-Personen'!$A$5:$J$26"}</definedName>
    <definedName name="meinle" localSheetId="20" hidden="1">{"'Verkehr-Personen'!$A$5:$J$26"}</definedName>
    <definedName name="meinle" localSheetId="21" hidden="1">{"'Verkehr-Personen'!$A$5:$J$26"}</definedName>
    <definedName name="meinle" hidden="1">{"'Verkehr-Personen'!$A$5:$J$26"}</definedName>
    <definedName name="mensch" localSheetId="20" hidden="1">{"'Verkehr-Personen'!$A$5:$J$26"}</definedName>
    <definedName name="mensch" localSheetId="21" hidden="1">{"'Verkehr-Personen'!$A$5:$J$26"}</definedName>
    <definedName name="mensch" hidden="1">{"'Verkehr-Personen'!$A$5:$J$26"}</definedName>
    <definedName name="ment" localSheetId="20" hidden="1">{"'Verkehr-Personen'!$A$5:$J$26"}</definedName>
    <definedName name="ment" localSheetId="21" hidden="1">{"'Verkehr-Personen'!$A$5:$J$26"}</definedName>
    <definedName name="ment" hidden="1">{"'Verkehr-Personen'!$A$5:$J$26"}</definedName>
    <definedName name="mercedes" localSheetId="20" hidden="1">{"'Verkehr-Personen'!$A$5:$J$26"}</definedName>
    <definedName name="mercedes" localSheetId="21" hidden="1">{"'Verkehr-Personen'!$A$5:$J$26"}</definedName>
    <definedName name="mercedes" hidden="1">{"'Verkehr-Personen'!$A$5:$J$26"}</definedName>
    <definedName name="mesterle" localSheetId="20" hidden="1">{"'Verkehr-Personen'!$A$5:$J$26"}</definedName>
    <definedName name="mesterle" localSheetId="21" hidden="1">{"'Verkehr-Personen'!$A$5:$J$26"}</definedName>
    <definedName name="mesterle" hidden="1">{"'Verkehr-Personen'!$A$5:$J$26"}</definedName>
    <definedName name="metzgerle" localSheetId="20" hidden="1">{"'Verkehr-Personen'!$A$5:$J$26"}</definedName>
    <definedName name="metzgerle" localSheetId="21" hidden="1">{"'Verkehr-Personen'!$A$5:$J$26"}</definedName>
    <definedName name="metzgerle" hidden="1">{"'Verkehr-Personen'!$A$5:$J$26"}</definedName>
    <definedName name="michael" localSheetId="20" hidden="1">{"'Verkehr-Personen'!$A$5:$J$26"}</definedName>
    <definedName name="michael" localSheetId="21" hidden="1">{"'Verkehr-Personen'!$A$5:$J$26"}</definedName>
    <definedName name="michael" hidden="1">{"'Verkehr-Personen'!$A$5:$J$26"}</definedName>
    <definedName name="michelengenll" localSheetId="20" hidden="1">{"'Verkehr-Personen'!$A$5:$J$26"}</definedName>
    <definedName name="michelengenll" localSheetId="21" hidden="1">{"'Verkehr-Personen'!$A$5:$J$26"}</definedName>
    <definedName name="michelengenll" hidden="1">{"'Verkehr-Personen'!$A$5:$J$26"}</definedName>
    <definedName name="Micht" localSheetId="20" hidden="1">{"'Verkehr-Personen'!$A$5:$J$26"}</definedName>
    <definedName name="Micht" localSheetId="21" hidden="1">{"'Verkehr-Personen'!$A$5:$J$26"}</definedName>
    <definedName name="Micht" hidden="1">{"'Verkehr-Personen'!$A$5:$J$26"}</definedName>
    <definedName name="Mikel" localSheetId="20" hidden="1">{"'Verkehr-Personen'!$A$5:$J$26"}</definedName>
    <definedName name="Mikel" localSheetId="21" hidden="1">{"'Verkehr-Personen'!$A$5:$J$26"}</definedName>
    <definedName name="Mikel" hidden="1">{"'Verkehr-Personen'!$A$5:$J$26"}</definedName>
    <definedName name="mistle" localSheetId="20" hidden="1">{"'Verkehr-Personen'!$A$5:$J$26"}</definedName>
    <definedName name="mistle" localSheetId="21" hidden="1">{"'Verkehr-Personen'!$A$5:$J$26"}</definedName>
    <definedName name="mistle" hidden="1">{"'Verkehr-Personen'!$A$5:$J$26"}</definedName>
    <definedName name="mmyl" localSheetId="20" hidden="1">{"'Verkehr-Personen'!$A$5:$J$26"}</definedName>
    <definedName name="mmyl" localSheetId="21" hidden="1">{"'Verkehr-Personen'!$A$5:$J$26"}</definedName>
    <definedName name="mmyl" hidden="1">{"'Verkehr-Personen'!$A$5:$J$26"}</definedName>
    <definedName name="mo" localSheetId="20" hidden="1">{"'Verkehr-Personen'!$A$5:$J$26"}</definedName>
    <definedName name="mo" localSheetId="21" hidden="1">{"'Verkehr-Personen'!$A$5:$J$26"}</definedName>
    <definedName name="mo" hidden="1">{"'Verkehr-Personen'!$A$5:$J$26"}</definedName>
    <definedName name="monika" localSheetId="20" hidden="1">{"'Verkehr-Personen'!$A$5:$J$26"}</definedName>
    <definedName name="monika" localSheetId="21" hidden="1">{"'Verkehr-Personen'!$A$5:$J$26"}</definedName>
    <definedName name="monika" hidden="1">{"'Verkehr-Personen'!$A$5:$J$26"}</definedName>
    <definedName name="Moses" localSheetId="20" hidden="1">{"'Verkehr-Personen'!$A$5:$J$26"}</definedName>
    <definedName name="Moses" localSheetId="21" hidden="1">{"'Verkehr-Personen'!$A$5:$J$26"}</definedName>
    <definedName name="Moses" hidden="1">{"'Verkehr-Personen'!$A$5:$J$26"}</definedName>
    <definedName name="motorraf" localSheetId="20" hidden="1">{"'Verkehr-Personen'!$A$5:$J$26"}</definedName>
    <definedName name="motorraf" localSheetId="21" hidden="1">{"'Verkehr-Personen'!$A$5:$J$26"}</definedName>
    <definedName name="motorraf" hidden="1">{"'Verkehr-Personen'!$A$5:$J$26"}</definedName>
    <definedName name="Muell" localSheetId="20" hidden="1">{"'Verkehr-Personen'!$A$5:$J$26"}</definedName>
    <definedName name="Muell" localSheetId="21" hidden="1">{"'Verkehr-Personen'!$A$5:$J$26"}</definedName>
    <definedName name="Muell" hidden="1">{"'Verkehr-Personen'!$A$5:$J$26"}</definedName>
    <definedName name="Mueller" localSheetId="20" hidden="1">{"'Verkehr-Personen'!$A$5:$J$26"}</definedName>
    <definedName name="Mueller" localSheetId="21" hidden="1">{"'Verkehr-Personen'!$A$5:$J$26"}</definedName>
    <definedName name="Mueller" hidden="1">{"'Verkehr-Personen'!$A$5:$J$26"}</definedName>
    <definedName name="muellerle" localSheetId="20" hidden="1">{"'Verkehr-Personen'!$A$5:$J$26"}</definedName>
    <definedName name="muellerle" localSheetId="21" hidden="1">{"'Verkehr-Personen'!$A$5:$J$26"}</definedName>
    <definedName name="muellerle" hidden="1">{"'Verkehr-Personen'!$A$5:$J$26"}</definedName>
    <definedName name="mzhmhmh" localSheetId="20" hidden="1">{"'Verkehr-Personen'!$A$5:$J$26"}</definedName>
    <definedName name="mzhmhmh" localSheetId="21" hidden="1">{"'Verkehr-Personen'!$A$5:$J$26"}</definedName>
    <definedName name="mzhmhmh" hidden="1">{"'Verkehr-Personen'!$A$5:$J$26"}</definedName>
    <definedName name="natur" localSheetId="20" hidden="1">{"'Verkehr-Personen'!$A$5:$J$26"}</definedName>
    <definedName name="natur" localSheetId="21" hidden="1">{"'Verkehr-Personen'!$A$5:$J$26"}</definedName>
    <definedName name="natur" hidden="1">{"'Verkehr-Personen'!$A$5:$J$26"}</definedName>
    <definedName name="nbmdrtzfgvb" localSheetId="20" hidden="1">{"'Verkehr-Personen'!$A$5:$J$26"}</definedName>
    <definedName name="nbmdrtzfgvb" localSheetId="21" hidden="1">{"'Verkehr-Personen'!$A$5:$J$26"}</definedName>
    <definedName name="nbmdrtzfgvb" hidden="1">{"'Verkehr-Personen'!$A$5:$J$26"}</definedName>
    <definedName name="neapel" localSheetId="20" hidden="1">{"'Verkehr-Personen'!$A$5:$J$26"}</definedName>
    <definedName name="neapel" localSheetId="21" hidden="1">{"'Verkehr-Personen'!$A$5:$J$26"}</definedName>
    <definedName name="neapel" hidden="1">{"'Verkehr-Personen'!$A$5:$J$26"}</definedName>
    <definedName name="nelke" localSheetId="20" hidden="1">{"'Verkehr-Personen'!$A$5:$J$26"}</definedName>
    <definedName name="nelke" localSheetId="21" hidden="1">{"'Verkehr-Personen'!$A$5:$J$26"}</definedName>
    <definedName name="nelke" hidden="1">{"'Verkehr-Personen'!$A$5:$J$26"}</definedName>
    <definedName name="nicht" localSheetId="20" hidden="1">{"'Verkehr-Personen'!$A$5:$J$26"}</definedName>
    <definedName name="nicht" localSheetId="21" hidden="1">{"'Verkehr-Personen'!$A$5:$J$26"}</definedName>
    <definedName name="nicht" hidden="1">{"'Verkehr-Personen'!$A$5:$J$26"}</definedName>
    <definedName name="niederzoll" localSheetId="20" hidden="1">{"'Verkehr-Personen'!$A$5:$J$26"}</definedName>
    <definedName name="niederzoll" localSheetId="21" hidden="1">{"'Verkehr-Personen'!$A$5:$J$26"}</definedName>
    <definedName name="niederzoll" hidden="1">{"'Verkehr-Personen'!$A$5:$J$26"}</definedName>
    <definedName name="nierenkrebs" localSheetId="20" hidden="1">{"'Verkehr-Personen'!$A$5:$J$26"}</definedName>
    <definedName name="nierenkrebs" localSheetId="21" hidden="1">{"'Verkehr-Personen'!$A$5:$J$26"}</definedName>
    <definedName name="nierenkrebs" hidden="1">{"'Verkehr-Personen'!$A$5:$J$26"}</definedName>
    <definedName name="njet" localSheetId="20" hidden="1">{"'Verkehr-Personen'!$A$5:$J$26"}</definedName>
    <definedName name="njet" localSheetId="21" hidden="1">{"'Verkehr-Personen'!$A$5:$J$26"}</definedName>
    <definedName name="njet" hidden="1">{"'Verkehr-Personen'!$A$5:$J$26"}</definedName>
    <definedName name="njetnein" localSheetId="20" hidden="1">{"'Verkehr-Personen'!$A$5:$J$26"}</definedName>
    <definedName name="njetnein" localSheetId="21" hidden="1">{"'Verkehr-Personen'!$A$5:$J$26"}</definedName>
    <definedName name="njetnein" hidden="1">{"'Verkehr-Personen'!$A$5:$J$26"}</definedName>
    <definedName name="njetnonyes" localSheetId="20" hidden="1">{"'Verkehr-Personen'!$A$5:$J$26"}</definedName>
    <definedName name="njetnonyes" localSheetId="21" hidden="1">{"'Verkehr-Personen'!$A$5:$J$26"}</definedName>
    <definedName name="njetnonyes" hidden="1">{"'Verkehr-Personen'!$A$5:$J$26"}</definedName>
    <definedName name="njnieptr" localSheetId="20" hidden="1">{"'Verkehr-Personen'!$A$5:$J$26"}</definedName>
    <definedName name="njnieptr" localSheetId="21" hidden="1">{"'Verkehr-Personen'!$A$5:$J$26"}</definedName>
    <definedName name="njnieptr" hidden="1">{"'Verkehr-Personen'!$A$5:$J$26"}</definedName>
    <definedName name="nnnnnnn" localSheetId="20" hidden="1">{"'Verkehr-Personen'!$A$5:$J$26"}</definedName>
    <definedName name="nnnnnnn" localSheetId="21" hidden="1">{"'Verkehr-Personen'!$A$5:$J$26"}</definedName>
    <definedName name="nnnnnnn" hidden="1">{"'Verkehr-Personen'!$A$5:$J$26"}</definedName>
    <definedName name="nnnnnnnnnnniii" localSheetId="20" hidden="1">{"'Verkehr-Personen'!$A$5:$J$26"}</definedName>
    <definedName name="nnnnnnnnnnniii" localSheetId="21" hidden="1">{"'Verkehr-Personen'!$A$5:$J$26"}</definedName>
    <definedName name="nnnnnnnnnnniii" hidden="1">{"'Verkehr-Personen'!$A$5:$J$26"}</definedName>
    <definedName name="nnnnnnnnnnnnnn" localSheetId="20" hidden="1">{"'Verkehr-Personen'!$A$5:$J$26"}</definedName>
    <definedName name="nnnnnnnnnnnnnn" localSheetId="21" hidden="1">{"'Verkehr-Personen'!$A$5:$J$26"}</definedName>
    <definedName name="nnnnnnnnnnnnnn" hidden="1">{"'Verkehr-Personen'!$A$5:$J$26"}</definedName>
    <definedName name="Noah" localSheetId="20" hidden="1">{"'Verkehr-Personen'!$A$5:$J$26"}</definedName>
    <definedName name="Noah" localSheetId="21" hidden="1">{"'Verkehr-Personen'!$A$5:$J$26"}</definedName>
    <definedName name="Noah" hidden="1">{"'Verkehr-Personen'!$A$5:$J$26"}</definedName>
    <definedName name="non" localSheetId="20" hidden="1">{"'Verkehr-Personen'!$A$5:$J$26"}</definedName>
    <definedName name="non" localSheetId="21" hidden="1">{"'Verkehr-Personen'!$A$5:$J$26"}</definedName>
    <definedName name="non" hidden="1">{"'Verkehr-Personen'!$A$5:$J$26"}</definedName>
    <definedName name="Norbert" localSheetId="20" hidden="1">{"'Verkehr-Personen'!$A$5:$J$26"}</definedName>
    <definedName name="Norbert" localSheetId="21" hidden="1">{"'Verkehr-Personen'!$A$5:$J$26"}</definedName>
    <definedName name="Norbert" hidden="1">{"'Verkehr-Personen'!$A$5:$J$26"}</definedName>
    <definedName name="not" localSheetId="20" hidden="1">{"'Verkehr-Personen'!$A$5:$J$26"}</definedName>
    <definedName name="not" localSheetId="21" hidden="1">{"'Verkehr-Personen'!$A$5:$J$26"}</definedName>
    <definedName name="not" hidden="1">{"'Verkehr-Personen'!$A$5:$J$26"}</definedName>
    <definedName name="notnonn" localSheetId="20" hidden="1">{"'Verkehr-Personen'!$A$5:$J$26"}</definedName>
    <definedName name="notnonn" localSheetId="21" hidden="1">{"'Verkehr-Personen'!$A$5:$J$26"}</definedName>
    <definedName name="notnonn" hidden="1">{"'Verkehr-Personen'!$A$5:$J$26"}</definedName>
    <definedName name="nottele" localSheetId="20" hidden="1">{"'Verkehr-Personen'!$A$5:$J$26"}</definedName>
    <definedName name="nottele" localSheetId="21" hidden="1">{"'Verkehr-Personen'!$A$5:$J$26"}</definedName>
    <definedName name="nottele" hidden="1">{"'Verkehr-Personen'!$A$5:$J$26"}</definedName>
    <definedName name="nudel" localSheetId="20" hidden="1">{"'Verkehr-Personen'!$A$5:$J$26"}</definedName>
    <definedName name="nudel" localSheetId="21" hidden="1">{"'Verkehr-Personen'!$A$5:$J$26"}</definedName>
    <definedName name="nudel" hidden="1">{"'Verkehr-Personen'!$A$5:$J$26"}</definedName>
    <definedName name="öäöäöä" localSheetId="20" hidden="1">{"'Verkehr-Personen'!$A$5:$J$26"}</definedName>
    <definedName name="öäöäöä" localSheetId="21" hidden="1">{"'Verkehr-Personen'!$A$5:$J$26"}</definedName>
    <definedName name="öäöäöä" hidden="1">{"'Verkehr-Personen'!$A$5:$J$26"}</definedName>
    <definedName name="oben" localSheetId="20" hidden="1">{"'Verkehr-Personen'!$A$5:$J$26"}</definedName>
    <definedName name="oben" localSheetId="21" hidden="1">{"'Verkehr-Personen'!$A$5:$J$26"}</definedName>
    <definedName name="oben" hidden="1">{"'Verkehr-Personen'!$A$5:$J$26"}</definedName>
    <definedName name="ocujeuzl" localSheetId="20" hidden="1">{"'Verkehr-Personen'!$A$5:$J$26"}</definedName>
    <definedName name="ocujeuzl" localSheetId="21" hidden="1">{"'Verkehr-Personen'!$A$5:$J$26"}</definedName>
    <definedName name="ocujeuzl" hidden="1">{"'Verkehr-Personen'!$A$5:$J$26"}</definedName>
    <definedName name="odxododo" localSheetId="20" hidden="1">{"'Verkehr-Personen'!$A$5:$J$26"}</definedName>
    <definedName name="odxododo" localSheetId="21" hidden="1">{"'Verkehr-Personen'!$A$5:$J$26"}</definedName>
    <definedName name="odxododo" hidden="1">{"'Verkehr-Personen'!$A$5:$J$26"}</definedName>
    <definedName name="oesterreich" localSheetId="20" hidden="1">{"'Verkehr-Personen'!$A$5:$J$26"}</definedName>
    <definedName name="oesterreich" localSheetId="21" hidden="1">{"'Verkehr-Personen'!$A$5:$J$26"}</definedName>
    <definedName name="oesterreich" hidden="1">{"'Verkehr-Personen'!$A$5:$J$26"}</definedName>
    <definedName name="ogotle" localSheetId="20" hidden="1">{"'Verkehr-Personen'!$A$5:$J$26"}</definedName>
    <definedName name="ogotle" localSheetId="21" hidden="1">{"'Verkehr-Personen'!$A$5:$J$26"}</definedName>
    <definedName name="ogotle" hidden="1">{"'Verkehr-Personen'!$A$5:$J$26"}</definedName>
    <definedName name="ogott" localSheetId="20" hidden="1">{"'Verkehr-Personen'!$A$5:$J$26"}</definedName>
    <definedName name="ogott" localSheetId="21" hidden="1">{"'Verkehr-Personen'!$A$5:$J$26"}</definedName>
    <definedName name="ogott" hidden="1">{"'Verkehr-Personen'!$A$5:$J$26"}</definedName>
    <definedName name="oioi" localSheetId="20" hidden="1">{"'Verkehr-Personen'!$A$5:$J$26"}</definedName>
    <definedName name="oioi" localSheetId="21" hidden="1">{"'Verkehr-Personen'!$A$5:$J$26"}</definedName>
    <definedName name="oioi" hidden="1">{"'Verkehr-Personen'!$A$5:$J$26"}</definedName>
    <definedName name="oioip" localSheetId="20" hidden="1">{"'Verkehr-Personen'!$A$5:$J$26"}</definedName>
    <definedName name="oioip" localSheetId="21" hidden="1">{"'Verkehr-Personen'!$A$5:$J$26"}</definedName>
    <definedName name="oioip" hidden="1">{"'Verkehr-Personen'!$A$5:$J$26"}</definedName>
    <definedName name="Olaf" localSheetId="20" hidden="1">{"'Verkehr-Personen'!$A$5:$J$26"}</definedName>
    <definedName name="Olaf" localSheetId="21" hidden="1">{"'Verkehr-Personen'!$A$5:$J$26"}</definedName>
    <definedName name="Olaf" hidden="1">{"'Verkehr-Personen'!$A$5:$J$26"}</definedName>
    <definedName name="ookkkffffff" localSheetId="20" hidden="1">{"'Verkehr-Personen'!$A$5:$J$26"}</definedName>
    <definedName name="ookkkffffff" localSheetId="21" hidden="1">{"'Verkehr-Personen'!$A$5:$J$26"}</definedName>
    <definedName name="ookkkffffff" hidden="1">{"'Verkehr-Personen'!$A$5:$J$26"}</definedName>
    <definedName name="ooo" localSheetId="20" hidden="1">{"'Verkehr-Personen'!$A$5:$J$26"}</definedName>
    <definedName name="ooo" localSheetId="21" hidden="1">{"'Verkehr-Personen'!$A$5:$J$26"}</definedName>
    <definedName name="ooo" hidden="1">{"'Verkehr-Personen'!$A$5:$J$26"}</definedName>
    <definedName name="oooo" localSheetId="20" hidden="1">{"'Verkehr-Personen'!$A$5:$J$26"}</definedName>
    <definedName name="oooo" localSheetId="21" hidden="1">{"'Verkehr-Personen'!$A$5:$J$26"}</definedName>
    <definedName name="oooo" hidden="1">{"'Verkehr-Personen'!$A$5:$J$26"}</definedName>
    <definedName name="ooooo" localSheetId="20" hidden="1">{"'Verkehr-Personen'!$A$5:$J$26"}</definedName>
    <definedName name="ooooo" localSheetId="21" hidden="1">{"'Verkehr-Personen'!$A$5:$J$26"}</definedName>
    <definedName name="ooooo" hidden="1">{"'Verkehr-Personen'!$A$5:$J$26"}</definedName>
    <definedName name="ooooooo" localSheetId="20" hidden="1">{"'Verkehr-Personen'!$A$5:$J$26"}</definedName>
    <definedName name="ooooooo" localSheetId="21" hidden="1">{"'Verkehr-Personen'!$A$5:$J$26"}</definedName>
    <definedName name="ooooooo" hidden="1">{"'Verkehr-Personen'!$A$5:$J$26"}</definedName>
    <definedName name="öööööööööööööö" localSheetId="20" hidden="1">{"'Verkehr-Personen'!$A$5:$J$26"}</definedName>
    <definedName name="öööööööööööööö" localSheetId="21" hidden="1">{"'Verkehr-Personen'!$A$5:$J$26"}</definedName>
    <definedName name="öööööööööööööö" hidden="1">{"'Verkehr-Personen'!$A$5:$J$26"}</definedName>
    <definedName name="ooooopzt" localSheetId="20" hidden="1">{"'Verkehr-Personen'!$A$5:$J$26"}</definedName>
    <definedName name="ooooopzt" localSheetId="21" hidden="1">{"'Verkehr-Personen'!$A$5:$J$26"}</definedName>
    <definedName name="ooooopzt" hidden="1">{"'Verkehr-Personen'!$A$5:$J$26"}</definedName>
    <definedName name="oooppppp" localSheetId="20" hidden="1">{"'Verkehr-Personen'!$A$5:$J$26"}</definedName>
    <definedName name="oooppppp" localSheetId="21" hidden="1">{"'Verkehr-Personen'!$A$5:$J$26"}</definedName>
    <definedName name="oooppppp" hidden="1">{"'Verkehr-Personen'!$A$5:$J$26"}</definedName>
    <definedName name="oouzt8" localSheetId="20" hidden="1">{"'Verkehr-Personen'!$A$5:$J$26"}</definedName>
    <definedName name="oouzt8" localSheetId="21" hidden="1">{"'Verkehr-Personen'!$A$5:$J$26"}</definedName>
    <definedName name="oouzt8" hidden="1">{"'Verkehr-Personen'!$A$5:$J$26"}</definedName>
    <definedName name="operle" localSheetId="20" hidden="1">{"'Verkehr-Personen'!$A$5:$J$26"}</definedName>
    <definedName name="operle" localSheetId="21" hidden="1">{"'Verkehr-Personen'!$A$5:$J$26"}</definedName>
    <definedName name="operle" hidden="1">{"'Verkehr-Personen'!$A$5:$J$26"}</definedName>
    <definedName name="ororjkfkmf" localSheetId="20" hidden="1">{"'Verkehr-Personen'!$A$5:$J$26"}</definedName>
    <definedName name="ororjkfkmf" localSheetId="21" hidden="1">{"'Verkehr-Personen'!$A$5:$J$26"}</definedName>
    <definedName name="ororjkfkmf" hidden="1">{"'Verkehr-Personen'!$A$5:$J$26"}</definedName>
    <definedName name="otto" localSheetId="20" hidden="1">{"'Verkehr-Personen'!$A$5:$J$26"}</definedName>
    <definedName name="otto" localSheetId="21" hidden="1">{"'Verkehr-Personen'!$A$5:$J$26"}</definedName>
    <definedName name="otto" hidden="1">{"'Verkehr-Personen'!$A$5:$J$26"}</definedName>
    <definedName name="oui" localSheetId="20" hidden="1">{"'Verkehr-Personen'!$A$5:$J$26"}</definedName>
    <definedName name="oui" localSheetId="21" hidden="1">{"'Verkehr-Personen'!$A$5:$J$26"}</definedName>
    <definedName name="oui" hidden="1">{"'Verkehr-Personen'!$A$5:$J$26"}</definedName>
    <definedName name="ouiuuztr" localSheetId="20" hidden="1">{"'Verkehr-Personen'!$A$5:$J$26"}</definedName>
    <definedName name="ouiuuztr" localSheetId="21" hidden="1">{"'Verkehr-Personen'!$A$5:$J$26"}</definedName>
    <definedName name="ouiuuztr" hidden="1">{"'Verkehr-Personen'!$A$5:$J$26"}</definedName>
    <definedName name="outi" localSheetId="20" hidden="1">{"'Verkehr-Personen'!$A$5:$J$26"}</definedName>
    <definedName name="outi" localSheetId="21" hidden="1">{"'Verkehr-Personen'!$A$5:$J$26"}</definedName>
    <definedName name="outi" hidden="1">{"'Verkehr-Personen'!$A$5:$J$26"}</definedName>
    <definedName name="parma" localSheetId="20" hidden="1">{"'Verkehr-Personen'!$A$5:$J$26"}</definedName>
    <definedName name="parma" localSheetId="21" hidden="1">{"'Verkehr-Personen'!$A$5:$J$26"}</definedName>
    <definedName name="parma" hidden="1">{"'Verkehr-Personen'!$A$5:$J$26"}</definedName>
    <definedName name="patrick" localSheetId="20" hidden="1">{"'Verkehr-Personen'!$A$5:$J$26"}</definedName>
    <definedName name="patrick" localSheetId="21" hidden="1">{"'Verkehr-Personen'!$A$5:$J$26"}</definedName>
    <definedName name="patrick" hidden="1">{"'Verkehr-Personen'!$A$5:$J$26"}</definedName>
    <definedName name="Peter" localSheetId="20" hidden="1">{"'Verkehr-Personen'!$A$5:$J$26"}</definedName>
    <definedName name="Peter" localSheetId="21" hidden="1">{"'Verkehr-Personen'!$A$5:$J$26"}</definedName>
    <definedName name="Peter" hidden="1">{"'Verkehr-Personen'!$A$5:$J$26"}</definedName>
    <definedName name="petrus" localSheetId="20" hidden="1">{"'Verkehr-Personen'!$A$5:$J$26"}</definedName>
    <definedName name="petrus" localSheetId="21" hidden="1">{"'Verkehr-Personen'!$A$5:$J$26"}</definedName>
    <definedName name="petrus" hidden="1">{"'Verkehr-Personen'!$A$5:$J$26"}</definedName>
    <definedName name="pfarrerle" localSheetId="20" hidden="1">{"'Verkehr-Personen'!$A$5:$J$26"}</definedName>
    <definedName name="pfarrerle" localSheetId="21" hidden="1">{"'Verkehr-Personen'!$A$5:$J$26"}</definedName>
    <definedName name="pfarrerle" hidden="1">{"'Verkehr-Personen'!$A$5:$J$26"}</definedName>
    <definedName name="Pferdle" localSheetId="20" hidden="1">{"'Verkehr-Personen'!$A$5:$J$26"}</definedName>
    <definedName name="Pferdle" localSheetId="21" hidden="1">{"'Verkehr-Personen'!$A$5:$J$26"}</definedName>
    <definedName name="Pferdle" hidden="1">{"'Verkehr-Personen'!$A$5:$J$26"}</definedName>
    <definedName name="Phillip" localSheetId="20" hidden="1">{"'Verkehr-Personen'!$A$5:$J$26"}</definedName>
    <definedName name="Phillip" localSheetId="21" hidden="1">{"'Verkehr-Personen'!$A$5:$J$26"}</definedName>
    <definedName name="Phillip" hidden="1">{"'Verkehr-Personen'!$A$5:$J$26"}</definedName>
    <definedName name="pit" localSheetId="20" hidden="1">{"'Verkehr-Personen'!$A$5:$J$26"}</definedName>
    <definedName name="pit" localSheetId="21" hidden="1">{"'Verkehr-Personen'!$A$5:$J$26"}</definedName>
    <definedName name="pit" hidden="1">{"'Verkehr-Personen'!$A$5:$J$26"}</definedName>
    <definedName name="pitpot" localSheetId="20" hidden="1">{"'Verkehr-Personen'!$A$5:$J$26"}</definedName>
    <definedName name="pitpot" localSheetId="21" hidden="1">{"'Verkehr-Personen'!$A$5:$J$26"}</definedName>
    <definedName name="pitpot" hidden="1">{"'Verkehr-Personen'!$A$5:$J$26"}</definedName>
    <definedName name="piztrewq" localSheetId="20" hidden="1">{"'Verkehr-Personen'!$A$5:$J$26"}</definedName>
    <definedName name="piztrewq" localSheetId="21" hidden="1">{"'Verkehr-Personen'!$A$5:$J$26"}</definedName>
    <definedName name="piztrewq" hidden="1">{"'Verkehr-Personen'!$A$5:$J$26"}</definedName>
    <definedName name="plkjzr" localSheetId="20" hidden="1">{"'Verkehr-Personen'!$A$5:$J$26"}</definedName>
    <definedName name="plkjzr" localSheetId="21" hidden="1">{"'Verkehr-Personen'!$A$5:$J$26"}</definedName>
    <definedName name="plkjzr" hidden="1">{"'Verkehr-Personen'!$A$5:$J$26"}</definedName>
    <definedName name="plkplokm" localSheetId="20" hidden="1">{"'Verkehr-Personen'!$A$5:$J$26"}</definedName>
    <definedName name="plkplokm" localSheetId="21" hidden="1">{"'Verkehr-Personen'!$A$5:$J$26"}</definedName>
    <definedName name="plkplokm" hidden="1">{"'Verkehr-Personen'!$A$5:$J$26"}</definedName>
    <definedName name="pmjihz" localSheetId="20" hidden="1">{"'Verkehr-Personen'!$A$5:$J$26"}</definedName>
    <definedName name="pmjihz" localSheetId="21" hidden="1">{"'Verkehr-Personen'!$A$5:$J$26"}</definedName>
    <definedName name="pmjihz" hidden="1">{"'Verkehr-Personen'!$A$5:$J$26"}</definedName>
    <definedName name="poi" localSheetId="20" hidden="1">{"'Verkehr-Personen'!$A$5:$J$26"}</definedName>
    <definedName name="poi" localSheetId="21" hidden="1">{"'Verkehr-Personen'!$A$5:$J$26"}</definedName>
    <definedName name="poi" hidden="1">{"'Verkehr-Personen'!$A$5:$J$26"}</definedName>
    <definedName name="pooooooooooooo" localSheetId="20" hidden="1">{"'Verkehr-Personen'!$A$5:$J$26"}</definedName>
    <definedName name="pooooooooooooo" localSheetId="21" hidden="1">{"'Verkehr-Personen'!$A$5:$J$26"}</definedName>
    <definedName name="pooooooooooooo" hidden="1">{"'Verkehr-Personen'!$A$5:$J$26"}</definedName>
    <definedName name="popo" localSheetId="20" hidden="1">{"'Verkehr-Personen'!$A$5:$J$26"}</definedName>
    <definedName name="popo" localSheetId="21" hidden="1">{"'Verkehr-Personen'!$A$5:$J$26"}</definedName>
    <definedName name="popo" hidden="1">{"'Verkehr-Personen'!$A$5:$J$26"}</definedName>
    <definedName name="popole" localSheetId="20" hidden="1">{"'Verkehr-Personen'!$A$5:$J$26"}</definedName>
    <definedName name="popole" localSheetId="21" hidden="1">{"'Verkehr-Personen'!$A$5:$J$26"}</definedName>
    <definedName name="popole" hidden="1">{"'Verkehr-Personen'!$A$5:$J$26"}</definedName>
    <definedName name="popolein" localSheetId="20" hidden="1">{"'Verkehr-Personen'!$A$5:$J$26"}</definedName>
    <definedName name="popolein" localSheetId="21" hidden="1">{"'Verkehr-Personen'!$A$5:$J$26"}</definedName>
    <definedName name="popolein" hidden="1">{"'Verkehr-Personen'!$A$5:$J$26"}</definedName>
    <definedName name="popoleinchen" localSheetId="20" hidden="1">{"'Verkehr-Personen'!$A$5:$J$26"}</definedName>
    <definedName name="popoleinchen" localSheetId="21" hidden="1">{"'Verkehr-Personen'!$A$5:$J$26"}</definedName>
    <definedName name="popoleinchen" hidden="1">{"'Verkehr-Personen'!$A$5:$J$26"}</definedName>
    <definedName name="porsche" localSheetId="20" hidden="1">{"'Verkehr-Personen'!$A$5:$J$26"}</definedName>
    <definedName name="porsche" localSheetId="21" hidden="1">{"'Verkehr-Personen'!$A$5:$J$26"}</definedName>
    <definedName name="porsche" hidden="1">{"'Verkehr-Personen'!$A$5:$J$26"}</definedName>
    <definedName name="ppppppoo" localSheetId="20" hidden="1">{"'Verkehr-Personen'!$A$5:$J$26"}</definedName>
    <definedName name="ppppppoo" localSheetId="21" hidden="1">{"'Verkehr-Personen'!$A$5:$J$26"}</definedName>
    <definedName name="ppppppoo" hidden="1">{"'Verkehr-Personen'!$A$5:$J$26"}</definedName>
    <definedName name="ppppppppppppppppp" localSheetId="20" hidden="1">{"'Verkehr-Personen'!$A$5:$J$26"}</definedName>
    <definedName name="ppppppppppppppppp" localSheetId="21" hidden="1">{"'Verkehr-Personen'!$A$5:$J$26"}</definedName>
    <definedName name="ppppppppppppppppp" hidden="1">{"'Verkehr-Personen'!$A$5:$J$26"}</definedName>
    <definedName name="pppppppppppppppppppsss" localSheetId="20" hidden="1">{"'Verkehr-Personen'!$A$5:$J$26"}</definedName>
    <definedName name="pppppppppppppppppppsss" localSheetId="21" hidden="1">{"'Verkehr-Personen'!$A$5:$J$26"}</definedName>
    <definedName name="pppppppppppppppppppsss" hidden="1">{"'Verkehr-Personen'!$A$5:$J$26"}</definedName>
    <definedName name="prewei" localSheetId="20" hidden="1">{"'Verkehr-Personen'!$A$5:$J$26"}</definedName>
    <definedName name="prewei" localSheetId="21" hidden="1">{"'Verkehr-Personen'!$A$5:$J$26"}</definedName>
    <definedName name="prewei" hidden="1">{"'Verkehr-Personen'!$A$5:$J$26"}</definedName>
    <definedName name="prewi" localSheetId="20" hidden="1">{"'Verkehr-Personen'!$A$5:$J$26"}</definedName>
    <definedName name="prewi" localSheetId="21" hidden="1">{"'Verkehr-Personen'!$A$5:$J$26"}</definedName>
    <definedName name="prewi" hidden="1">{"'Verkehr-Personen'!$A$5:$J$26"}</definedName>
    <definedName name="prewo" localSheetId="20" hidden="1">{"'Verkehr-Personen'!$A$5:$J$26"}</definedName>
    <definedName name="prewo" localSheetId="21" hidden="1">{"'Verkehr-Personen'!$A$5:$J$26"}</definedName>
    <definedName name="prewo" hidden="1">{"'Verkehr-Personen'!$A$5:$J$26"}</definedName>
    <definedName name="prewu" localSheetId="20" hidden="1">{"'Verkehr-Personen'!$A$5:$J$26"}</definedName>
    <definedName name="prewu" localSheetId="21" hidden="1">{"'Verkehr-Personen'!$A$5:$J$26"}</definedName>
    <definedName name="prewu" hidden="1">{"'Verkehr-Personen'!$A$5:$J$26"}</definedName>
    <definedName name="privwi" localSheetId="20" hidden="1">{"'Verkehr-Personen'!$A$5:$J$26"}</definedName>
    <definedName name="privwi" localSheetId="21" hidden="1">{"'Verkehr-Personen'!$A$5:$J$26"}</definedName>
    <definedName name="privwi" hidden="1">{"'Verkehr-Personen'!$A$5:$J$26"}</definedName>
    <definedName name="probialld" localSheetId="20" hidden="1">{"'Verkehr-Personen'!$A$5:$J$26"}</definedName>
    <definedName name="probialld" localSheetId="21" hidden="1">{"'Verkehr-Personen'!$A$5:$J$26"}</definedName>
    <definedName name="probialld" hidden="1">{"'Verkehr-Personen'!$A$5:$J$26"}</definedName>
    <definedName name="prostatakrebs" localSheetId="20" hidden="1">{"'Verkehr-Personen'!$A$5:$J$26"}</definedName>
    <definedName name="prostatakrebs" localSheetId="21" hidden="1">{"'Verkehr-Personen'!$A$5:$J$26"}</definedName>
    <definedName name="prostatakrebs" hidden="1">{"'Verkehr-Personen'!$A$5:$J$26"}</definedName>
    <definedName name="prttyp" localSheetId="20" hidden="1">{"'Verkehr-Personen'!$A$5:$J$26"}</definedName>
    <definedName name="prttyp" localSheetId="21" hidden="1">{"'Verkehr-Personen'!$A$5:$J$26"}</definedName>
    <definedName name="prttyp" hidden="1">{"'Verkehr-Personen'!$A$5:$J$26"}</definedName>
    <definedName name="pummelig" localSheetId="20" hidden="1">{"'Verkehr-Personen'!$A$5:$J$26"}</definedName>
    <definedName name="pummelig" localSheetId="21" hidden="1">{"'Verkehr-Personen'!$A$5:$J$26"}</definedName>
    <definedName name="pummelig" hidden="1">{"'Verkehr-Personen'!$A$5:$J$26"}</definedName>
    <definedName name="pummmmmmel" localSheetId="20" hidden="1">{"'Verkehr-Personen'!$A$5:$J$26"}</definedName>
    <definedName name="pummmmmmel" localSheetId="21" hidden="1">{"'Verkehr-Personen'!$A$5:$J$26"}</definedName>
    <definedName name="pummmmmmel" hidden="1">{"'Verkehr-Personen'!$A$5:$J$26"}</definedName>
    <definedName name="pundelelal" localSheetId="20" hidden="1">{"'Verkehr-Personen'!$A$5:$J$26"}</definedName>
    <definedName name="pundelelal" localSheetId="21" hidden="1">{"'Verkehr-Personen'!$A$5:$J$26"}</definedName>
    <definedName name="pundelelal" hidden="1">{"'Verkehr-Personen'!$A$5:$J$26"}</definedName>
    <definedName name="puppe" localSheetId="20" hidden="1">{"'Verkehr-Personen'!$A$5:$J$26"}</definedName>
    <definedName name="puppe" localSheetId="21" hidden="1">{"'Verkehr-Personen'!$A$5:$J$26"}</definedName>
    <definedName name="puppe" hidden="1">{"'Verkehr-Personen'!$A$5:$J$26"}</definedName>
    <definedName name="putzetle" localSheetId="20" hidden="1">{"'Verkehr-Personen'!$A$5:$J$26"}</definedName>
    <definedName name="putzetle" localSheetId="21" hidden="1">{"'Verkehr-Personen'!$A$5:$J$26"}</definedName>
    <definedName name="putzetle" hidden="1">{"'Verkehr-Personen'!$A$5:$J$26"}</definedName>
    <definedName name="qadyvc" localSheetId="20" hidden="1">{"'Verkehr-Personen'!$A$5:$J$26"}</definedName>
    <definedName name="qadyvc" localSheetId="21" hidden="1">{"'Verkehr-Personen'!$A$5:$J$26"}</definedName>
    <definedName name="qadyvc" hidden="1">{"'Verkehr-Personen'!$A$5:$J$26"}</definedName>
    <definedName name="QAE" localSheetId="20" hidden="1">{"'Verkehr-Personen'!$A$5:$J$26"}</definedName>
    <definedName name="QAE" localSheetId="21" hidden="1">{"'Verkehr-Personen'!$A$5:$J$26"}</definedName>
    <definedName name="QAE" hidden="1">{"'Verkehr-Personen'!$A$5:$J$26"}</definedName>
    <definedName name="qaeydfv" localSheetId="20" hidden="1">{"'Verkehr-Personen'!$A$5:$J$26"}</definedName>
    <definedName name="qaeydfv" localSheetId="21" hidden="1">{"'Verkehr-Personen'!$A$5:$J$26"}</definedName>
    <definedName name="qaeydfv" hidden="1">{"'Verkehr-Personen'!$A$5:$J$26"}</definedName>
    <definedName name="qesfhn" localSheetId="20" hidden="1">{"'Verkehr-Personen'!$A$5:$J$26"}</definedName>
    <definedName name="qesfhn" localSheetId="21" hidden="1">{"'Verkehr-Personen'!$A$5:$J$26"}</definedName>
    <definedName name="qesfhn" hidden="1">{"'Verkehr-Personen'!$A$5:$J$26"}</definedName>
    <definedName name="qkjkl" localSheetId="20" hidden="1">{"'Verkehr-Personen'!$A$5:$J$26"}</definedName>
    <definedName name="qkjkl" localSheetId="21" hidden="1">{"'Verkehr-Personen'!$A$5:$J$26"}</definedName>
    <definedName name="qkjkl" hidden="1">{"'Verkehr-Personen'!$A$5:$J$26"}</definedName>
    <definedName name="qqq" localSheetId="21" hidden="1">{"'Verkehr-Personen'!$A$5:$J$26"}</definedName>
    <definedName name="qqq" hidden="1">{"'Verkehr-Personen'!$A$5:$J$26"}</definedName>
    <definedName name="qr" localSheetId="20" hidden="1">{"'Verkehr-Personen'!$A$5:$J$26"}</definedName>
    <definedName name="qr" localSheetId="21" hidden="1">{"'Verkehr-Personen'!$A$5:$J$26"}</definedName>
    <definedName name="qr" hidden="1">{"'Verkehr-Personen'!$A$5:$J$26"}</definedName>
    <definedName name="qwklwlk" localSheetId="20" hidden="1">{"'Verkehr-Personen'!$A$5:$J$26"}</definedName>
    <definedName name="qwklwlk" localSheetId="21" hidden="1">{"'Verkehr-Personen'!$A$5:$J$26"}</definedName>
    <definedName name="qwklwlk" hidden="1">{"'Verkehr-Personen'!$A$5:$J$26"}</definedName>
    <definedName name="QWSR" localSheetId="20" hidden="1">{"'Verkehr-Personen'!$A$5:$J$26"}</definedName>
    <definedName name="QWSR" localSheetId="21" hidden="1">{"'Verkehr-Personen'!$A$5:$J$26"}</definedName>
    <definedName name="QWSR" hidden="1">{"'Verkehr-Personen'!$A$5:$J$26"}</definedName>
    <definedName name="qwtsb" localSheetId="20" hidden="1">{"'Verkehr-Personen'!$A$5:$J$26"}</definedName>
    <definedName name="qwtsb" localSheetId="21" hidden="1">{"'Verkehr-Personen'!$A$5:$J$26"}</definedName>
    <definedName name="qwtsb" hidden="1">{"'Verkehr-Personen'!$A$5:$J$26"}</definedName>
    <definedName name="rdzjghv" localSheetId="20" hidden="1">{"'Verkehr-Personen'!$A$5:$J$26"}</definedName>
    <definedName name="rdzjghv" localSheetId="21" hidden="1">{"'Verkehr-Personen'!$A$5:$J$26"}</definedName>
    <definedName name="rdzjghv" hidden="1">{"'Verkehr-Personen'!$A$5:$J$26"}</definedName>
    <definedName name="reber" localSheetId="20" hidden="1">{"'Verkehr-Personen'!$A$5:$J$26"}</definedName>
    <definedName name="reber" localSheetId="21" hidden="1">{"'Verkehr-Personen'!$A$5:$J$26"}</definedName>
    <definedName name="reber" hidden="1">{"'Verkehr-Personen'!$A$5:$J$26"}</definedName>
    <definedName name="reberlllllotlt" localSheetId="20" hidden="1">{"'Verkehr-Personen'!$A$5:$J$26"}</definedName>
    <definedName name="reberlllllotlt" localSheetId="21" hidden="1">{"'Verkehr-Personen'!$A$5:$J$26"}</definedName>
    <definedName name="reberlllllotlt" hidden="1">{"'Verkehr-Personen'!$A$5:$J$26"}</definedName>
    <definedName name="regen" localSheetId="20" hidden="1">{"'Verkehr-Personen'!$A$5:$J$26"}</definedName>
    <definedName name="regen" localSheetId="21" hidden="1">{"'Verkehr-Personen'!$A$5:$J$26"}</definedName>
    <definedName name="regen" hidden="1">{"'Verkehr-Personen'!$A$5:$J$26"}</definedName>
    <definedName name="regenle" localSheetId="20" hidden="1">{"'Verkehr-Personen'!$A$5:$J$26"}</definedName>
    <definedName name="regenle" localSheetId="21" hidden="1">{"'Verkehr-Personen'!$A$5:$J$26"}</definedName>
    <definedName name="regenle" hidden="1">{"'Verkehr-Personen'!$A$5:$J$26"}</definedName>
    <definedName name="regenwetter" localSheetId="20" hidden="1">{"'Verkehr-Personen'!$A$5:$J$26"}</definedName>
    <definedName name="regenwetter" localSheetId="21" hidden="1">{"'Verkehr-Personen'!$A$5:$J$26"}</definedName>
    <definedName name="regenwetter" hidden="1">{"'Verkehr-Personen'!$A$5:$J$26"}</definedName>
    <definedName name="regenwurm" localSheetId="20" hidden="1">{"'Verkehr-Personen'!$A$5:$J$26"}</definedName>
    <definedName name="regenwurm" localSheetId="21" hidden="1">{"'Verkehr-Personen'!$A$5:$J$26"}</definedName>
    <definedName name="regenwurm" hidden="1">{"'Verkehr-Personen'!$A$5:$J$26"}</definedName>
    <definedName name="reichle" localSheetId="20" hidden="1">{"'Verkehr-Personen'!$A$5:$J$26"}</definedName>
    <definedName name="reichle" localSheetId="21" hidden="1">{"'Verkehr-Personen'!$A$5:$J$26"}</definedName>
    <definedName name="reichle" hidden="1">{"'Verkehr-Personen'!$A$5:$J$26"}</definedName>
    <definedName name="reis" localSheetId="20" hidden="1">{"'Verkehr-Personen'!$A$5:$J$26"}</definedName>
    <definedName name="reis" localSheetId="21" hidden="1">{"'Verkehr-Personen'!$A$5:$J$26"}</definedName>
    <definedName name="reis" hidden="1">{"'Verkehr-Personen'!$A$5:$J$26"}</definedName>
    <definedName name="reisssig" localSheetId="20" hidden="1">{"'Verkehr-Personen'!$A$5:$J$26"}</definedName>
    <definedName name="reisssig" localSheetId="21" hidden="1">{"'Verkehr-Personen'!$A$5:$J$26"}</definedName>
    <definedName name="reisssig" hidden="1">{"'Verkehr-Personen'!$A$5:$J$26"}</definedName>
    <definedName name="reiten" localSheetId="20" hidden="1">{"'Verkehr-Personen'!$A$5:$J$26"}</definedName>
    <definedName name="reiten" localSheetId="21" hidden="1">{"'Verkehr-Personen'!$A$5:$J$26"}</definedName>
    <definedName name="reiten" hidden="1">{"'Verkehr-Personen'!$A$5:$J$26"}</definedName>
    <definedName name="renault" localSheetId="20" hidden="1">{"'Verkehr-Personen'!$A$5:$J$26"}</definedName>
    <definedName name="renault" localSheetId="21" hidden="1">{"'Verkehr-Personen'!$A$5:$J$26"}</definedName>
    <definedName name="renault" hidden="1">{"'Verkehr-Personen'!$A$5:$J$26"}</definedName>
    <definedName name="rennenn" localSheetId="20" hidden="1">{"'Verkehr-Personen'!$A$5:$J$26"}</definedName>
    <definedName name="rennenn" localSheetId="21" hidden="1">{"'Verkehr-Personen'!$A$5:$J$26"}</definedName>
    <definedName name="rennenn" hidden="1">{"'Verkehr-Personen'!$A$5:$J$26"}</definedName>
    <definedName name="rennnnnnen" localSheetId="20" hidden="1">{"'Verkehr-Personen'!$A$5:$J$26"}</definedName>
    <definedName name="rennnnnnen" localSheetId="21" hidden="1">{"'Verkehr-Personen'!$A$5:$J$26"}</definedName>
    <definedName name="rennnnnnen" hidden="1">{"'Verkehr-Personen'!$A$5:$J$26"}</definedName>
    <definedName name="richtig" localSheetId="20" hidden="1">{"'Verkehr-Personen'!$A$5:$J$26"}</definedName>
    <definedName name="richtig" localSheetId="21" hidden="1">{"'Verkehr-Personen'!$A$5:$J$26"}</definedName>
    <definedName name="richtig" hidden="1">{"'Verkehr-Personen'!$A$5:$J$26"}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hracker" localSheetId="20" hidden="1">{"'Verkehr-Personen'!$A$5:$J$26"}</definedName>
    <definedName name="rohracker" localSheetId="21" hidden="1">{"'Verkehr-Personen'!$A$5:$J$26"}</definedName>
    <definedName name="rohracker" hidden="1">{"'Verkehr-Personen'!$A$5:$J$26"}</definedName>
    <definedName name="rom" localSheetId="20" hidden="1">{"'Verkehr-Personen'!$A$5:$J$26"}</definedName>
    <definedName name="rom" localSheetId="21" hidden="1">{"'Verkehr-Personen'!$A$5:$J$26"}</definedName>
    <definedName name="rom" hidden="1">{"'Verkehr-Personen'!$A$5:$J$26"}</definedName>
    <definedName name="rose" localSheetId="20" hidden="1">{"'Verkehr-Personen'!$A$5:$J$26"}</definedName>
    <definedName name="rose" localSheetId="21" hidden="1">{"'Verkehr-Personen'!$A$5:$J$26"}</definedName>
    <definedName name="rose" hidden="1">{"'Verkehr-Personen'!$A$5:$J$26"}</definedName>
    <definedName name="rosenkohl" localSheetId="20" hidden="1">{"'Verkehr-Personen'!$A$5:$J$26"}</definedName>
    <definedName name="rosenkohl" localSheetId="21" hidden="1">{"'Verkehr-Personen'!$A$5:$J$26"}</definedName>
    <definedName name="rosenkohl" hidden="1">{"'Verkehr-Personen'!$A$5:$J$26"}</definedName>
    <definedName name="rosenkohlim" localSheetId="20" hidden="1">{"'Verkehr-Personen'!$A$5:$J$26"}</definedName>
    <definedName name="rosenkohlim" localSheetId="21" hidden="1">{"'Verkehr-Personen'!$A$5:$J$26"}</definedName>
    <definedName name="rosenkohlim" hidden="1">{"'Verkehr-Personen'!$A$5:$J$26"}</definedName>
    <definedName name="rosenrot" localSheetId="20" hidden="1">{"'Verkehr-Personen'!$A$5:$J$26"}</definedName>
    <definedName name="rosenrot" localSheetId="21" hidden="1">{"'Verkehr-Personen'!$A$5:$J$26"}</definedName>
    <definedName name="rosenrot" hidden="1">{"'Verkehr-Personen'!$A$5:$J$26"}</definedName>
    <definedName name="rostenrot" localSheetId="20" hidden="1">{"'Verkehr-Personen'!$A$5:$J$26"}</definedName>
    <definedName name="rostenrot" localSheetId="21" hidden="1">{"'Verkehr-Personen'!$A$5:$J$26"}</definedName>
    <definedName name="rostenrot" hidden="1">{"'Verkehr-Personen'!$A$5:$J$26"}</definedName>
    <definedName name="rot" localSheetId="20" hidden="1">{"'Verkehr-Personen'!$A$5:$J$26"}</definedName>
    <definedName name="rot" localSheetId="21" hidden="1">{"'Verkehr-Personen'!$A$5:$J$26"}</definedName>
    <definedName name="rot" hidden="1">{"'Verkehr-Personen'!$A$5:$J$26"}</definedName>
    <definedName name="rotblau" localSheetId="20" hidden="1">{"'Verkehr-Personen'!$A$5:$J$26"}</definedName>
    <definedName name="rotblau" localSheetId="21" hidden="1">{"'Verkehr-Personen'!$A$5:$J$26"}</definedName>
    <definedName name="rotblau" hidden="1">{"'Verkehr-Personen'!$A$5:$J$26"}</definedName>
    <definedName name="rotbraun" localSheetId="20" hidden="1">{"'Verkehr-Personen'!$A$5:$J$26"}</definedName>
    <definedName name="rotbraun" localSheetId="21" hidden="1">{"'Verkehr-Personen'!$A$5:$J$26"}</definedName>
    <definedName name="rotbraun" hidden="1">{"'Verkehr-Personen'!$A$5:$J$26"}</definedName>
    <definedName name="rotgelb" localSheetId="20" hidden="1">{"'Verkehr-Personen'!$A$5:$J$26"}</definedName>
    <definedName name="rotgelb" localSheetId="21" hidden="1">{"'Verkehr-Personen'!$A$5:$J$26"}</definedName>
    <definedName name="rotgelb" hidden="1">{"'Verkehr-Personen'!$A$5:$J$26"}</definedName>
    <definedName name="rotgruen" localSheetId="20" hidden="1">{"'Verkehr-Personen'!$A$5:$J$26"}</definedName>
    <definedName name="rotgruen" localSheetId="21" hidden="1">{"'Verkehr-Personen'!$A$5:$J$26"}</definedName>
    <definedName name="rotgruen" hidden="1">{"'Verkehr-Personen'!$A$5:$J$26"}</definedName>
    <definedName name="rotoel" localSheetId="20" hidden="1">{"'Verkehr-Personen'!$A$5:$J$26"}</definedName>
    <definedName name="rotoel" localSheetId="21" hidden="1">{"'Verkehr-Personen'!$A$5:$J$26"}</definedName>
    <definedName name="rotoel" hidden="1">{"'Verkehr-Personen'!$A$5:$J$26"}</definedName>
    <definedName name="rotrosa" localSheetId="20" hidden="1">{"'Verkehr-Personen'!$A$5:$J$26"}</definedName>
    <definedName name="rotrosa" localSheetId="21" hidden="1">{"'Verkehr-Personen'!$A$5:$J$26"}</definedName>
    <definedName name="rotrosa" hidden="1">{"'Verkehr-Personen'!$A$5:$J$26"}</definedName>
    <definedName name="rotrose" localSheetId="20" hidden="1">{"'Verkehr-Personen'!$A$5:$J$26"}</definedName>
    <definedName name="rotrose" localSheetId="21" hidden="1">{"'Verkehr-Personen'!$A$5:$J$26"}</definedName>
    <definedName name="rotrose" hidden="1">{"'Verkehr-Personen'!$A$5:$J$26"}</definedName>
    <definedName name="rotvilolett" localSheetId="20" hidden="1">{"'Verkehr-Personen'!$A$5:$J$26"}</definedName>
    <definedName name="rotvilolett" localSheetId="21" hidden="1">{"'Verkehr-Personen'!$A$5:$J$26"}</definedName>
    <definedName name="rotvilolett" hidden="1">{"'Verkehr-Personen'!$A$5:$J$26"}</definedName>
    <definedName name="roüawpsdjykv" localSheetId="20" hidden="1">{"'Verkehr-Personen'!$A$5:$J$26"}</definedName>
    <definedName name="roüawpsdjykv" localSheetId="21" hidden="1">{"'Verkehr-Personen'!$A$5:$J$26"}</definedName>
    <definedName name="roüawpsdjykv" hidden="1">{"'Verkehr-Personen'!$A$5:$J$26"}</definedName>
    <definedName name="rP1.Deckblatt">'[6]Parameter 1'!$O$13:$O$23</definedName>
    <definedName name="rP1.Hinweis">'[6]Parameter 1'!$N$13</definedName>
    <definedName name="rP1.Inhalte">'[6]Parameter 1'!$K$13:$K$35</definedName>
    <definedName name="rP1.Links">'[6]Parameter 1'!$M$13</definedName>
    <definedName name="rP1.Überschrift">'[6]Parameter 1'!$L$13:$L$17</definedName>
    <definedName name="rrrrr" localSheetId="20" hidden="1">{"'Verkehr-Personen'!$A$5:$J$26"}</definedName>
    <definedName name="rrrrr" localSheetId="21" hidden="1">{"'Verkehr-Personen'!$A$5:$J$26"}</definedName>
    <definedName name="rrrrr" hidden="1">{"'Verkehr-Personen'!$A$5:$J$26"}</definedName>
    <definedName name="rrrrrrrr" localSheetId="20" hidden="1">{"'Verkehr-Personen'!$A$5:$J$26"}</definedName>
    <definedName name="rrrrrrrr" localSheetId="21" hidden="1">{"'Verkehr-Personen'!$A$5:$J$26"}</definedName>
    <definedName name="rrrrrrrr" hidden="1">{"'Verkehr-Personen'!$A$5:$J$26"}</definedName>
    <definedName name="rrrrrrrrrr" localSheetId="20" hidden="1">{"'Verkehr-Personen'!$A$5:$J$26"}</definedName>
    <definedName name="rrrrrrrrrr" localSheetId="21" hidden="1">{"'Verkehr-Personen'!$A$5:$J$26"}</definedName>
    <definedName name="rrrrrrrrrr" hidden="1">{"'Verkehr-Personen'!$A$5:$J$26"}</definedName>
    <definedName name="saarlaender" localSheetId="20" hidden="1">{"'Verkehr-Personen'!$A$5:$J$26"}</definedName>
    <definedName name="saarlaender" localSheetId="21" hidden="1">{"'Verkehr-Personen'!$A$5:$J$26"}</definedName>
    <definedName name="saarlaender" hidden="1">{"'Verkehr-Personen'!$A$5:$J$26"}</definedName>
    <definedName name="sabine" localSheetId="20" hidden="1">{"'Verkehr-Personen'!$A$5:$J$26"}</definedName>
    <definedName name="sabine" localSheetId="21" hidden="1">{"'Verkehr-Personen'!$A$5:$J$26"}</definedName>
    <definedName name="sabine" hidden="1">{"'Verkehr-Personen'!$A$5:$J$26"}</definedName>
    <definedName name="sabinerin" localSheetId="20" hidden="1">{"'Verkehr-Personen'!$A$5:$J$26"}</definedName>
    <definedName name="sabinerin" localSheetId="21" hidden="1">{"'Verkehr-Personen'!$A$5:$J$26"}</definedName>
    <definedName name="sabinerin" hidden="1">{"'Verkehr-Personen'!$A$5:$J$26"}</definedName>
    <definedName name="saenger" localSheetId="20" hidden="1">{"'Verkehr-Personen'!$A$5:$J$26"}</definedName>
    <definedName name="saenger" localSheetId="21" hidden="1">{"'Verkehr-Personen'!$A$5:$J$26"}</definedName>
    <definedName name="saenger" hidden="1">{"'Verkehr-Personen'!$A$5:$J$26"}</definedName>
    <definedName name="saengerchen" localSheetId="20" hidden="1">{"'Verkehr-Personen'!$A$5:$J$26"}</definedName>
    <definedName name="saengerchen" localSheetId="21" hidden="1">{"'Verkehr-Personen'!$A$5:$J$26"}</definedName>
    <definedName name="saengerchen" hidden="1">{"'Verkehr-Personen'!$A$5:$J$26"}</definedName>
    <definedName name="saengerle" localSheetId="20" hidden="1">{"'Verkehr-Personen'!$A$5:$J$26"}</definedName>
    <definedName name="saengerle" localSheetId="21" hidden="1">{"'Verkehr-Personen'!$A$5:$J$26"}</definedName>
    <definedName name="saengerle" hidden="1">{"'Verkehr-Personen'!$A$5:$J$26"}</definedName>
    <definedName name="sakra" localSheetId="20" hidden="1">{"'Verkehr-Personen'!$A$5:$J$26"}</definedName>
    <definedName name="sakra" localSheetId="21" hidden="1">{"'Verkehr-Personen'!$A$5:$J$26"}</definedName>
    <definedName name="sakra" hidden="1">{"'Verkehr-Personen'!$A$5:$J$26"}</definedName>
    <definedName name="sas" localSheetId="20" hidden="1">{"'Verkehr-Personen'!$A$5:$J$26"}</definedName>
    <definedName name="sas" localSheetId="21" hidden="1">{"'Verkehr-Personen'!$A$5:$J$26"}</definedName>
    <definedName name="sas" hidden="1">{"'Verkehr-Personen'!$A$5:$J$26"}</definedName>
    <definedName name="satan" localSheetId="20" hidden="1">{"'Verkehr-Personen'!$A$5:$J$26"}</definedName>
    <definedName name="satan" localSheetId="21" hidden="1">{"'Verkehr-Personen'!$A$5:$J$26"}</definedName>
    <definedName name="satan" hidden="1">{"'Verkehr-Personen'!$A$5:$J$26"}</definedName>
    <definedName name="satansbrut" localSheetId="20" hidden="1">{"'Verkehr-Personen'!$A$5:$J$26"}</definedName>
    <definedName name="satansbrut" localSheetId="21" hidden="1">{"'Verkehr-Personen'!$A$5:$J$26"}</definedName>
    <definedName name="satansbrut" hidden="1">{"'Verkehr-Personen'!$A$5:$J$26"}</definedName>
    <definedName name="satansmensch" localSheetId="20" hidden="1">{"'Verkehr-Personen'!$A$5:$J$26"}</definedName>
    <definedName name="satansmensch" localSheetId="21" hidden="1">{"'Verkehr-Personen'!$A$5:$J$26"}</definedName>
    <definedName name="satansmensch" hidden="1">{"'Verkehr-Personen'!$A$5:$J$26"}</definedName>
    <definedName name="saubloed" localSheetId="20" hidden="1">{"'Verkehr-Personen'!$A$5:$J$26"}</definedName>
    <definedName name="saubloed" localSheetId="21" hidden="1">{"'Verkehr-Personen'!$A$5:$J$26"}</definedName>
    <definedName name="saubloed" hidden="1">{"'Verkehr-Personen'!$A$5:$J$26"}</definedName>
    <definedName name="sauerkrat" localSheetId="20" hidden="1">{"'Verkehr-Personen'!$A$5:$J$26"}</definedName>
    <definedName name="sauerkrat" localSheetId="21" hidden="1">{"'Verkehr-Personen'!$A$5:$J$26"}</definedName>
    <definedName name="sauerkrat" hidden="1">{"'Verkehr-Personen'!$A$5:$J$26"}</definedName>
    <definedName name="sauerkraut" localSheetId="20" hidden="1">{"'Verkehr-Personen'!$A$5:$J$26"}</definedName>
    <definedName name="sauerkraut" localSheetId="21" hidden="1">{"'Verkehr-Personen'!$A$5:$J$26"}</definedName>
    <definedName name="sauerkraut" hidden="1">{"'Verkehr-Personen'!$A$5:$J$26"}</definedName>
    <definedName name="schickeawald" localSheetId="20" hidden="1">{"'Verkehr-Personen'!$A$5:$J$26"}</definedName>
    <definedName name="schickeawald" localSheetId="21" hidden="1">{"'Verkehr-Personen'!$A$5:$J$26"}</definedName>
    <definedName name="schickeawald" hidden="1">{"'Verkehr-Personen'!$A$5:$J$26"}</definedName>
    <definedName name="schiller" localSheetId="20" hidden="1">{"'Verkehr-Personen'!$A$5:$J$26"}</definedName>
    <definedName name="schiller" localSheetId="21" hidden="1">{"'Verkehr-Personen'!$A$5:$J$26"}</definedName>
    <definedName name="schiller" hidden="1">{"'Verkehr-Personen'!$A$5:$J$26"}</definedName>
    <definedName name="schlingel" localSheetId="20" hidden="1">{"'Verkehr-Personen'!$A$5:$J$26"}</definedName>
    <definedName name="schlingel" localSheetId="21" hidden="1">{"'Verkehr-Personen'!$A$5:$J$26"}</definedName>
    <definedName name="schlingel" hidden="1">{"'Verkehr-Personen'!$A$5:$J$26"}</definedName>
    <definedName name="Schmidt" localSheetId="20" hidden="1">{"'Verkehr-Personen'!$A$5:$J$26"}</definedName>
    <definedName name="Schmidt" localSheetId="21" hidden="1">{"'Verkehr-Personen'!$A$5:$J$26"}</definedName>
    <definedName name="Schmidt" hidden="1">{"'Verkehr-Personen'!$A$5:$J$26"}</definedName>
    <definedName name="schnee" localSheetId="20" hidden="1">{"'Verkehr-Personen'!$A$5:$J$26"}</definedName>
    <definedName name="schnee" localSheetId="21" hidden="1">{"'Verkehr-Personen'!$A$5:$J$26"}</definedName>
    <definedName name="schnee" hidden="1">{"'Verkehr-Personen'!$A$5:$J$26"}</definedName>
    <definedName name="schneewittchen" localSheetId="20" hidden="1">{"'Verkehr-Personen'!$A$5:$J$26"}</definedName>
    <definedName name="schneewittchen" localSheetId="21" hidden="1">{"'Verkehr-Personen'!$A$5:$J$26"}</definedName>
    <definedName name="schneewittchen" hidden="1">{"'Verkehr-Personen'!$A$5:$J$26"}</definedName>
    <definedName name="schnuiuztre" localSheetId="20" hidden="1">{"'Verkehr-Personen'!$A$5:$J$26"}</definedName>
    <definedName name="schnuiuztre" localSheetId="21" hidden="1">{"'Verkehr-Personen'!$A$5:$J$26"}</definedName>
    <definedName name="schnuiuztre" hidden="1">{"'Verkehr-Personen'!$A$5:$J$26"}</definedName>
    <definedName name="schnupfen" localSheetId="20" hidden="1">{"'Verkehr-Personen'!$A$5:$J$26"}</definedName>
    <definedName name="schnupfen" localSheetId="21" hidden="1">{"'Verkehr-Personen'!$A$5:$J$26"}</definedName>
    <definedName name="schnupfen" hidden="1">{"'Verkehr-Personen'!$A$5:$J$26"}</definedName>
    <definedName name="schnurpit" localSheetId="20" hidden="1">{"'Verkehr-Personen'!$A$5:$J$26"}</definedName>
    <definedName name="schnurpit" localSheetId="21" hidden="1">{"'Verkehr-Personen'!$A$5:$J$26"}</definedName>
    <definedName name="schnurpit" hidden="1">{"'Verkehr-Personen'!$A$5:$J$26"}</definedName>
    <definedName name="Schott" localSheetId="20" hidden="1">{"'Verkehr-Personen'!$A$5:$J$26"}</definedName>
    <definedName name="Schott" localSheetId="21" hidden="1">{"'Verkehr-Personen'!$A$5:$J$26"}</definedName>
    <definedName name="Schott" hidden="1">{"'Verkehr-Personen'!$A$5:$J$26"}</definedName>
    <definedName name="schraenkle" localSheetId="20" hidden="1">{"'Verkehr-Personen'!$A$5:$J$26"}</definedName>
    <definedName name="schraenkle" localSheetId="21" hidden="1">{"'Verkehr-Personen'!$A$5:$J$26"}</definedName>
    <definedName name="schraenkle" hidden="1">{"'Verkehr-Personen'!$A$5:$J$26"}</definedName>
    <definedName name="schrauben" localSheetId="20" hidden="1">{"'Verkehr-Personen'!$A$5:$J$26"}</definedName>
    <definedName name="schrauben" localSheetId="21" hidden="1">{"'Verkehr-Personen'!$A$5:$J$26"}</definedName>
    <definedName name="schrauben" hidden="1">{"'Verkehr-Personen'!$A$5:$J$26"}</definedName>
    <definedName name="schreiberle" localSheetId="20" hidden="1">{"'Verkehr-Personen'!$A$5:$J$26"}</definedName>
    <definedName name="schreiberle" localSheetId="21" hidden="1">{"'Verkehr-Personen'!$A$5:$J$26"}</definedName>
    <definedName name="schreiberle" hidden="1">{"'Verkehr-Personen'!$A$5:$J$26"}</definedName>
    <definedName name="schutz" localSheetId="20" hidden="1">{"'Verkehr-Personen'!$A$5:$J$26"}</definedName>
    <definedName name="schutz" localSheetId="21" hidden="1">{"'Verkehr-Personen'!$A$5:$J$26"}</definedName>
    <definedName name="schutz" hidden="1">{"'Verkehr-Personen'!$A$5:$J$26"}</definedName>
    <definedName name="schwargle" localSheetId="20" hidden="1">{"'Verkehr-Personen'!$A$5:$J$26"}</definedName>
    <definedName name="schwargle" localSheetId="21" hidden="1">{"'Verkehr-Personen'!$A$5:$J$26"}</definedName>
    <definedName name="schwargle" hidden="1">{"'Verkehr-Personen'!$A$5:$J$26"}</definedName>
    <definedName name="schwartz" localSheetId="20" hidden="1">{"'Verkehr-Personen'!$A$5:$J$26"}</definedName>
    <definedName name="schwartz" localSheetId="21" hidden="1">{"'Verkehr-Personen'!$A$5:$J$26"}</definedName>
    <definedName name="schwartz" hidden="1">{"'Verkehr-Personen'!$A$5:$J$26"}</definedName>
    <definedName name="schwarz" localSheetId="20" hidden="1">{"'Verkehr-Personen'!$A$5:$J$26"}</definedName>
    <definedName name="schwarz" localSheetId="21" hidden="1">{"'Verkehr-Personen'!$A$5:$J$26"}</definedName>
    <definedName name="schwarz" hidden="1">{"'Verkehr-Personen'!$A$5:$J$26"}</definedName>
    <definedName name="schwarzblau" localSheetId="20" hidden="1">{"'Verkehr-Personen'!$A$5:$J$26"}</definedName>
    <definedName name="schwarzblau" localSheetId="21" hidden="1">{"'Verkehr-Personen'!$A$5:$J$26"}</definedName>
    <definedName name="schwarzblau" hidden="1">{"'Verkehr-Personen'!$A$5:$J$26"}</definedName>
    <definedName name="schwarzbraun" localSheetId="20" hidden="1">{"'Verkehr-Personen'!$A$5:$J$26"}</definedName>
    <definedName name="schwarzbraun" localSheetId="21" hidden="1">{"'Verkehr-Personen'!$A$5:$J$26"}</definedName>
    <definedName name="schwarzbraun" hidden="1">{"'Verkehr-Personen'!$A$5:$J$26"}</definedName>
    <definedName name="schwarzgelb" localSheetId="20" hidden="1">{"'Verkehr-Personen'!$A$5:$J$26"}</definedName>
    <definedName name="schwarzgelb" localSheetId="21" hidden="1">{"'Verkehr-Personen'!$A$5:$J$26"}</definedName>
    <definedName name="schwarzgelb" hidden="1">{"'Verkehr-Personen'!$A$5:$J$26"}</definedName>
    <definedName name="schwarzhaupt" localSheetId="20" hidden="1">{"'Verkehr-Personen'!$A$5:$J$26"}</definedName>
    <definedName name="schwarzhaupt" localSheetId="21" hidden="1">{"'Verkehr-Personen'!$A$5:$J$26"}</definedName>
    <definedName name="schwarzhaupt" hidden="1">{"'Verkehr-Personen'!$A$5:$J$26"}</definedName>
    <definedName name="schwarzrot" localSheetId="20" hidden="1">{"'Verkehr-Personen'!$A$5:$J$26"}</definedName>
    <definedName name="schwarzrot" localSheetId="21" hidden="1">{"'Verkehr-Personen'!$A$5:$J$26"}</definedName>
    <definedName name="schwarzrot" hidden="1">{"'Verkehr-Personen'!$A$5:$J$26"}</definedName>
    <definedName name="schwarzwald" localSheetId="20" hidden="1">{"'Verkehr-Personen'!$A$5:$J$26"}</definedName>
    <definedName name="schwarzwald" localSheetId="21" hidden="1">{"'Verkehr-Personen'!$A$5:$J$26"}</definedName>
    <definedName name="schwarzwald" hidden="1">{"'Verkehr-Personen'!$A$5:$J$26"}</definedName>
    <definedName name="schwarzweiss" localSheetId="20" hidden="1">{"'Verkehr-Personen'!$A$5:$J$26"}</definedName>
    <definedName name="schwarzweiss" localSheetId="21" hidden="1">{"'Verkehr-Personen'!$A$5:$J$26"}</definedName>
    <definedName name="schwarzweiss" hidden="1">{"'Verkehr-Personen'!$A$5:$J$26"}</definedName>
    <definedName name="schweeweisschen" localSheetId="20" hidden="1">{"'Verkehr-Personen'!$A$5:$J$26"}</definedName>
    <definedName name="schweeweisschen" localSheetId="21" hidden="1">{"'Verkehr-Personen'!$A$5:$J$26"}</definedName>
    <definedName name="schweeweisschen" hidden="1">{"'Verkehr-Personen'!$A$5:$J$26"}</definedName>
    <definedName name="schweinefusse" localSheetId="20" hidden="1">{"'Verkehr-Personen'!$A$5:$J$26"}</definedName>
    <definedName name="schweinefusse" localSheetId="21" hidden="1">{"'Verkehr-Personen'!$A$5:$J$26"}</definedName>
    <definedName name="schweinefusse" hidden="1">{"'Verkehr-Personen'!$A$5:$J$26"}</definedName>
    <definedName name="schweinfef" localSheetId="20" hidden="1">{"'Verkehr-Personen'!$A$5:$J$26"}</definedName>
    <definedName name="schweinfef" localSheetId="21" hidden="1">{"'Verkehr-Personen'!$A$5:$J$26"}</definedName>
    <definedName name="schweinfef" hidden="1">{"'Verkehr-Personen'!$A$5:$J$26"}</definedName>
    <definedName name="schweinfett" localSheetId="20" hidden="1">{"'Verkehr-Personen'!$A$5:$J$26"}</definedName>
    <definedName name="schweinfett" localSheetId="21" hidden="1">{"'Verkehr-Personen'!$A$5:$J$26"}</definedName>
    <definedName name="schweinfett" hidden="1">{"'Verkehr-Personen'!$A$5:$J$26"}</definedName>
    <definedName name="sdcsds" localSheetId="20" hidden="1">{"'Verkehr-Personen'!$A$5:$J$26"}</definedName>
    <definedName name="sdcsds" localSheetId="21" hidden="1">{"'Verkehr-Personen'!$A$5:$J$26"}</definedName>
    <definedName name="sdcsds" hidden="1">{"'Verkehr-Personen'!$A$5:$J$26"}</definedName>
    <definedName name="sdf" localSheetId="20" hidden="1">{"'Verkehr-Personen'!$A$5:$J$26"}</definedName>
    <definedName name="sdf" localSheetId="21" hidden="1">{"'Verkehr-Personen'!$A$5:$J$26"}</definedName>
    <definedName name="sdf" hidden="1">{"'Verkehr-Personen'!$A$5:$J$26"}</definedName>
    <definedName name="sdfdffds" localSheetId="20" hidden="1">{"'Verkehr-Personen'!$A$5:$J$26"}</definedName>
    <definedName name="sdfdffds" localSheetId="21" hidden="1">{"'Verkehr-Personen'!$A$5:$J$26"}</definedName>
    <definedName name="sdfdffds" hidden="1">{"'Verkehr-Personen'!$A$5:$J$26"}</definedName>
    <definedName name="sdfklx" localSheetId="20" hidden="1">{"'Verkehr-Personen'!$A$5:$J$26"}</definedName>
    <definedName name="sdfklx" localSheetId="21" hidden="1">{"'Verkehr-Personen'!$A$5:$J$26"}</definedName>
    <definedName name="sdfklx" hidden="1">{"'Verkehr-Personen'!$A$5:$J$26"}</definedName>
    <definedName name="sdfsd" localSheetId="20" hidden="1">{"'Verkehr-Personen'!$A$5:$J$26"}</definedName>
    <definedName name="sdfsd" localSheetId="21" hidden="1">{"'Verkehr-Personen'!$A$5:$J$26"}</definedName>
    <definedName name="sdfsd" hidden="1">{"'Verkehr-Personen'!$A$5:$J$26"}</definedName>
    <definedName name="sdfserdfgvc" localSheetId="20" hidden="1">{"'Verkehr-Personen'!$A$5:$J$26"}</definedName>
    <definedName name="sdfserdfgvc" localSheetId="21" hidden="1">{"'Verkehr-Personen'!$A$5:$J$26"}</definedName>
    <definedName name="sdfserdfgvc" hidden="1">{"'Verkehr-Personen'!$A$5:$J$26"}</definedName>
    <definedName name="sdfyklaseklö" localSheetId="20" hidden="1">{"'Verkehr-Personen'!$A$5:$J$26"}</definedName>
    <definedName name="sdfyklaseklö" localSheetId="21" hidden="1">{"'Verkehr-Personen'!$A$5:$J$26"}</definedName>
    <definedName name="sdfyklaseklö" hidden="1">{"'Verkehr-Personen'!$A$5:$J$26"}</definedName>
    <definedName name="sdk" localSheetId="20" hidden="1">{"'Verkehr-Personen'!$A$5:$J$26"}</definedName>
    <definedName name="sdk" localSheetId="21" hidden="1">{"'Verkehr-Personen'!$A$5:$J$26"}</definedName>
    <definedName name="sdk" hidden="1">{"'Verkehr-Personen'!$A$5:$J$26"}</definedName>
    <definedName name="sdres" localSheetId="20" hidden="1">{"'Verkehr-Personen'!$A$5:$J$26"}</definedName>
    <definedName name="sdres" localSheetId="21" hidden="1">{"'Verkehr-Personen'!$A$5:$J$26"}</definedName>
    <definedName name="sdres" hidden="1">{"'Verkehr-Personen'!$A$5:$J$26"}</definedName>
    <definedName name="sds" localSheetId="20" hidden="1">{"'Verkehr-Personen'!$A$5:$J$26"}</definedName>
    <definedName name="sds" localSheetId="21" hidden="1">{"'Verkehr-Personen'!$A$5:$J$26"}</definedName>
    <definedName name="sds" hidden="1">{"'Verkehr-Personen'!$A$5:$J$26"}</definedName>
    <definedName name="sdsddsfsdzurt" localSheetId="20" hidden="1">{"'Verkehr-Personen'!$A$5:$J$26"}</definedName>
    <definedName name="sdsddsfsdzurt" localSheetId="21" hidden="1">{"'Verkehr-Personen'!$A$5:$J$26"}</definedName>
    <definedName name="sdsddsfsdzurt" hidden="1">{"'Verkehr-Personen'!$A$5:$J$26"}</definedName>
    <definedName name="sdswes" localSheetId="20" hidden="1">{"'Verkehr-Personen'!$A$5:$J$26"}</definedName>
    <definedName name="sdswes" localSheetId="21" hidden="1">{"'Verkehr-Personen'!$A$5:$J$26"}</definedName>
    <definedName name="sdswes" hidden="1">{"'Verkehr-Personen'!$A$5:$J$26"}</definedName>
    <definedName name="sed" localSheetId="20" hidden="1">{"'Verkehr-Personen'!$A$5:$J$26"}</definedName>
    <definedName name="sed" localSheetId="21" hidden="1">{"'Verkehr-Personen'!$A$5:$J$26"}</definedName>
    <definedName name="sed" hidden="1">{"'Verkehr-Personen'!$A$5:$J$26"}</definedName>
    <definedName name="seinle" localSheetId="20" hidden="1">{"'Verkehr-Personen'!$A$5:$J$26"}</definedName>
    <definedName name="seinle" localSheetId="21" hidden="1">{"'Verkehr-Personen'!$A$5:$J$26"}</definedName>
    <definedName name="seinle" hidden="1">{"'Verkehr-Personen'!$A$5:$J$26"}</definedName>
    <definedName name="serae" localSheetId="20" hidden="1">{"'Verkehr-Personen'!$A$5:$J$26"}</definedName>
    <definedName name="serae" localSheetId="21" hidden="1">{"'Verkehr-Personen'!$A$5:$J$26"}</definedName>
    <definedName name="serae" hidden="1">{"'Verkehr-Personen'!$A$5:$J$26"}</definedName>
    <definedName name="sfd" localSheetId="20" hidden="1">{"'Verkehr-Personen'!$A$5:$J$26"}</definedName>
    <definedName name="sfd" localSheetId="21" hidden="1">{"'Verkehr-Personen'!$A$5:$J$26"}</definedName>
    <definedName name="sfd" hidden="1">{"'Verkehr-Personen'!$A$5:$J$26"}</definedName>
    <definedName name="shckoe" localSheetId="20" hidden="1">{"'Verkehr-Personen'!$A$5:$J$26"}</definedName>
    <definedName name="shckoe" localSheetId="21" hidden="1">{"'Verkehr-Personen'!$A$5:$J$26"}</definedName>
    <definedName name="shckoe" hidden="1">{"'Verkehr-Personen'!$A$5:$J$26"}</definedName>
    <definedName name="shutz" localSheetId="20" hidden="1">{"'Verkehr-Personen'!$A$5:$J$26"}</definedName>
    <definedName name="shutz" localSheetId="21" hidden="1">{"'Verkehr-Personen'!$A$5:$J$26"}</definedName>
    <definedName name="shutz" hidden="1">{"'Verkehr-Personen'!$A$5:$J$26"}</definedName>
    <definedName name="sidslls" localSheetId="20" hidden="1">{"'Verkehr-Personen'!$A$5:$J$26"}</definedName>
    <definedName name="sidslls" localSheetId="21" hidden="1">{"'Verkehr-Personen'!$A$5:$J$26"}</definedName>
    <definedName name="sidslls" hidden="1">{"'Verkehr-Personen'!$A$5:$J$26"}</definedName>
    <definedName name="simsenkrebsler" localSheetId="20" hidden="1">{"'Verkehr-Personen'!$A$5:$J$26"}</definedName>
    <definedName name="simsenkrebsler" localSheetId="21" hidden="1">{"'Verkehr-Personen'!$A$5:$J$26"}</definedName>
    <definedName name="simsenkrebsler" hidden="1">{"'Verkehr-Personen'!$A$5:$J$26"}</definedName>
    <definedName name="skajiiunbv" localSheetId="20" hidden="1">{"'Verkehr-Personen'!$A$5:$J$26"}</definedName>
    <definedName name="skajiiunbv" localSheetId="21" hidden="1">{"'Verkehr-Personen'!$A$5:$J$26"}</definedName>
    <definedName name="skajiiunbv" hidden="1">{"'Verkehr-Personen'!$A$5:$J$26"}</definedName>
    <definedName name="sklsiufysxcm" localSheetId="20" hidden="1">{"'Verkehr-Personen'!$A$5:$J$26"}</definedName>
    <definedName name="sklsiufysxcm" localSheetId="21" hidden="1">{"'Verkehr-Personen'!$A$5:$J$26"}</definedName>
    <definedName name="sklsiufysxcm" hidden="1">{"'Verkehr-Personen'!$A$5:$J$26"}</definedName>
    <definedName name="sks" localSheetId="20" hidden="1">{"'Verkehr-Personen'!$A$5:$J$26"}</definedName>
    <definedName name="sks" localSheetId="21" hidden="1">{"'Verkehr-Personen'!$A$5:$J$26"}</definedName>
    <definedName name="sks" hidden="1">{"'Verkehr-Personen'!$A$5:$J$26"}</definedName>
    <definedName name="skurnns" localSheetId="20" hidden="1">{"'Verkehr-Personen'!$A$5:$J$26"}</definedName>
    <definedName name="skurnns" localSheetId="21" hidden="1">{"'Verkehr-Personen'!$A$5:$J$26"}</definedName>
    <definedName name="skurnns" hidden="1">{"'Verkehr-Personen'!$A$5:$J$26"}</definedName>
    <definedName name="solver_adj" localSheetId="1" hidden="1">'Start - Ergebnisse'!$G$5:$O$5</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lhs1" localSheetId="1" hidden="1">'Start - Ergebnisse'!#REF!</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1</definedName>
    <definedName name="solver_nwt" localSheetId="1" hidden="1">1</definedName>
    <definedName name="solver_opt" localSheetId="1" hidden="1">'Start - Ergebnisse'!$O$5</definedName>
    <definedName name="solver_pre" localSheetId="1" hidden="1">0.000001</definedName>
    <definedName name="solver_rbv" localSheetId="1" hidden="1">1</definedName>
    <definedName name="solver_rel1" localSheetId="1" hidden="1">2</definedName>
    <definedName name="solver_rhs1" localSheetId="1" hidden="1">0</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0</definedName>
    <definedName name="solver_ver" localSheetId="1" hidden="1">3</definedName>
    <definedName name="sommer" localSheetId="20" hidden="1">{"'Verkehr-Personen'!$A$5:$J$26"}</definedName>
    <definedName name="sommer" localSheetId="21" hidden="1">{"'Verkehr-Personen'!$A$5:$J$26"}</definedName>
    <definedName name="sommer" hidden="1">{"'Verkehr-Personen'!$A$5:$J$26"}</definedName>
    <definedName name="Sonnenschein" localSheetId="20" hidden="1">{"'Verkehr-Personen'!$A$5:$J$26"}</definedName>
    <definedName name="Sonnenschein" localSheetId="21" hidden="1">{"'Verkehr-Personen'!$A$5:$J$26"}</definedName>
    <definedName name="Sonnenschein" hidden="1">{"'Verkehr-Personen'!$A$5:$J$26"}</definedName>
    <definedName name="spanien" localSheetId="20" hidden="1">{"'Verkehr-Personen'!$A$5:$J$26"}</definedName>
    <definedName name="spanien" localSheetId="21" hidden="1">{"'Verkehr-Personen'!$A$5:$J$26"}</definedName>
    <definedName name="spanien" hidden="1">{"'Verkehr-Personen'!$A$5:$J$26"}</definedName>
    <definedName name="sportlern" localSheetId="20" hidden="1">{"'Verkehr-Personen'!$A$5:$J$26"}</definedName>
    <definedName name="sportlern" localSheetId="21" hidden="1">{"'Verkehr-Personen'!$A$5:$J$26"}</definedName>
    <definedName name="sportlern" hidden="1">{"'Verkehr-Personen'!$A$5:$J$26"}</definedName>
    <definedName name="ss" localSheetId="20" hidden="1">{"'Verkehr-Personen'!$A$5:$J$26"}</definedName>
    <definedName name="ss" localSheetId="21" hidden="1">{"'Verkehr-Personen'!$A$5:$J$26"}</definedName>
    <definedName name="ss" hidden="1">{"'Verkehr-Personen'!$A$5:$J$26"}</definedName>
    <definedName name="sscheißdrechk" localSheetId="20" hidden="1">{"'Verkehr-Personen'!$A$5:$J$26"}</definedName>
    <definedName name="sscheißdrechk" localSheetId="21" hidden="1">{"'Verkehr-Personen'!$A$5:$J$26"}</definedName>
    <definedName name="sscheißdrechk" hidden="1">{"'Verkehr-Personen'!$A$5:$J$26"}</definedName>
    <definedName name="ssdss" localSheetId="20" hidden="1">{"'Verkehr-Personen'!$A$5:$J$26"}</definedName>
    <definedName name="ssdss" localSheetId="21" hidden="1">{"'Verkehr-Personen'!$A$5:$J$26"}</definedName>
    <definedName name="ssdss" hidden="1">{"'Verkehr-Personen'!$A$5:$J$26"}</definedName>
    <definedName name="sskdas" localSheetId="20" hidden="1">{"'Verkehr-Personen'!$A$5:$J$26"}</definedName>
    <definedName name="sskdas" localSheetId="21" hidden="1">{"'Verkehr-Personen'!$A$5:$J$26"}</definedName>
    <definedName name="sskdas" hidden="1">{"'Verkehr-Personen'!$A$5:$J$26"}</definedName>
    <definedName name="sss" localSheetId="20" hidden="1">{"'Verkehr-Personen'!$A$5:$J$26"}</definedName>
    <definedName name="sss" localSheetId="21" hidden="1">{"'Verkehr-Personen'!$A$5:$J$26"}</definedName>
    <definedName name="sss" hidden="1">{"'Verkehr-Personen'!$A$5:$J$26"}</definedName>
    <definedName name="ssss" localSheetId="20" hidden="1">{"'Verkehr-Personen'!$A$5:$J$26"}</definedName>
    <definedName name="ssss" localSheetId="21" hidden="1">{"'Verkehr-Personen'!$A$5:$J$26"}</definedName>
    <definedName name="ssss" hidden="1">{"'Verkehr-Personen'!$A$5:$J$26"}</definedName>
    <definedName name="sssss" localSheetId="20" hidden="1">{"'Verkehr-Personen'!$A$5:$J$26"}</definedName>
    <definedName name="sssss" localSheetId="21" hidden="1">{"'Verkehr-Personen'!$A$5:$J$26"}</definedName>
    <definedName name="sssss" hidden="1">{"'Verkehr-Personen'!$A$5:$J$26"}</definedName>
    <definedName name="ssssssssssssss" localSheetId="20" hidden="1">{"'Verkehr-Personen'!$A$5:$J$26"}</definedName>
    <definedName name="ssssssssssssss" localSheetId="21" hidden="1">{"'Verkehr-Personen'!$A$5:$J$26"}</definedName>
    <definedName name="ssssssssssssss" hidden="1">{"'Verkehr-Personen'!$A$5:$J$26"}</definedName>
    <definedName name="ssssssssssssssssssss" localSheetId="20" hidden="1">{"'Verkehr-Personen'!$A$5:$J$26"}</definedName>
    <definedName name="ssssssssssssssssssss" localSheetId="21" hidden="1">{"'Verkehr-Personen'!$A$5:$J$26"}</definedName>
    <definedName name="ssssssssssssssssssss" hidden="1">{"'Verkehr-Personen'!$A$5:$J$26"}</definedName>
    <definedName name="sssssssssssssssssssssssssssssssssss" localSheetId="20" hidden="1">{"'Verkehr-Personen'!$A$5:$J$26"}</definedName>
    <definedName name="sssssssssssssssssssssssssssssssssss" localSheetId="21" hidden="1">{"'Verkehr-Personen'!$A$5:$J$26"}</definedName>
    <definedName name="sssssssssssssssssssssssssssssssssss" hidden="1">{"'Verkehr-Personen'!$A$5:$J$26"}</definedName>
    <definedName name="stist" localSheetId="20" hidden="1">{"'Verkehr-Personen'!$A$5:$J$26"}</definedName>
    <definedName name="stist" localSheetId="21" hidden="1">{"'Verkehr-Personen'!$A$5:$J$26"}</definedName>
    <definedName name="stist" hidden="1">{"'Verkehr-Personen'!$A$5:$J$26"}</definedName>
    <definedName name="storbeck" localSheetId="20" hidden="1">{"'Verkehr-Personen'!$A$5:$J$26"}</definedName>
    <definedName name="storbeck" localSheetId="21" hidden="1">{"'Verkehr-Personen'!$A$5:$J$26"}</definedName>
    <definedName name="storbeck" hidden="1">{"'Verkehr-Personen'!$A$5:$J$26"}</definedName>
    <definedName name="strotbeck" localSheetId="20" hidden="1">{"'Verkehr-Personen'!$A$5:$J$26"}</definedName>
    <definedName name="strotbeck" localSheetId="21" hidden="1">{"'Verkehr-Personen'!$A$5:$J$26"}</definedName>
    <definedName name="strotbeck" hidden="1">{"'Verkehr-Personen'!$A$5:$J$26"}</definedName>
    <definedName name="strotbekck" localSheetId="20" hidden="1">{"'Verkehr-Personen'!$A$5:$J$26"}</definedName>
    <definedName name="strotbekck" localSheetId="21" hidden="1">{"'Verkehr-Personen'!$A$5:$J$26"}</definedName>
    <definedName name="strotbekck" hidden="1">{"'Verkehr-Personen'!$A$5:$J$26"}</definedName>
    <definedName name="stuehle" localSheetId="20" hidden="1">{"'Verkehr-Personen'!$A$5:$J$26"}</definedName>
    <definedName name="stuehle" localSheetId="21" hidden="1">{"'Verkehr-Personen'!$A$5:$J$26"}</definedName>
    <definedName name="stuehle" hidden="1">{"'Verkehr-Personen'!$A$5:$J$26"}</definedName>
    <definedName name="stufenle" localSheetId="20" hidden="1">{"'Verkehr-Personen'!$A$5:$J$26"}</definedName>
    <definedName name="stufenle" localSheetId="21" hidden="1">{"'Verkehr-Personen'!$A$5:$J$26"}</definedName>
    <definedName name="stufenle" hidden="1">{"'Verkehr-Personen'!$A$5:$J$26"}</definedName>
    <definedName name="suableidis" localSheetId="20" hidden="1">{"'Verkehr-Personen'!$A$5:$J$26"}</definedName>
    <definedName name="suableidis" localSheetId="21" hidden="1">{"'Verkehr-Personen'!$A$5:$J$26"}</definedName>
    <definedName name="suableidis" hidden="1">{"'Verkehr-Personen'!$A$5:$J$26"}</definedName>
    <definedName name="SubKrit_Bereich1">[5]Tool!$O$9</definedName>
    <definedName name="SubKrit_Bereich2">[5]Tool!$O$10</definedName>
    <definedName name="SubKrit_Bereich3">[5]Tool!$O$11</definedName>
    <definedName name="SubKrit_Bereich4">[5]Tool!$O$12</definedName>
    <definedName name="suerbleod" localSheetId="20" hidden="1">{"'Verkehr-Personen'!$A$5:$J$26"}</definedName>
    <definedName name="suerbleod" localSheetId="21" hidden="1">{"'Verkehr-Personen'!$A$5:$J$26"}</definedName>
    <definedName name="suerbleod" hidden="1">{"'Verkehr-Personen'!$A$5:$J$26"}</definedName>
    <definedName name="sx" localSheetId="20" hidden="1">{"'Verkehr-Personen'!$A$5:$J$26"}</definedName>
    <definedName name="sx" localSheetId="21" hidden="1">{"'Verkehr-Personen'!$A$5:$J$26"}</definedName>
    <definedName name="sx" hidden="1">{"'Verkehr-Personen'!$A$5:$J$26"}</definedName>
    <definedName name="sxc" localSheetId="20" hidden="1">{"'Verkehr-Personen'!$A$5:$J$26"}</definedName>
    <definedName name="sxc" localSheetId="21" hidden="1">{"'Verkehr-Personen'!$A$5:$J$26"}</definedName>
    <definedName name="sxc" hidden="1">{"'Verkehr-Personen'!$A$5:$J$26"}</definedName>
    <definedName name="syd" localSheetId="20" hidden="1">{"'Verkehr-Personen'!$A$5:$J$26"}</definedName>
    <definedName name="syd" localSheetId="21" hidden="1">{"'Verkehr-Personen'!$A$5:$J$26"}</definedName>
    <definedName name="syd" hidden="1">{"'Verkehr-Personen'!$A$5:$J$26"}</definedName>
    <definedName name="syxc" localSheetId="20" hidden="1">{"'Verkehr-Personen'!$A$5:$J$26"}</definedName>
    <definedName name="syxc" localSheetId="21" hidden="1">{"'Verkehr-Personen'!$A$5:$J$26"}</definedName>
    <definedName name="syxc" hidden="1">{"'Verkehr-Personen'!$A$5:$J$26"}</definedName>
    <definedName name="t" localSheetId="20" hidden="1">{"'Verkehr-Personen'!$A$5:$J$26"}</definedName>
    <definedName name="t" localSheetId="21" hidden="1">{"'Verkehr-Personen'!$A$5:$J$26"}</definedName>
    <definedName name="t" hidden="1">{"'Verkehr-Personen'!$A$5:$J$26"}</definedName>
    <definedName name="taet" localSheetId="20" hidden="1">{"'Verkehr-Personen'!$A$5:$J$26"}</definedName>
    <definedName name="taet" localSheetId="21" hidden="1">{"'Verkehr-Personen'!$A$5:$J$26"}</definedName>
    <definedName name="taet" hidden="1">{"'Verkehr-Personen'!$A$5:$J$26"}</definedName>
    <definedName name="tagungle" localSheetId="20" hidden="1">{"'Verkehr-Personen'!$A$5:$J$26"}</definedName>
    <definedName name="tagungle" localSheetId="21" hidden="1">{"'Verkehr-Personen'!$A$5:$J$26"}</definedName>
    <definedName name="tagungle" hidden="1">{"'Verkehr-Personen'!$A$5:$J$26"}</definedName>
    <definedName name="tastele" localSheetId="20" hidden="1">{"'Verkehr-Personen'!$A$5:$J$26"}</definedName>
    <definedName name="tastele" localSheetId="21" hidden="1">{"'Verkehr-Personen'!$A$5:$J$26"}</definedName>
    <definedName name="tastele" hidden="1">{"'Verkehr-Personen'!$A$5:$J$26"}</definedName>
    <definedName name="tat" localSheetId="20" hidden="1">{"'Verkehr-Personen'!$A$5:$J$26"}</definedName>
    <definedName name="tat" localSheetId="21" hidden="1">{"'Verkehr-Personen'!$A$5:$J$26"}</definedName>
    <definedName name="tat" hidden="1">{"'Verkehr-Personen'!$A$5:$J$26"}</definedName>
    <definedName name="tatsachlichvoll" localSheetId="20" hidden="1">{"'Verkehr-Personen'!$A$5:$J$26"}</definedName>
    <definedName name="tatsachlichvoll" localSheetId="21" hidden="1">{"'Verkehr-Personen'!$A$5:$J$26"}</definedName>
    <definedName name="tatsachlichvoll" hidden="1">{"'Verkehr-Personen'!$A$5:$J$26"}</definedName>
    <definedName name="tatsachlichvollundmehr" localSheetId="20" hidden="1">{"'Verkehr-Personen'!$A$5:$J$26"}</definedName>
    <definedName name="tatsachlichvollundmehr" localSheetId="21" hidden="1">{"'Verkehr-Personen'!$A$5:$J$26"}</definedName>
    <definedName name="tatsachlichvollundmehr" hidden="1">{"'Verkehr-Personen'!$A$5:$J$26"}</definedName>
    <definedName name="tatsaechlich" localSheetId="20" hidden="1">{"'Verkehr-Personen'!$A$5:$J$26"}</definedName>
    <definedName name="tatsaechlich" localSheetId="21" hidden="1">{"'Verkehr-Personen'!$A$5:$J$26"}</definedName>
    <definedName name="tatsaechlich" hidden="1">{"'Verkehr-Personen'!$A$5:$J$26"}</definedName>
    <definedName name="tausendle" localSheetId="20" hidden="1">{"'Verkehr-Personen'!$A$5:$J$26"}</definedName>
    <definedName name="tausendle" localSheetId="21" hidden="1">{"'Verkehr-Personen'!$A$5:$J$26"}</definedName>
    <definedName name="tausendle" hidden="1">{"'Verkehr-Personen'!$A$5:$J$26"}</definedName>
    <definedName name="teien" localSheetId="20" hidden="1">{"'Verkehr-Personen'!$A$5:$J$26"}</definedName>
    <definedName name="teien" localSheetId="21" hidden="1">{"'Verkehr-Personen'!$A$5:$J$26"}</definedName>
    <definedName name="teien" hidden="1">{"'Verkehr-Personen'!$A$5:$J$26"}</definedName>
    <definedName name="telefonbuch" localSheetId="20" hidden="1">{"'Verkehr-Personen'!$A$5:$J$26"}</definedName>
    <definedName name="telefonbuch" localSheetId="21" hidden="1">{"'Verkehr-Personen'!$A$5:$J$26"}</definedName>
    <definedName name="telefonbuch" hidden="1">{"'Verkehr-Personen'!$A$5:$J$26"}</definedName>
    <definedName name="teppich" localSheetId="20" hidden="1">{"'Verkehr-Personen'!$A$5:$J$26"}</definedName>
    <definedName name="teppich" localSheetId="21" hidden="1">{"'Verkehr-Personen'!$A$5:$J$26"}</definedName>
    <definedName name="teppich" hidden="1">{"'Verkehr-Personen'!$A$5:$J$26"}</definedName>
    <definedName name="teppichle" localSheetId="20" hidden="1">{"'Verkehr-Personen'!$A$5:$J$26"}</definedName>
    <definedName name="teppichle" localSheetId="21" hidden="1">{"'Verkehr-Personen'!$A$5:$J$26"}</definedName>
    <definedName name="teppichle" hidden="1">{"'Verkehr-Personen'!$A$5:$J$26"}</definedName>
    <definedName name="test" localSheetId="20" hidden="1">{"BadenWürtemberg",#N/A,FALSE,"Baden-Würtemberg"}</definedName>
    <definedName name="test" localSheetId="21" hidden="1">{"BadenWürtemberg",#N/A,FALSE,"Baden-Würtemberg"}</definedName>
    <definedName name="test" hidden="1">{"BadenWürtemberg",#N/A,FALSE,"Baden-Würtemberg"}</definedName>
    <definedName name="teufel" localSheetId="20" hidden="1">{"'Verkehr-Personen'!$A$5:$J$26"}</definedName>
    <definedName name="teufel" localSheetId="21" hidden="1">{"'Verkehr-Personen'!$A$5:$J$26"}</definedName>
    <definedName name="teufel" hidden="1">{"'Verkehr-Personen'!$A$5:$J$26"}</definedName>
    <definedName name="teufelin" localSheetId="20" hidden="1">{"'Verkehr-Personen'!$A$5:$J$26"}</definedName>
    <definedName name="teufelin" localSheetId="21" hidden="1">{"'Verkehr-Personen'!$A$5:$J$26"}</definedName>
    <definedName name="teufelin" hidden="1">{"'Verkehr-Personen'!$A$5:$J$26"}</definedName>
    <definedName name="teufelinn" localSheetId="20" hidden="1">{"'Verkehr-Personen'!$A$5:$J$26"}</definedName>
    <definedName name="teufelinn" localSheetId="21" hidden="1">{"'Verkehr-Personen'!$A$5:$J$26"}</definedName>
    <definedName name="teufelinn" hidden="1">{"'Verkehr-Personen'!$A$5:$J$26"}</definedName>
    <definedName name="teufellllnnnne" localSheetId="20" hidden="1">{"'Verkehr-Personen'!$A$5:$J$26"}</definedName>
    <definedName name="teufellllnnnne" localSheetId="21" hidden="1">{"'Verkehr-Personen'!$A$5:$J$26"}</definedName>
    <definedName name="teufellllnnnne" hidden="1">{"'Verkehr-Personen'!$A$5:$J$26"}</definedName>
    <definedName name="tfg" localSheetId="20" hidden="1">{"'Verkehr-Personen'!$A$5:$J$26"}</definedName>
    <definedName name="tfg" localSheetId="21" hidden="1">{"'Verkehr-Personen'!$A$5:$J$26"}</definedName>
    <definedName name="tfg" hidden="1">{"'Verkehr-Personen'!$A$5:$J$26"}</definedName>
    <definedName name="thamenn" localSheetId="20" hidden="1">{"'Verkehr-Personen'!$A$5:$J$26"}</definedName>
    <definedName name="thamenn" localSheetId="21" hidden="1">{"'Verkehr-Personen'!$A$5:$J$26"}</definedName>
    <definedName name="thamenn" hidden="1">{"'Verkehr-Personen'!$A$5:$J$26"}</definedName>
    <definedName name="theaterle" localSheetId="20" hidden="1">{"'Verkehr-Personen'!$A$5:$J$26"}</definedName>
    <definedName name="theaterle" localSheetId="21" hidden="1">{"'Verkehr-Personen'!$A$5:$J$26"}</definedName>
    <definedName name="theaterle" hidden="1">{"'Verkehr-Personen'!$A$5:$J$26"}</definedName>
    <definedName name="tischle" localSheetId="20" hidden="1">{"'Verkehr-Personen'!$A$5:$J$26"}</definedName>
    <definedName name="tischle" localSheetId="21" hidden="1">{"'Verkehr-Personen'!$A$5:$J$26"}</definedName>
    <definedName name="tischle" hidden="1">{"'Verkehr-Personen'!$A$5:$J$26"}</definedName>
    <definedName name="Titel_de">#REF!</definedName>
    <definedName name="Titel_en">#REF!</definedName>
    <definedName name="toni" localSheetId="20" hidden="1">{"'Verkehr-Personen'!$A$5:$J$26"}</definedName>
    <definedName name="toni" localSheetId="21" hidden="1">{"'Verkehr-Personen'!$A$5:$J$26"}</definedName>
    <definedName name="toni" hidden="1">{"'Verkehr-Personen'!$A$5:$J$26"}</definedName>
    <definedName name="tothlll" localSheetId="20" hidden="1">{"'Verkehr-Personen'!$A$5:$J$26"}</definedName>
    <definedName name="tothlll" localSheetId="21" hidden="1">{"'Verkehr-Personen'!$A$5:$J$26"}</definedName>
    <definedName name="tothlll" hidden="1">{"'Verkehr-Personen'!$A$5:$J$26"}</definedName>
    <definedName name="trepple" localSheetId="20" hidden="1">{"'Verkehr-Personen'!$A$5:$J$26"}</definedName>
    <definedName name="trepple" localSheetId="21" hidden="1">{"'Verkehr-Personen'!$A$5:$J$26"}</definedName>
    <definedName name="trepple" hidden="1">{"'Verkehr-Personen'!$A$5:$J$26"}</definedName>
    <definedName name="trgf" localSheetId="20" hidden="1">{"'Verkehr-Personen'!$A$5:$J$26"}</definedName>
    <definedName name="trgf" localSheetId="21" hidden="1">{"'Verkehr-Personen'!$A$5:$J$26"}</definedName>
    <definedName name="trgf" hidden="1">{"'Verkehr-Personen'!$A$5:$J$26"}</definedName>
    <definedName name="ttttiiip" localSheetId="20" hidden="1">{"'Verkehr-Personen'!$A$5:$J$26"}</definedName>
    <definedName name="ttttiiip" localSheetId="21" hidden="1">{"'Verkehr-Personen'!$A$5:$J$26"}</definedName>
    <definedName name="ttttiiip" hidden="1">{"'Verkehr-Personen'!$A$5:$J$26"}</definedName>
    <definedName name="ttttttt" localSheetId="20" hidden="1">{"'Verkehr-Personen'!$A$5:$J$26"}</definedName>
    <definedName name="ttttttt" localSheetId="21" hidden="1">{"'Verkehr-Personen'!$A$5:$J$26"}</definedName>
    <definedName name="ttttttt" hidden="1">{"'Verkehr-Personen'!$A$5:$J$26"}</definedName>
    <definedName name="Tuerik" localSheetId="20" hidden="1">{"'Verkehr-Personen'!$A$5:$J$26"}</definedName>
    <definedName name="Tuerik" localSheetId="21" hidden="1">{"'Verkehr-Personen'!$A$5:$J$26"}</definedName>
    <definedName name="Tuerik" hidden="1">{"'Verkehr-Personen'!$A$5:$J$26"}</definedName>
    <definedName name="tuermle" localSheetId="20" hidden="1">{"'Verkehr-Personen'!$A$5:$J$26"}</definedName>
    <definedName name="tuermle" localSheetId="21" hidden="1">{"'Verkehr-Personen'!$A$5:$J$26"}</definedName>
    <definedName name="tuermle" hidden="1">{"'Verkehr-Personen'!$A$5:$J$26"}</definedName>
    <definedName name="tuete" localSheetId="20" hidden="1">{"'Verkehr-Personen'!$A$5:$J$26"}</definedName>
    <definedName name="tuete" localSheetId="21" hidden="1">{"'Verkehr-Personen'!$A$5:$J$26"}</definedName>
    <definedName name="tuete" hidden="1">{"'Verkehr-Personen'!$A$5:$J$26"}</definedName>
    <definedName name="tuetle" localSheetId="20" hidden="1">{"'Verkehr-Personen'!$A$5:$J$26"}</definedName>
    <definedName name="tuetle" localSheetId="21" hidden="1">{"'Verkehr-Personen'!$A$5:$J$26"}</definedName>
    <definedName name="tuetle" hidden="1">{"'Verkehr-Personen'!$A$5:$J$26"}</definedName>
    <definedName name="turnen" localSheetId="20" hidden="1">{"'Verkehr-Personen'!$A$5:$J$26"}</definedName>
    <definedName name="turnen" localSheetId="21" hidden="1">{"'Verkehr-Personen'!$A$5:$J$26"}</definedName>
    <definedName name="turnen" hidden="1">{"'Verkehr-Personen'!$A$5:$J$26"}</definedName>
    <definedName name="turnhalle" localSheetId="20" hidden="1">{"'Verkehr-Personen'!$A$5:$J$26"}</definedName>
    <definedName name="turnhalle" localSheetId="21" hidden="1">{"'Verkehr-Personen'!$A$5:$J$26"}</definedName>
    <definedName name="turnhalle" hidden="1">{"'Verkehr-Personen'!$A$5:$J$26"}</definedName>
    <definedName name="tzgfhvb" localSheetId="20" hidden="1">{"'Verkehr-Personen'!$A$5:$J$26"}</definedName>
    <definedName name="tzgfhvb" localSheetId="21" hidden="1">{"'Verkehr-Personen'!$A$5:$J$26"}</definedName>
    <definedName name="tzgfhvb" hidden="1">{"'Verkehr-Personen'!$A$5:$J$26"}</definedName>
    <definedName name="Udo" localSheetId="20" hidden="1">{"'Verkehr-Personen'!$A$5:$J$26"}</definedName>
    <definedName name="Udo" localSheetId="21" hidden="1">{"'Verkehr-Personen'!$A$5:$J$26"}</definedName>
    <definedName name="Udo" hidden="1">{"'Verkehr-Personen'!$A$5:$J$26"}</definedName>
    <definedName name="Uebel" localSheetId="20" hidden="1">{"'Verkehr-Personen'!$A$5:$J$26"}</definedName>
    <definedName name="Uebel" localSheetId="21" hidden="1">{"'Verkehr-Personen'!$A$5:$J$26"}</definedName>
    <definedName name="Uebel" hidden="1">{"'Verkehr-Personen'!$A$5:$J$26"}</definedName>
    <definedName name="uehrle" localSheetId="20" hidden="1">{"'Verkehr-Personen'!$A$5:$J$26"}</definedName>
    <definedName name="uehrle" localSheetId="21" hidden="1">{"'Verkehr-Personen'!$A$5:$J$26"}</definedName>
    <definedName name="uehrle" hidden="1">{"'Verkehr-Personen'!$A$5:$J$26"}</definedName>
    <definedName name="uhlbach" localSheetId="20" hidden="1">{"'Verkehr-Personen'!$A$5:$J$26"}</definedName>
    <definedName name="uhlbach" localSheetId="21" hidden="1">{"'Verkehr-Personen'!$A$5:$J$26"}</definedName>
    <definedName name="uhlbach" hidden="1">{"'Verkehr-Personen'!$A$5:$J$26"}</definedName>
    <definedName name="uhlbachdhddhdi" localSheetId="20" hidden="1">{"'Verkehr-Personen'!$A$5:$J$26"}</definedName>
    <definedName name="uhlbachdhddhdi" localSheetId="21" hidden="1">{"'Verkehr-Personen'!$A$5:$J$26"}</definedName>
    <definedName name="uhlbachdhddhdi" hidden="1">{"'Verkehr-Personen'!$A$5:$J$26"}</definedName>
    <definedName name="Umlagebetrag" localSheetId="20">[2]BesAR!$Q$17</definedName>
    <definedName name="Umlagebetrag">#REF!</definedName>
    <definedName name="uni" localSheetId="20" hidden="1">{"'Verkehr-Personen'!$A$5:$J$26"}</definedName>
    <definedName name="uni" localSheetId="21" hidden="1">{"'Verkehr-Personen'!$A$5:$J$26"}</definedName>
    <definedName name="uni" hidden="1">{"'Verkehr-Personen'!$A$5:$J$26"}</definedName>
    <definedName name="univer" localSheetId="20" hidden="1">{"'Verkehr-Personen'!$A$5:$J$26"}</definedName>
    <definedName name="univer" localSheetId="21" hidden="1">{"'Verkehr-Personen'!$A$5:$J$26"}</definedName>
    <definedName name="univer" hidden="1">{"'Verkehr-Personen'!$A$5:$J$26"}</definedName>
    <definedName name="universit" localSheetId="20" hidden="1">{"'Verkehr-Personen'!$A$5:$J$26"}</definedName>
    <definedName name="universit" localSheetId="21" hidden="1">{"'Verkehr-Personen'!$A$5:$J$26"}</definedName>
    <definedName name="universit" hidden="1">{"'Verkehr-Personen'!$A$5:$J$26"}</definedName>
    <definedName name="üoüi" localSheetId="20" hidden="1">{"'Verkehr-Personen'!$A$5:$J$26"}</definedName>
    <definedName name="üoüi" localSheetId="21" hidden="1">{"'Verkehr-Personen'!$A$5:$J$26"}</definedName>
    <definedName name="üoüi" hidden="1">{"'Verkehr-Personen'!$A$5:$J$26"}</definedName>
    <definedName name="urhrel" localSheetId="20" hidden="1">{"'Verkehr-Personen'!$A$5:$J$26"}</definedName>
    <definedName name="urhrel" localSheetId="21" hidden="1">{"'Verkehr-Personen'!$A$5:$J$26"}</definedName>
    <definedName name="urhrel" hidden="1">{"'Verkehr-Personen'!$A$5:$J$26"}</definedName>
    <definedName name="ute" localSheetId="20" hidden="1">{"'Verkehr-Personen'!$A$5:$J$26"}</definedName>
    <definedName name="ute" localSheetId="21" hidden="1">{"'Verkehr-Personen'!$A$5:$J$26"}</definedName>
    <definedName name="ute" hidden="1">{"'Verkehr-Personen'!$A$5:$J$26"}</definedName>
    <definedName name="utennn" localSheetId="20" hidden="1">{"'Verkehr-Personen'!$A$5:$J$26"}</definedName>
    <definedName name="utennn" localSheetId="21" hidden="1">{"'Verkehr-Personen'!$A$5:$J$26"}</definedName>
    <definedName name="utennn" hidden="1">{"'Verkehr-Personen'!$A$5:$J$26"}</definedName>
    <definedName name="uuu" localSheetId="20" hidden="1">{"'Verkehr-Personen'!$A$5:$J$26"}</definedName>
    <definedName name="uuu" localSheetId="21" hidden="1">{"'Verkehr-Personen'!$A$5:$J$26"}</definedName>
    <definedName name="uuu" hidden="1">{"'Verkehr-Personen'!$A$5:$J$26"}</definedName>
    <definedName name="Uwe" localSheetId="20" hidden="1">{"'Verkehr-Personen'!$A$5:$J$26"}</definedName>
    <definedName name="Uwe" localSheetId="21" hidden="1">{"'Verkehr-Personen'!$A$5:$J$26"}</definedName>
    <definedName name="Uwe" hidden="1">{"'Verkehr-Personen'!$A$5:$J$26"}</definedName>
    <definedName name="v" localSheetId="20" hidden="1">{"'Verkehr-Personen'!$A$5:$J$26"}</definedName>
    <definedName name="v" localSheetId="21" hidden="1">{"'Verkehr-Personen'!$A$5:$J$26"}</definedName>
    <definedName name="v" hidden="1">{"'Verkehr-Personen'!$A$5:$J$26"}</definedName>
    <definedName name="vaihingen" localSheetId="20" hidden="1">{"'Verkehr-Personen'!$A$5:$J$26"}</definedName>
    <definedName name="vaihingen" localSheetId="21" hidden="1">{"'Verkehr-Personen'!$A$5:$J$26"}</definedName>
    <definedName name="vaihingen" hidden="1">{"'Verkehr-Personen'!$A$5:$J$26"}</definedName>
    <definedName name="verbessern" localSheetId="20" hidden="1">{"'Verkehr-Personen'!$A$5:$J$26"}</definedName>
    <definedName name="verbessern" localSheetId="21" hidden="1">{"'Verkehr-Personen'!$A$5:$J$26"}</definedName>
    <definedName name="verbessern" hidden="1">{"'Verkehr-Personen'!$A$5:$J$26"}</definedName>
    <definedName name="verbesserndkdkdk" localSheetId="20" hidden="1">{"'Verkehr-Personen'!$A$5:$J$26"}</definedName>
    <definedName name="verbesserndkdkdk" localSheetId="21" hidden="1">{"'Verkehr-Personen'!$A$5:$J$26"}</definedName>
    <definedName name="verbesserndkdkdk" hidden="1">{"'Verkehr-Personen'!$A$5:$J$26"}</definedName>
    <definedName name="verflixt" localSheetId="20" hidden="1">{"'Verkehr-Personen'!$A$5:$J$26"}</definedName>
    <definedName name="verflixt" localSheetId="21" hidden="1">{"'Verkehr-Personen'!$A$5:$J$26"}</definedName>
    <definedName name="verflixt" hidden="1">{"'Verkehr-Personen'!$A$5:$J$26"}</definedName>
    <definedName name="Verkehr2" localSheetId="20" hidden="1">{"'Verkehr-Personen'!$A$5:$J$26"}</definedName>
    <definedName name="Verkehr2" localSheetId="21" hidden="1">{"'Verkehr-Personen'!$A$5:$J$26"}</definedName>
    <definedName name="Verkehr2" hidden="1">{"'Verkehr-Personen'!$A$5:$J$26"}</definedName>
    <definedName name="VerkehrPkwKlassen" localSheetId="20" hidden="1">{"'Verkehr-Personen'!$A$5:$J$26"}</definedName>
    <definedName name="VerkehrPkwKlassen" localSheetId="21" hidden="1">{"'Verkehr-Personen'!$A$5:$J$26"}</definedName>
    <definedName name="VerkehrPkwKlassen" hidden="1">{"'Verkehr-Personen'!$A$5:$J$26"}</definedName>
    <definedName name="verkehrt" localSheetId="20" hidden="1">{"'Verkehr-Personen'!$A$5:$J$26"}</definedName>
    <definedName name="verkehrt" localSheetId="21" hidden="1">{"'Verkehr-Personen'!$A$5:$J$26"}</definedName>
    <definedName name="verkehrt" hidden="1">{"'Verkehr-Personen'!$A$5:$J$26"}</definedName>
    <definedName name="verschlechternm" localSheetId="20" hidden="1">{"'Verkehr-Personen'!$A$5:$J$26"}</definedName>
    <definedName name="verschlechternm" localSheetId="21" hidden="1">{"'Verkehr-Personen'!$A$5:$J$26"}</definedName>
    <definedName name="verschlechternm" hidden="1">{"'Verkehr-Personen'!$A$5:$J$26"}</definedName>
    <definedName name="vertauschen" localSheetId="20" hidden="1">{"'Verkehr-Personen'!$A$5:$J$26"}</definedName>
    <definedName name="vertauschen" localSheetId="21" hidden="1">{"'Verkehr-Personen'!$A$5:$J$26"}</definedName>
    <definedName name="vertauschen" hidden="1">{"'Verkehr-Personen'!$A$5:$J$26"}</definedName>
    <definedName name="vertzaopssss" localSheetId="20" hidden="1">{"'Verkehr-Personen'!$A$5:$J$26"}</definedName>
    <definedName name="vertzaopssss" localSheetId="21" hidden="1">{"'Verkehr-Personen'!$A$5:$J$26"}</definedName>
    <definedName name="vertzaopssss" hidden="1">{"'Verkehr-Personen'!$A$5:$J$26"}</definedName>
    <definedName name="vg" localSheetId="20" hidden="1">{"'Verkehr-Personen'!$A$5:$J$26"}</definedName>
    <definedName name="vg" localSheetId="21" hidden="1">{"'Verkehr-Personen'!$A$5:$J$26"}</definedName>
    <definedName name="vg" hidden="1">{"'Verkehr-Personen'!$A$5:$J$26"}</definedName>
    <definedName name="vielfach" localSheetId="20" hidden="1">{"'Verkehr-Personen'!$A$5:$J$26"}</definedName>
    <definedName name="vielfach" localSheetId="21" hidden="1">{"'Verkehr-Personen'!$A$5:$J$26"}</definedName>
    <definedName name="vielfach" hidden="1">{"'Verkehr-Personen'!$A$5:$J$26"}</definedName>
    <definedName name="vielleut" localSheetId="20" hidden="1">{"'Verkehr-Personen'!$A$5:$J$26"}</definedName>
    <definedName name="vielleut" localSheetId="21" hidden="1">{"'Verkehr-Personen'!$A$5:$J$26"}</definedName>
    <definedName name="vielleut" hidden="1">{"'Verkehr-Personen'!$A$5:$J$26"}</definedName>
    <definedName name="viertele" localSheetId="20" hidden="1">{"'Verkehr-Personen'!$A$5:$J$26"}</definedName>
    <definedName name="viertele" localSheetId="21" hidden="1">{"'Verkehr-Personen'!$A$5:$J$26"}</definedName>
    <definedName name="viertele" hidden="1">{"'Verkehr-Personen'!$A$5:$J$26"}</definedName>
    <definedName name="voegle" localSheetId="20" hidden="1">{"'Verkehr-Personen'!$A$5:$J$26"}</definedName>
    <definedName name="voegle" localSheetId="21" hidden="1">{"'Verkehr-Personen'!$A$5:$J$26"}</definedName>
    <definedName name="voegle" hidden="1">{"'Verkehr-Personen'!$A$5:$J$26"}</definedName>
    <definedName name="volkswagen" localSheetId="20" hidden="1">{"'Verkehr-Personen'!$A$5:$J$26"}</definedName>
    <definedName name="volkswagen" localSheetId="21" hidden="1">{"'Verkehr-Personen'!$A$5:$J$26"}</definedName>
    <definedName name="volkswagen" hidden="1">{"'Verkehr-Personen'!$A$5:$J$26"}</definedName>
    <definedName name="von" localSheetId="20" hidden="1">{"'Verkehr-Personen'!$A$5:$J$26"}</definedName>
    <definedName name="von" localSheetId="21" hidden="1">{"'Verkehr-Personen'!$A$5:$J$26"}</definedName>
    <definedName name="von" hidden="1">{"'Verkehr-Personen'!$A$5:$J$26"}</definedName>
    <definedName name="vvvvvvvvvvvvvvvvvvvvvvvvvvv" localSheetId="20" hidden="1">{"'Verkehr-Personen'!$A$5:$J$26"}</definedName>
    <definedName name="vvvvvvvvvvvvvvvvvvvvvvvvvvv" localSheetId="21" hidden="1">{"'Verkehr-Personen'!$A$5:$J$26"}</definedName>
    <definedName name="vvvvvvvvvvvvvvvvvvvvvvvvvvv" hidden="1">{"'Verkehr-Personen'!$A$5:$J$26"}</definedName>
    <definedName name="vw" localSheetId="20" hidden="1">{"'Verkehr-Personen'!$A$5:$J$26"}</definedName>
    <definedName name="vw" localSheetId="21" hidden="1">{"'Verkehr-Personen'!$A$5:$J$26"}</definedName>
    <definedName name="vw" hidden="1">{"'Verkehr-Personen'!$A$5:$J$26"}</definedName>
    <definedName name="w2es" localSheetId="20" hidden="1">{"'Verkehr-Personen'!$A$5:$J$26"}</definedName>
    <definedName name="w2es" localSheetId="21" hidden="1">{"'Verkehr-Personen'!$A$5:$J$26"}</definedName>
    <definedName name="w2es" hidden="1">{"'Verkehr-Personen'!$A$5:$J$26"}</definedName>
    <definedName name="w3tesgf" localSheetId="20" hidden="1">{"'Verkehr-Personen'!$A$5:$J$26"}</definedName>
    <definedName name="w3tesgf" localSheetId="21" hidden="1">{"'Verkehr-Personen'!$A$5:$J$26"}</definedName>
    <definedName name="w3tesgf" hidden="1">{"'Verkehr-Personen'!$A$5:$J$26"}</definedName>
    <definedName name="wandern" localSheetId="20" hidden="1">{"'Verkehr-Personen'!$A$5:$J$26"}</definedName>
    <definedName name="wandern" localSheetId="21" hidden="1">{"'Verkehr-Personen'!$A$5:$J$26"}</definedName>
    <definedName name="wandern" hidden="1">{"'Verkehr-Personen'!$A$5:$J$26"}</definedName>
    <definedName name="wasserhaehnle" localSheetId="20" hidden="1">{"'Verkehr-Personen'!$A$5:$J$26"}</definedName>
    <definedName name="wasserhaehnle" localSheetId="21" hidden="1">{"'Verkehr-Personen'!$A$5:$J$26"}</definedName>
    <definedName name="wasserhaehnle" hidden="1">{"'Verkehr-Personen'!$A$5:$J$26"}</definedName>
    <definedName name="wasx" localSheetId="20" hidden="1">{"'Verkehr-Personen'!$A$5:$J$26"}</definedName>
    <definedName name="wasx" localSheetId="21" hidden="1">{"'Verkehr-Personen'!$A$5:$J$26"}</definedName>
    <definedName name="wasx" hidden="1">{"'Verkehr-Personen'!$A$5:$J$26"}</definedName>
    <definedName name="wau" localSheetId="20" hidden="1">{"'Verkehr-Personen'!$A$5:$J$26"}</definedName>
    <definedName name="wau" localSheetId="21" hidden="1">{"'Verkehr-Personen'!$A$5:$J$26"}</definedName>
    <definedName name="wau" hidden="1">{"'Verkehr-Personen'!$A$5:$J$26"}</definedName>
    <definedName name="wauwau" localSheetId="20" hidden="1">{"'Verkehr-Personen'!$A$5:$J$26"}</definedName>
    <definedName name="wauwau" localSheetId="21" hidden="1">{"'Verkehr-Personen'!$A$5:$J$26"}</definedName>
    <definedName name="wauwau" hidden="1">{"'Verkehr-Personen'!$A$5:$J$26"}</definedName>
    <definedName name="wauwi" localSheetId="20" hidden="1">{"'Verkehr-Personen'!$A$5:$J$26"}</definedName>
    <definedName name="wauwi" localSheetId="21" hidden="1">{"'Verkehr-Personen'!$A$5:$J$26"}</definedName>
    <definedName name="wauwi" hidden="1">{"'Verkehr-Personen'!$A$5:$J$26"}</definedName>
    <definedName name="wauwilein" localSheetId="20" hidden="1">{"'Verkehr-Personen'!$A$5:$J$26"}</definedName>
    <definedName name="wauwilein" localSheetId="21" hidden="1">{"'Verkehr-Personen'!$A$5:$J$26"}</definedName>
    <definedName name="wauwilein" hidden="1">{"'Verkehr-Personen'!$A$5:$J$26"}</definedName>
    <definedName name="wberle" localSheetId="20" hidden="1">{"'Verkehr-Personen'!$A$5:$J$26"}</definedName>
    <definedName name="wberle" localSheetId="21" hidden="1">{"'Verkehr-Personen'!$A$5:$J$26"}</definedName>
    <definedName name="wberle" hidden="1">{"'Verkehr-Personen'!$A$5:$J$26"}</definedName>
    <definedName name="weaw" localSheetId="20" hidden="1">{"'Verkehr-Personen'!$A$5:$J$26"}</definedName>
    <definedName name="weaw" localSheetId="21" hidden="1">{"'Verkehr-Personen'!$A$5:$J$26"}</definedName>
    <definedName name="weaw" hidden="1">{"'Verkehr-Personen'!$A$5:$J$26"}</definedName>
    <definedName name="weber" localSheetId="20" hidden="1">{"'Verkehr-Personen'!$A$5:$J$26"}</definedName>
    <definedName name="weber" localSheetId="21" hidden="1">{"'Verkehr-Personen'!$A$5:$J$26"}</definedName>
    <definedName name="weber" hidden="1">{"'Verkehr-Personen'!$A$5:$J$26"}</definedName>
    <definedName name="weberlein" localSheetId="20" hidden="1">{"'Verkehr-Personen'!$A$5:$J$26"}</definedName>
    <definedName name="weberlein" localSheetId="21" hidden="1">{"'Verkehr-Personen'!$A$5:$J$26"}</definedName>
    <definedName name="weberlein" hidden="1">{"'Verkehr-Personen'!$A$5:$J$26"}</definedName>
    <definedName name="wegwerfen" localSheetId="20" hidden="1">{"'Verkehr-Personen'!$A$5:$J$26"}</definedName>
    <definedName name="wegwerfen" localSheetId="21" hidden="1">{"'Verkehr-Personen'!$A$5:$J$26"}</definedName>
    <definedName name="wegwerfen" hidden="1">{"'Verkehr-Personen'!$A$5:$J$26"}</definedName>
    <definedName name="wegwerfenbald" localSheetId="20" hidden="1">{"'Verkehr-Personen'!$A$5:$J$26"}</definedName>
    <definedName name="wegwerfenbald" localSheetId="21" hidden="1">{"'Verkehr-Personen'!$A$5:$J$26"}</definedName>
    <definedName name="wegwerfenbald" hidden="1">{"'Verkehr-Personen'!$A$5:$J$26"}</definedName>
    <definedName name="wein" localSheetId="20" hidden="1">{"'Verkehr-Personen'!$A$5:$J$26"}</definedName>
    <definedName name="wein" localSheetId="21" hidden="1">{"'Verkehr-Personen'!$A$5:$J$26"}</definedName>
    <definedName name="wein" hidden="1">{"'Verkehr-Personen'!$A$5:$J$26"}</definedName>
    <definedName name="weingarten" localSheetId="20" hidden="1">{"'Verkehr-Personen'!$A$5:$J$26"}</definedName>
    <definedName name="weingarten" localSheetId="21" hidden="1">{"'Verkehr-Personen'!$A$5:$J$26"}</definedName>
    <definedName name="weingarten" hidden="1">{"'Verkehr-Personen'!$A$5:$J$26"}</definedName>
    <definedName name="weipgelb" localSheetId="20" hidden="1">{"'Verkehr-Personen'!$A$5:$J$26"}</definedName>
    <definedName name="weipgelb" localSheetId="21" hidden="1">{"'Verkehr-Personen'!$A$5:$J$26"}</definedName>
    <definedName name="weipgelb" hidden="1">{"'Verkehr-Personen'!$A$5:$J$26"}</definedName>
    <definedName name="weissgelb" localSheetId="20" hidden="1">{"'Verkehr-Personen'!$A$5:$J$26"}</definedName>
    <definedName name="weissgelb" localSheetId="21" hidden="1">{"'Verkehr-Personen'!$A$5:$J$26"}</definedName>
    <definedName name="weissgelb" hidden="1">{"'Verkehr-Personen'!$A$5:$J$26"}</definedName>
    <definedName name="werfel" localSheetId="20" hidden="1">{"'Verkehr-Personen'!$A$5:$J$26"}</definedName>
    <definedName name="werfel" localSheetId="21" hidden="1">{"'Verkehr-Personen'!$A$5:$J$26"}</definedName>
    <definedName name="werfel" hidden="1">{"'Verkehr-Personen'!$A$5:$J$26"}</definedName>
    <definedName name="westdx" localSheetId="20" hidden="1">{"'Verkehr-Personen'!$A$5:$J$26"}</definedName>
    <definedName name="westdx" localSheetId="21" hidden="1">{"'Verkehr-Personen'!$A$5:$J$26"}</definedName>
    <definedName name="westdx" hidden="1">{"'Verkehr-Personen'!$A$5:$J$26"}</definedName>
    <definedName name="wetfdv" localSheetId="20" hidden="1">{"'Verkehr-Personen'!$A$5:$J$26"}</definedName>
    <definedName name="wetfdv" localSheetId="21" hidden="1">{"'Verkehr-Personen'!$A$5:$J$26"}</definedName>
    <definedName name="wetfdv" hidden="1">{"'Verkehr-Personen'!$A$5:$J$26"}</definedName>
    <definedName name="wetwetfsd" localSheetId="20" hidden="1">{"'Verkehr-Personen'!$A$5:$J$26"}</definedName>
    <definedName name="wetwetfsd" localSheetId="21" hidden="1">{"'Verkehr-Personen'!$A$5:$J$26"}</definedName>
    <definedName name="wetwetfsd" hidden="1">{"'Verkehr-Personen'!$A$5:$J$26"}</definedName>
    <definedName name="whwisns" localSheetId="20" hidden="1">{"'Verkehr-Personen'!$A$5:$J$26"}</definedName>
    <definedName name="whwisns" localSheetId="21" hidden="1">{"'Verkehr-Personen'!$A$5:$J$26"}</definedName>
    <definedName name="whwisns" hidden="1">{"'Verkehr-Personen'!$A$5:$J$26"}</definedName>
    <definedName name="wiegehts" localSheetId="20" hidden="1">{"'Verkehr-Personen'!$A$5:$J$26"}</definedName>
    <definedName name="wiegehts" localSheetId="21" hidden="1">{"'Verkehr-Personen'!$A$5:$J$26"}</definedName>
    <definedName name="wiegehts" hidden="1">{"'Verkehr-Personen'!$A$5:$J$26"}</definedName>
    <definedName name="wiessgrune" localSheetId="20" hidden="1">{"'Verkehr-Personen'!$A$5:$J$26"}</definedName>
    <definedName name="wiessgrune" localSheetId="21" hidden="1">{"'Verkehr-Personen'!$A$5:$J$26"}</definedName>
    <definedName name="wiessgrune" hidden="1">{"'Verkehr-Personen'!$A$5:$J$26"}</definedName>
    <definedName name="wildschwein" localSheetId="20" hidden="1">{"'Verkehr-Personen'!$A$5:$J$26"}</definedName>
    <definedName name="wildschwein" localSheetId="21" hidden="1">{"'Verkehr-Personen'!$A$5:$J$26"}</definedName>
    <definedName name="wildschwein" hidden="1">{"'Verkehr-Personen'!$A$5:$J$26"}</definedName>
    <definedName name="wilhelm" localSheetId="20" hidden="1">{"'Verkehr-Personen'!$A$5:$J$26"}</definedName>
    <definedName name="wilhelm" localSheetId="21" hidden="1">{"'Verkehr-Personen'!$A$5:$J$26"}</definedName>
    <definedName name="wilhelm" hidden="1">{"'Verkehr-Personen'!$A$5:$J$26"}</definedName>
    <definedName name="winter" localSheetId="20" hidden="1">{"'Verkehr-Personen'!$A$5:$J$26"}</definedName>
    <definedName name="winter" localSheetId="21" hidden="1">{"'Verkehr-Personen'!$A$5:$J$26"}</definedName>
    <definedName name="winter" hidden="1">{"'Verkehr-Personen'!$A$5:$J$26"}</definedName>
    <definedName name="wirklich" localSheetId="20" hidden="1">{"'Verkehr-Personen'!$A$5:$J$26"}</definedName>
    <definedName name="wirklich" localSheetId="21" hidden="1">{"'Verkehr-Personen'!$A$5:$J$26"}</definedName>
    <definedName name="wirklich" hidden="1">{"'Verkehr-Personen'!$A$5:$J$26"}</definedName>
    <definedName name="wirklichvoll" localSheetId="20" hidden="1">{"'Verkehr-Personen'!$A$5:$J$26"}</definedName>
    <definedName name="wirklichvoll" localSheetId="21" hidden="1">{"'Verkehr-Personen'!$A$5:$J$26"}</definedName>
    <definedName name="wirklichvoll" hidden="1">{"'Verkehr-Personen'!$A$5:$J$26"}</definedName>
    <definedName name="wohenenenenen" localSheetId="20" hidden="1">{"'Verkehr-Personen'!$A$5:$J$26"}</definedName>
    <definedName name="wohenenenenen" localSheetId="21" hidden="1">{"'Verkehr-Personen'!$A$5:$J$26"}</definedName>
    <definedName name="wohenenenenen" hidden="1">{"'Verkehr-Personen'!$A$5:$J$26"}</definedName>
    <definedName name="woihsjlxc" localSheetId="20" hidden="1">{"'Verkehr-Personen'!$A$5:$J$26"}</definedName>
    <definedName name="woihsjlxc" localSheetId="21" hidden="1">{"'Verkehr-Personen'!$A$5:$J$26"}</definedName>
    <definedName name="woihsjlxc" hidden="1">{"'Verkehr-Personen'!$A$5:$J$26"}</definedName>
    <definedName name="wolfgang" localSheetId="20" hidden="1">{"'Verkehr-Personen'!$A$5:$J$26"}</definedName>
    <definedName name="wolfgang" localSheetId="21" hidden="1">{"'Verkehr-Personen'!$A$5:$J$26"}</definedName>
    <definedName name="wolfgang" hidden="1">{"'Verkehr-Personen'!$A$5:$J$26"}</definedName>
    <definedName name="wpdl" localSheetId="20" hidden="1">{"'Verkehr-Personen'!$A$5:$J$26"}</definedName>
    <definedName name="wpdl" localSheetId="21" hidden="1">{"'Verkehr-Personen'!$A$5:$J$26"}</definedName>
    <definedName name="wpdl" hidden="1">{"'Verkehr-Personen'!$A$5:$J$26"}</definedName>
    <definedName name="wrn.BadenWürtemberg." localSheetId="20" hidden="1">{"BadenWürtemberg",#N/A,FALSE,"Baden-Würtemberg"}</definedName>
    <definedName name="wrn.BadenWürtemberg." localSheetId="21" hidden="1">{"BadenWürtemberg",#N/A,FALSE,"Baden-Würtemberg"}</definedName>
    <definedName name="wrn.BadenWürtemberg." hidden="1">{"BadenWürtemberg",#N/A,FALSE,"Baden-Würtemberg"}</definedName>
    <definedName name="wrn.Bayern." localSheetId="20" hidden="1">{#N/A,#N/A,FALSE,"Bayern"}</definedName>
    <definedName name="wrn.Bayern." localSheetId="21" hidden="1">{#N/A,#N/A,FALSE,"Bayern"}</definedName>
    <definedName name="wrn.Bayern." hidden="1">{#N/A,#N/A,FALSE,"Bayern"}</definedName>
    <definedName name="wrn.Berlin." localSheetId="20" hidden="1">{#N/A,#N/A,FALSE,"Berlin"}</definedName>
    <definedName name="wrn.Berlin." localSheetId="21" hidden="1">{#N/A,#N/A,FALSE,"Berlin"}</definedName>
    <definedName name="wrn.Berlin." hidden="1">{#N/A,#N/A,FALSE,"Berlin"}</definedName>
    <definedName name="wrn.Brandenburg." localSheetId="20" hidden="1">{#N/A,#N/A,FALSE,"Brandenburg"}</definedName>
    <definedName name="wrn.Brandenburg." localSheetId="21" hidden="1">{#N/A,#N/A,FALSE,"Brandenburg"}</definedName>
    <definedName name="wrn.Brandenburg." hidden="1">{#N/A,#N/A,FALSE,"Brandenburg"}</definedName>
    <definedName name="wrn.Bremen." localSheetId="20" hidden="1">{#N/A,#N/A,FALSE,"Bremen"}</definedName>
    <definedName name="wrn.Bremen." localSheetId="21" hidden="1">{#N/A,#N/A,FALSE,"Bremen"}</definedName>
    <definedName name="wrn.Bremen." hidden="1">{#N/A,#N/A,FALSE,"Bremen"}</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Hamburg." localSheetId="20" hidden="1">{#N/A,#N/A,FALSE,"Hamburg"}</definedName>
    <definedName name="wrn.Hamburg." localSheetId="21" hidden="1">{#N/A,#N/A,FALSE,"Hamburg"}</definedName>
    <definedName name="wrn.Hamburg." hidden="1">{#N/A,#N/A,FALSE,"Hamburg"}</definedName>
    <definedName name="wrn.Hessen." localSheetId="20" hidden="1">{#N/A,#N/A,FALSE,"Hessen"}</definedName>
    <definedName name="wrn.Hessen." localSheetId="21" hidden="1">{#N/A,#N/A,FALSE,"Hessen"}</definedName>
    <definedName name="wrn.Hessen." hidden="1">{#N/A,#N/A,FALSE,"Hessen"}</definedName>
    <definedName name="wrn.MecklenburgVorpommern." localSheetId="20" hidden="1">{#N/A,#N/A,FALSE,"Mecklenburg-Vorpommern"}</definedName>
    <definedName name="wrn.MecklenburgVorpommern." localSheetId="21" hidden="1">{#N/A,#N/A,FALSE,"Mecklenburg-Vorpommern"}</definedName>
    <definedName name="wrn.MecklenburgVorpommern." hidden="1">{#N/A,#N/A,FALSE,"Mecklenburg-Vorpommern"}</definedName>
    <definedName name="wrn.nach._.Förderung." localSheetId="20" hidden="1">{"nach Förderung",#N/A,FALSE,"Länder Gesamt"}</definedName>
    <definedName name="wrn.nach._.Förderung." localSheetId="21" hidden="1">{"nach Förderung",#N/A,FALSE,"Länder Gesamt"}</definedName>
    <definedName name="wrn.nach._.Förderung." hidden="1">{"nach Förderung",#N/A,FALSE,"Länder Gesamt"}</definedName>
    <definedName name="wrn.nach._.Ländern." localSheetId="20" hidden="1">{"nach Ländern",#N/A,FALSE,"Länder Gesamt"}</definedName>
    <definedName name="wrn.nach._.Ländern." localSheetId="21" hidden="1">{"nach Ländern",#N/A,FALSE,"Länder Gesamt"}</definedName>
    <definedName name="wrn.nach._.Ländern." hidden="1">{"nach Ländern",#N/A,FALSE,"Länder Gesamt"}</definedName>
    <definedName name="wrn.Niedersachsen." localSheetId="20" hidden="1">{#N/A,#N/A,FALSE,"Niedersachsen"}</definedName>
    <definedName name="wrn.Niedersachsen." localSheetId="21" hidden="1">{#N/A,#N/A,FALSE,"Niedersachsen"}</definedName>
    <definedName name="wrn.Niedersachsen." hidden="1">{#N/A,#N/A,FALSE,"Niedersachsen"}</definedName>
    <definedName name="wrn.NordrheinWestfalen." localSheetId="20" hidden="1">{#N/A,#N/A,FALSE,"Nordrhein-Westfalen"}</definedName>
    <definedName name="wrn.NordrheinWestfalen." localSheetId="21" hidden="1">{#N/A,#N/A,FALSE,"Nordrhein-Westfalen"}</definedName>
    <definedName name="wrn.NordrheinWestfalen." hidden="1">{#N/A,#N/A,FALSE,"Nordrhein-Westfalen"}</definedName>
    <definedName name="wrn.RheinlandPfalz." localSheetId="20" hidden="1">{#N/A,#N/A,FALSE,"Rheinland-Pfalz"}</definedName>
    <definedName name="wrn.RheinlandPfalz." localSheetId="21" hidden="1">{#N/A,#N/A,FALSE,"Rheinland-Pfalz"}</definedName>
    <definedName name="wrn.RheinlandPfalz." hidden="1">{#N/A,#N/A,FALSE,"Rheinland-Pfalz"}</definedName>
    <definedName name="wrn.Saarland." localSheetId="20" hidden="1">{#N/A,#N/A,FALSE,"Saarland"}</definedName>
    <definedName name="wrn.Saarland." localSheetId="21" hidden="1">{#N/A,#N/A,FALSE,"Saarland"}</definedName>
    <definedName name="wrn.Saarland." hidden="1">{#N/A,#N/A,FALSE,"Saarland"}</definedName>
    <definedName name="wrn.Sachsen." localSheetId="20" hidden="1">{#N/A,#N/A,FALSE,"Sachsen"}</definedName>
    <definedName name="wrn.Sachsen." localSheetId="21" hidden="1">{#N/A,#N/A,FALSE,"Sachsen"}</definedName>
    <definedName name="wrn.Sachsen." hidden="1">{#N/A,#N/A,FALSE,"Sachsen"}</definedName>
    <definedName name="wrn.SachsenAnhalt." localSheetId="20" hidden="1">{"SachsenAnhalt",#N/A,FALSE,"Sachsen-Anhalt"}</definedName>
    <definedName name="wrn.SachsenAnhalt." localSheetId="21" hidden="1">{"SachsenAnhalt",#N/A,FALSE,"Sachsen-Anhalt"}</definedName>
    <definedName name="wrn.SachsenAnhalt." hidden="1">{"SachsenAnhalt",#N/A,FALSE,"Sachsen-Anhalt"}</definedName>
    <definedName name="wrn.SchleswigHolstein." localSheetId="20" hidden="1">{"SchleswigHolstein",#N/A,FALSE,"Schleswig-Holstein"}</definedName>
    <definedName name="wrn.SchleswigHolstein." localSheetId="21" hidden="1">{"SchleswigHolstein",#N/A,FALSE,"Schleswig-Holstein"}</definedName>
    <definedName name="wrn.SchleswigHolstein." hidden="1">{"SchleswigHolstein",#N/A,FALSE,"Schleswig-Holstein"}</definedName>
    <definedName name="wrn.Thüringen." localSheetId="20" hidden="1">{"Thüringen",#N/A,FALSE,"Thüringen"}</definedName>
    <definedName name="wrn.Thüringen." localSheetId="21" hidden="1">{"Thüringen",#N/A,FALSE,"Thüringen"}</definedName>
    <definedName name="wrn.Thüringen." hidden="1">{"Thüringen",#N/A,FALSE,"Thüringen"}</definedName>
    <definedName name="WRSHD" localSheetId="20" hidden="1">{"'Verkehr-Personen'!$A$5:$J$26"}</definedName>
    <definedName name="WRSHD" localSheetId="21" hidden="1">{"'Verkehr-Personen'!$A$5:$J$26"}</definedName>
    <definedName name="WRSHD" hidden="1">{"'Verkehr-Personen'!$A$5:$J$26"}</definedName>
    <definedName name="wsydg" localSheetId="20" hidden="1">{"'Verkehr-Personen'!$A$5:$J$26"}</definedName>
    <definedName name="wsydg" localSheetId="21" hidden="1">{"'Verkehr-Personen'!$A$5:$J$26"}</definedName>
    <definedName name="wsydg" hidden="1">{"'Verkehr-Personen'!$A$5:$J$26"}</definedName>
    <definedName name="wuert" localSheetId="20" hidden="1">{"'Verkehr-Personen'!$A$5:$J$26"}</definedName>
    <definedName name="wuert" localSheetId="21" hidden="1">{"'Verkehr-Personen'!$A$5:$J$26"}</definedName>
    <definedName name="wuert" hidden="1">{"'Verkehr-Personen'!$A$5:$J$26"}</definedName>
    <definedName name="wuertt" localSheetId="20" hidden="1">{"'Verkehr-Personen'!$A$5:$J$26"}</definedName>
    <definedName name="wuertt" localSheetId="21" hidden="1">{"'Verkehr-Personen'!$A$5:$J$26"}</definedName>
    <definedName name="wuertt" hidden="1">{"'Verkehr-Personen'!$A$5:$J$26"}</definedName>
    <definedName name="wuetericht" localSheetId="20" hidden="1">{"'Verkehr-Personen'!$A$5:$J$26"}</definedName>
    <definedName name="wuetericht" localSheetId="21" hidden="1">{"'Verkehr-Personen'!$A$5:$J$26"}</definedName>
    <definedName name="wuetericht" hidden="1">{"'Verkehr-Personen'!$A$5:$J$26"}</definedName>
    <definedName name="ww" localSheetId="20" hidden="1">{"'Verkehr-Personen'!$A$5:$J$26"}</definedName>
    <definedName name="ww" localSheetId="21" hidden="1">{"'Verkehr-Personen'!$A$5:$J$26"}</definedName>
    <definedName name="ww" hidden="1">{"'Verkehr-Personen'!$A$5:$J$26"}</definedName>
    <definedName name="wwes" localSheetId="20" hidden="1">{"'Verkehr-Personen'!$A$5:$J$26"}</definedName>
    <definedName name="wwes" localSheetId="21" hidden="1">{"'Verkehr-Personen'!$A$5:$J$26"}</definedName>
    <definedName name="wwes" hidden="1">{"'Verkehr-Personen'!$A$5:$J$26"}</definedName>
    <definedName name="xxx"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xxxxxxxxxxxxxxxx" localSheetId="20" hidden="1">{"'Verkehr-Personen'!$A$5:$J$26"}</definedName>
    <definedName name="xxxxxxxxxxxxxxxxxxx" localSheetId="21" hidden="1">{"'Verkehr-Personen'!$A$5:$J$26"}</definedName>
    <definedName name="xxxxxxxxxxxxxxxxxxx" hidden="1">{"'Verkehr-Personen'!$A$5:$J$26"}</definedName>
    <definedName name="ysdfserdf" localSheetId="20" hidden="1">{"'Verkehr-Personen'!$A$5:$J$26"}</definedName>
    <definedName name="ysdfserdf" localSheetId="21" hidden="1">{"'Verkehr-Personen'!$A$5:$J$26"}</definedName>
    <definedName name="ysdfserdf" hidden="1">{"'Verkehr-Personen'!$A$5:$J$26"}</definedName>
    <definedName name="zeitungle" localSheetId="20" hidden="1">{"'Verkehr-Personen'!$A$5:$J$26"}</definedName>
    <definedName name="zeitungle" localSheetId="21" hidden="1">{"'Verkehr-Personen'!$A$5:$J$26"}</definedName>
    <definedName name="zeitungle" hidden="1">{"'Verkehr-Personen'!$A$5:$J$26"}</definedName>
    <definedName name="zentele" localSheetId="20" hidden="1">{"'Verkehr-Personen'!$A$5:$J$26"}</definedName>
    <definedName name="zentele" localSheetId="21" hidden="1">{"'Verkehr-Personen'!$A$5:$J$26"}</definedName>
    <definedName name="zentele" hidden="1">{"'Verkehr-Personen'!$A$5:$J$26"}</definedName>
    <definedName name="zggh" localSheetId="20" hidden="1">{"'Verkehr-Personen'!$A$5:$J$26"}</definedName>
    <definedName name="zggh" localSheetId="21" hidden="1">{"'Verkehr-Personen'!$A$5:$J$26"}</definedName>
    <definedName name="zggh" hidden="1">{"'Verkehr-Personen'!$A$5:$J$26"}</definedName>
    <definedName name="zghudrtdg" localSheetId="20" hidden="1">{"'Verkehr-Personen'!$A$5:$J$26"}</definedName>
    <definedName name="zghudrtdg" localSheetId="21" hidden="1">{"'Verkehr-Personen'!$A$5:$J$26"}</definedName>
    <definedName name="zghudrtdg" hidden="1">{"'Verkehr-Personen'!$A$5:$J$26"}</definedName>
    <definedName name="ztfgvc" localSheetId="20" hidden="1">{"'Verkehr-Personen'!$A$5:$J$26"}</definedName>
    <definedName name="ztfgvc" localSheetId="21" hidden="1">{"'Verkehr-Personen'!$A$5:$J$26"}</definedName>
    <definedName name="ztfgvc" hidden="1">{"'Verkehr-Personen'!$A$5:$J$26"}</definedName>
    <definedName name="zuegle" localSheetId="20" hidden="1">{"'Verkehr-Personen'!$A$5:$J$26"}</definedName>
    <definedName name="zuegle" localSheetId="21" hidden="1">{"'Verkehr-Personen'!$A$5:$J$26"}</definedName>
    <definedName name="zuegle" hidden="1">{"'Verkehr-Personen'!$A$5:$J$26"}</definedName>
    <definedName name="zug" localSheetId="20" hidden="1">{"'Verkehr-Personen'!$A$5:$J$26"}</definedName>
    <definedName name="zug" localSheetId="21" hidden="1">{"'Verkehr-Personen'!$A$5:$J$26"}</definedName>
    <definedName name="zug" hidden="1">{"'Verkehr-Personen'!$A$5:$J$26"}</definedName>
    <definedName name="zugenaeth" localSheetId="20" hidden="1">{"'Verkehr-Personen'!$A$5:$J$26"}</definedName>
    <definedName name="zugenaeth" localSheetId="21" hidden="1">{"'Verkehr-Personen'!$A$5:$J$26"}</definedName>
    <definedName name="zugenaeth" hidden="1">{"'Verkehr-Personen'!$A$5:$J$26"}</definedName>
    <definedName name="Zum" localSheetId="20" hidden="1">{"'Verkehr-Personen'!$A$5:$J$26"}</definedName>
    <definedName name="Zum" localSheetId="21" hidden="1">{"'Verkehr-Personen'!$A$5:$J$26"}</definedName>
    <definedName name="Zum" hidden="1">{"'Verkehr-Personen'!$A$5:$J$26"}</definedName>
    <definedName name="ZUZU" localSheetId="20" hidden="1">{"'Verkehr-Personen'!$A$5:$J$26"}</definedName>
    <definedName name="ZUZU" localSheetId="21" hidden="1">{"'Verkehr-Personen'!$A$5:$J$26"}</definedName>
    <definedName name="ZUZU" hidden="1">{"'Verkehr-Personen'!$A$5:$J$26"}</definedName>
    <definedName name="zuzuzu" localSheetId="20" hidden="1">{"'Verkehr-Personen'!$A$5:$J$26"}</definedName>
    <definedName name="zuzuzu" localSheetId="21" hidden="1">{"'Verkehr-Personen'!$A$5:$J$26"}</definedName>
    <definedName name="zuzuzu" hidden="1">{"'Verkehr-Personen'!$A$5:$J$26"}</definedName>
    <definedName name="zwirn" localSheetId="20" hidden="1">{"'Verkehr-Personen'!$A$5:$J$26"}</definedName>
    <definedName name="zwirn" localSheetId="21" hidden="1">{"'Verkehr-Personen'!$A$5:$J$26"}</definedName>
    <definedName name="zwirn" hidden="1">{"'Verkehr-Personen'!$A$5:$J$26"}</definedName>
    <definedName name="zzzzzzz" localSheetId="20" hidden="1">{"'Verkehr-Personen'!$A$5:$J$26"}</definedName>
    <definedName name="zzzzzzz" localSheetId="21" hidden="1">{"'Verkehr-Personen'!$A$5:$J$26"}</definedName>
    <definedName name="zzzzzzz" hidden="1">{"'Verkehr-Personen'!$A$5:$J$26"}</definedName>
    <definedName name="zzzzzzzzzzz" localSheetId="20" hidden="1">{"'Verkehr-Personen'!$A$5:$J$26"}</definedName>
    <definedName name="zzzzzzzzzzz" localSheetId="21" hidden="1">{"'Verkehr-Personen'!$A$5:$J$26"}</definedName>
    <definedName name="zzzzzzzzzzz" hidden="1">{"'Verkehr-Personen'!$A$5:$J$26"}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43" l="1"/>
  <c r="D3" i="43"/>
  <c r="C3" i="43"/>
  <c r="B3" i="43"/>
  <c r="H3" i="43" l="1"/>
  <c r="G3" i="43"/>
  <c r="F3" i="43"/>
  <c r="C4" i="43" l="1"/>
  <c r="D4" i="43"/>
  <c r="E4" i="43"/>
  <c r="F4" i="43" l="1"/>
  <c r="B4" i="43"/>
  <c r="L3" i="43" l="1"/>
  <c r="M3" i="43"/>
  <c r="J3" i="43"/>
  <c r="K3" i="43" l="1"/>
  <c r="I3" i="43"/>
  <c r="B2" i="30" l="1"/>
  <c r="C2" i="30" l="1"/>
  <c r="D2" i="30" l="1"/>
  <c r="E2" i="30" l="1"/>
  <c r="F2" i="30"/>
  <c r="G2" i="30" l="1"/>
  <c r="H2" i="30" l="1"/>
  <c r="I2" i="30" l="1"/>
  <c r="J2" i="30" l="1"/>
  <c r="K2" i="30" l="1"/>
  <c r="L2" i="30" l="1"/>
  <c r="M2" i="30" l="1"/>
  <c r="J4" i="43" l="1"/>
  <c r="I4" i="43"/>
  <c r="H4" i="43"/>
  <c r="G4" i="43" l="1"/>
  <c r="B18" i="30" l="1"/>
  <c r="B17" i="30"/>
  <c r="B16" i="30"/>
  <c r="M14" i="30"/>
  <c r="L14" i="30"/>
  <c r="K14" i="30"/>
  <c r="J14" i="30"/>
  <c r="I14" i="30"/>
  <c r="H14" i="30"/>
  <c r="G14" i="30"/>
  <c r="F14" i="30"/>
  <c r="E14" i="30"/>
  <c r="D14" i="30"/>
  <c r="C14" i="30"/>
  <c r="B14" i="30"/>
  <c r="M10" i="30"/>
  <c r="L10" i="30"/>
  <c r="K10" i="30"/>
  <c r="J10" i="30"/>
  <c r="I10" i="30"/>
  <c r="H10" i="30"/>
  <c r="G10" i="30"/>
  <c r="F10" i="30"/>
  <c r="E10" i="30"/>
  <c r="D10" i="30"/>
  <c r="C10" i="30"/>
  <c r="B10" i="30"/>
  <c r="M9" i="30"/>
  <c r="L9" i="30"/>
  <c r="K9" i="30"/>
  <c r="J9" i="30"/>
  <c r="I9" i="30"/>
  <c r="H9" i="30"/>
  <c r="G9" i="30"/>
  <c r="F9" i="30"/>
  <c r="E9" i="30"/>
  <c r="D9" i="30"/>
  <c r="C9" i="30"/>
  <c r="B9" i="30"/>
  <c r="M8" i="30"/>
  <c r="L8" i="30"/>
  <c r="K8" i="30"/>
  <c r="J8" i="30"/>
  <c r="I8" i="30"/>
  <c r="H8" i="30"/>
  <c r="G8" i="30"/>
  <c r="F8" i="30"/>
  <c r="E8" i="30"/>
  <c r="D8" i="30"/>
  <c r="C8" i="30"/>
  <c r="B8" i="30"/>
  <c r="M7" i="30"/>
  <c r="L7" i="30"/>
  <c r="K7" i="30"/>
  <c r="J7" i="30"/>
  <c r="I7" i="30"/>
  <c r="H7" i="30"/>
  <c r="G7" i="30"/>
  <c r="F7" i="30"/>
  <c r="E7" i="30"/>
  <c r="D7" i="30"/>
  <c r="C7" i="30"/>
  <c r="B7" i="30"/>
  <c r="M6" i="30"/>
  <c r="L6" i="30"/>
  <c r="K6" i="30"/>
  <c r="J6" i="30"/>
  <c r="I6" i="30"/>
  <c r="H6" i="30"/>
  <c r="G6" i="30"/>
  <c r="F6" i="30"/>
  <c r="E6" i="30"/>
  <c r="D6" i="30"/>
  <c r="C6" i="30"/>
  <c r="B6" i="30"/>
  <c r="M5" i="30"/>
  <c r="L5" i="30"/>
  <c r="K5" i="30"/>
  <c r="J5" i="30"/>
  <c r="I5" i="30"/>
  <c r="H5" i="30"/>
  <c r="G5" i="30"/>
  <c r="F5" i="30"/>
  <c r="E5" i="30"/>
  <c r="D5" i="30"/>
  <c r="C5" i="30"/>
  <c r="B5" i="30"/>
  <c r="M4" i="30"/>
  <c r="L4" i="30"/>
  <c r="K4" i="30"/>
  <c r="J4" i="30"/>
  <c r="I4" i="30"/>
  <c r="H4" i="30"/>
  <c r="G4" i="30"/>
  <c r="F4" i="30"/>
  <c r="E4" i="30"/>
  <c r="D4" i="30"/>
  <c r="C4" i="30"/>
  <c r="B4" i="30"/>
  <c r="M3" i="30"/>
  <c r="L3" i="30"/>
  <c r="K3" i="30"/>
  <c r="J3" i="30"/>
  <c r="I3" i="30"/>
  <c r="H3" i="30"/>
  <c r="G3" i="30"/>
  <c r="F3" i="30"/>
  <c r="E3" i="30"/>
  <c r="D3" i="30"/>
  <c r="C3" i="30"/>
  <c r="B3" i="30"/>
  <c r="C21" i="31" l="1"/>
  <c r="D21" i="31"/>
  <c r="E21" i="31"/>
  <c r="F21" i="31"/>
  <c r="G21" i="31"/>
  <c r="H21" i="31"/>
  <c r="I21" i="31"/>
  <c r="J21" i="31"/>
  <c r="K21" i="31"/>
  <c r="L21" i="31"/>
  <c r="M21" i="31"/>
  <c r="N21" i="31"/>
  <c r="B4" i="31"/>
  <c r="D42" i="39"/>
  <c r="B2" i="31"/>
  <c r="B3" i="31" l="1"/>
  <c r="B22" i="20"/>
  <c r="B21" i="20"/>
  <c r="B20" i="20"/>
  <c r="B19" i="20"/>
  <c r="B18" i="20"/>
  <c r="B17" i="20"/>
  <c r="B44" i="9"/>
  <c r="C43" i="9"/>
  <c r="B5" i="10" l="1"/>
  <c r="AH8" i="39" l="1"/>
  <c r="G52" i="39" l="1"/>
  <c r="H52" i="39"/>
  <c r="I52" i="39"/>
  <c r="C4" i="12" l="1"/>
  <c r="C3" i="12" s="1"/>
  <c r="D4" i="12"/>
  <c r="E4" i="12"/>
  <c r="F4" i="12"/>
  <c r="G4" i="12"/>
  <c r="H4" i="12"/>
  <c r="I4" i="12"/>
  <c r="J4" i="12"/>
  <c r="K4" i="12"/>
  <c r="L4" i="12"/>
  <c r="M4" i="12"/>
  <c r="B4" i="12"/>
  <c r="B3" i="12" s="1"/>
  <c r="C25" i="9" l="1"/>
  <c r="D25" i="9"/>
  <c r="E25" i="9"/>
  <c r="F25" i="9"/>
  <c r="G25" i="9"/>
  <c r="H25" i="9"/>
  <c r="I25" i="9"/>
  <c r="J25" i="9"/>
  <c r="K25" i="9"/>
  <c r="L25" i="9"/>
  <c r="M25" i="9"/>
  <c r="C15" i="9"/>
  <c r="D15" i="9"/>
  <c r="E15" i="9"/>
  <c r="F15" i="9"/>
  <c r="G15" i="9"/>
  <c r="H15" i="9"/>
  <c r="I15" i="9"/>
  <c r="J15" i="9"/>
  <c r="K15" i="9"/>
  <c r="L15" i="9"/>
  <c r="M15" i="9"/>
  <c r="C16" i="9"/>
  <c r="D16" i="9"/>
  <c r="E16" i="9"/>
  <c r="F16" i="9"/>
  <c r="G16" i="9"/>
  <c r="H16" i="9"/>
  <c r="I16" i="9"/>
  <c r="J16" i="9"/>
  <c r="K16" i="9"/>
  <c r="L16" i="9"/>
  <c r="M16" i="9"/>
  <c r="C17" i="9"/>
  <c r="D17" i="9"/>
  <c r="E17" i="9"/>
  <c r="F17" i="9"/>
  <c r="G17" i="9"/>
  <c r="H17" i="9"/>
  <c r="I17" i="9"/>
  <c r="I22" i="9" s="1"/>
  <c r="J17" i="9"/>
  <c r="K17" i="9"/>
  <c r="L17" i="9"/>
  <c r="M17" i="9"/>
  <c r="C18" i="9"/>
  <c r="D18" i="9"/>
  <c r="E18" i="9"/>
  <c r="F18" i="9"/>
  <c r="G18" i="9"/>
  <c r="H18" i="9"/>
  <c r="I18" i="9"/>
  <c r="J18" i="9"/>
  <c r="K18" i="9"/>
  <c r="L18" i="9"/>
  <c r="M18" i="9"/>
  <c r="C19" i="9"/>
  <c r="D19" i="9"/>
  <c r="E19" i="9"/>
  <c r="F19" i="9"/>
  <c r="G19" i="9"/>
  <c r="H19" i="9"/>
  <c r="I19" i="9"/>
  <c r="J19" i="9"/>
  <c r="K19" i="9"/>
  <c r="L19" i="9"/>
  <c r="M19" i="9"/>
  <c r="C20" i="9"/>
  <c r="D20" i="9"/>
  <c r="E20" i="9"/>
  <c r="F20" i="9"/>
  <c r="G20" i="9"/>
  <c r="H20" i="9"/>
  <c r="I20" i="9"/>
  <c r="J20" i="9"/>
  <c r="K20" i="9"/>
  <c r="L20" i="9"/>
  <c r="M20" i="9"/>
  <c r="C21" i="9"/>
  <c r="D21" i="9"/>
  <c r="E21" i="9"/>
  <c r="F21" i="9"/>
  <c r="G21" i="9"/>
  <c r="H21" i="9"/>
  <c r="I21" i="9"/>
  <c r="J21" i="9"/>
  <c r="K21" i="9"/>
  <c r="L21" i="9"/>
  <c r="M21" i="9"/>
  <c r="C9" i="9"/>
  <c r="D9" i="9"/>
  <c r="E9" i="9"/>
  <c r="F9" i="9"/>
  <c r="G9" i="9"/>
  <c r="H9" i="9"/>
  <c r="I9" i="9"/>
  <c r="J9" i="9"/>
  <c r="K9" i="9"/>
  <c r="L9" i="9"/>
  <c r="M9" i="9"/>
  <c r="C10" i="9"/>
  <c r="D10" i="9"/>
  <c r="E10" i="9"/>
  <c r="F10" i="9"/>
  <c r="G10" i="9"/>
  <c r="H10" i="9"/>
  <c r="I10" i="9"/>
  <c r="J10" i="9"/>
  <c r="K10" i="9"/>
  <c r="L10" i="9"/>
  <c r="M10" i="9"/>
  <c r="C11" i="9"/>
  <c r="D11" i="9"/>
  <c r="E11" i="9"/>
  <c r="F11" i="9"/>
  <c r="G11" i="9"/>
  <c r="H11" i="9"/>
  <c r="I11" i="9"/>
  <c r="J11" i="9"/>
  <c r="K11" i="9"/>
  <c r="L11" i="9"/>
  <c r="M11" i="9"/>
  <c r="C12" i="9"/>
  <c r="D12" i="9"/>
  <c r="E12" i="9"/>
  <c r="F12" i="9"/>
  <c r="G12" i="9"/>
  <c r="H12" i="9"/>
  <c r="I12" i="9"/>
  <c r="J12" i="9"/>
  <c r="K12" i="9"/>
  <c r="L12" i="9"/>
  <c r="M12" i="9"/>
  <c r="B25" i="9"/>
  <c r="B21" i="9"/>
  <c r="B43" i="9"/>
  <c r="B19" i="9"/>
  <c r="B42" i="9" s="1"/>
  <c r="B18" i="9"/>
  <c r="B41" i="9" s="1"/>
  <c r="B17" i="9"/>
  <c r="B40" i="9" s="1"/>
  <c r="B16" i="9"/>
  <c r="B39" i="9" s="1"/>
  <c r="B15" i="9"/>
  <c r="B11" i="9"/>
  <c r="B10" i="9"/>
  <c r="B9" i="9"/>
  <c r="D4" i="20"/>
  <c r="E4" i="20"/>
  <c r="F4" i="20"/>
  <c r="G4" i="20"/>
  <c r="H4" i="20"/>
  <c r="I4" i="20"/>
  <c r="J4" i="20"/>
  <c r="K4" i="20"/>
  <c r="L4" i="20"/>
  <c r="M4" i="20"/>
  <c r="B4" i="20"/>
  <c r="C4" i="20"/>
  <c r="D5" i="21"/>
  <c r="E5" i="21"/>
  <c r="F5" i="21"/>
  <c r="G5" i="21"/>
  <c r="H5" i="21"/>
  <c r="I5" i="21"/>
  <c r="J5" i="21"/>
  <c r="K5" i="21"/>
  <c r="L5" i="21"/>
  <c r="M5" i="21"/>
  <c r="D6" i="21"/>
  <c r="E6" i="21"/>
  <c r="F6" i="21"/>
  <c r="G6" i="21"/>
  <c r="H6" i="21"/>
  <c r="I6" i="21"/>
  <c r="J6" i="21"/>
  <c r="K6" i="21"/>
  <c r="L6" i="21"/>
  <c r="M6" i="21"/>
  <c r="B5" i="21"/>
  <c r="C5" i="21"/>
  <c r="B6" i="21"/>
  <c r="C6" i="21"/>
  <c r="D5" i="11"/>
  <c r="E5" i="11"/>
  <c r="F5" i="11"/>
  <c r="G5" i="11"/>
  <c r="H5" i="11"/>
  <c r="I5" i="11"/>
  <c r="J5" i="11"/>
  <c r="K5" i="11"/>
  <c r="L5" i="11"/>
  <c r="M5" i="11"/>
  <c r="D6" i="11"/>
  <c r="E6" i="11"/>
  <c r="F6" i="11"/>
  <c r="G6" i="11"/>
  <c r="H6" i="11"/>
  <c r="I6" i="11"/>
  <c r="J6" i="11"/>
  <c r="K6" i="11"/>
  <c r="L6" i="11"/>
  <c r="M6" i="11"/>
  <c r="B5" i="11"/>
  <c r="C5" i="11"/>
  <c r="B6" i="11"/>
  <c r="C6" i="11"/>
  <c r="D15" i="5"/>
  <c r="E15" i="5"/>
  <c r="F15" i="5"/>
  <c r="G15" i="5"/>
  <c r="H15" i="5"/>
  <c r="I15" i="5"/>
  <c r="J15" i="5"/>
  <c r="K15" i="5"/>
  <c r="L15" i="5"/>
  <c r="M15" i="5"/>
  <c r="D16" i="5"/>
  <c r="E16" i="5"/>
  <c r="F16" i="5"/>
  <c r="G16" i="5"/>
  <c r="H16" i="5"/>
  <c r="I16" i="5"/>
  <c r="J16" i="5"/>
  <c r="K16" i="5"/>
  <c r="L16" i="5"/>
  <c r="M16" i="5"/>
  <c r="C16" i="5"/>
  <c r="B16" i="5"/>
  <c r="C15" i="5"/>
  <c r="B15" i="5"/>
  <c r="C1" i="58"/>
  <c r="D1" i="58" s="1"/>
  <c r="E1" i="58" s="1"/>
  <c r="F1" i="58" s="1"/>
  <c r="G1" i="58" s="1"/>
  <c r="H1" i="58" s="1"/>
  <c r="I1" i="58" s="1"/>
  <c r="J1" i="58" s="1"/>
  <c r="K1" i="58" s="1"/>
  <c r="L1" i="58" s="1"/>
  <c r="M1" i="58" s="1"/>
  <c r="E53" i="39"/>
  <c r="K53" i="39"/>
  <c r="L53" i="39"/>
  <c r="M53" i="39"/>
  <c r="N53" i="39"/>
  <c r="O53" i="39"/>
  <c r="D53" i="39"/>
  <c r="M22" i="9" l="1"/>
  <c r="E22" i="9"/>
  <c r="B20" i="9"/>
  <c r="L22" i="9"/>
  <c r="H22" i="9"/>
  <c r="D22" i="9"/>
  <c r="K22" i="9"/>
  <c r="G22" i="9"/>
  <c r="C22" i="9"/>
  <c r="J22" i="9"/>
  <c r="F22" i="9"/>
  <c r="B38" i="9"/>
  <c r="B49" i="9" s="1"/>
  <c r="B22" i="9"/>
  <c r="B12" i="9"/>
  <c r="C26" i="47" l="1"/>
  <c r="C51" i="3" l="1"/>
  <c r="D51" i="3"/>
  <c r="E51" i="3"/>
  <c r="F51" i="3"/>
  <c r="G51" i="3"/>
  <c r="H51" i="3"/>
  <c r="I51" i="3"/>
  <c r="J51" i="3"/>
  <c r="K51" i="3"/>
  <c r="L51" i="3"/>
  <c r="M51" i="3"/>
  <c r="B51" i="3"/>
  <c r="AH75" i="39" l="1"/>
  <c r="A18" i="43" l="1"/>
  <c r="A19" i="43"/>
  <c r="A20" i="43"/>
  <c r="A21" i="43"/>
  <c r="A22" i="43"/>
  <c r="A23" i="43"/>
  <c r="A24" i="43"/>
  <c r="A25" i="43"/>
  <c r="A26" i="43"/>
  <c r="A27" i="43"/>
  <c r="A28" i="43"/>
  <c r="A29" i="43"/>
  <c r="A30" i="43"/>
  <c r="A31" i="43"/>
  <c r="A32" i="43"/>
  <c r="A33" i="43"/>
  <c r="A34" i="43"/>
  <c r="C11" i="43"/>
  <c r="R4" i="47" l="1"/>
  <c r="C14" i="39" l="1"/>
  <c r="C13" i="39"/>
  <c r="C12" i="39"/>
  <c r="C11" i="39"/>
  <c r="C10" i="39"/>
  <c r="C9" i="39" l="1"/>
  <c r="AJ4" i="39" l="1"/>
  <c r="Y27" i="47" l="1"/>
  <c r="AA27" i="47" s="1"/>
  <c r="F26" i="47"/>
  <c r="O23" i="47"/>
  <c r="N23" i="47"/>
  <c r="R21" i="47"/>
  <c r="R20" i="47"/>
  <c r="G19" i="47"/>
  <c r="E19" i="47"/>
  <c r="D19" i="47"/>
  <c r="U18" i="47"/>
  <c r="R17" i="47"/>
  <c r="R16" i="47"/>
  <c r="Q15" i="47"/>
  <c r="Q23" i="47" s="1"/>
  <c r="G15" i="47"/>
  <c r="E15" i="47"/>
  <c r="E23" i="47" s="1"/>
  <c r="Q14" i="47"/>
  <c r="G14" i="47"/>
  <c r="E14" i="47"/>
  <c r="D14" i="47" s="1"/>
  <c r="R11" i="47"/>
  <c r="G23" i="47" l="1"/>
  <c r="D15" i="47"/>
  <c r="D23" i="47" s="1"/>
  <c r="Z27" i="47"/>
  <c r="C33" i="47"/>
  <c r="C39" i="47" s="1"/>
  <c r="E33" i="47" l="1"/>
  <c r="B8" i="31" l="1"/>
  <c r="O8" i="31" s="1"/>
  <c r="F3" i="32"/>
  <c r="F4" i="32"/>
  <c r="F5" i="32"/>
  <c r="F6" i="32"/>
  <c r="F7" i="32"/>
  <c r="F8" i="32"/>
  <c r="F9" i="32"/>
  <c r="F10" i="32"/>
  <c r="F11" i="32"/>
  <c r="F12" i="32"/>
  <c r="F13" i="32"/>
  <c r="F14" i="32"/>
  <c r="F15" i="32"/>
  <c r="F16" i="32"/>
  <c r="F2" i="32"/>
  <c r="F1" i="32"/>
  <c r="C8" i="31" l="1" a="1"/>
  <c r="C8" i="31" s="1"/>
  <c r="D19" i="39" s="1"/>
  <c r="D21" i="39" s="1"/>
  <c r="D37" i="31"/>
  <c r="E37" i="31" s="1"/>
  <c r="F37" i="31" s="1"/>
  <c r="G37" i="31" s="1"/>
  <c r="H37" i="31" s="1"/>
  <c r="I37" i="31" s="1"/>
  <c r="J37" i="31" s="1"/>
  <c r="K37" i="31" s="1"/>
  <c r="L37" i="31" s="1"/>
  <c r="M37" i="31" s="1"/>
  <c r="N37" i="31" s="1"/>
  <c r="O3" i="43"/>
  <c r="P3" i="43"/>
  <c r="Q3" i="43"/>
  <c r="R3" i="43"/>
  <c r="S3" i="43"/>
  <c r="T3" i="43"/>
  <c r="U3" i="43"/>
  <c r="V3" i="43"/>
  <c r="N3" i="43"/>
  <c r="C2" i="43"/>
  <c r="D2" i="43" s="1"/>
  <c r="E2" i="43" s="1"/>
  <c r="F2" i="43" s="1"/>
  <c r="G2" i="43" s="1"/>
  <c r="H2" i="43" s="1"/>
  <c r="I2" i="43" s="1"/>
  <c r="J2" i="43" s="1"/>
  <c r="K2" i="43" s="1"/>
  <c r="L2" i="43" s="1"/>
  <c r="M2" i="43" s="1"/>
  <c r="N2" i="43" s="1"/>
  <c r="O2" i="43" s="1"/>
  <c r="P2" i="43" s="1"/>
  <c r="Q2" i="43" s="1"/>
  <c r="R2" i="43" s="1"/>
  <c r="S2" i="43" s="1"/>
  <c r="T2" i="43" s="1"/>
  <c r="U2" i="43" s="1"/>
  <c r="V2" i="43" s="1"/>
  <c r="O1" i="32" a="1"/>
  <c r="O1" i="32" s="1"/>
  <c r="N1" i="32" a="1"/>
  <c r="N1" i="32" s="1"/>
  <c r="M1" i="32" a="1"/>
  <c r="M1" i="32" s="1"/>
  <c r="L1" i="32" a="1"/>
  <c r="L1" i="32" s="1"/>
  <c r="K1" i="32" a="1"/>
  <c r="K1" i="32" s="1"/>
  <c r="J2" i="32"/>
  <c r="J3" i="32"/>
  <c r="J4" i="32"/>
  <c r="J5" i="32"/>
  <c r="J6" i="32"/>
  <c r="J7" i="32"/>
  <c r="J8" i="32"/>
  <c r="J9" i="32"/>
  <c r="J10" i="32"/>
  <c r="J11" i="32"/>
  <c r="J12" i="32"/>
  <c r="J13" i="32"/>
  <c r="J14" i="32"/>
  <c r="J15" i="32"/>
  <c r="J16" i="32"/>
  <c r="J1" i="32"/>
  <c r="I2" i="32"/>
  <c r="I3" i="32"/>
  <c r="I4" i="32"/>
  <c r="I5" i="32"/>
  <c r="I6" i="32"/>
  <c r="I7" i="32"/>
  <c r="I8" i="32"/>
  <c r="I9" i="32"/>
  <c r="I10" i="32"/>
  <c r="I11" i="32"/>
  <c r="I12" i="32"/>
  <c r="I13" i="32"/>
  <c r="I14" i="32"/>
  <c r="I15" i="32"/>
  <c r="I16" i="32"/>
  <c r="I1" i="32"/>
  <c r="H2" i="32"/>
  <c r="H3" i="32"/>
  <c r="H4" i="32"/>
  <c r="H5" i="32"/>
  <c r="H6" i="32"/>
  <c r="H7" i="32"/>
  <c r="H8" i="32"/>
  <c r="H9" i="32"/>
  <c r="H10" i="32"/>
  <c r="H11" i="32"/>
  <c r="H12" i="32"/>
  <c r="H13" i="32"/>
  <c r="H14" i="32"/>
  <c r="H15" i="32"/>
  <c r="H16" i="32"/>
  <c r="H1" i="32"/>
  <c r="G1" i="32"/>
  <c r="G3" i="32"/>
  <c r="G4" i="32"/>
  <c r="G5" i="32"/>
  <c r="G6" i="32"/>
  <c r="G7" i="32"/>
  <c r="G8" i="32"/>
  <c r="G9" i="32"/>
  <c r="G10" i="32"/>
  <c r="G11" i="32"/>
  <c r="G12" i="32"/>
  <c r="G13" i="32"/>
  <c r="G14" i="32"/>
  <c r="G15" i="32"/>
  <c r="G16" i="32"/>
  <c r="G2" i="32"/>
  <c r="A9" i="32"/>
  <c r="A10" i="32"/>
  <c r="A11" i="32"/>
  <c r="A12" i="32"/>
  <c r="A13" i="32"/>
  <c r="A14" i="32"/>
  <c r="A15" i="32"/>
  <c r="A16" i="32"/>
  <c r="B43" i="1" l="1"/>
  <c r="C43" i="1"/>
  <c r="D43" i="1"/>
  <c r="E43" i="1"/>
  <c r="F43" i="1"/>
  <c r="G43" i="1"/>
  <c r="H43" i="1"/>
  <c r="I43" i="1"/>
  <c r="J43" i="1"/>
  <c r="K43" i="1"/>
  <c r="L43" i="1"/>
  <c r="M43" i="1"/>
  <c r="H1" i="22"/>
  <c r="H9" i="22" s="1"/>
  <c r="G1" i="22" l="1"/>
  <c r="F1" i="22" l="1"/>
  <c r="G9" i="22"/>
  <c r="E1" i="22" l="1"/>
  <c r="F9" i="22"/>
  <c r="D1" i="22" l="1"/>
  <c r="E9" i="22"/>
  <c r="E17" i="22" s="1"/>
  <c r="C1" i="22" l="1"/>
  <c r="D9" i="22"/>
  <c r="B1" i="22" l="1"/>
  <c r="C9" i="22"/>
  <c r="B9" i="22" l="1"/>
  <c r="B17" i="22" s="1"/>
  <c r="C70" i="39" l="1"/>
  <c r="C67" i="39"/>
  <c r="C66" i="39"/>
  <c r="C65" i="39"/>
  <c r="N9" i="22"/>
  <c r="O9" i="22" s="1"/>
  <c r="P9" i="22" s="1"/>
  <c r="Q9" i="22" s="1"/>
  <c r="R9" i="22" s="1"/>
  <c r="S9" i="22" s="1"/>
  <c r="T9" i="22" s="1"/>
  <c r="G49" i="39" l="1"/>
  <c r="G53" i="39" s="1"/>
  <c r="H49" i="39"/>
  <c r="H53" i="39" s="1"/>
  <c r="I49" i="39"/>
  <c r="I53" i="39" s="1"/>
  <c r="J49" i="39"/>
  <c r="J53" i="39" s="1"/>
  <c r="F49" i="39"/>
  <c r="F53" i="39" s="1"/>
  <c r="P21" i="39"/>
  <c r="P22" i="39"/>
  <c r="C18" i="43" s="1"/>
  <c r="P23" i="39"/>
  <c r="C19" i="43" s="1"/>
  <c r="P24" i="39"/>
  <c r="C20" i="43" s="1"/>
  <c r="P25" i="39"/>
  <c r="C21" i="43" s="1"/>
  <c r="P26" i="39"/>
  <c r="C22" i="43" s="1"/>
  <c r="P27" i="39"/>
  <c r="C23" i="43" s="1"/>
  <c r="P28" i="39"/>
  <c r="C24" i="43" s="1"/>
  <c r="P29" i="39"/>
  <c r="C25" i="43" s="1"/>
  <c r="P30" i="39"/>
  <c r="C26" i="43" s="1"/>
  <c r="P31" i="39"/>
  <c r="C27" i="43" s="1"/>
  <c r="P32" i="39"/>
  <c r="C28" i="43" s="1"/>
  <c r="P33" i="39"/>
  <c r="C29" i="43" s="1"/>
  <c r="P34" i="39"/>
  <c r="C30" i="43" s="1"/>
  <c r="P35" i="39"/>
  <c r="C31" i="43" s="1"/>
  <c r="P36" i="39"/>
  <c r="C32" i="43" s="1"/>
  <c r="P37" i="39"/>
  <c r="C33" i="43" s="1"/>
  <c r="P38" i="39"/>
  <c r="C34" i="43" s="1"/>
  <c r="D39" i="39"/>
  <c r="B7" i="31"/>
  <c r="O7" i="31" s="1"/>
  <c r="E2" i="39"/>
  <c r="F2" i="39" s="1"/>
  <c r="G2" i="39" s="1"/>
  <c r="H2" i="39" s="1"/>
  <c r="I2" i="39" s="1"/>
  <c r="J2" i="39" l="1"/>
  <c r="K2" i="39" s="1"/>
  <c r="L2" i="39" s="1"/>
  <c r="M2" i="39" s="1"/>
  <c r="N2" i="39" s="1"/>
  <c r="O2" i="39" s="1"/>
  <c r="D11" i="43"/>
  <c r="C7" i="31" a="1"/>
  <c r="C7" i="31" s="1"/>
  <c r="D6" i="39" s="1"/>
  <c r="D40" i="39"/>
  <c r="D76" i="39" s="1"/>
  <c r="B20" i="43" l="1" a="1"/>
  <c r="B20" i="43" s="1"/>
  <c r="B25" i="43" a="1"/>
  <c r="B25" i="43" s="1"/>
  <c r="B28" i="43" a="1"/>
  <c r="B28" i="43" s="1"/>
  <c r="B27" i="43" a="1"/>
  <c r="B27" i="43" s="1"/>
  <c r="B30" i="43" a="1"/>
  <c r="B30" i="43" s="1"/>
  <c r="B32" i="43" a="1"/>
  <c r="B32" i="43" s="1"/>
  <c r="B33" i="43" a="1"/>
  <c r="B33" i="43" s="1"/>
  <c r="B23" i="43" a="1"/>
  <c r="B23" i="43" s="1"/>
  <c r="B21" i="43" a="1"/>
  <c r="B21" i="43" s="1"/>
  <c r="B19" i="43" a="1"/>
  <c r="B19" i="43" s="1"/>
  <c r="B26" i="43" a="1"/>
  <c r="B26" i="43" s="1"/>
  <c r="B34" i="43" a="1"/>
  <c r="B34" i="43" s="1"/>
  <c r="B24" i="43" a="1"/>
  <c r="B24" i="43" s="1"/>
  <c r="B18" i="43" a="1"/>
  <c r="B18" i="43" s="1"/>
  <c r="B31" i="43" a="1"/>
  <c r="B31" i="43" s="1"/>
  <c r="B22" i="43" a="1"/>
  <c r="B22" i="43" s="1"/>
  <c r="B29" i="43" a="1"/>
  <c r="B29" i="43" s="1"/>
  <c r="B25" i="26"/>
  <c r="D199" i="31"/>
  <c r="E199" i="31" s="1"/>
  <c r="F199" i="31" s="1"/>
  <c r="G199" i="31" s="1"/>
  <c r="H199" i="31" s="1"/>
  <c r="I199" i="31" s="1"/>
  <c r="J199" i="31" s="1"/>
  <c r="K199" i="31" s="1"/>
  <c r="L199" i="31" s="1"/>
  <c r="M199" i="31" s="1"/>
  <c r="N199" i="31" s="1"/>
  <c r="D181" i="31"/>
  <c r="E181" i="31" s="1"/>
  <c r="F181" i="31" s="1"/>
  <c r="G181" i="31" s="1"/>
  <c r="H181" i="31" s="1"/>
  <c r="I181" i="31" s="1"/>
  <c r="J181" i="31" s="1"/>
  <c r="K181" i="31" s="1"/>
  <c r="L181" i="31" s="1"/>
  <c r="M181" i="31" s="1"/>
  <c r="N181" i="31" s="1"/>
  <c r="D163" i="31"/>
  <c r="E163" i="31" s="1"/>
  <c r="F163" i="31" s="1"/>
  <c r="G163" i="31" s="1"/>
  <c r="H163" i="31" s="1"/>
  <c r="I163" i="31" s="1"/>
  <c r="J163" i="31" s="1"/>
  <c r="K163" i="31" s="1"/>
  <c r="L163" i="31" s="1"/>
  <c r="M163" i="31" s="1"/>
  <c r="N163" i="31" s="1"/>
  <c r="D145" i="31"/>
  <c r="E145" i="31" s="1"/>
  <c r="F145" i="31" s="1"/>
  <c r="G145" i="31" s="1"/>
  <c r="H145" i="31" s="1"/>
  <c r="I145" i="31" s="1"/>
  <c r="J145" i="31" s="1"/>
  <c r="K145" i="31" s="1"/>
  <c r="L145" i="31" s="1"/>
  <c r="M145" i="31" s="1"/>
  <c r="N145" i="31" s="1"/>
  <c r="D127" i="31"/>
  <c r="E127" i="31" s="1"/>
  <c r="F127" i="31" s="1"/>
  <c r="G127" i="31" s="1"/>
  <c r="H127" i="31" s="1"/>
  <c r="I127" i="31" s="1"/>
  <c r="J127" i="31" s="1"/>
  <c r="K127" i="31" s="1"/>
  <c r="L127" i="31" s="1"/>
  <c r="M127" i="31" s="1"/>
  <c r="N127" i="31" s="1"/>
  <c r="D109" i="31"/>
  <c r="E109" i="31" s="1"/>
  <c r="F109" i="31" s="1"/>
  <c r="G109" i="31" s="1"/>
  <c r="H109" i="31" s="1"/>
  <c r="I109" i="31" s="1"/>
  <c r="J109" i="31" s="1"/>
  <c r="K109" i="31" s="1"/>
  <c r="L109" i="31" s="1"/>
  <c r="M109" i="31" s="1"/>
  <c r="N109" i="31" s="1"/>
  <c r="D91" i="31"/>
  <c r="E91" i="31" s="1"/>
  <c r="F91" i="31" s="1"/>
  <c r="G91" i="31" s="1"/>
  <c r="H91" i="31" s="1"/>
  <c r="I91" i="31" s="1"/>
  <c r="J91" i="31" s="1"/>
  <c r="K91" i="31" s="1"/>
  <c r="L91" i="31" s="1"/>
  <c r="M91" i="31" s="1"/>
  <c r="N91" i="31" s="1"/>
  <c r="D73" i="31"/>
  <c r="E73" i="31" s="1"/>
  <c r="F73" i="31" s="1"/>
  <c r="G73" i="31" s="1"/>
  <c r="H73" i="31" s="1"/>
  <c r="I73" i="31" s="1"/>
  <c r="J73" i="31" s="1"/>
  <c r="K73" i="31" s="1"/>
  <c r="L73" i="31" s="1"/>
  <c r="M73" i="31" s="1"/>
  <c r="N73" i="31" s="1"/>
  <c r="D55" i="31"/>
  <c r="E55" i="31" s="1"/>
  <c r="F55" i="31" s="1"/>
  <c r="G55" i="31" s="1"/>
  <c r="H55" i="31" s="1"/>
  <c r="I55" i="31" s="1"/>
  <c r="J55" i="31" s="1"/>
  <c r="K55" i="31" s="1"/>
  <c r="L55" i="31" s="1"/>
  <c r="M55" i="31" s="1"/>
  <c r="N55" i="31" s="1"/>
  <c r="D19" i="31"/>
  <c r="E19" i="31" s="1"/>
  <c r="F19" i="31" s="1"/>
  <c r="G19" i="31" s="1"/>
  <c r="H19" i="31" s="1"/>
  <c r="I19" i="31" s="1"/>
  <c r="J19" i="31" s="1"/>
  <c r="K19" i="31" s="1"/>
  <c r="L19" i="31" s="1"/>
  <c r="M19" i="31" s="1"/>
  <c r="N19" i="31" s="1"/>
  <c r="A3" i="32"/>
  <c r="A4" i="32"/>
  <c r="A5" i="32"/>
  <c r="A6" i="32"/>
  <c r="A7" i="32"/>
  <c r="A8" i="32"/>
  <c r="A2" i="32"/>
  <c r="O9" i="31"/>
  <c r="A17" i="31"/>
  <c r="A16" i="31"/>
  <c r="B14" i="43" l="1"/>
  <c r="B4" i="1"/>
  <c r="B34" i="9" l="1"/>
  <c r="B31" i="9" l="1"/>
  <c r="C31" i="9" s="1"/>
  <c r="D31" i="9" s="1"/>
  <c r="E31" i="9" s="1"/>
  <c r="F31" i="9" s="1"/>
  <c r="G31" i="9" s="1"/>
  <c r="H31" i="9" s="1"/>
  <c r="I31" i="9" s="1"/>
  <c r="J31" i="9" s="1"/>
  <c r="K31" i="9" s="1"/>
  <c r="L31" i="9" s="1"/>
  <c r="M31" i="9" s="1"/>
  <c r="B30" i="9" l="1"/>
  <c r="C30" i="9" s="1"/>
  <c r="B32" i="9"/>
  <c r="C32" i="9" s="1"/>
  <c r="B28" i="9"/>
  <c r="C28" i="9" s="1"/>
  <c r="B29" i="9"/>
  <c r="C29" i="9" s="1"/>
  <c r="D29" i="9" l="1"/>
  <c r="D28" i="9"/>
  <c r="D32" i="9"/>
  <c r="D30" i="9"/>
  <c r="C31" i="35"/>
  <c r="E30" i="9" l="1"/>
  <c r="E28" i="9"/>
  <c r="E32" i="9"/>
  <c r="E29" i="9"/>
  <c r="L12" i="35"/>
  <c r="M12" i="35" s="1"/>
  <c r="N12" i="35" s="1"/>
  <c r="O12" i="35" s="1"/>
  <c r="G12" i="35"/>
  <c r="H12" i="35" s="1"/>
  <c r="I12" i="35" s="1"/>
  <c r="F29" i="9" l="1"/>
  <c r="F28" i="9"/>
  <c r="F32" i="9"/>
  <c r="F30" i="9"/>
  <c r="C44" i="35"/>
  <c r="D42" i="35"/>
  <c r="C48" i="35" s="1"/>
  <c r="P41" i="35"/>
  <c r="P44" i="35" s="1"/>
  <c r="D41" i="35"/>
  <c r="D44" i="35" s="1"/>
  <c r="D39" i="35"/>
  <c r="E39" i="35" s="1"/>
  <c r="D38" i="35"/>
  <c r="E38" i="35" s="1"/>
  <c r="D37" i="35"/>
  <c r="E37" i="35" s="1"/>
  <c r="D36" i="35"/>
  <c r="E36" i="35" s="1"/>
  <c r="P35" i="35"/>
  <c r="D35" i="35" s="1"/>
  <c r="E35" i="35" s="1"/>
  <c r="F35" i="35" s="1"/>
  <c r="P26" i="35"/>
  <c r="J26" i="35"/>
  <c r="C26" i="35"/>
  <c r="C25" i="35"/>
  <c r="C32" i="35" s="1"/>
  <c r="D24" i="35"/>
  <c r="D23" i="35"/>
  <c r="D22" i="35"/>
  <c r="D21" i="35"/>
  <c r="D20" i="35"/>
  <c r="D19" i="35"/>
  <c r="C19" i="35"/>
  <c r="E18" i="35"/>
  <c r="E15" i="35"/>
  <c r="E14" i="35"/>
  <c r="G28" i="9" l="1"/>
  <c r="G30" i="9"/>
  <c r="G32" i="9"/>
  <c r="G29" i="9"/>
  <c r="E19" i="35"/>
  <c r="D26" i="35"/>
  <c r="E42" i="35"/>
  <c r="F42" i="35" s="1"/>
  <c r="K42" i="35" s="1"/>
  <c r="D25" i="35"/>
  <c r="D32" i="35" s="1"/>
  <c r="C47" i="35"/>
  <c r="C49" i="35"/>
  <c r="C50" i="35"/>
  <c r="C46" i="35"/>
  <c r="C51" i="35"/>
  <c r="F36" i="35"/>
  <c r="F39" i="35"/>
  <c r="F37" i="35"/>
  <c r="K35" i="35"/>
  <c r="F38" i="35"/>
  <c r="D31" i="35"/>
  <c r="E41" i="35"/>
  <c r="H29" i="9" l="1"/>
  <c r="H30" i="9"/>
  <c r="H32" i="9"/>
  <c r="H28" i="9"/>
  <c r="K37" i="35"/>
  <c r="K36" i="35"/>
  <c r="F41" i="35"/>
  <c r="E44" i="35"/>
  <c r="E26" i="35"/>
  <c r="K39" i="35"/>
  <c r="K38" i="35"/>
  <c r="I28" i="9" l="1"/>
  <c r="I30" i="9"/>
  <c r="I32" i="9"/>
  <c r="I29" i="9"/>
  <c r="K41" i="35"/>
  <c r="F26" i="35"/>
  <c r="F44" i="35"/>
  <c r="J29" i="9" l="1"/>
  <c r="J30" i="9"/>
  <c r="J32" i="9"/>
  <c r="J28" i="9"/>
  <c r="K26" i="35"/>
  <c r="K44" i="35"/>
  <c r="K28" i="9" l="1"/>
  <c r="K30" i="9"/>
  <c r="K32" i="9"/>
  <c r="K29" i="9"/>
  <c r="L29" i="9" l="1"/>
  <c r="L30" i="9"/>
  <c r="L32" i="9"/>
  <c r="L28" i="9"/>
  <c r="A223" i="31" l="1"/>
  <c r="A232" i="31" s="1"/>
  <c r="A221" i="31"/>
  <c r="A230" i="31" s="1"/>
  <c r="M28" i="9"/>
  <c r="M30" i="9"/>
  <c r="M32" i="9"/>
  <c r="M29" i="9"/>
  <c r="A222" i="31"/>
  <c r="A231" i="31" s="1"/>
  <c r="C10" i="11"/>
  <c r="D10" i="11" s="1"/>
  <c r="E10" i="11" s="1"/>
  <c r="F10" i="11" s="1"/>
  <c r="G10" i="11" s="1"/>
  <c r="H10" i="11" s="1"/>
  <c r="I10" i="11" s="1"/>
  <c r="J10" i="11" s="1"/>
  <c r="K10" i="11" s="1"/>
  <c r="L10" i="11" s="1"/>
  <c r="M10" i="11" s="1"/>
  <c r="C9" i="11"/>
  <c r="D9" i="11" s="1"/>
  <c r="E9" i="11" s="1"/>
  <c r="F9" i="11" s="1"/>
  <c r="G9" i="11" s="1"/>
  <c r="H9" i="11" s="1"/>
  <c r="I9" i="11" s="1"/>
  <c r="J9" i="11" s="1"/>
  <c r="K9" i="11" s="1"/>
  <c r="L9" i="11" s="1"/>
  <c r="M9" i="11" s="1"/>
  <c r="D5" i="31" l="1"/>
  <c r="O10" i="31"/>
  <c r="D7" i="31" l="1" a="1"/>
  <c r="D7" i="31" s="1"/>
  <c r="E6" i="39" s="1"/>
  <c r="D8" i="31" a="1"/>
  <c r="D8" i="31" s="1"/>
  <c r="E19" i="39" s="1"/>
  <c r="E21" i="39" s="1"/>
  <c r="E5" i="31"/>
  <c r="C10" i="31" a="1"/>
  <c r="C10" i="31" s="1"/>
  <c r="B3" i="9" s="1"/>
  <c r="B4" i="9" s="1"/>
  <c r="D10" i="31" a="1"/>
  <c r="D10" i="31" s="1"/>
  <c r="C3" i="9" s="1"/>
  <c r="C4" i="9" s="1"/>
  <c r="A218" i="31"/>
  <c r="A227" i="31" s="1"/>
  <c r="C25" i="26" l="1"/>
  <c r="E7" i="31" a="1"/>
  <c r="E7" i="31" s="1"/>
  <c r="E8" i="31" a="1"/>
  <c r="E8" i="31" s="1"/>
  <c r="F19" i="39" s="1"/>
  <c r="F21" i="39" s="1"/>
  <c r="F5" i="31"/>
  <c r="F10" i="31" s="1" a="1"/>
  <c r="F10" i="31" s="1"/>
  <c r="E3" i="9" s="1"/>
  <c r="E4" i="9" s="1"/>
  <c r="E10" i="31" a="1"/>
  <c r="E10" i="31" s="1"/>
  <c r="D3" i="9" s="1"/>
  <c r="D4" i="9" s="1"/>
  <c r="D40" i="9" s="1"/>
  <c r="C4" i="1"/>
  <c r="O13" i="31"/>
  <c r="O12" i="31"/>
  <c r="O11" i="31"/>
  <c r="A220" i="31"/>
  <c r="A229" i="31" s="1"/>
  <c r="A219" i="31"/>
  <c r="A228" i="31" s="1"/>
  <c r="C41" i="9"/>
  <c r="C42" i="9"/>
  <c r="C40" i="9"/>
  <c r="C39" i="9"/>
  <c r="C38" i="9"/>
  <c r="G5" i="31" l="1"/>
  <c r="F6" i="39"/>
  <c r="D41" i="9"/>
  <c r="D39" i="9"/>
  <c r="D38" i="9"/>
  <c r="D42" i="9"/>
  <c r="G7" i="31" a="1"/>
  <c r="G7" i="31" s="1"/>
  <c r="H6" i="39" s="1"/>
  <c r="G8" i="31" a="1"/>
  <c r="G8" i="31" s="1"/>
  <c r="H19" i="39" s="1"/>
  <c r="H21" i="39" s="1"/>
  <c r="F7" i="31" a="1"/>
  <c r="F7" i="31" s="1"/>
  <c r="G6" i="39" s="1"/>
  <c r="F8" i="31" a="1"/>
  <c r="F8" i="31" s="1"/>
  <c r="G19" i="39" s="1"/>
  <c r="G21" i="39" s="1"/>
  <c r="E39" i="39"/>
  <c r="E40" i="39"/>
  <c r="D25" i="26"/>
  <c r="G10" i="31" a="1"/>
  <c r="G10" i="31" s="1"/>
  <c r="F3" i="9" s="1"/>
  <c r="F4" i="9" s="1"/>
  <c r="O15" i="31"/>
  <c r="G15" i="31" s="1" a="1"/>
  <c r="G15" i="31" s="1"/>
  <c r="F8" i="11" s="1"/>
  <c r="D11" i="31" a="1"/>
  <c r="D11" i="31" s="1"/>
  <c r="C5" i="9" s="1"/>
  <c r="C11" i="31" a="1"/>
  <c r="C11" i="31" s="1"/>
  <c r="B5" i="9" s="1"/>
  <c r="C34" i="9" s="1"/>
  <c r="D34" i="9" s="1"/>
  <c r="E11" i="31" a="1"/>
  <c r="E11" i="31" s="1"/>
  <c r="D5" i="9" s="1"/>
  <c r="F11" i="31" a="1"/>
  <c r="F11" i="31" s="1"/>
  <c r="E5" i="9" s="1"/>
  <c r="G11" i="31" a="1"/>
  <c r="G11" i="31" s="1"/>
  <c r="F5" i="9" s="1"/>
  <c r="C12" i="31" a="1"/>
  <c r="C12" i="31" s="1"/>
  <c r="B6" i="9" s="1"/>
  <c r="E12" i="31" a="1"/>
  <c r="E12" i="31" s="1"/>
  <c r="D6" i="9" s="1"/>
  <c r="D44" i="9" s="1"/>
  <c r="F12" i="31" a="1"/>
  <c r="F12" i="31" s="1"/>
  <c r="E6" i="9" s="1"/>
  <c r="E44" i="9" s="1"/>
  <c r="G12" i="31" a="1"/>
  <c r="G12" i="31" s="1"/>
  <c r="F6" i="9" s="1"/>
  <c r="F44" i="9" s="1"/>
  <c r="D12" i="31" a="1"/>
  <c r="D12" i="31" s="1"/>
  <c r="C6" i="9" s="1"/>
  <c r="C44" i="9" s="1"/>
  <c r="O14" i="31"/>
  <c r="E41" i="9"/>
  <c r="E42" i="9"/>
  <c r="E39" i="9"/>
  <c r="E40" i="9"/>
  <c r="E38" i="9"/>
  <c r="H5" i="31"/>
  <c r="D9" i="31" a="1"/>
  <c r="D9" i="31" s="1"/>
  <c r="E9" i="31" a="1"/>
  <c r="E9" i="31" s="1"/>
  <c r="D3" i="12" s="1"/>
  <c r="F9" i="31" a="1"/>
  <c r="F9" i="31" s="1"/>
  <c r="E3" i="12" s="1"/>
  <c r="G9" i="31" a="1"/>
  <c r="G9" i="31" s="1"/>
  <c r="F3" i="12" s="1"/>
  <c r="D6" i="31"/>
  <c r="E6" i="31" s="1"/>
  <c r="F6" i="31" s="1"/>
  <c r="G6" i="31" s="1"/>
  <c r="H6" i="31" s="1"/>
  <c r="I6" i="31" s="1"/>
  <c r="J6" i="31" s="1"/>
  <c r="K6" i="31" s="1"/>
  <c r="L6" i="31" s="1"/>
  <c r="M6" i="31" s="1"/>
  <c r="N6" i="31" s="1"/>
  <c r="C9" i="31" a="1"/>
  <c r="C9" i="31" s="1"/>
  <c r="E34" i="9" l="1"/>
  <c r="D43" i="9"/>
  <c r="D4" i="1"/>
  <c r="H9" i="31" a="1"/>
  <c r="H9" i="31" s="1"/>
  <c r="G3" i="12" s="1"/>
  <c r="E76" i="39"/>
  <c r="F25" i="26"/>
  <c r="E4" i="1"/>
  <c r="H7" i="31" a="1"/>
  <c r="H7" i="31" s="1"/>
  <c r="I6" i="39" s="1"/>
  <c r="H8" i="31" a="1"/>
  <c r="H8" i="31" s="1"/>
  <c r="I19" i="39" s="1"/>
  <c r="F39" i="39"/>
  <c r="F40" i="39"/>
  <c r="E25" i="26"/>
  <c r="H11" i="31" a="1"/>
  <c r="H11" i="31" s="1"/>
  <c r="G5" i="9" s="1"/>
  <c r="E15" i="31" a="1"/>
  <c r="E15" i="31" s="1"/>
  <c r="D8" i="11" s="1"/>
  <c r="D12" i="11" s="1"/>
  <c r="D21" i="11" s="1"/>
  <c r="C15" i="31" a="1"/>
  <c r="C15" i="31" s="1"/>
  <c r="B8" i="11" s="1"/>
  <c r="B13" i="11" s="1"/>
  <c r="F15" i="31" a="1"/>
  <c r="F15" i="31" s="1"/>
  <c r="E8" i="11" s="1"/>
  <c r="H15" i="31" a="1"/>
  <c r="H15" i="31" s="1"/>
  <c r="G8" i="11" s="1"/>
  <c r="H10" i="31" a="1"/>
  <c r="H10" i="31" s="1"/>
  <c r="G3" i="9" s="1"/>
  <c r="G4" i="9" s="1"/>
  <c r="H12" i="31" a="1"/>
  <c r="H12" i="31" s="1"/>
  <c r="G6" i="9" s="1"/>
  <c r="G44" i="9" s="1"/>
  <c r="D15" i="31" a="1"/>
  <c r="D15" i="31" s="1"/>
  <c r="C8" i="11" s="1"/>
  <c r="C13" i="11" s="1"/>
  <c r="F4" i="1"/>
  <c r="O16" i="31"/>
  <c r="F41" i="9"/>
  <c r="F38" i="9"/>
  <c r="F39" i="9"/>
  <c r="F42" i="9"/>
  <c r="F40" i="9"/>
  <c r="F13" i="11"/>
  <c r="F22" i="11" s="1"/>
  <c r="F12" i="11"/>
  <c r="F21" i="11" s="1"/>
  <c r="I5" i="31"/>
  <c r="F35" i="3"/>
  <c r="G35" i="3"/>
  <c r="H35" i="3"/>
  <c r="I35" i="3"/>
  <c r="J35" i="3"/>
  <c r="K35" i="3"/>
  <c r="L35" i="3"/>
  <c r="M35" i="3"/>
  <c r="E35" i="3"/>
  <c r="F34" i="9" l="1"/>
  <c r="E43" i="9"/>
  <c r="I9" i="31" a="1"/>
  <c r="I9" i="31" s="1"/>
  <c r="H3" i="12" s="1"/>
  <c r="I8" i="31" a="1"/>
  <c r="I8" i="31" s="1"/>
  <c r="J19" i="39" s="1"/>
  <c r="G39" i="39"/>
  <c r="G40" i="39"/>
  <c r="I21" i="39"/>
  <c r="G25" i="26"/>
  <c r="F76" i="39"/>
  <c r="H39" i="39"/>
  <c r="H40" i="39"/>
  <c r="D13" i="11"/>
  <c r="D22" i="11" s="1"/>
  <c r="B12" i="11"/>
  <c r="C12" i="11"/>
  <c r="I7" i="31" a="1"/>
  <c r="I7" i="31" s="1"/>
  <c r="J6" i="39" s="1"/>
  <c r="E13" i="11"/>
  <c r="E22" i="11" s="1"/>
  <c r="E12" i="11"/>
  <c r="E21" i="11" s="1"/>
  <c r="I10" i="31" a="1"/>
  <c r="I10" i="31" s="1"/>
  <c r="H3" i="9" s="1"/>
  <c r="H4" i="9" s="1"/>
  <c r="I12" i="31" a="1"/>
  <c r="I12" i="31" s="1"/>
  <c r="H6" i="9" s="1"/>
  <c r="H44" i="9" s="1"/>
  <c r="I11" i="31" a="1"/>
  <c r="I11" i="31" s="1"/>
  <c r="H5" i="9" s="1"/>
  <c r="I15" i="31" a="1"/>
  <c r="I15" i="31" s="1"/>
  <c r="H8" i="11" s="1"/>
  <c r="G4" i="1"/>
  <c r="C16" i="31" a="1"/>
  <c r="C16" i="31" s="1"/>
  <c r="D16" i="31" a="1"/>
  <c r="D16" i="31" s="1"/>
  <c r="I16" i="31" a="1"/>
  <c r="I16" i="31" s="1"/>
  <c r="E16" i="31" a="1"/>
  <c r="E16" i="31" s="1"/>
  <c r="F16" i="31" a="1"/>
  <c r="F16" i="31" s="1"/>
  <c r="G16" i="31" a="1"/>
  <c r="G16" i="31" s="1"/>
  <c r="H16" i="31" a="1"/>
  <c r="H16" i="31" s="1"/>
  <c r="A217" i="31"/>
  <c r="A226" i="31" s="1"/>
  <c r="O17" i="31"/>
  <c r="G41" i="9"/>
  <c r="G39" i="9"/>
  <c r="G40" i="9"/>
  <c r="G38" i="9"/>
  <c r="G42" i="9"/>
  <c r="G12" i="11"/>
  <c r="G21" i="11" s="1"/>
  <c r="G13" i="11"/>
  <c r="G22" i="11" s="1"/>
  <c r="J5" i="31"/>
  <c r="J8" i="31" s="1" a="1"/>
  <c r="J8" i="31" s="1"/>
  <c r="K19" i="39" s="1"/>
  <c r="G34" i="9" l="1"/>
  <c r="F43" i="9"/>
  <c r="G76" i="39"/>
  <c r="K21" i="39"/>
  <c r="I25" i="26"/>
  <c r="I39" i="39"/>
  <c r="I40" i="39"/>
  <c r="J21" i="39"/>
  <c r="B13" i="43" s="1" a="1"/>
  <c r="B13" i="43" s="1"/>
  <c r="H25" i="26"/>
  <c r="H76" i="39"/>
  <c r="J7" i="31" a="1"/>
  <c r="J7" i="31" s="1"/>
  <c r="K6" i="39" s="1"/>
  <c r="J9" i="31" a="1"/>
  <c r="J9" i="31" s="1"/>
  <c r="I3" i="12" s="1"/>
  <c r="J16" i="31" a="1"/>
  <c r="J16" i="31" s="1"/>
  <c r="J10" i="31" a="1"/>
  <c r="J10" i="31" s="1"/>
  <c r="I3" i="9" s="1"/>
  <c r="I4" i="9" s="1"/>
  <c r="J11" i="31" a="1"/>
  <c r="J11" i="31" s="1"/>
  <c r="I5" i="9" s="1"/>
  <c r="J12" i="31" a="1"/>
  <c r="J12" i="31" s="1"/>
  <c r="I6" i="9" s="1"/>
  <c r="I44" i="9" s="1"/>
  <c r="J15" i="31" a="1"/>
  <c r="J15" i="31" s="1"/>
  <c r="I8" i="11" s="1"/>
  <c r="H4" i="1"/>
  <c r="C17" i="31" a="1"/>
  <c r="C17" i="31" s="1"/>
  <c r="B8" i="21" s="1"/>
  <c r="J17" i="31" a="1"/>
  <c r="J17" i="31" s="1"/>
  <c r="I8" i="21" s="1"/>
  <c r="F17" i="31" a="1"/>
  <c r="F17" i="31" s="1"/>
  <c r="E8" i="21" s="1"/>
  <c r="E17" i="31" a="1"/>
  <c r="E17" i="31" s="1"/>
  <c r="D8" i="21" s="1"/>
  <c r="H17" i="31" a="1"/>
  <c r="H17" i="31" s="1"/>
  <c r="G8" i="21" s="1"/>
  <c r="I17" i="31" a="1"/>
  <c r="I17" i="31" s="1"/>
  <c r="H8" i="21" s="1"/>
  <c r="D17" i="31" a="1"/>
  <c r="D17" i="31" s="1"/>
  <c r="C8" i="21" s="1"/>
  <c r="G17" i="31" a="1"/>
  <c r="G17" i="31" s="1"/>
  <c r="F8" i="21" s="1"/>
  <c r="H41" i="9"/>
  <c r="H38" i="9"/>
  <c r="H40" i="9"/>
  <c r="H42" i="9"/>
  <c r="H39" i="9"/>
  <c r="H12" i="11"/>
  <c r="H21" i="11" s="1"/>
  <c r="H13" i="11"/>
  <c r="H22" i="11" s="1"/>
  <c r="K5" i="31"/>
  <c r="K8" i="31" s="1" a="1"/>
  <c r="K8" i="31" s="1"/>
  <c r="L19" i="39" s="1"/>
  <c r="H34" i="9" l="1"/>
  <c r="G43" i="9"/>
  <c r="I76" i="39"/>
  <c r="J39" i="39"/>
  <c r="J40" i="39"/>
  <c r="L21" i="39"/>
  <c r="J25" i="26"/>
  <c r="K39" i="39"/>
  <c r="K40" i="39"/>
  <c r="K7" i="31" a="1"/>
  <c r="K7" i="31" s="1"/>
  <c r="L6" i="39" s="1"/>
  <c r="K9" i="31" a="1"/>
  <c r="K9" i="31" s="1"/>
  <c r="J3" i="12" s="1"/>
  <c r="K10" i="31" a="1"/>
  <c r="K10" i="31" s="1"/>
  <c r="J3" i="9" s="1"/>
  <c r="J4" i="9" s="1"/>
  <c r="K12" i="31" a="1"/>
  <c r="K12" i="31" s="1"/>
  <c r="J6" i="9" s="1"/>
  <c r="J44" i="9" s="1"/>
  <c r="K11" i="31" a="1"/>
  <c r="K11" i="31" s="1"/>
  <c r="J5" i="9" s="1"/>
  <c r="K15" i="31" a="1"/>
  <c r="K15" i="31" s="1"/>
  <c r="J8" i="11" s="1"/>
  <c r="K16" i="31" a="1"/>
  <c r="K16" i="31" s="1"/>
  <c r="K17" i="31" a="1"/>
  <c r="K17" i="31" s="1"/>
  <c r="J8" i="21" s="1"/>
  <c r="I4" i="1"/>
  <c r="I41" i="9"/>
  <c r="I39" i="9"/>
  <c r="I42" i="9"/>
  <c r="I40" i="9"/>
  <c r="I38" i="9"/>
  <c r="I13" i="11"/>
  <c r="I22" i="11" s="1"/>
  <c r="I12" i="11"/>
  <c r="I21" i="11" s="1"/>
  <c r="L5" i="31"/>
  <c r="L8" i="31" s="1" a="1"/>
  <c r="L8" i="31" s="1"/>
  <c r="M19" i="39" s="1"/>
  <c r="I34" i="9" l="1"/>
  <c r="H43" i="9"/>
  <c r="K76" i="39"/>
  <c r="L39" i="39"/>
  <c r="L40" i="39"/>
  <c r="M21" i="39"/>
  <c r="K25" i="26"/>
  <c r="J76" i="39"/>
  <c r="L7" i="31" a="1"/>
  <c r="L7" i="31" s="1"/>
  <c r="M6" i="39" s="1"/>
  <c r="L9" i="31" a="1"/>
  <c r="L9" i="31" s="1"/>
  <c r="K3" i="12" s="1"/>
  <c r="L10" i="31" a="1"/>
  <c r="L10" i="31" s="1"/>
  <c r="K3" i="9" s="1"/>
  <c r="K4" i="9" s="1"/>
  <c r="L11" i="31" a="1"/>
  <c r="L11" i="31" s="1"/>
  <c r="K5" i="9" s="1"/>
  <c r="L12" i="31" a="1"/>
  <c r="L12" i="31" s="1"/>
  <c r="K6" i="9" s="1"/>
  <c r="K44" i="9" s="1"/>
  <c r="L15" i="31" a="1"/>
  <c r="L15" i="31" s="1"/>
  <c r="K8" i="11" s="1"/>
  <c r="L16" i="31" a="1"/>
  <c r="L16" i="31" s="1"/>
  <c r="L17" i="31" a="1"/>
  <c r="L17" i="31" s="1"/>
  <c r="K8" i="21" s="1"/>
  <c r="J4" i="1"/>
  <c r="J41" i="9"/>
  <c r="J38" i="9"/>
  <c r="J39" i="9"/>
  <c r="J42" i="9"/>
  <c r="J40" i="9"/>
  <c r="J12" i="11"/>
  <c r="J21" i="11" s="1"/>
  <c r="J13" i="11"/>
  <c r="J22" i="11" s="1"/>
  <c r="M5" i="31"/>
  <c r="M8" i="31" s="1" a="1"/>
  <c r="M8" i="31" s="1"/>
  <c r="N19" i="39" s="1"/>
  <c r="J34" i="9" l="1"/>
  <c r="I43" i="9"/>
  <c r="M39" i="39"/>
  <c r="M40" i="39"/>
  <c r="N21" i="39"/>
  <c r="L25" i="26"/>
  <c r="L76" i="39"/>
  <c r="M7" i="31" a="1"/>
  <c r="M7" i="31" s="1"/>
  <c r="N6" i="39" s="1"/>
  <c r="M9" i="31" a="1"/>
  <c r="M9" i="31" s="1"/>
  <c r="L3" i="12" s="1"/>
  <c r="M10" i="31" a="1"/>
  <c r="M10" i="31" s="1"/>
  <c r="L3" i="9" s="1"/>
  <c r="L4" i="9" s="1"/>
  <c r="M11" i="31" a="1"/>
  <c r="M11" i="31" s="1"/>
  <c r="L5" i="9" s="1"/>
  <c r="M12" i="31" a="1"/>
  <c r="M12" i="31" s="1"/>
  <c r="L6" i="9" s="1"/>
  <c r="L44" i="9" s="1"/>
  <c r="M15" i="31" a="1"/>
  <c r="M15" i="31" s="1"/>
  <c r="L8" i="11" s="1"/>
  <c r="M16" i="31" a="1"/>
  <c r="M16" i="31" s="1"/>
  <c r="M17" i="31" a="1"/>
  <c r="M17" i="31" s="1"/>
  <c r="L8" i="21" s="1"/>
  <c r="K4" i="1"/>
  <c r="K41" i="9"/>
  <c r="K42" i="9"/>
  <c r="K39" i="9"/>
  <c r="K38" i="9"/>
  <c r="K40" i="9"/>
  <c r="K12" i="11"/>
  <c r="K21" i="11" s="1"/>
  <c r="K13" i="11"/>
  <c r="K22" i="11" s="1"/>
  <c r="N5" i="31"/>
  <c r="N8" i="31" s="1" a="1"/>
  <c r="N8" i="31" s="1"/>
  <c r="O19" i="39" s="1"/>
  <c r="K34" i="9" l="1"/>
  <c r="J43" i="9"/>
  <c r="N39" i="39"/>
  <c r="N40" i="39"/>
  <c r="O21" i="39"/>
  <c r="O40" i="39" s="1"/>
  <c r="M25" i="26"/>
  <c r="M76" i="39"/>
  <c r="N7" i="31" a="1"/>
  <c r="N7" i="31" s="1"/>
  <c r="O6" i="39" s="1"/>
  <c r="N9" i="31" a="1"/>
  <c r="N9" i="31" s="1"/>
  <c r="M3" i="12" s="1"/>
  <c r="N10" i="31" a="1"/>
  <c r="N10" i="31" s="1"/>
  <c r="M3" i="9" s="1"/>
  <c r="M4" i="9" s="1"/>
  <c r="N11" i="31" a="1"/>
  <c r="N11" i="31" s="1"/>
  <c r="M5" i="9" s="1"/>
  <c r="N12" i="31" a="1"/>
  <c r="N12" i="31" s="1"/>
  <c r="M6" i="9" s="1"/>
  <c r="M44" i="9" s="1"/>
  <c r="N15" i="31" a="1"/>
  <c r="N15" i="31" s="1"/>
  <c r="M8" i="11" s="1"/>
  <c r="N16" i="31" a="1"/>
  <c r="N16" i="31" s="1"/>
  <c r="N17" i="31" a="1"/>
  <c r="N17" i="31" s="1"/>
  <c r="M8" i="21" s="1"/>
  <c r="L4" i="1"/>
  <c r="L41" i="9"/>
  <c r="L40" i="9"/>
  <c r="L39" i="9"/>
  <c r="L38" i="9"/>
  <c r="L42" i="9"/>
  <c r="L13" i="11"/>
  <c r="L22" i="11" s="1"/>
  <c r="L12" i="11"/>
  <c r="L21" i="11" s="1"/>
  <c r="L34" i="9" l="1"/>
  <c r="K43" i="9"/>
  <c r="O39" i="39"/>
  <c r="N76" i="39"/>
  <c r="M4" i="1"/>
  <c r="M41" i="9"/>
  <c r="M39" i="9"/>
  <c r="M42" i="9"/>
  <c r="M40" i="9"/>
  <c r="M38" i="9"/>
  <c r="M13" i="11"/>
  <c r="M22" i="11" s="1"/>
  <c r="M12" i="11"/>
  <c r="M21" i="11" s="1"/>
  <c r="M34" i="9" l="1"/>
  <c r="M43" i="9" s="1"/>
  <c r="L43" i="9"/>
  <c r="O76" i="39"/>
  <c r="G1" i="30" l="1"/>
  <c r="H1" i="30" s="1"/>
  <c r="I1" i="30" s="1"/>
  <c r="J1" i="30" s="1"/>
  <c r="K1" i="30" s="1"/>
  <c r="L1" i="30" s="1"/>
  <c r="M1" i="30" s="1"/>
  <c r="C13" i="31" l="1" a="1"/>
  <c r="C13" i="31" s="1"/>
  <c r="B18" i="5" s="1"/>
  <c r="B26" i="5" s="1"/>
  <c r="C14" i="31" a="1"/>
  <c r="C14" i="31" s="1"/>
  <c r="B19" i="5" s="1"/>
  <c r="B27" i="5" s="1"/>
  <c r="B23" i="5" s="1"/>
  <c r="B22" i="5" l="1"/>
  <c r="D14" i="31" l="1" a="1"/>
  <c r="D14" i="31" s="1"/>
  <c r="C19" i="5" s="1"/>
  <c r="C27" i="5" s="1"/>
  <c r="C23" i="5" s="1"/>
  <c r="E14" i="31" l="1" a="1"/>
  <c r="E14" i="31" s="1"/>
  <c r="D19" i="5" s="1"/>
  <c r="D27" i="5" s="1"/>
  <c r="D23" i="5" s="1"/>
  <c r="F14" i="31" a="1"/>
  <c r="F14" i="31" s="1"/>
  <c r="E19" i="5" s="1"/>
  <c r="E27" i="5" s="1"/>
  <c r="E23" i="5" s="1"/>
  <c r="D13" i="31" a="1"/>
  <c r="D13" i="31" s="1"/>
  <c r="C18" i="5" s="1"/>
  <c r="C26" i="5" s="1"/>
  <c r="C22" i="5" s="1"/>
  <c r="E13" i="31" l="1" a="1"/>
  <c r="E13" i="31" s="1"/>
  <c r="D18" i="5" s="1"/>
  <c r="D26" i="5" s="1"/>
  <c r="D22" i="5" s="1"/>
  <c r="G14" i="31" l="1" a="1"/>
  <c r="G14" i="31" s="1"/>
  <c r="F19" i="5" s="1"/>
  <c r="F27" i="5" s="1"/>
  <c r="F23" i="5" s="1"/>
  <c r="H14" i="31" a="1"/>
  <c r="H14" i="31" s="1"/>
  <c r="G19" i="5" s="1"/>
  <c r="G27" i="5" s="1"/>
  <c r="G23" i="5" s="1"/>
  <c r="G20" i="26"/>
  <c r="H20" i="26" s="1"/>
  <c r="I20" i="26" s="1"/>
  <c r="J20" i="26" s="1"/>
  <c r="K20" i="26" s="1"/>
  <c r="L20" i="26" s="1"/>
  <c r="M20" i="26" s="1"/>
  <c r="N1" i="22"/>
  <c r="O1" i="22" s="1"/>
  <c r="P1" i="22" s="1"/>
  <c r="Q1" i="22" s="1"/>
  <c r="R1" i="22" s="1"/>
  <c r="S1" i="22" s="1"/>
  <c r="T1" i="22" s="1"/>
  <c r="C57" i="3"/>
  <c r="D57" i="3"/>
  <c r="E57" i="3"/>
  <c r="F57" i="3"/>
  <c r="G57" i="3"/>
  <c r="H57" i="3"/>
  <c r="I57" i="3"/>
  <c r="J57" i="3"/>
  <c r="K57" i="3"/>
  <c r="L57" i="3"/>
  <c r="M57" i="3"/>
  <c r="B57" i="3"/>
  <c r="C55" i="3"/>
  <c r="D55" i="3"/>
  <c r="E55" i="3"/>
  <c r="F55" i="3"/>
  <c r="G55" i="3"/>
  <c r="H55" i="3"/>
  <c r="I55" i="3"/>
  <c r="J55" i="3"/>
  <c r="K55" i="3"/>
  <c r="L55" i="3"/>
  <c r="M55" i="3"/>
  <c r="B55" i="3"/>
  <c r="E53" i="3"/>
  <c r="F53" i="3"/>
  <c r="G53" i="3"/>
  <c r="H53" i="3"/>
  <c r="I53" i="3"/>
  <c r="J53" i="3"/>
  <c r="K53" i="3"/>
  <c r="L53" i="3"/>
  <c r="M53" i="3"/>
  <c r="H52" i="3"/>
  <c r="M52" i="3"/>
  <c r="E9" i="2"/>
  <c r="H56" i="3" s="1"/>
  <c r="C53" i="3"/>
  <c r="D53" i="3"/>
  <c r="B53" i="3"/>
  <c r="D52" i="3"/>
  <c r="C52" i="3"/>
  <c r="B52" i="3"/>
  <c r="B45" i="3"/>
  <c r="C45" i="3"/>
  <c r="D45" i="3"/>
  <c r="E45" i="3"/>
  <c r="F45" i="3"/>
  <c r="G45" i="3"/>
  <c r="H45" i="3"/>
  <c r="I45" i="3"/>
  <c r="J45" i="3"/>
  <c r="K45" i="3"/>
  <c r="L45" i="3"/>
  <c r="M45" i="3"/>
  <c r="C44" i="3"/>
  <c r="D44" i="3"/>
  <c r="B44" i="3"/>
  <c r="C43" i="3"/>
  <c r="D43" i="3"/>
  <c r="Q12" i="47" s="1"/>
  <c r="E43" i="3"/>
  <c r="F43" i="3"/>
  <c r="G43" i="3"/>
  <c r="H43" i="3"/>
  <c r="I43" i="3"/>
  <c r="J43" i="3"/>
  <c r="K43" i="3"/>
  <c r="L43" i="3"/>
  <c r="M43" i="3"/>
  <c r="B43" i="3"/>
  <c r="C42" i="3"/>
  <c r="D42" i="3"/>
  <c r="B42" i="3"/>
  <c r="C41" i="3"/>
  <c r="D41" i="3"/>
  <c r="B41" i="3"/>
  <c r="C40" i="3"/>
  <c r="D40" i="3"/>
  <c r="B40" i="3"/>
  <c r="M44" i="3"/>
  <c r="I14" i="31" l="1" a="1"/>
  <c r="I14" i="31" s="1"/>
  <c r="H19" i="5" s="1"/>
  <c r="H27" i="5" s="1"/>
  <c r="H23" i="5" s="1"/>
  <c r="L44" i="3"/>
  <c r="H44" i="3"/>
  <c r="K44" i="3"/>
  <c r="J44" i="3"/>
  <c r="F44" i="3"/>
  <c r="G44" i="3"/>
  <c r="I44" i="3"/>
  <c r="E44" i="3"/>
  <c r="C39" i="3"/>
  <c r="D39" i="3"/>
  <c r="B39" i="3"/>
  <c r="C38" i="3"/>
  <c r="D38" i="3"/>
  <c r="E38" i="3"/>
  <c r="F38" i="3"/>
  <c r="G38" i="3"/>
  <c r="H38" i="3"/>
  <c r="I38" i="3"/>
  <c r="J38" i="3"/>
  <c r="K38" i="3"/>
  <c r="L38" i="3"/>
  <c r="M38" i="3"/>
  <c r="B38" i="3"/>
  <c r="C36" i="3"/>
  <c r="D36" i="3"/>
  <c r="E36" i="3"/>
  <c r="B36" i="3"/>
  <c r="J14" i="31" l="1" a="1"/>
  <c r="J14" i="31" s="1"/>
  <c r="I19" i="5" s="1"/>
  <c r="I27" i="5" s="1"/>
  <c r="I23" i="5" s="1"/>
  <c r="G36" i="3"/>
  <c r="F36" i="3"/>
  <c r="K14" i="31" l="1" a="1"/>
  <c r="K14" i="31" s="1"/>
  <c r="J19" i="5" s="1"/>
  <c r="J27" i="5" s="1"/>
  <c r="J23" i="5" s="1"/>
  <c r="G13" i="31" a="1"/>
  <c r="G13" i="31" s="1"/>
  <c r="F18" i="5" s="1"/>
  <c r="F26" i="5" s="1"/>
  <c r="F22" i="5" s="1"/>
  <c r="F13" i="31" a="1"/>
  <c r="F13" i="31" s="1"/>
  <c r="E18" i="5" s="1"/>
  <c r="E26" i="5" s="1"/>
  <c r="E22" i="5" s="1"/>
  <c r="H36" i="3"/>
  <c r="L14" i="31" l="1" a="1"/>
  <c r="L14" i="31" s="1"/>
  <c r="K19" i="5" s="1"/>
  <c r="K27" i="5" s="1"/>
  <c r="K23" i="5" s="1"/>
  <c r="H13" i="31" a="1"/>
  <c r="H13" i="31" s="1"/>
  <c r="G18" i="5" s="1"/>
  <c r="G26" i="5" s="1"/>
  <c r="G22" i="5" s="1"/>
  <c r="I36" i="3"/>
  <c r="M14" i="31" l="1" a="1"/>
  <c r="M14" i="31" s="1"/>
  <c r="L19" i="5" s="1"/>
  <c r="L27" i="5" s="1"/>
  <c r="L23" i="5" s="1"/>
  <c r="N14" i="31" a="1"/>
  <c r="N14" i="31" s="1"/>
  <c r="M19" i="5" s="1"/>
  <c r="M27" i="5" s="1"/>
  <c r="M23" i="5" s="1"/>
  <c r="I13" i="31" a="1"/>
  <c r="I13" i="31" s="1"/>
  <c r="H18" i="5" s="1"/>
  <c r="H26" i="5" s="1"/>
  <c r="H22" i="5" s="1"/>
  <c r="J36" i="3"/>
  <c r="J13" i="31" l="1" a="1"/>
  <c r="J13" i="31" s="1"/>
  <c r="I18" i="5" s="1"/>
  <c r="I26" i="5" s="1"/>
  <c r="I22" i="5" s="1"/>
  <c r="K36" i="3"/>
  <c r="K13" i="31" l="1" a="1"/>
  <c r="K13" i="31" s="1"/>
  <c r="J18" i="5" s="1"/>
  <c r="J26" i="5" s="1"/>
  <c r="J22" i="5" s="1"/>
  <c r="L36" i="3"/>
  <c r="M36" i="3"/>
  <c r="L13" i="31" l="1" a="1"/>
  <c r="L13" i="31" s="1"/>
  <c r="K18" i="5" s="1"/>
  <c r="K26" i="5" s="1"/>
  <c r="K22" i="5" s="1"/>
  <c r="B27" i="3"/>
  <c r="C19" i="3"/>
  <c r="D19" i="3"/>
  <c r="E19" i="3"/>
  <c r="F19" i="3"/>
  <c r="G19" i="3"/>
  <c r="H19" i="3"/>
  <c r="I19" i="3"/>
  <c r="J19" i="3"/>
  <c r="K19" i="3"/>
  <c r="L19" i="3"/>
  <c r="M19" i="3"/>
  <c r="B19" i="3"/>
  <c r="E6" i="2"/>
  <c r="E5" i="2"/>
  <c r="C11" i="3"/>
  <c r="D11" i="3"/>
  <c r="E11" i="3"/>
  <c r="F11" i="3"/>
  <c r="G11" i="3"/>
  <c r="H11" i="3"/>
  <c r="I11" i="3"/>
  <c r="J11" i="3"/>
  <c r="K11" i="3"/>
  <c r="L11" i="3"/>
  <c r="M11" i="3"/>
  <c r="B11" i="3"/>
  <c r="D5" i="3"/>
  <c r="D26" i="3" s="1"/>
  <c r="E5" i="3"/>
  <c r="E10" i="3" s="1"/>
  <c r="F5" i="3"/>
  <c r="F26" i="3" s="1"/>
  <c r="G5" i="3"/>
  <c r="G10" i="3" s="1"/>
  <c r="H5" i="3"/>
  <c r="H26" i="3" s="1"/>
  <c r="I5" i="3"/>
  <c r="I26" i="3" s="1"/>
  <c r="J5" i="3"/>
  <c r="J26" i="3" s="1"/>
  <c r="K5" i="3"/>
  <c r="K10" i="3" s="1"/>
  <c r="L5" i="3"/>
  <c r="L10" i="3" s="1"/>
  <c r="M5" i="3"/>
  <c r="M10" i="3" s="1"/>
  <c r="C2" i="3"/>
  <c r="D2" i="3" s="1"/>
  <c r="E2" i="3" s="1"/>
  <c r="F2" i="3" s="1"/>
  <c r="G2" i="3" s="1"/>
  <c r="C29" i="3"/>
  <c r="D29" i="3" s="1"/>
  <c r="E29" i="3" s="1"/>
  <c r="F29" i="3" s="1"/>
  <c r="G29" i="3" s="1"/>
  <c r="H29" i="3" s="1"/>
  <c r="I29" i="3" s="1"/>
  <c r="J29" i="3" s="1"/>
  <c r="K29" i="3" s="1"/>
  <c r="L29" i="3" s="1"/>
  <c r="M29" i="3" s="1"/>
  <c r="C21" i="3"/>
  <c r="D21" i="3" s="1"/>
  <c r="E21" i="3" s="1"/>
  <c r="F21" i="3" s="1"/>
  <c r="G21" i="3" s="1"/>
  <c r="H21" i="3" s="1"/>
  <c r="I21" i="3" s="1"/>
  <c r="J21" i="3" s="1"/>
  <c r="K21" i="3" s="1"/>
  <c r="L21" i="3" s="1"/>
  <c r="M21" i="3" s="1"/>
  <c r="C13" i="3"/>
  <c r="D13" i="3" s="1"/>
  <c r="E13" i="3" s="1"/>
  <c r="F13" i="3" s="1"/>
  <c r="G13" i="3" s="1"/>
  <c r="H13" i="3" s="1"/>
  <c r="I13" i="3" s="1"/>
  <c r="J13" i="3" s="1"/>
  <c r="K13" i="3" s="1"/>
  <c r="L13" i="3" s="1"/>
  <c r="M13" i="3" s="1"/>
  <c r="H2" i="3" l="1"/>
  <c r="S4" i="47"/>
  <c r="M13" i="31" a="1"/>
  <c r="M13" i="31" s="1"/>
  <c r="L18" i="5" s="1"/>
  <c r="L26" i="5" s="1"/>
  <c r="L22" i="5" s="1"/>
  <c r="N13" i="31" a="1"/>
  <c r="N13" i="31" s="1"/>
  <c r="M18" i="5" s="1"/>
  <c r="M26" i="5" s="1"/>
  <c r="M22" i="5" s="1"/>
  <c r="J10" i="3"/>
  <c r="I10" i="3"/>
  <c r="D10" i="3"/>
  <c r="M18" i="3"/>
  <c r="I18" i="3"/>
  <c r="E18" i="3"/>
  <c r="M26" i="3"/>
  <c r="E26" i="3"/>
  <c r="H10" i="3"/>
  <c r="L18" i="3"/>
  <c r="H18" i="3"/>
  <c r="D18" i="3"/>
  <c r="L26" i="3"/>
  <c r="F10" i="3"/>
  <c r="K18" i="3"/>
  <c r="G18" i="3"/>
  <c r="K26" i="3"/>
  <c r="G26" i="3"/>
  <c r="J18" i="3"/>
  <c r="F18" i="3"/>
  <c r="I4" i="47" l="1" a="1"/>
  <c r="I4" i="47" s="1"/>
  <c r="Q25" i="47" a="1"/>
  <c r="Q25" i="47" s="1"/>
  <c r="I2" i="3"/>
  <c r="J2" i="3" s="1"/>
  <c r="K2" i="3" s="1"/>
  <c r="L2" i="3" s="1"/>
  <c r="M2" i="3" s="1"/>
  <c r="E52" i="3"/>
  <c r="N17" i="47" a="1"/>
  <c r="N17" i="47" s="1"/>
  <c r="N16" i="47" a="1"/>
  <c r="N16" i="47" s="1"/>
  <c r="P12" i="47" a="1"/>
  <c r="P12" i="47" s="1"/>
  <c r="D12" i="47" a="1"/>
  <c r="D12" i="47" s="1"/>
  <c r="C41" i="12"/>
  <c r="D41" i="12"/>
  <c r="B41" i="12"/>
  <c r="E39" i="12"/>
  <c r="F39" i="12" s="1"/>
  <c r="G39" i="12" s="1"/>
  <c r="H39" i="12" s="1"/>
  <c r="I39" i="12" s="1"/>
  <c r="J39" i="12" s="1"/>
  <c r="E38" i="12"/>
  <c r="F38" i="12" s="1"/>
  <c r="G38" i="12" s="1"/>
  <c r="H38" i="12" s="1"/>
  <c r="I38" i="12" s="1"/>
  <c r="J38" i="12" s="1"/>
  <c r="E36" i="12"/>
  <c r="F36" i="12" s="1"/>
  <c r="G36" i="12" s="1"/>
  <c r="H36" i="12" s="1"/>
  <c r="I36" i="12" s="1"/>
  <c r="J36" i="12" s="1"/>
  <c r="E35" i="12"/>
  <c r="F35" i="12" s="1"/>
  <c r="G35" i="12" s="1"/>
  <c r="H35" i="12" s="1"/>
  <c r="I35" i="12" s="1"/>
  <c r="J35" i="12" s="1"/>
  <c r="E33" i="12"/>
  <c r="F33" i="12" s="1"/>
  <c r="G33" i="12" s="1"/>
  <c r="H33" i="12" s="1"/>
  <c r="I33" i="12" s="1"/>
  <c r="J33" i="12" s="1"/>
  <c r="E32" i="12"/>
  <c r="C40" i="12"/>
  <c r="D40" i="12"/>
  <c r="C37" i="12"/>
  <c r="D37" i="12"/>
  <c r="C34" i="12"/>
  <c r="D34" i="12"/>
  <c r="B40" i="12"/>
  <c r="B37" i="12"/>
  <c r="B34" i="12"/>
  <c r="E27" i="12"/>
  <c r="F27" i="12" s="1"/>
  <c r="G27" i="12" s="1"/>
  <c r="E26" i="12"/>
  <c r="F26" i="12" s="1"/>
  <c r="G26" i="12" s="1"/>
  <c r="D28" i="12"/>
  <c r="D29" i="12" s="1"/>
  <c r="C28" i="12"/>
  <c r="C29" i="12" s="1"/>
  <c r="B28" i="12"/>
  <c r="B29" i="12" s="1"/>
  <c r="E20" i="12"/>
  <c r="F20" i="12" s="1"/>
  <c r="G20" i="12" s="1"/>
  <c r="H20" i="12" s="1"/>
  <c r="I20" i="12" s="1"/>
  <c r="J20" i="12" s="1"/>
  <c r="K20" i="12" s="1"/>
  <c r="L20" i="12" s="1"/>
  <c r="M20" i="12" s="1"/>
  <c r="D21" i="12"/>
  <c r="D22" i="12" s="1"/>
  <c r="D23" i="12" s="1"/>
  <c r="C21" i="12"/>
  <c r="C22" i="12" s="1"/>
  <c r="C23" i="12" s="1"/>
  <c r="B21" i="12"/>
  <c r="B22" i="12" s="1"/>
  <c r="B23" i="12" s="1"/>
  <c r="B13" i="21"/>
  <c r="B12" i="21"/>
  <c r="B22" i="10"/>
  <c r="C4" i="21"/>
  <c r="D4" i="21" s="1"/>
  <c r="E4" i="21" s="1"/>
  <c r="F4" i="21" s="1"/>
  <c r="G4" i="21" s="1"/>
  <c r="H4" i="21" s="1"/>
  <c r="I4" i="21" s="1"/>
  <c r="J4" i="21" s="1"/>
  <c r="K4" i="21" s="1"/>
  <c r="L4" i="21" s="1"/>
  <c r="M4" i="21" s="1"/>
  <c r="A32" i="20"/>
  <c r="A33" i="20"/>
  <c r="A34" i="20"/>
  <c r="A35" i="20"/>
  <c r="A31" i="20"/>
  <c r="C11" i="20"/>
  <c r="C12" i="20"/>
  <c r="C13" i="20"/>
  <c r="C14" i="20"/>
  <c r="C10" i="20"/>
  <c r="C2" i="20"/>
  <c r="D2" i="20" s="1"/>
  <c r="E2" i="20" s="1"/>
  <c r="F2" i="20" s="1"/>
  <c r="G2" i="20" s="1"/>
  <c r="H2" i="20" s="1"/>
  <c r="I2" i="20" s="1"/>
  <c r="J2" i="20" s="1"/>
  <c r="K2" i="20" s="1"/>
  <c r="L2" i="20" s="1"/>
  <c r="M2" i="20" s="1"/>
  <c r="L50" i="9"/>
  <c r="M51" i="9"/>
  <c r="K52" i="9"/>
  <c r="K53" i="9"/>
  <c r="L53" i="9"/>
  <c r="L54" i="9"/>
  <c r="M54" i="9"/>
  <c r="K46" i="9"/>
  <c r="K16" i="4" s="1"/>
  <c r="K50" i="9"/>
  <c r="K51" i="9"/>
  <c r="L51" i="9"/>
  <c r="L52" i="9"/>
  <c r="M52" i="9"/>
  <c r="M53" i="9"/>
  <c r="K54" i="9"/>
  <c r="K55" i="9"/>
  <c r="L55" i="9"/>
  <c r="M55" i="9"/>
  <c r="N25" i="47" l="1"/>
  <c r="J16" i="47" s="1"/>
  <c r="N28" i="47"/>
  <c r="J21" i="47" s="1"/>
  <c r="N27" i="47"/>
  <c r="J20" i="47" s="1"/>
  <c r="N26" i="47"/>
  <c r="J17" i="47" s="1"/>
  <c r="B16" i="21"/>
  <c r="B9" i="21"/>
  <c r="M66" i="39"/>
  <c r="D12" i="20"/>
  <c r="D11" i="20"/>
  <c r="D13" i="20"/>
  <c r="I52" i="3"/>
  <c r="I6" i="47"/>
  <c r="J9" i="47" s="1"/>
  <c r="P19" i="47"/>
  <c r="P15" i="47"/>
  <c r="P14" i="47"/>
  <c r="C6" i="20"/>
  <c r="C7" i="20" s="1"/>
  <c r="B6" i="20"/>
  <c r="B7" i="20" s="1"/>
  <c r="M46" i="9"/>
  <c r="M16" i="4" s="1"/>
  <c r="M50" i="9"/>
  <c r="D14" i="20"/>
  <c r="L46" i="9"/>
  <c r="L16" i="4" s="1"/>
  <c r="F32" i="12"/>
  <c r="F34" i="12" s="1"/>
  <c r="F40" i="3" s="1"/>
  <c r="K12" i="47" s="1" a="1"/>
  <c r="K12" i="47" s="1"/>
  <c r="K15" i="47" s="1"/>
  <c r="E41" i="12"/>
  <c r="D10" i="20"/>
  <c r="E11" i="20"/>
  <c r="C13" i="21"/>
  <c r="E37" i="12"/>
  <c r="E39" i="3"/>
  <c r="F37" i="12"/>
  <c r="F40" i="12"/>
  <c r="E34" i="12"/>
  <c r="E40" i="3" s="1"/>
  <c r="E40" i="12"/>
  <c r="F28" i="12"/>
  <c r="E28" i="12"/>
  <c r="G28" i="12"/>
  <c r="H27" i="12"/>
  <c r="I27" i="12" s="1"/>
  <c r="H26" i="12"/>
  <c r="E21" i="12"/>
  <c r="F21" i="12" s="1"/>
  <c r="G21" i="12" s="1"/>
  <c r="H21" i="12" s="1"/>
  <c r="C12" i="21"/>
  <c r="C9" i="21" s="1"/>
  <c r="C17" i="20" l="1"/>
  <c r="C21" i="20"/>
  <c r="C28" i="20" s="1"/>
  <c r="C35" i="20" s="1"/>
  <c r="C20" i="20"/>
  <c r="C12" i="4" s="1"/>
  <c r="C19" i="20"/>
  <c r="C26" i="20" s="1"/>
  <c r="C33" i="20" s="1"/>
  <c r="C18" i="20"/>
  <c r="C25" i="20"/>
  <c r="C32" i="20" s="1"/>
  <c r="C23" i="4"/>
  <c r="C13" i="4"/>
  <c r="B23" i="4"/>
  <c r="B13" i="4"/>
  <c r="K19" i="47"/>
  <c r="K23" i="47" s="1"/>
  <c r="K14" i="47"/>
  <c r="P23" i="47"/>
  <c r="N66" i="39"/>
  <c r="O66" i="39"/>
  <c r="E12" i="20"/>
  <c r="J52" i="3"/>
  <c r="E13" i="20"/>
  <c r="G52" i="3"/>
  <c r="F52" i="3"/>
  <c r="C24" i="20"/>
  <c r="C31" i="20" s="1"/>
  <c r="T21" i="47"/>
  <c r="S21" i="47"/>
  <c r="U21" i="47" s="1"/>
  <c r="T16" i="47"/>
  <c r="S16" i="47"/>
  <c r="U16" i="47" s="1"/>
  <c r="T20" i="47"/>
  <c r="S20" i="47"/>
  <c r="U20" i="47" s="1"/>
  <c r="S17" i="47"/>
  <c r="U17" i="47" s="1"/>
  <c r="T17" i="47"/>
  <c r="B26" i="20"/>
  <c r="B33" i="20" s="1"/>
  <c r="B25" i="20"/>
  <c r="B32" i="20" s="1"/>
  <c r="B27" i="20"/>
  <c r="B28" i="20"/>
  <c r="B35" i="20" s="1"/>
  <c r="B24" i="20"/>
  <c r="D6" i="20"/>
  <c r="D7" i="20" s="1"/>
  <c r="F29" i="12"/>
  <c r="F42" i="3"/>
  <c r="M12" i="47" s="1" a="1"/>
  <c r="M12" i="47" s="1"/>
  <c r="D13" i="21"/>
  <c r="F11" i="20"/>
  <c r="G32" i="12"/>
  <c r="F41" i="12"/>
  <c r="G29" i="12"/>
  <c r="G42" i="3"/>
  <c r="E29" i="12"/>
  <c r="E42" i="3"/>
  <c r="E14" i="20"/>
  <c r="E10" i="20"/>
  <c r="B22" i="4"/>
  <c r="F39" i="3"/>
  <c r="H12" i="47" s="1" a="1"/>
  <c r="H12" i="47" s="1"/>
  <c r="I40" i="12"/>
  <c r="G37" i="12"/>
  <c r="G40" i="12"/>
  <c r="K38" i="12"/>
  <c r="H40" i="12"/>
  <c r="H28" i="12"/>
  <c r="I26" i="12"/>
  <c r="J27" i="12"/>
  <c r="I21" i="12"/>
  <c r="H22" i="12"/>
  <c r="E22" i="12"/>
  <c r="G22" i="12"/>
  <c r="F22" i="12"/>
  <c r="C16" i="21"/>
  <c r="D12" i="21"/>
  <c r="D9" i="21" s="1"/>
  <c r="E56" i="3"/>
  <c r="F56" i="3"/>
  <c r="G56" i="3"/>
  <c r="I56" i="3"/>
  <c r="B11" i="12"/>
  <c r="B26" i="4" s="1"/>
  <c r="C22" i="4" l="1"/>
  <c r="D18" i="20"/>
  <c r="D25" i="20" s="1"/>
  <c r="D32" i="20" s="1"/>
  <c r="D17" i="20"/>
  <c r="D21" i="20"/>
  <c r="D28" i="20" s="1"/>
  <c r="D35" i="20" s="1"/>
  <c r="D20" i="20"/>
  <c r="D12" i="4" s="1"/>
  <c r="D19" i="20"/>
  <c r="D26" i="20" s="1"/>
  <c r="D33" i="20" s="1"/>
  <c r="C22" i="20"/>
  <c r="C27" i="20"/>
  <c r="C39" i="20" s="1"/>
  <c r="B12" i="4"/>
  <c r="D23" i="4"/>
  <c r="D13" i="4"/>
  <c r="M14" i="47"/>
  <c r="M19" i="47"/>
  <c r="M15" i="47"/>
  <c r="H19" i="47"/>
  <c r="H15" i="47"/>
  <c r="H14" i="47"/>
  <c r="F12" i="20"/>
  <c r="F13" i="20"/>
  <c r="D70" i="39"/>
  <c r="E20" i="35"/>
  <c r="D22" i="4"/>
  <c r="L52" i="3"/>
  <c r="K52" i="3"/>
  <c r="B34" i="20"/>
  <c r="B38" i="20"/>
  <c r="B31" i="20"/>
  <c r="B39" i="20"/>
  <c r="E6" i="20"/>
  <c r="E7" i="20" s="1"/>
  <c r="F23" i="12"/>
  <c r="F41" i="3"/>
  <c r="L12" i="47" s="1" a="1"/>
  <c r="L12" i="47" s="1"/>
  <c r="H32" i="12"/>
  <c r="G41" i="12"/>
  <c r="F14" i="20"/>
  <c r="H23" i="12"/>
  <c r="H41" i="3"/>
  <c r="H29" i="12"/>
  <c r="H42" i="3"/>
  <c r="G23" i="12"/>
  <c r="G41" i="3"/>
  <c r="E13" i="21"/>
  <c r="E23" i="12"/>
  <c r="E41" i="3"/>
  <c r="F10" i="20"/>
  <c r="G11" i="20"/>
  <c r="B56" i="3"/>
  <c r="B20" i="3"/>
  <c r="D83" i="39" s="1"/>
  <c r="B12" i="3"/>
  <c r="D82" i="39" s="1"/>
  <c r="F20" i="3"/>
  <c r="F12" i="3"/>
  <c r="I12" i="3"/>
  <c r="I20" i="3"/>
  <c r="E12" i="3"/>
  <c r="E20" i="3"/>
  <c r="H12" i="3"/>
  <c r="H20" i="3"/>
  <c r="D56" i="3"/>
  <c r="D20" i="3"/>
  <c r="D12" i="3"/>
  <c r="G12" i="3"/>
  <c r="G20" i="3"/>
  <c r="C56" i="3"/>
  <c r="C12" i="3"/>
  <c r="C20" i="3"/>
  <c r="G39" i="3"/>
  <c r="K33" i="12"/>
  <c r="L38" i="12"/>
  <c r="M38" i="12" s="1"/>
  <c r="K36" i="12"/>
  <c r="L36" i="12" s="1"/>
  <c r="H37" i="12"/>
  <c r="G34" i="12"/>
  <c r="G40" i="3" s="1"/>
  <c r="J40" i="12"/>
  <c r="K39" i="12"/>
  <c r="K40" i="12" s="1"/>
  <c r="I28" i="12"/>
  <c r="K27" i="12"/>
  <c r="L27" i="12" s="1"/>
  <c r="J26" i="12"/>
  <c r="J21" i="12"/>
  <c r="I22" i="12"/>
  <c r="C34" i="4"/>
  <c r="B34" i="4"/>
  <c r="D16" i="21"/>
  <c r="D34" i="4" s="1"/>
  <c r="E12" i="21"/>
  <c r="E9" i="21" s="1"/>
  <c r="B46" i="4"/>
  <c r="J56" i="3"/>
  <c r="E19" i="20" l="1"/>
  <c r="E26" i="20" s="1"/>
  <c r="E33" i="20" s="1"/>
  <c r="E18" i="20"/>
  <c r="E25" i="20" s="1"/>
  <c r="E32" i="20" s="1"/>
  <c r="E17" i="20"/>
  <c r="E21" i="20"/>
  <c r="E28" i="20" s="1"/>
  <c r="E35" i="20" s="1"/>
  <c r="E20" i="20"/>
  <c r="E27" i="20" s="1"/>
  <c r="D27" i="20"/>
  <c r="D22" i="20"/>
  <c r="D24" i="20"/>
  <c r="D31" i="20" s="1"/>
  <c r="C38" i="20"/>
  <c r="C34" i="20"/>
  <c r="C36" i="20" s="1"/>
  <c r="C33" i="4" s="1"/>
  <c r="E13" i="39" s="1"/>
  <c r="M23" i="47"/>
  <c r="D14" i="39"/>
  <c r="E14" i="39"/>
  <c r="F14" i="39"/>
  <c r="E23" i="4"/>
  <c r="E13" i="4"/>
  <c r="L14" i="47"/>
  <c r="R14" i="47" s="1"/>
  <c r="L15" i="47"/>
  <c r="L19" i="47"/>
  <c r="R19" i="47" s="1"/>
  <c r="R12" i="47"/>
  <c r="H23" i="47"/>
  <c r="B36" i="20"/>
  <c r="B33" i="4" s="1"/>
  <c r="D13" i="39" s="1"/>
  <c r="D38" i="20"/>
  <c r="D34" i="20"/>
  <c r="G13" i="20"/>
  <c r="E22" i="4"/>
  <c r="G12" i="20"/>
  <c r="E83" i="39"/>
  <c r="C58" i="3"/>
  <c r="C59" i="3" s="1"/>
  <c r="J5" i="22" s="1"/>
  <c r="E84" i="39"/>
  <c r="D22" i="3"/>
  <c r="D23" i="3" s="1"/>
  <c r="K3" i="22" s="1"/>
  <c r="F83" i="39"/>
  <c r="B58" i="3"/>
  <c r="B59" i="3" s="1"/>
  <c r="I5" i="22" s="1"/>
  <c r="D84" i="39"/>
  <c r="D58" i="3"/>
  <c r="D59" i="3" s="1"/>
  <c r="K5" i="22" s="1"/>
  <c r="F84" i="39"/>
  <c r="D14" i="3"/>
  <c r="D15" i="3" s="1"/>
  <c r="K2" i="22" s="1"/>
  <c r="D21" i="26" s="1"/>
  <c r="F82" i="39"/>
  <c r="E82" i="39"/>
  <c r="F6" i="20"/>
  <c r="F7" i="20" s="1"/>
  <c r="F13" i="21"/>
  <c r="I23" i="12"/>
  <c r="I41" i="3"/>
  <c r="I29" i="12"/>
  <c r="I42" i="3"/>
  <c r="H11" i="20"/>
  <c r="G10" i="20"/>
  <c r="I32" i="12"/>
  <c r="H41" i="12"/>
  <c r="H34" i="12"/>
  <c r="H40" i="3" s="1"/>
  <c r="G14" i="20"/>
  <c r="H39" i="3"/>
  <c r="J20" i="3"/>
  <c r="J12" i="3"/>
  <c r="L39" i="12"/>
  <c r="M39" i="12" s="1"/>
  <c r="M40" i="12" s="1"/>
  <c r="I37" i="12"/>
  <c r="M36" i="12"/>
  <c r="J37" i="12"/>
  <c r="K35" i="12"/>
  <c r="L33" i="12"/>
  <c r="M27" i="12"/>
  <c r="J28" i="12"/>
  <c r="K26" i="12"/>
  <c r="K28" i="12" s="1"/>
  <c r="K21" i="12"/>
  <c r="J22" i="12"/>
  <c r="D48" i="4"/>
  <c r="B48" i="4"/>
  <c r="C48" i="4"/>
  <c r="E16" i="21"/>
  <c r="E34" i="4" s="1"/>
  <c r="F12" i="21"/>
  <c r="F9" i="21" s="1"/>
  <c r="D36" i="20" l="1"/>
  <c r="D33" i="4" s="1"/>
  <c r="F13" i="39" s="1"/>
  <c r="E12" i="4"/>
  <c r="D39" i="20"/>
  <c r="F20" i="20"/>
  <c r="F27" i="20" s="1"/>
  <c r="F19" i="20"/>
  <c r="F26" i="20" s="1"/>
  <c r="F33" i="20" s="1"/>
  <c r="F18" i="20"/>
  <c r="F25" i="20" s="1"/>
  <c r="F32" i="20" s="1"/>
  <c r="F17" i="20"/>
  <c r="F21" i="20"/>
  <c r="F28" i="20" s="1"/>
  <c r="F35" i="20" s="1"/>
  <c r="E22" i="20"/>
  <c r="E24" i="20"/>
  <c r="E31" i="20" s="1"/>
  <c r="C47" i="4"/>
  <c r="L40" i="12"/>
  <c r="F23" i="4"/>
  <c r="F13" i="4"/>
  <c r="G14" i="39"/>
  <c r="R15" i="47"/>
  <c r="R23" i="47" s="1"/>
  <c r="L23" i="47"/>
  <c r="B47" i="4"/>
  <c r="H12" i="20"/>
  <c r="E34" i="20"/>
  <c r="E38" i="20"/>
  <c r="H13" i="20"/>
  <c r="B22" i="26"/>
  <c r="I21" i="22"/>
  <c r="C22" i="26"/>
  <c r="J21" i="22"/>
  <c r="D22" i="26"/>
  <c r="K21" i="22"/>
  <c r="I13" i="22"/>
  <c r="K13" i="22"/>
  <c r="J13" i="22"/>
  <c r="G6" i="20"/>
  <c r="G7" i="20" s="1"/>
  <c r="H14" i="20"/>
  <c r="J32" i="12"/>
  <c r="I41" i="12"/>
  <c r="I34" i="12"/>
  <c r="I40" i="3" s="1"/>
  <c r="K29" i="12"/>
  <c r="K42" i="3"/>
  <c r="I11" i="20"/>
  <c r="H10" i="20"/>
  <c r="J29" i="12"/>
  <c r="J42" i="3"/>
  <c r="G13" i="21"/>
  <c r="J23" i="12"/>
  <c r="J41" i="3"/>
  <c r="I39" i="3"/>
  <c r="K37" i="12"/>
  <c r="L35" i="12"/>
  <c r="M35" i="12"/>
  <c r="M33" i="12"/>
  <c r="L26" i="12"/>
  <c r="L28" i="12" s="1"/>
  <c r="L21" i="12"/>
  <c r="K22" i="12"/>
  <c r="F16" i="21"/>
  <c r="F34" i="4" s="1"/>
  <c r="G12" i="21"/>
  <c r="G9" i="21" s="1"/>
  <c r="D47" i="4" l="1"/>
  <c r="E36" i="20"/>
  <c r="E33" i="4" s="1"/>
  <c r="G13" i="39" s="1"/>
  <c r="F12" i="4"/>
  <c r="E39" i="20"/>
  <c r="F22" i="20"/>
  <c r="F24" i="20"/>
  <c r="F31" i="20" s="1"/>
  <c r="G17" i="20"/>
  <c r="G21" i="20"/>
  <c r="G28" i="20" s="1"/>
  <c r="G35" i="20" s="1"/>
  <c r="G20" i="20"/>
  <c r="G27" i="20" s="1"/>
  <c r="G19" i="20"/>
  <c r="G26" i="20" s="1"/>
  <c r="G33" i="20" s="1"/>
  <c r="G18" i="20"/>
  <c r="G25" i="20" s="1"/>
  <c r="G32" i="20" s="1"/>
  <c r="F22" i="4"/>
  <c r="H14" i="39"/>
  <c r="G23" i="4"/>
  <c r="G13" i="4"/>
  <c r="F38" i="20"/>
  <c r="F34" i="20"/>
  <c r="I13" i="20"/>
  <c r="I12" i="20"/>
  <c r="H6" i="20"/>
  <c r="H7" i="20" s="1"/>
  <c r="K23" i="12"/>
  <c r="K41" i="3"/>
  <c r="J11" i="20"/>
  <c r="J41" i="12"/>
  <c r="J34" i="12"/>
  <c r="J40" i="3" s="1"/>
  <c r="K32" i="12"/>
  <c r="I14" i="20"/>
  <c r="H13" i="21"/>
  <c r="L29" i="12"/>
  <c r="L42" i="3"/>
  <c r="I10" i="20"/>
  <c r="J39" i="3"/>
  <c r="L37" i="12"/>
  <c r="M37" i="12"/>
  <c r="M26" i="12"/>
  <c r="M28" i="12" s="1"/>
  <c r="M21" i="12"/>
  <c r="M22" i="12" s="1"/>
  <c r="L22" i="12"/>
  <c r="G16" i="21"/>
  <c r="G34" i="4" s="1"/>
  <c r="H12" i="21"/>
  <c r="H9" i="21" s="1"/>
  <c r="F39" i="20" l="1"/>
  <c r="G22" i="4"/>
  <c r="H18" i="20"/>
  <c r="H25" i="20" s="1"/>
  <c r="H32" i="20" s="1"/>
  <c r="H17" i="20"/>
  <c r="H21" i="20"/>
  <c r="H28" i="20" s="1"/>
  <c r="H35" i="20" s="1"/>
  <c r="H20" i="20"/>
  <c r="H27" i="20" s="1"/>
  <c r="H19" i="20"/>
  <c r="H26" i="20" s="1"/>
  <c r="H33" i="20" s="1"/>
  <c r="F36" i="20"/>
  <c r="F33" i="4" s="1"/>
  <c r="H13" i="39" s="1"/>
  <c r="G12" i="4"/>
  <c r="G22" i="20"/>
  <c r="G24" i="20"/>
  <c r="G31" i="20" s="1"/>
  <c r="H23" i="4"/>
  <c r="H13" i="4"/>
  <c r="I14" i="39"/>
  <c r="J13" i="20"/>
  <c r="J12" i="20"/>
  <c r="G34" i="20"/>
  <c r="G38" i="20"/>
  <c r="I6" i="20"/>
  <c r="I7" i="20" s="1"/>
  <c r="H16" i="21"/>
  <c r="H34" i="4" s="1"/>
  <c r="M29" i="12"/>
  <c r="M42" i="3"/>
  <c r="J14" i="20"/>
  <c r="L23" i="12"/>
  <c r="L41" i="3"/>
  <c r="J10" i="20"/>
  <c r="K11" i="20"/>
  <c r="I13" i="21"/>
  <c r="M23" i="12"/>
  <c r="M41" i="3"/>
  <c r="K34" i="12"/>
  <c r="K40" i="3" s="1"/>
  <c r="L32" i="12"/>
  <c r="M32" i="12" s="1"/>
  <c r="K41" i="12"/>
  <c r="K39" i="3"/>
  <c r="I12" i="21"/>
  <c r="I9" i="21" s="1"/>
  <c r="G36" i="20" l="1"/>
  <c r="G33" i="4" s="1"/>
  <c r="I13" i="39" s="1"/>
  <c r="H12" i="4"/>
  <c r="I19" i="20"/>
  <c r="I26" i="20" s="1"/>
  <c r="I33" i="20" s="1"/>
  <c r="I18" i="20"/>
  <c r="I25" i="20" s="1"/>
  <c r="I32" i="20" s="1"/>
  <c r="I17" i="20"/>
  <c r="I21" i="20"/>
  <c r="I28" i="20" s="1"/>
  <c r="I35" i="20" s="1"/>
  <c r="I20" i="20"/>
  <c r="I12" i="4" s="1"/>
  <c r="H22" i="4"/>
  <c r="H22" i="20"/>
  <c r="H24" i="20"/>
  <c r="H31" i="20" s="1"/>
  <c r="G39" i="20"/>
  <c r="I22" i="4"/>
  <c r="J14" i="39"/>
  <c r="I23" i="4"/>
  <c r="I13" i="4"/>
  <c r="I27" i="20"/>
  <c r="H38" i="20"/>
  <c r="H34" i="20"/>
  <c r="H36" i="20" s="1"/>
  <c r="H33" i="4" s="1"/>
  <c r="J13" i="39" s="1"/>
  <c r="K13" i="20"/>
  <c r="K12" i="20"/>
  <c r="J6" i="20"/>
  <c r="J7" i="20" s="1"/>
  <c r="L34" i="12"/>
  <c r="L40" i="3" s="1"/>
  <c r="L41" i="12"/>
  <c r="K10" i="20"/>
  <c r="K14" i="20"/>
  <c r="J13" i="21"/>
  <c r="I16" i="21"/>
  <c r="I34" i="4" s="1"/>
  <c r="L11" i="20"/>
  <c r="M34" i="12"/>
  <c r="M40" i="3" s="1"/>
  <c r="M41" i="12"/>
  <c r="M39" i="3"/>
  <c r="L39" i="3"/>
  <c r="J12" i="21"/>
  <c r="J9" i="21" s="1"/>
  <c r="H39" i="20" l="1"/>
  <c r="J20" i="20"/>
  <c r="J12" i="4" s="1"/>
  <c r="J19" i="20"/>
  <c r="J26" i="20" s="1"/>
  <c r="J33" i="20" s="1"/>
  <c r="J18" i="20"/>
  <c r="J25" i="20" s="1"/>
  <c r="J32" i="20" s="1"/>
  <c r="J17" i="20"/>
  <c r="J21" i="20"/>
  <c r="J28" i="20" s="1"/>
  <c r="J35" i="20" s="1"/>
  <c r="I22" i="20"/>
  <c r="I24" i="20"/>
  <c r="I31" i="20" s="1"/>
  <c r="J23" i="4"/>
  <c r="J13" i="4"/>
  <c r="K14" i="39"/>
  <c r="J27" i="20"/>
  <c r="L13" i="20"/>
  <c r="L12" i="20"/>
  <c r="I38" i="20"/>
  <c r="I34" i="20"/>
  <c r="K6" i="20"/>
  <c r="K7" i="20" s="1"/>
  <c r="K13" i="21"/>
  <c r="L10" i="20"/>
  <c r="L14" i="20"/>
  <c r="M11" i="20"/>
  <c r="J16" i="21"/>
  <c r="J34" i="4" s="1"/>
  <c r="K12" i="21"/>
  <c r="K9" i="21" s="1"/>
  <c r="I36" i="20" l="1"/>
  <c r="I33" i="4" s="1"/>
  <c r="K13" i="39" s="1"/>
  <c r="J22" i="4"/>
  <c r="I39" i="20"/>
  <c r="K17" i="20"/>
  <c r="K21" i="20"/>
  <c r="K28" i="20" s="1"/>
  <c r="K35" i="20" s="1"/>
  <c r="K20" i="20"/>
  <c r="K12" i="4" s="1"/>
  <c r="K19" i="20"/>
  <c r="K26" i="20" s="1"/>
  <c r="K33" i="20" s="1"/>
  <c r="K18" i="20"/>
  <c r="K25" i="20" s="1"/>
  <c r="K32" i="20" s="1"/>
  <c r="J22" i="20"/>
  <c r="J24" i="20"/>
  <c r="J31" i="20" s="1"/>
  <c r="K23" i="4"/>
  <c r="K13" i="4"/>
  <c r="L14" i="39"/>
  <c r="M13" i="20"/>
  <c r="M12" i="20"/>
  <c r="J38" i="20"/>
  <c r="J34" i="20"/>
  <c r="L6" i="20"/>
  <c r="L7" i="20" s="1"/>
  <c r="M14" i="20"/>
  <c r="M10" i="20"/>
  <c r="L13" i="21"/>
  <c r="K16" i="21"/>
  <c r="L12" i="21"/>
  <c r="L9" i="21" s="1"/>
  <c r="K27" i="20" l="1"/>
  <c r="K22" i="4"/>
  <c r="N24" i="35"/>
  <c r="J39" i="20"/>
  <c r="L18" i="20"/>
  <c r="L25" i="20" s="1"/>
  <c r="L32" i="20" s="1"/>
  <c r="L17" i="20"/>
  <c r="L21" i="20"/>
  <c r="L28" i="20" s="1"/>
  <c r="L35" i="20" s="1"/>
  <c r="L20" i="20"/>
  <c r="L12" i="4" s="1"/>
  <c r="L19" i="20"/>
  <c r="L26" i="20" s="1"/>
  <c r="L33" i="20" s="1"/>
  <c r="J36" i="20"/>
  <c r="J33" i="4" s="1"/>
  <c r="L13" i="39" s="1"/>
  <c r="K22" i="20"/>
  <c r="K24" i="20"/>
  <c r="L23" i="4"/>
  <c r="L13" i="4"/>
  <c r="K38" i="20"/>
  <c r="K34" i="20"/>
  <c r="M6" i="20"/>
  <c r="M7" i="20" s="1"/>
  <c r="M13" i="21"/>
  <c r="L16" i="21"/>
  <c r="M12" i="21"/>
  <c r="M9" i="21" s="1"/>
  <c r="L27" i="20" l="1"/>
  <c r="L22" i="4"/>
  <c r="K31" i="20"/>
  <c r="K36" i="20" s="1"/>
  <c r="K39" i="20"/>
  <c r="M19" i="20"/>
  <c r="M26" i="20" s="1"/>
  <c r="M33" i="20" s="1"/>
  <c r="M18" i="20"/>
  <c r="M17" i="20"/>
  <c r="M21" i="20"/>
  <c r="M28" i="20" s="1"/>
  <c r="M35" i="20" s="1"/>
  <c r="M20" i="20"/>
  <c r="L22" i="20"/>
  <c r="L24" i="20"/>
  <c r="L31" i="20" s="1"/>
  <c r="L39" i="20"/>
  <c r="O24" i="35"/>
  <c r="M23" i="4"/>
  <c r="M13" i="4"/>
  <c r="L34" i="20"/>
  <c r="L38" i="20"/>
  <c r="M16" i="21"/>
  <c r="L36" i="20" l="1"/>
  <c r="M25" i="20"/>
  <c r="M32" i="20" s="1"/>
  <c r="M22" i="4"/>
  <c r="M12" i="4"/>
  <c r="M27" i="20"/>
  <c r="M22" i="20"/>
  <c r="M24" i="20"/>
  <c r="M31" i="20" s="1"/>
  <c r="P24" i="35" l="1"/>
  <c r="M34" i="20"/>
  <c r="M36" i="20" s="1"/>
  <c r="M38" i="20"/>
  <c r="M39" i="20"/>
  <c r="B45" i="12"/>
  <c r="C2" i="12"/>
  <c r="D2" i="12" s="1"/>
  <c r="E2" i="12" s="1"/>
  <c r="F2" i="12" s="1"/>
  <c r="G2" i="12" s="1"/>
  <c r="H2" i="12" s="1"/>
  <c r="I2" i="12" s="1"/>
  <c r="J2" i="12" s="1"/>
  <c r="K2" i="12" s="1"/>
  <c r="L2" i="12" s="1"/>
  <c r="M2" i="12" s="1"/>
  <c r="B15" i="12" l="1"/>
  <c r="B17" i="12" s="1"/>
  <c r="B6" i="12"/>
  <c r="B9" i="12" s="1"/>
  <c r="C9" i="12" s="1"/>
  <c r="D9" i="12" s="1"/>
  <c r="E9" i="12" s="1"/>
  <c r="F9" i="12" s="1"/>
  <c r="G9" i="12" s="1"/>
  <c r="H9" i="12" s="1"/>
  <c r="I9" i="12" s="1"/>
  <c r="J9" i="12" s="1"/>
  <c r="K9" i="12" s="1"/>
  <c r="L9" i="12" s="1"/>
  <c r="M9" i="12" s="1"/>
  <c r="C45" i="12"/>
  <c r="C12" i="2"/>
  <c r="D12" i="2"/>
  <c r="B12" i="2"/>
  <c r="C4" i="11"/>
  <c r="D4" i="11" s="1"/>
  <c r="E4" i="11" s="1"/>
  <c r="F4" i="11" s="1"/>
  <c r="G4" i="11" s="1"/>
  <c r="H4" i="11" s="1"/>
  <c r="I4" i="11" s="1"/>
  <c r="J4" i="11" s="1"/>
  <c r="K4" i="11" s="1"/>
  <c r="L4" i="11" s="1"/>
  <c r="M4" i="11" s="1"/>
  <c r="E51" i="9"/>
  <c r="E52" i="9"/>
  <c r="I52" i="9"/>
  <c r="E54" i="9"/>
  <c r="E55" i="9"/>
  <c r="A50" i="9"/>
  <c r="A51" i="9"/>
  <c r="A52" i="9"/>
  <c r="A53" i="9"/>
  <c r="A54" i="9"/>
  <c r="A55" i="9"/>
  <c r="A49" i="9"/>
  <c r="E49" i="9"/>
  <c r="C54" i="9"/>
  <c r="D54" i="9"/>
  <c r="F54" i="9"/>
  <c r="G54" i="9"/>
  <c r="H54" i="9"/>
  <c r="I54" i="9"/>
  <c r="J54" i="9"/>
  <c r="C55" i="9"/>
  <c r="D55" i="9"/>
  <c r="F55" i="9"/>
  <c r="G55" i="9"/>
  <c r="H55" i="9"/>
  <c r="I55" i="9"/>
  <c r="J55" i="9"/>
  <c r="B54" i="9"/>
  <c r="B55" i="9"/>
  <c r="C53" i="9"/>
  <c r="D53" i="9"/>
  <c r="E53" i="9"/>
  <c r="F53" i="9"/>
  <c r="G53" i="9"/>
  <c r="H53" i="9"/>
  <c r="I53" i="9"/>
  <c r="J53" i="9"/>
  <c r="B53" i="9"/>
  <c r="C52" i="9"/>
  <c r="D52" i="9"/>
  <c r="F52" i="9"/>
  <c r="G52" i="9"/>
  <c r="H52" i="9"/>
  <c r="J52" i="9"/>
  <c r="B52" i="9"/>
  <c r="C51" i="9"/>
  <c r="D51" i="9"/>
  <c r="F51" i="9"/>
  <c r="G51" i="9"/>
  <c r="H51" i="9"/>
  <c r="I51" i="9"/>
  <c r="J51" i="9"/>
  <c r="B51" i="9"/>
  <c r="C2" i="9"/>
  <c r="D2" i="9" s="1"/>
  <c r="E2" i="9" s="1"/>
  <c r="F2" i="9" s="1"/>
  <c r="G2" i="9" s="1"/>
  <c r="H2" i="9" s="1"/>
  <c r="I2" i="9" s="1"/>
  <c r="J2" i="9" s="1"/>
  <c r="K2" i="9" s="1"/>
  <c r="L2" i="9" s="1"/>
  <c r="M2" i="9" s="1"/>
  <c r="B21" i="11" l="1"/>
  <c r="B17" i="11" s="1"/>
  <c r="C22" i="11"/>
  <c r="C21" i="11"/>
  <c r="M18" i="11"/>
  <c r="M17" i="11"/>
  <c r="D49" i="9"/>
  <c r="B22" i="11"/>
  <c r="B18" i="11" s="1"/>
  <c r="M26" i="11"/>
  <c r="M25" i="11"/>
  <c r="I49" i="9"/>
  <c r="H49" i="9"/>
  <c r="J50" i="9"/>
  <c r="J46" i="9"/>
  <c r="J16" i="4" s="1"/>
  <c r="F50" i="9"/>
  <c r="F46" i="9"/>
  <c r="F16" i="4" s="1"/>
  <c r="I46" i="9"/>
  <c r="I16" i="4" s="1"/>
  <c r="E46" i="9"/>
  <c r="E16" i="4" s="1"/>
  <c r="M49" i="9"/>
  <c r="M56" i="9" s="1"/>
  <c r="L49" i="9"/>
  <c r="L56" i="9" s="1"/>
  <c r="K49" i="9"/>
  <c r="K56" i="9" s="1"/>
  <c r="G49" i="9"/>
  <c r="C49" i="9"/>
  <c r="H50" i="9"/>
  <c r="H46" i="9"/>
  <c r="H16" i="4" s="1"/>
  <c r="D50" i="9"/>
  <c r="D46" i="9"/>
  <c r="D16" i="4" s="1"/>
  <c r="J49" i="9"/>
  <c r="F49" i="9"/>
  <c r="B50" i="9"/>
  <c r="B46" i="9"/>
  <c r="B16" i="4" s="1"/>
  <c r="G46" i="9"/>
  <c r="G16" i="4" s="1"/>
  <c r="C46" i="9"/>
  <c r="C16" i="4" s="1"/>
  <c r="E12" i="2"/>
  <c r="B17" i="21"/>
  <c r="C17" i="21"/>
  <c r="D17" i="21"/>
  <c r="E17" i="21"/>
  <c r="F17" i="21"/>
  <c r="G17" i="21"/>
  <c r="H17" i="21"/>
  <c r="I17" i="21"/>
  <c r="J17" i="21"/>
  <c r="K17" i="21"/>
  <c r="L17" i="21"/>
  <c r="M17" i="21"/>
  <c r="D27" i="3"/>
  <c r="C27" i="3"/>
  <c r="B16" i="12"/>
  <c r="C17" i="12"/>
  <c r="D17" i="12" s="1"/>
  <c r="E17" i="12" s="1"/>
  <c r="F17" i="12" s="1"/>
  <c r="G17" i="12" s="1"/>
  <c r="H17" i="12" s="1"/>
  <c r="I17" i="12" s="1"/>
  <c r="J17" i="12" s="1"/>
  <c r="K17" i="12" s="1"/>
  <c r="L17" i="12" s="1"/>
  <c r="M17" i="12" s="1"/>
  <c r="C15" i="12"/>
  <c r="C6" i="12"/>
  <c r="C11" i="12" s="1"/>
  <c r="C26" i="4" s="1"/>
  <c r="E70" i="39" s="1"/>
  <c r="D45" i="12"/>
  <c r="G50" i="9"/>
  <c r="C50" i="9"/>
  <c r="I50" i="9"/>
  <c r="E50" i="9"/>
  <c r="E56" i="9" s="1"/>
  <c r="E31" i="4" s="1"/>
  <c r="B21" i="4" l="1"/>
  <c r="E24" i="35"/>
  <c r="E23" i="35"/>
  <c r="B26" i="11"/>
  <c r="E27" i="3"/>
  <c r="F56" i="9"/>
  <c r="F31" i="4" s="1"/>
  <c r="F66" i="39"/>
  <c r="G24" i="35"/>
  <c r="H66" i="39"/>
  <c r="I24" i="35"/>
  <c r="E66" i="39"/>
  <c r="F24" i="35"/>
  <c r="J66" i="39"/>
  <c r="K24" i="35"/>
  <c r="G66" i="39"/>
  <c r="H24" i="35"/>
  <c r="L66" i="39"/>
  <c r="M24" i="35"/>
  <c r="I66" i="39"/>
  <c r="J24" i="35"/>
  <c r="K66" i="39"/>
  <c r="L24" i="35"/>
  <c r="G11" i="39"/>
  <c r="H30" i="35"/>
  <c r="D56" i="9"/>
  <c r="D31" i="4" s="1"/>
  <c r="B25" i="11"/>
  <c r="D66" i="39"/>
  <c r="J56" i="9"/>
  <c r="F20" i="35"/>
  <c r="H56" i="9"/>
  <c r="H31" i="4" s="1"/>
  <c r="I56" i="9"/>
  <c r="I31" i="4" s="1"/>
  <c r="G56" i="9"/>
  <c r="G31" i="4" s="1"/>
  <c r="B56" i="9"/>
  <c r="B31" i="4" s="1"/>
  <c r="C56" i="9"/>
  <c r="C31" i="4" s="1"/>
  <c r="B28" i="3"/>
  <c r="D85" i="39" s="1"/>
  <c r="I28" i="3"/>
  <c r="E28" i="3"/>
  <c r="G28" i="3"/>
  <c r="C28" i="3"/>
  <c r="F28" i="3"/>
  <c r="H28" i="3"/>
  <c r="D28" i="3"/>
  <c r="J28" i="3"/>
  <c r="D16" i="12"/>
  <c r="C16" i="12"/>
  <c r="D15" i="12"/>
  <c r="D6" i="12"/>
  <c r="D11" i="12" s="1"/>
  <c r="D26" i="4" s="1"/>
  <c r="F70" i="39" s="1"/>
  <c r="C46" i="4"/>
  <c r="B20" i="4" l="1"/>
  <c r="D67" i="39" s="1"/>
  <c r="F27" i="3"/>
  <c r="D11" i="39"/>
  <c r="E11" i="39"/>
  <c r="K30" i="35"/>
  <c r="B32" i="4"/>
  <c r="E29" i="35" s="1"/>
  <c r="I30" i="35"/>
  <c r="H11" i="39"/>
  <c r="K11" i="39"/>
  <c r="L30" i="35"/>
  <c r="I11" i="39"/>
  <c r="J30" i="35"/>
  <c r="F11" i="39"/>
  <c r="G30" i="35"/>
  <c r="D44" i="4"/>
  <c r="E85" i="39"/>
  <c r="D30" i="3"/>
  <c r="D31" i="3" s="1"/>
  <c r="K4" i="22" s="1"/>
  <c r="D24" i="26" s="1"/>
  <c r="F85" i="39"/>
  <c r="J11" i="39"/>
  <c r="E30" i="35"/>
  <c r="G20" i="35"/>
  <c r="F30" i="35"/>
  <c r="B44" i="4"/>
  <c r="C44" i="4"/>
  <c r="E16" i="12"/>
  <c r="E45" i="12"/>
  <c r="D46" i="4"/>
  <c r="E15" i="12"/>
  <c r="E6" i="12"/>
  <c r="E11" i="12" s="1"/>
  <c r="E26" i="4" s="1"/>
  <c r="G70" i="39" s="1"/>
  <c r="G27" i="3"/>
  <c r="E3" i="4"/>
  <c r="F3" i="4" s="1"/>
  <c r="G3" i="4" s="1"/>
  <c r="H3" i="4" s="1"/>
  <c r="I3" i="4" s="1"/>
  <c r="J3" i="4" s="1"/>
  <c r="K3" i="4" s="1"/>
  <c r="L3" i="4" s="1"/>
  <c r="M3" i="4" s="1"/>
  <c r="C7" i="5"/>
  <c r="D7" i="5" s="1"/>
  <c r="E7" i="5" s="1"/>
  <c r="F7" i="5" s="1"/>
  <c r="G7" i="5" s="1"/>
  <c r="H7" i="5" s="1"/>
  <c r="I7" i="5" s="1"/>
  <c r="J7" i="5" s="1"/>
  <c r="K7" i="5" s="1"/>
  <c r="L7" i="5" s="1"/>
  <c r="M7" i="5" s="1"/>
  <c r="C6" i="5"/>
  <c r="C11" i="5" s="1"/>
  <c r="C7" i="4" s="1"/>
  <c r="C5" i="5"/>
  <c r="C10" i="5" s="1"/>
  <c r="C6" i="4" s="1"/>
  <c r="C2" i="5"/>
  <c r="D2" i="5" s="1"/>
  <c r="E2" i="5" s="1"/>
  <c r="F2" i="5" s="1"/>
  <c r="G2" i="5" s="1"/>
  <c r="H2" i="5" s="1"/>
  <c r="I2" i="5" s="1"/>
  <c r="J2" i="5" s="1"/>
  <c r="K2" i="5" s="1"/>
  <c r="L2" i="5" s="1"/>
  <c r="M2" i="5" s="1"/>
  <c r="B45" i="4" l="1"/>
  <c r="D12" i="39"/>
  <c r="H13" i="22"/>
  <c r="H21" i="22"/>
  <c r="D13" i="22"/>
  <c r="D21" i="22"/>
  <c r="E13" i="22"/>
  <c r="E21" i="22"/>
  <c r="C13" i="22"/>
  <c r="C21" i="22"/>
  <c r="G21" i="22"/>
  <c r="G13" i="22"/>
  <c r="F13" i="22"/>
  <c r="F21" i="22"/>
  <c r="B21" i="22"/>
  <c r="B13" i="22"/>
  <c r="H20" i="35"/>
  <c r="D6" i="5"/>
  <c r="E6" i="5" s="1"/>
  <c r="F6" i="5" s="1"/>
  <c r="G6" i="5" s="1"/>
  <c r="H6" i="5" s="1"/>
  <c r="I6" i="5" s="1"/>
  <c r="J6" i="5" s="1"/>
  <c r="J11" i="5" s="1"/>
  <c r="J7" i="4" s="1"/>
  <c r="F16" i="12"/>
  <c r="F45" i="12"/>
  <c r="E46" i="4"/>
  <c r="F15" i="12"/>
  <c r="F6" i="12"/>
  <c r="F11" i="12" s="1"/>
  <c r="F26" i="4" s="1"/>
  <c r="H70" i="39" s="1"/>
  <c r="D5" i="5"/>
  <c r="H27" i="3"/>
  <c r="C5" i="4"/>
  <c r="H11" i="5" l="1"/>
  <c r="H7" i="4" s="1"/>
  <c r="I20" i="35"/>
  <c r="K6" i="5"/>
  <c r="K11" i="5" s="1"/>
  <c r="F11" i="5"/>
  <c r="F7" i="4" s="1"/>
  <c r="E11" i="5"/>
  <c r="E7" i="4" s="1"/>
  <c r="G11" i="5"/>
  <c r="G7" i="4" s="1"/>
  <c r="I11" i="5"/>
  <c r="I7" i="4" s="1"/>
  <c r="D11" i="5"/>
  <c r="D7" i="4" s="1"/>
  <c r="G16" i="12"/>
  <c r="G45" i="12"/>
  <c r="G15" i="12"/>
  <c r="G6" i="12"/>
  <c r="G11" i="12" s="1"/>
  <c r="G26" i="4" s="1"/>
  <c r="I70" i="39" s="1"/>
  <c r="F46" i="4"/>
  <c r="E5" i="5"/>
  <c r="D10" i="5"/>
  <c r="D6" i="4" s="1"/>
  <c r="I27" i="3"/>
  <c r="L6" i="5" l="1"/>
  <c r="M6" i="5" s="1"/>
  <c r="M11" i="5" s="1"/>
  <c r="J20" i="35"/>
  <c r="D5" i="4"/>
  <c r="H16" i="12"/>
  <c r="H45" i="12"/>
  <c r="H15" i="12"/>
  <c r="H6" i="12"/>
  <c r="H11" i="12" s="1"/>
  <c r="H26" i="4" s="1"/>
  <c r="J70" i="39" s="1"/>
  <c r="G46" i="4"/>
  <c r="F5" i="5"/>
  <c r="E10" i="5"/>
  <c r="E6" i="4" s="1"/>
  <c r="E5" i="4" s="1"/>
  <c r="J27" i="3"/>
  <c r="L11" i="5" l="1"/>
  <c r="K20" i="35"/>
  <c r="I16" i="12"/>
  <c r="I45" i="12"/>
  <c r="I15" i="12"/>
  <c r="I6" i="12"/>
  <c r="I11" i="12" s="1"/>
  <c r="I26" i="4" s="1"/>
  <c r="K70" i="39" s="1"/>
  <c r="H46" i="4"/>
  <c r="G5" i="5"/>
  <c r="F10" i="5"/>
  <c r="F6" i="4" s="1"/>
  <c r="F5" i="4" s="1"/>
  <c r="L20" i="35" l="1"/>
  <c r="J16" i="12"/>
  <c r="J45" i="12"/>
  <c r="K27" i="3"/>
  <c r="J15" i="12"/>
  <c r="J6" i="12"/>
  <c r="J11" i="12" s="1"/>
  <c r="J26" i="4" s="1"/>
  <c r="L70" i="39" s="1"/>
  <c r="I46" i="4"/>
  <c r="H5" i="5"/>
  <c r="G10" i="5"/>
  <c r="G6" i="4" s="1"/>
  <c r="G5" i="4" s="1"/>
  <c r="M20" i="35" l="1"/>
  <c r="K16" i="12"/>
  <c r="K45" i="12"/>
  <c r="M27" i="3"/>
  <c r="L27" i="3"/>
  <c r="J46" i="4"/>
  <c r="K6" i="12"/>
  <c r="K11" i="12" s="1"/>
  <c r="K26" i="4" s="1"/>
  <c r="M70" i="39" s="1"/>
  <c r="K15" i="12"/>
  <c r="I5" i="5"/>
  <c r="H10" i="5"/>
  <c r="H6" i="4" s="1"/>
  <c r="H5" i="4" s="1"/>
  <c r="B11" i="5"/>
  <c r="B7" i="4" s="1"/>
  <c r="B10" i="5"/>
  <c r="B6" i="4" s="1"/>
  <c r="N20" i="35" l="1"/>
  <c r="L16" i="12"/>
  <c r="L45" i="12"/>
  <c r="L15" i="12"/>
  <c r="L6" i="12"/>
  <c r="L11" i="12" s="1"/>
  <c r="L26" i="4" s="1"/>
  <c r="N70" i="39" s="1"/>
  <c r="K46" i="4"/>
  <c r="J5" i="5"/>
  <c r="I10" i="5"/>
  <c r="I6" i="4" s="1"/>
  <c r="I5" i="4" s="1"/>
  <c r="B5" i="4"/>
  <c r="O20" i="35" l="1"/>
  <c r="M16" i="12"/>
  <c r="M45" i="12"/>
  <c r="M6" i="12"/>
  <c r="M11" i="12" s="1"/>
  <c r="M26" i="4" s="1"/>
  <c r="O70" i="39" s="1"/>
  <c r="M15" i="12"/>
  <c r="L46" i="4"/>
  <c r="J10" i="5"/>
  <c r="J6" i="4" s="1"/>
  <c r="J5" i="4" s="1"/>
  <c r="K5" i="5"/>
  <c r="P20" i="35" l="1"/>
  <c r="M46" i="4"/>
  <c r="K10" i="5"/>
  <c r="L5" i="5"/>
  <c r="M5" i="5" l="1"/>
  <c r="M10" i="5" s="1"/>
  <c r="L10" i="5"/>
  <c r="E3" i="1" l="1"/>
  <c r="F3" i="1" s="1"/>
  <c r="G3" i="1" s="1"/>
  <c r="H3" i="1" s="1"/>
  <c r="I3" i="1" s="1"/>
  <c r="J3" i="1" s="1"/>
  <c r="K3" i="1" s="1"/>
  <c r="L3" i="1" s="1"/>
  <c r="M3" i="1" s="1"/>
  <c r="E58" i="3" l="1"/>
  <c r="E59" i="3" s="1"/>
  <c r="L5" i="22" s="1"/>
  <c r="L21" i="22" s="1"/>
  <c r="G82" i="39"/>
  <c r="G83" i="39"/>
  <c r="G84" i="39"/>
  <c r="G85" i="39"/>
  <c r="E48" i="4"/>
  <c r="E22" i="3"/>
  <c r="E14" i="3"/>
  <c r="E47" i="4"/>
  <c r="E30" i="3"/>
  <c r="E31" i="3" s="1"/>
  <c r="E44" i="4"/>
  <c r="J31" i="4"/>
  <c r="K56" i="3"/>
  <c r="L11" i="39" l="1"/>
  <c r="M30" i="35"/>
  <c r="F58" i="3"/>
  <c r="F59" i="3" s="1"/>
  <c r="M5" i="22" s="1"/>
  <c r="M21" i="22" s="1"/>
  <c r="H82" i="39"/>
  <c r="H83" i="39"/>
  <c r="H84" i="39"/>
  <c r="H85" i="39"/>
  <c r="L13" i="22"/>
  <c r="E22" i="26"/>
  <c r="E23" i="3"/>
  <c r="L3" i="22" s="1"/>
  <c r="E15" i="3"/>
  <c r="L2" i="22" s="1"/>
  <c r="E21" i="26" s="1"/>
  <c r="L4" i="22"/>
  <c r="E24" i="26" s="1"/>
  <c r="K12" i="3"/>
  <c r="K20" i="3"/>
  <c r="K28" i="3"/>
  <c r="F22" i="3"/>
  <c r="F23" i="3" s="1"/>
  <c r="M3" i="22" s="1"/>
  <c r="F14" i="3"/>
  <c r="F15" i="3" s="1"/>
  <c r="M2" i="22" s="1"/>
  <c r="F47" i="4"/>
  <c r="F48" i="4"/>
  <c r="F30" i="3"/>
  <c r="F31" i="3" s="1"/>
  <c r="M4" i="22" s="1"/>
  <c r="K33" i="4"/>
  <c r="M13" i="39" s="1"/>
  <c r="K34" i="4"/>
  <c r="L56" i="3"/>
  <c r="K31" i="4"/>
  <c r="F44" i="4"/>
  <c r="M14" i="39" l="1"/>
  <c r="M11" i="39"/>
  <c r="N30" i="35"/>
  <c r="M13" i="22"/>
  <c r="F22" i="26"/>
  <c r="G58" i="3"/>
  <c r="G59" i="3" s="1"/>
  <c r="N5" i="22" s="1"/>
  <c r="N21" i="22" s="1"/>
  <c r="I82" i="39"/>
  <c r="I83" i="39"/>
  <c r="I84" i="39"/>
  <c r="I85" i="39"/>
  <c r="F24" i="26"/>
  <c r="F21" i="26"/>
  <c r="G14" i="3"/>
  <c r="G15" i="3" s="1"/>
  <c r="N2" i="22" s="1"/>
  <c r="G47" i="4"/>
  <c r="G48" i="4"/>
  <c r="G22" i="3"/>
  <c r="G23" i="3" s="1"/>
  <c r="N3" i="22" s="1"/>
  <c r="G30" i="3"/>
  <c r="G31" i="3" s="1"/>
  <c r="N4" i="22" s="1"/>
  <c r="L28" i="3"/>
  <c r="L12" i="3"/>
  <c r="L20" i="3"/>
  <c r="L33" i="4"/>
  <c r="N13" i="39" s="1"/>
  <c r="L34" i="4"/>
  <c r="M56" i="3"/>
  <c r="L31" i="4"/>
  <c r="G44" i="4"/>
  <c r="N14" i="39" l="1"/>
  <c r="N11" i="39"/>
  <c r="O30" i="35"/>
  <c r="G22" i="26"/>
  <c r="N13" i="22"/>
  <c r="H58" i="3"/>
  <c r="H59" i="3" s="1"/>
  <c r="J84" i="39"/>
  <c r="J83" i="39"/>
  <c r="J82" i="39"/>
  <c r="J85" i="39"/>
  <c r="G24" i="26"/>
  <c r="G21" i="26"/>
  <c r="M28" i="3"/>
  <c r="M12" i="3"/>
  <c r="M20" i="3"/>
  <c r="H14" i="3"/>
  <c r="H22" i="3"/>
  <c r="H48" i="4"/>
  <c r="H47" i="4"/>
  <c r="H30" i="3"/>
  <c r="H31" i="3" s="1"/>
  <c r="M33" i="4"/>
  <c r="O13" i="39" s="1"/>
  <c r="M34" i="4"/>
  <c r="M31" i="4"/>
  <c r="H44" i="4"/>
  <c r="O14" i="39" l="1"/>
  <c r="H23" i="3"/>
  <c r="O3" i="22" s="1"/>
  <c r="O4" i="22"/>
  <c r="H24" i="26" s="1"/>
  <c r="H15" i="3"/>
  <c r="O2" i="22" s="1"/>
  <c r="H21" i="26" s="1"/>
  <c r="O5" i="22"/>
  <c r="O21" i="22" s="1"/>
  <c r="O11" i="39"/>
  <c r="P30" i="35"/>
  <c r="I58" i="3"/>
  <c r="I59" i="3" s="1"/>
  <c r="P5" i="22" s="1"/>
  <c r="P21" i="22" s="1"/>
  <c r="K82" i="39"/>
  <c r="K83" i="39"/>
  <c r="K84" i="39"/>
  <c r="K85" i="39"/>
  <c r="I47" i="4"/>
  <c r="I48" i="4"/>
  <c r="I22" i="3"/>
  <c r="I23" i="3" s="1"/>
  <c r="P3" i="22" s="1"/>
  <c r="I14" i="3"/>
  <c r="I15" i="3" s="1"/>
  <c r="P2" i="22" s="1"/>
  <c r="I30" i="3"/>
  <c r="I31" i="3" s="1"/>
  <c r="P4" i="22" s="1"/>
  <c r="I44" i="4"/>
  <c r="H22" i="26" l="1"/>
  <c r="O13" i="22"/>
  <c r="C27" i="47" a="1"/>
  <c r="C27" i="47" s="1"/>
  <c r="C34" i="47" s="1"/>
  <c r="C40" i="47" s="1"/>
  <c r="C16" i="47" s="1"/>
  <c r="C29" i="47" a="1"/>
  <c r="C29" i="47" s="1"/>
  <c r="F29" i="47" s="1"/>
  <c r="C30" i="47" a="1"/>
  <c r="C30" i="47" s="1"/>
  <c r="C37" i="47" s="1"/>
  <c r="C43" i="47" s="1"/>
  <c r="C21" i="47" s="1"/>
  <c r="C28" i="47" a="1"/>
  <c r="C28" i="47" s="1"/>
  <c r="C35" i="47" s="1"/>
  <c r="C41" i="47" s="1"/>
  <c r="C17" i="47" s="1"/>
  <c r="J58" i="3"/>
  <c r="J59" i="3" s="1"/>
  <c r="Q5" i="22" s="1"/>
  <c r="Q21" i="22" s="1"/>
  <c r="L84" i="39"/>
  <c r="L83" i="39"/>
  <c r="L82" i="39"/>
  <c r="L85" i="39"/>
  <c r="P13" i="22"/>
  <c r="I22" i="26"/>
  <c r="I24" i="26"/>
  <c r="I21" i="26"/>
  <c r="J22" i="3"/>
  <c r="J23" i="3" s="1"/>
  <c r="Q3" i="22" s="1"/>
  <c r="J14" i="3"/>
  <c r="J15" i="3" s="1"/>
  <c r="Q2" i="22" s="1"/>
  <c r="J48" i="4"/>
  <c r="J47" i="4"/>
  <c r="J30" i="3"/>
  <c r="J31" i="3" s="1"/>
  <c r="Q4" i="22" s="1"/>
  <c r="J44" i="4"/>
  <c r="F30" i="47" l="1"/>
  <c r="F27" i="47"/>
  <c r="C36" i="47"/>
  <c r="C42" i="47" s="1"/>
  <c r="C20" i="47" s="1"/>
  <c r="F28" i="47"/>
  <c r="Q13" i="22"/>
  <c r="K58" i="3"/>
  <c r="K59" i="3" s="1"/>
  <c r="R5" i="22" s="1"/>
  <c r="R21" i="22" s="1"/>
  <c r="M84" i="39"/>
  <c r="M83" i="39"/>
  <c r="M85" i="39"/>
  <c r="M82" i="39"/>
  <c r="J22" i="26"/>
  <c r="J24" i="26"/>
  <c r="J21" i="26"/>
  <c r="K30" i="3"/>
  <c r="K31" i="3" s="1"/>
  <c r="R4" i="22" s="1"/>
  <c r="K14" i="3"/>
  <c r="K15" i="3" s="1"/>
  <c r="R2" i="22" s="1"/>
  <c r="K22" i="3"/>
  <c r="K23" i="3" s="1"/>
  <c r="R3" i="22" s="1"/>
  <c r="K47" i="4"/>
  <c r="K48" i="4"/>
  <c r="K44" i="4"/>
  <c r="R13" i="22" l="1"/>
  <c r="K22" i="26"/>
  <c r="L58" i="3"/>
  <c r="L59" i="3" s="1"/>
  <c r="S5" i="22" s="1"/>
  <c r="S21" i="22" s="1"/>
  <c r="N84" i="39"/>
  <c r="N85" i="39"/>
  <c r="N82" i="39"/>
  <c r="N83" i="39"/>
  <c r="K24" i="26"/>
  <c r="K21" i="26"/>
  <c r="L22" i="3"/>
  <c r="L23" i="3" s="1"/>
  <c r="S3" i="22" s="1"/>
  <c r="L30" i="3"/>
  <c r="L31" i="3" s="1"/>
  <c r="S4" i="22" s="1"/>
  <c r="L47" i="4"/>
  <c r="L48" i="4"/>
  <c r="L14" i="3"/>
  <c r="L15" i="3" s="1"/>
  <c r="S2" i="22" s="1"/>
  <c r="L44" i="4"/>
  <c r="L22" i="26" l="1"/>
  <c r="S13" i="22"/>
  <c r="M58" i="3"/>
  <c r="M59" i="3" s="1"/>
  <c r="T5" i="22" s="1"/>
  <c r="T21" i="22" s="1"/>
  <c r="O84" i="39"/>
  <c r="O85" i="39"/>
  <c r="O83" i="39"/>
  <c r="O82" i="39"/>
  <c r="L24" i="26"/>
  <c r="L21" i="26"/>
  <c r="M30" i="3"/>
  <c r="M31" i="3" s="1"/>
  <c r="T4" i="22" s="1"/>
  <c r="M48" i="4"/>
  <c r="M22" i="3"/>
  <c r="M23" i="3" s="1"/>
  <c r="T3" i="22" s="1"/>
  <c r="M14" i="3"/>
  <c r="M15" i="3" s="1"/>
  <c r="T2" i="22" s="1"/>
  <c r="M47" i="4"/>
  <c r="M44" i="4"/>
  <c r="T13" i="22" l="1"/>
  <c r="M22" i="26"/>
  <c r="M24" i="26"/>
  <c r="M21" i="26"/>
  <c r="B31" i="5" l="1"/>
  <c r="B30" i="4" s="1"/>
  <c r="D10" i="39" s="1"/>
  <c r="E28" i="35" l="1"/>
  <c r="D31" i="5"/>
  <c r="D30" i="4" s="1"/>
  <c r="F10" i="39" s="1"/>
  <c r="D11" i="4"/>
  <c r="F30" i="5"/>
  <c r="F29" i="4" s="1"/>
  <c r="F10" i="4"/>
  <c r="I21" i="35" s="1"/>
  <c r="K30" i="5"/>
  <c r="K29" i="4" s="1"/>
  <c r="K10" i="4"/>
  <c r="E30" i="5"/>
  <c r="E29" i="4" s="1"/>
  <c r="E10" i="4"/>
  <c r="H21" i="35" s="1"/>
  <c r="H31" i="5"/>
  <c r="H30" i="4" s="1"/>
  <c r="J10" i="39" s="1"/>
  <c r="H11" i="4"/>
  <c r="K31" i="5"/>
  <c r="K30" i="4" s="1"/>
  <c r="M10" i="39" s="1"/>
  <c r="K11" i="4"/>
  <c r="F31" i="5"/>
  <c r="F30" i="4" s="1"/>
  <c r="H10" i="39" s="1"/>
  <c r="F11" i="4"/>
  <c r="J30" i="5"/>
  <c r="J29" i="4" s="1"/>
  <c r="J10" i="4"/>
  <c r="M21" i="35" s="1"/>
  <c r="D30" i="5"/>
  <c r="D29" i="4" s="1"/>
  <c r="D10" i="4"/>
  <c r="H30" i="5"/>
  <c r="H29" i="4" s="1"/>
  <c r="H10" i="4"/>
  <c r="K21" i="35" s="1"/>
  <c r="M30" i="5"/>
  <c r="M29" i="4" s="1"/>
  <c r="M10" i="4"/>
  <c r="M31" i="5"/>
  <c r="M30" i="4" s="1"/>
  <c r="O10" i="39" s="1"/>
  <c r="M11" i="4"/>
  <c r="I30" i="5"/>
  <c r="I29" i="4" s="1"/>
  <c r="I10" i="4"/>
  <c r="L21" i="35" s="1"/>
  <c r="L30" i="5"/>
  <c r="L29" i="4" s="1"/>
  <c r="L10" i="4"/>
  <c r="O21" i="35" s="1"/>
  <c r="L31" i="5"/>
  <c r="L30" i="4" s="1"/>
  <c r="N10" i="39" s="1"/>
  <c r="L11" i="4"/>
  <c r="B30" i="5"/>
  <c r="B29" i="4" s="1"/>
  <c r="B10" i="4"/>
  <c r="E21" i="35" s="1"/>
  <c r="B11" i="4"/>
  <c r="D9" i="39" l="1"/>
  <c r="D15" i="39" s="1"/>
  <c r="G9" i="39"/>
  <c r="N9" i="39"/>
  <c r="J9" i="39"/>
  <c r="K9" i="39"/>
  <c r="O9" i="39"/>
  <c r="F9" i="39"/>
  <c r="M9" i="39"/>
  <c r="L9" i="39"/>
  <c r="H9" i="39"/>
  <c r="G28" i="35"/>
  <c r="O28" i="35"/>
  <c r="I28" i="35"/>
  <c r="K28" i="35"/>
  <c r="O27" i="35"/>
  <c r="K27" i="35"/>
  <c r="M27" i="35"/>
  <c r="H27" i="35"/>
  <c r="I27" i="35"/>
  <c r="L27" i="35"/>
  <c r="P27" i="35"/>
  <c r="G27" i="35"/>
  <c r="N27" i="35"/>
  <c r="K43" i="4"/>
  <c r="N22" i="35"/>
  <c r="B35" i="4"/>
  <c r="E27" i="35"/>
  <c r="P28" i="35"/>
  <c r="N28" i="35"/>
  <c r="M43" i="4"/>
  <c r="P22" i="35"/>
  <c r="B43" i="4"/>
  <c r="E22" i="35"/>
  <c r="E25" i="35" s="1"/>
  <c r="L43" i="4"/>
  <c r="O22" i="35"/>
  <c r="M42" i="4"/>
  <c r="P21" i="35"/>
  <c r="D9" i="4"/>
  <c r="G21" i="35"/>
  <c r="F43" i="4"/>
  <c r="I22" i="35"/>
  <c r="H43" i="4"/>
  <c r="K22" i="35"/>
  <c r="K42" i="4"/>
  <c r="N21" i="35"/>
  <c r="D43" i="4"/>
  <c r="G22" i="35"/>
  <c r="B42" i="4"/>
  <c r="L42" i="4"/>
  <c r="H42" i="4"/>
  <c r="J42" i="4"/>
  <c r="E42" i="4"/>
  <c r="B9" i="4"/>
  <c r="M9" i="4"/>
  <c r="F9" i="4"/>
  <c r="D42" i="4"/>
  <c r="H9" i="4"/>
  <c r="I42" i="4"/>
  <c r="K9" i="4"/>
  <c r="C31" i="5"/>
  <c r="C30" i="4" s="1"/>
  <c r="E10" i="39" s="1"/>
  <c r="C11" i="4"/>
  <c r="E31" i="5"/>
  <c r="E30" i="4" s="1"/>
  <c r="G10" i="39" s="1"/>
  <c r="E11" i="4"/>
  <c r="F42" i="4"/>
  <c r="C30" i="5"/>
  <c r="C29" i="4" s="1"/>
  <c r="C10" i="4"/>
  <c r="F21" i="35" s="1"/>
  <c r="G31" i="5"/>
  <c r="G30" i="4" s="1"/>
  <c r="I10" i="39" s="1"/>
  <c r="G11" i="4"/>
  <c r="I31" i="5"/>
  <c r="I30" i="4" s="1"/>
  <c r="K10" i="39" s="1"/>
  <c r="I11" i="4"/>
  <c r="J31" i="5"/>
  <c r="J30" i="4" s="1"/>
  <c r="L10" i="39" s="1"/>
  <c r="J11" i="4"/>
  <c r="G30" i="5"/>
  <c r="G29" i="4" s="1"/>
  <c r="G10" i="4"/>
  <c r="J21" i="35" s="1"/>
  <c r="L9" i="4"/>
  <c r="E9" i="39" l="1"/>
  <c r="I9" i="39"/>
  <c r="J65" i="39"/>
  <c r="D65" i="39"/>
  <c r="D72" i="39" s="1"/>
  <c r="N65" i="39"/>
  <c r="M65" i="39"/>
  <c r="H65" i="39"/>
  <c r="O65" i="39"/>
  <c r="F65" i="39"/>
  <c r="D45" i="39"/>
  <c r="J28" i="35"/>
  <c r="F28" i="35"/>
  <c r="F27" i="35"/>
  <c r="J27" i="35"/>
  <c r="B37" i="4"/>
  <c r="B41" i="4"/>
  <c r="I43" i="4"/>
  <c r="L22" i="35"/>
  <c r="H28" i="35"/>
  <c r="E31" i="35"/>
  <c r="E32" i="35" s="1"/>
  <c r="L28" i="35"/>
  <c r="C43" i="4"/>
  <c r="F22" i="35"/>
  <c r="J43" i="4"/>
  <c r="M22" i="35"/>
  <c r="G43" i="4"/>
  <c r="J22" i="35"/>
  <c r="M28" i="35"/>
  <c r="E43" i="4"/>
  <c r="H22" i="35"/>
  <c r="G42" i="4"/>
  <c r="I9" i="4"/>
  <c r="G9" i="4"/>
  <c r="J9" i="4"/>
  <c r="C42" i="4"/>
  <c r="C9" i="4"/>
  <c r="E9" i="4"/>
  <c r="K65" i="39" l="1"/>
  <c r="D75" i="39"/>
  <c r="E65" i="39"/>
  <c r="L65" i="39"/>
  <c r="G65" i="39"/>
  <c r="I65" i="39"/>
  <c r="B39" i="4"/>
  <c r="B50" i="4"/>
  <c r="K7" i="43" l="1"/>
  <c r="G17" i="11"/>
  <c r="G25" i="11"/>
  <c r="C17" i="11"/>
  <c r="I17" i="11"/>
  <c r="J25" i="11"/>
  <c r="E17" i="11"/>
  <c r="D17" i="11"/>
  <c r="H17" i="11"/>
  <c r="F25" i="11"/>
  <c r="L17" i="11"/>
  <c r="K25" i="11"/>
  <c r="K18" i="11"/>
  <c r="J18" i="11"/>
  <c r="F26" i="11"/>
  <c r="C26" i="11"/>
  <c r="C18" i="11"/>
  <c r="I18" i="11"/>
  <c r="E26" i="11"/>
  <c r="G26" i="11"/>
  <c r="L18" i="11"/>
  <c r="H18" i="11"/>
  <c r="D26" i="11"/>
  <c r="C21" i="4" l="1"/>
  <c r="G18" i="11"/>
  <c r="G21" i="4" s="1"/>
  <c r="D25" i="11"/>
  <c r="D32" i="4" s="1"/>
  <c r="D18" i="11"/>
  <c r="D21" i="4" s="1"/>
  <c r="G23" i="35" s="1"/>
  <c r="L26" i="11"/>
  <c r="E18" i="11"/>
  <c r="E21" i="4" s="1"/>
  <c r="H23" i="35" s="1"/>
  <c r="M32" i="4"/>
  <c r="F18" i="11"/>
  <c r="K26" i="11"/>
  <c r="K32" i="4" s="1"/>
  <c r="I21" i="4"/>
  <c r="L23" i="35" s="1"/>
  <c r="L25" i="11"/>
  <c r="F32" i="4"/>
  <c r="E25" i="11"/>
  <c r="E32" i="4" s="1"/>
  <c r="C25" i="11"/>
  <c r="C32" i="4" s="1"/>
  <c r="H26" i="11"/>
  <c r="I26" i="11"/>
  <c r="J26" i="11"/>
  <c r="J32" i="4" s="1"/>
  <c r="M21" i="4"/>
  <c r="P23" i="35" s="1"/>
  <c r="G32" i="4"/>
  <c r="H21" i="4"/>
  <c r="K23" i="35" s="1"/>
  <c r="L21" i="4"/>
  <c r="F17" i="11"/>
  <c r="J17" i="11"/>
  <c r="J21" i="4" s="1"/>
  <c r="I25" i="11"/>
  <c r="K17" i="11"/>
  <c r="K21" i="4" s="1"/>
  <c r="H25" i="11"/>
  <c r="I12" i="39" l="1"/>
  <c r="I15" i="39" s="1"/>
  <c r="O12" i="39"/>
  <c r="F12" i="39"/>
  <c r="F15" i="39" s="1"/>
  <c r="E12" i="39"/>
  <c r="L12" i="39"/>
  <c r="G12" i="39"/>
  <c r="M12" i="39"/>
  <c r="H12" i="39"/>
  <c r="F23" i="35"/>
  <c r="F25" i="35" s="1"/>
  <c r="M23" i="35"/>
  <c r="M25" i="35" s="1"/>
  <c r="J23" i="35"/>
  <c r="J25" i="35" s="1"/>
  <c r="N23" i="35"/>
  <c r="N25" i="35" s="1"/>
  <c r="O23" i="35"/>
  <c r="O25" i="35" s="1"/>
  <c r="N29" i="35"/>
  <c r="N31" i="35" s="1"/>
  <c r="M29" i="35"/>
  <c r="M31" i="35" s="1"/>
  <c r="F29" i="35"/>
  <c r="H20" i="4"/>
  <c r="K25" i="35"/>
  <c r="I20" i="4"/>
  <c r="L25" i="35"/>
  <c r="J29" i="35"/>
  <c r="H29" i="35"/>
  <c r="H31" i="35" s="1"/>
  <c r="D20" i="4"/>
  <c r="G25" i="35"/>
  <c r="F35" i="4"/>
  <c r="I29" i="35"/>
  <c r="I31" i="35" s="1"/>
  <c r="G29" i="35"/>
  <c r="G31" i="35" s="1"/>
  <c r="P29" i="35"/>
  <c r="E20" i="4"/>
  <c r="H25" i="35"/>
  <c r="M20" i="4"/>
  <c r="P25" i="35"/>
  <c r="M35" i="4"/>
  <c r="I32" i="4"/>
  <c r="D35" i="4"/>
  <c r="F21" i="4"/>
  <c r="D45" i="4"/>
  <c r="K35" i="4"/>
  <c r="C35" i="4"/>
  <c r="G35" i="4"/>
  <c r="E35" i="4"/>
  <c r="L32" i="4"/>
  <c r="J35" i="4"/>
  <c r="H32" i="4"/>
  <c r="M45" i="4"/>
  <c r="E45" i="4"/>
  <c r="C20" i="4"/>
  <c r="C45" i="4"/>
  <c r="G20" i="4"/>
  <c r="G45" i="4"/>
  <c r="K20" i="4"/>
  <c r="K45" i="4"/>
  <c r="L20" i="4"/>
  <c r="J20" i="4"/>
  <c r="J45" i="4"/>
  <c r="N67" i="39" l="1"/>
  <c r="N72" i="39" s="1"/>
  <c r="N73" i="39" s="1"/>
  <c r="I67" i="39"/>
  <c r="I72" i="39" s="1"/>
  <c r="I73" i="39" s="1"/>
  <c r="G67" i="39"/>
  <c r="G72" i="39" s="1"/>
  <c r="G73" i="39" s="1"/>
  <c r="J67" i="39"/>
  <c r="J72" i="39" s="1"/>
  <c r="J73" i="39" s="1"/>
  <c r="M67" i="39"/>
  <c r="M72" i="39" s="1"/>
  <c r="M73" i="39" s="1"/>
  <c r="E67" i="39"/>
  <c r="E72" i="39" s="1"/>
  <c r="E73" i="39" s="1"/>
  <c r="O67" i="39"/>
  <c r="O72" i="39" s="1"/>
  <c r="O73" i="39" s="1"/>
  <c r="F67" i="39"/>
  <c r="F72" i="39" s="1"/>
  <c r="F73" i="39" s="1"/>
  <c r="K67" i="39"/>
  <c r="J12" i="39"/>
  <c r="L67" i="39"/>
  <c r="L72" i="39" s="1"/>
  <c r="L73" i="39" s="1"/>
  <c r="N12" i="39"/>
  <c r="K12" i="39"/>
  <c r="I45" i="39"/>
  <c r="I46" i="39" s="1"/>
  <c r="F45" i="39"/>
  <c r="M32" i="35"/>
  <c r="F20" i="4"/>
  <c r="I23" i="35"/>
  <c r="I25" i="35" s="1"/>
  <c r="I32" i="35" s="1"/>
  <c r="N32" i="35"/>
  <c r="G32" i="35"/>
  <c r="H32" i="35"/>
  <c r="L15" i="39"/>
  <c r="O15" i="39"/>
  <c r="E15" i="39"/>
  <c r="M15" i="39"/>
  <c r="G15" i="39"/>
  <c r="F31" i="35"/>
  <c r="F32" i="35" s="1"/>
  <c r="H15" i="39"/>
  <c r="K72" i="39"/>
  <c r="K73" i="39" s="1"/>
  <c r="L29" i="35"/>
  <c r="L31" i="35" s="1"/>
  <c r="L32" i="35" s="1"/>
  <c r="C37" i="4"/>
  <c r="M37" i="4"/>
  <c r="E37" i="4"/>
  <c r="K37" i="4"/>
  <c r="J37" i="4"/>
  <c r="G37" i="4"/>
  <c r="D37" i="4"/>
  <c r="F45" i="4"/>
  <c r="I35" i="4"/>
  <c r="I45" i="4"/>
  <c r="F37" i="4"/>
  <c r="L45" i="4"/>
  <c r="O29" i="35"/>
  <c r="O31" i="35" s="1"/>
  <c r="O32" i="35" s="1"/>
  <c r="P31" i="35"/>
  <c r="P32" i="35" s="1"/>
  <c r="J31" i="35"/>
  <c r="J32" i="35" s="1"/>
  <c r="H45" i="4"/>
  <c r="K29" i="35"/>
  <c r="E41" i="4"/>
  <c r="M41" i="4"/>
  <c r="D41" i="4"/>
  <c r="L35" i="4"/>
  <c r="H35" i="4"/>
  <c r="K41" i="4"/>
  <c r="C41" i="4"/>
  <c r="G41" i="4"/>
  <c r="J41" i="4"/>
  <c r="O75" i="39" l="1"/>
  <c r="V7" i="43" s="1"/>
  <c r="H75" i="39"/>
  <c r="O7" i="43" s="1"/>
  <c r="H67" i="39"/>
  <c r="H72" i="39" s="1"/>
  <c r="H73" i="39" s="1"/>
  <c r="F75" i="39"/>
  <c r="M75" i="39"/>
  <c r="T7" i="43" s="1"/>
  <c r="M45" i="39"/>
  <c r="M46" i="39" s="1"/>
  <c r="H45" i="39"/>
  <c r="H46" i="39" s="1"/>
  <c r="L45" i="39"/>
  <c r="L46" i="39" s="1"/>
  <c r="G45" i="39"/>
  <c r="O45" i="39"/>
  <c r="O46" i="39" s="1"/>
  <c r="E45" i="39"/>
  <c r="L75" i="39"/>
  <c r="S7" i="43" s="1"/>
  <c r="E39" i="4"/>
  <c r="G75" i="39"/>
  <c r="N7" i="43" s="1"/>
  <c r="E75" i="39"/>
  <c r="G39" i="4"/>
  <c r="I75" i="39"/>
  <c r="P7" i="43" s="1"/>
  <c r="K15" i="39"/>
  <c r="N15" i="39"/>
  <c r="J15" i="39"/>
  <c r="M39" i="4"/>
  <c r="D39" i="4"/>
  <c r="J39" i="4"/>
  <c r="C39" i="4"/>
  <c r="K39" i="4"/>
  <c r="F41" i="4"/>
  <c r="L37" i="4"/>
  <c r="H37" i="4"/>
  <c r="I37" i="4"/>
  <c r="L41" i="4"/>
  <c r="I41" i="4"/>
  <c r="F39" i="4"/>
  <c r="K31" i="35"/>
  <c r="K32" i="35" s="1"/>
  <c r="H41" i="4"/>
  <c r="C50" i="4"/>
  <c r="M50" i="4"/>
  <c r="J50" i="4"/>
  <c r="G50" i="4"/>
  <c r="K50" i="4"/>
  <c r="D50" i="4"/>
  <c r="E50" i="4"/>
  <c r="M7" i="43" l="1"/>
  <c r="N75" i="39"/>
  <c r="U7" i="43" s="1"/>
  <c r="J75" i="39"/>
  <c r="Q7" i="43" s="1"/>
  <c r="F50" i="4"/>
  <c r="K75" i="39"/>
  <c r="R7" i="43" s="1"/>
  <c r="N45" i="39"/>
  <c r="N46" i="39" s="1"/>
  <c r="K45" i="39"/>
  <c r="K46" i="39" s="1"/>
  <c r="J45" i="39"/>
  <c r="J46" i="39" s="1"/>
  <c r="L7" i="43"/>
  <c r="I39" i="4"/>
  <c r="H39" i="4"/>
  <c r="L39" i="4"/>
  <c r="I50" i="4"/>
  <c r="L50" i="4"/>
  <c r="H50" i="4"/>
  <c r="B12" i="43" l="1" a="1"/>
  <c r="B12" i="43" s="1"/>
  <c r="I19" i="47" l="1"/>
  <c r="I15" i="47"/>
  <c r="I12" i="47"/>
  <c r="C12" i="47" s="1" a="1"/>
  <c r="C12" i="47" s="1"/>
  <c r="Y26" i="47" s="1"/>
  <c r="Y28" i="47" s="1"/>
  <c r="Z28" i="47" s="1"/>
  <c r="I11" i="47"/>
  <c r="I14" i="47"/>
  <c r="I13" i="47"/>
  <c r="U13" i="47" s="1"/>
  <c r="I5" i="47"/>
  <c r="I9" i="47" s="1"/>
  <c r="I23" i="47" l="1"/>
  <c r="T11" i="47"/>
  <c r="S11" i="47"/>
  <c r="U11" i="47" s="1"/>
  <c r="AA28" i="47"/>
  <c r="AA26" i="47" s="1"/>
  <c r="C14" i="47" s="1"/>
  <c r="Z26" i="47"/>
  <c r="C15" i="47" s="1"/>
  <c r="B5" i="3" l="1"/>
  <c r="B18" i="3" l="1"/>
  <c r="B22" i="3" s="1"/>
  <c r="B23" i="3" s="1"/>
  <c r="I3" i="22" s="1"/>
  <c r="B26" i="3"/>
  <c r="B30" i="3" s="1"/>
  <c r="B31" i="3" s="1"/>
  <c r="I4" i="22" s="1"/>
  <c r="B10" i="3"/>
  <c r="B14" i="3" s="1"/>
  <c r="B15" i="3" s="1"/>
  <c r="I2" i="22" s="1"/>
  <c r="H11" i="22" l="1"/>
  <c r="M11" i="22"/>
  <c r="R11" i="22"/>
  <c r="M19" i="22"/>
  <c r="F11" i="22"/>
  <c r="B19" i="22"/>
  <c r="N19" i="22"/>
  <c r="B11" i="22"/>
  <c r="E11" i="22"/>
  <c r="I11" i="22"/>
  <c r="S11" i="22"/>
  <c r="D19" i="22"/>
  <c r="O11" i="22"/>
  <c r="S19" i="22"/>
  <c r="R19" i="22"/>
  <c r="T11" i="22"/>
  <c r="G19" i="22"/>
  <c r="E19" i="22"/>
  <c r="Q11" i="22"/>
  <c r="F19" i="22"/>
  <c r="K11" i="22"/>
  <c r="O19" i="22"/>
  <c r="C19" i="22"/>
  <c r="Q19" i="22"/>
  <c r="K19" i="22"/>
  <c r="P19" i="22"/>
  <c r="T19" i="22"/>
  <c r="H19" i="22"/>
  <c r="L11" i="22"/>
  <c r="L19" i="22"/>
  <c r="P11" i="22"/>
  <c r="G11" i="22"/>
  <c r="N11" i="22"/>
  <c r="D11" i="22"/>
  <c r="I19" i="22"/>
  <c r="C11" i="22"/>
  <c r="C18" i="22"/>
  <c r="S18" i="22"/>
  <c r="R10" i="22"/>
  <c r="C10" i="22"/>
  <c r="H10" i="22"/>
  <c r="G18" i="22"/>
  <c r="M18" i="22"/>
  <c r="L10" i="22"/>
  <c r="O18" i="22"/>
  <c r="I18" i="22"/>
  <c r="O10" i="22"/>
  <c r="Q18" i="22"/>
  <c r="B10" i="22"/>
  <c r="G10" i="22"/>
  <c r="B18" i="22"/>
  <c r="N10" i="22"/>
  <c r="P10" i="22"/>
  <c r="T18" i="22"/>
  <c r="E18" i="22"/>
  <c r="D18" i="22"/>
  <c r="K18" i="22"/>
  <c r="K10" i="22"/>
  <c r="E10" i="22"/>
  <c r="L18" i="22"/>
  <c r="H18" i="22"/>
  <c r="D10" i="22"/>
  <c r="T10" i="22"/>
  <c r="N18" i="22"/>
  <c r="I10" i="22"/>
  <c r="Q10" i="22"/>
  <c r="F10" i="22"/>
  <c r="M10" i="22"/>
  <c r="P18" i="22"/>
  <c r="S10" i="22"/>
  <c r="F18" i="22"/>
  <c r="R18" i="22"/>
  <c r="B21" i="26"/>
  <c r="D12" i="22"/>
  <c r="P20" i="22"/>
  <c r="P12" i="22"/>
  <c r="B20" i="22"/>
  <c r="F20" i="22"/>
  <c r="K12" i="22"/>
  <c r="E20" i="22"/>
  <c r="C20" i="22"/>
  <c r="R12" i="22"/>
  <c r="S12" i="22"/>
  <c r="F12" i="22"/>
  <c r="M12" i="22"/>
  <c r="L20" i="22"/>
  <c r="N20" i="22"/>
  <c r="C12" i="22"/>
  <c r="G12" i="22"/>
  <c r="L12" i="22"/>
  <c r="Q12" i="22"/>
  <c r="N12" i="22"/>
  <c r="K20" i="22"/>
  <c r="D20" i="22"/>
  <c r="B24" i="26"/>
  <c r="I12" i="22"/>
  <c r="M20" i="22"/>
  <c r="E12" i="22"/>
  <c r="Q20" i="22"/>
  <c r="T12" i="22"/>
  <c r="H20" i="22"/>
  <c r="B12" i="22"/>
  <c r="O12" i="22"/>
  <c r="T20" i="22"/>
  <c r="I20" i="22"/>
  <c r="G20" i="22"/>
  <c r="S20" i="22"/>
  <c r="O20" i="22"/>
  <c r="H12" i="22"/>
  <c r="R20" i="22"/>
  <c r="C5" i="3" l="1"/>
  <c r="C10" i="3" l="1"/>
  <c r="C14" i="3" s="1"/>
  <c r="C15" i="3" s="1"/>
  <c r="J2" i="22" s="1"/>
  <c r="C26" i="3"/>
  <c r="C30" i="3" s="1"/>
  <c r="C31" i="3" s="1"/>
  <c r="J4" i="22" s="1"/>
  <c r="C18" i="3"/>
  <c r="C22" i="3" s="1"/>
  <c r="C23" i="3" s="1"/>
  <c r="J3" i="22" s="1"/>
  <c r="J11" i="22" l="1"/>
  <c r="J19" i="22"/>
  <c r="J12" i="22"/>
  <c r="C24" i="26"/>
  <c r="J20" i="22"/>
  <c r="C21" i="26"/>
  <c r="J18" i="22"/>
  <c r="J10" i="22"/>
  <c r="F57" i="39" l="1"/>
  <c r="D57" i="39" l="1"/>
  <c r="E57" i="39" l="1"/>
  <c r="G57" i="39" l="1"/>
  <c r="H57" i="39" l="1"/>
  <c r="C5" i="43" l="1"/>
  <c r="D5" i="43"/>
  <c r="E5" i="43"/>
  <c r="F5" i="43" l="1"/>
  <c r="B5" i="43"/>
  <c r="J57" i="39" l="1"/>
  <c r="M57" i="39"/>
  <c r="K57" i="39"/>
  <c r="O57" i="39"/>
  <c r="I57" i="39"/>
  <c r="N57" i="39"/>
  <c r="L57" i="39"/>
  <c r="E12" i="30" l="1"/>
  <c r="G12" i="30"/>
  <c r="F12" i="30"/>
  <c r="D12" i="30" l="1"/>
  <c r="H12" i="30" l="1"/>
  <c r="B12" i="30"/>
  <c r="I12" i="30"/>
  <c r="C12" i="30" l="1"/>
  <c r="J12" i="30"/>
  <c r="D13" i="30" l="1"/>
  <c r="F56" i="39" s="1"/>
  <c r="K12" i="30"/>
  <c r="F60" i="39" l="1"/>
  <c r="F62" i="39"/>
  <c r="F43" i="39"/>
  <c r="F58" i="39"/>
  <c r="L12" i="30"/>
  <c r="G5" i="43"/>
  <c r="F77" i="39" l="1"/>
  <c r="D37" i="3"/>
  <c r="M4" i="43"/>
  <c r="M5" i="43" s="1"/>
  <c r="B13" i="30"/>
  <c r="D56" i="39" s="1"/>
  <c r="C13" i="30"/>
  <c r="E56" i="39" s="1"/>
  <c r="I5" i="43"/>
  <c r="H5" i="43"/>
  <c r="J5" i="43"/>
  <c r="M12" i="30"/>
  <c r="D60" i="39" l="1"/>
  <c r="D43" i="39"/>
  <c r="D62" i="39"/>
  <c r="D77" i="39" s="1"/>
  <c r="D58" i="39"/>
  <c r="D46" i="3"/>
  <c r="D47" i="3" s="1"/>
  <c r="K6" i="22" s="1"/>
  <c r="M8" i="43"/>
  <c r="M9" i="43" s="1"/>
  <c r="F78" i="39"/>
  <c r="E60" i="39"/>
  <c r="E43" i="39"/>
  <c r="E58" i="39"/>
  <c r="E62" i="39"/>
  <c r="E77" i="39" s="1"/>
  <c r="E86" i="39" l="1"/>
  <c r="D23" i="26"/>
  <c r="D27" i="26" s="1"/>
  <c r="L8" i="43"/>
  <c r="L9" i="43" s="1"/>
  <c r="E78" i="39"/>
  <c r="D86" i="39"/>
  <c r="F86" i="39"/>
  <c r="K8" i="43"/>
  <c r="K9" i="43" s="1"/>
  <c r="D78" i="39"/>
  <c r="F79" i="39" s="1"/>
  <c r="L4" i="43"/>
  <c r="L5" i="43" s="1"/>
  <c r="C37" i="3"/>
  <c r="C46" i="3" s="1"/>
  <c r="C47" i="3" s="1"/>
  <c r="J6" i="22" s="1"/>
  <c r="B37" i="3"/>
  <c r="B46" i="3" s="1"/>
  <c r="B47" i="3" s="1"/>
  <c r="I6" i="22" s="1"/>
  <c r="K4" i="43"/>
  <c r="K5" i="43" s="1"/>
  <c r="E79" i="39" l="1"/>
  <c r="K22" i="22"/>
  <c r="G22" i="22"/>
  <c r="E22" i="22"/>
  <c r="I22" i="22"/>
  <c r="C22" i="22"/>
  <c r="B14" i="22"/>
  <c r="B22" i="22"/>
  <c r="H14" i="22"/>
  <c r="D22" i="22"/>
  <c r="E14" i="22"/>
  <c r="H22" i="22"/>
  <c r="B23" i="26"/>
  <c r="B27" i="26" s="1"/>
  <c r="B29" i="26" s="1"/>
  <c r="D14" i="22"/>
  <c r="G14" i="22"/>
  <c r="I14" i="22"/>
  <c r="C14" i="22"/>
  <c r="F22" i="22"/>
  <c r="F14" i="22"/>
  <c r="J22" i="22"/>
  <c r="J14" i="22"/>
  <c r="C23" i="26"/>
  <c r="C27" i="26" s="1"/>
  <c r="K14" i="22"/>
  <c r="D29" i="26" l="1"/>
  <c r="C29" i="26"/>
  <c r="E13" i="30" l="1"/>
  <c r="G56" i="39" s="1"/>
  <c r="F13" i="30" l="1"/>
  <c r="H56" i="39" s="1"/>
  <c r="G43" i="39"/>
  <c r="G44" i="39" s="1"/>
  <c r="G58" i="39"/>
  <c r="G86" i="39" s="1"/>
  <c r="G62" i="39"/>
  <c r="G60" i="39"/>
  <c r="G77" i="39" l="1"/>
  <c r="G78" i="39" s="1"/>
  <c r="G79" i="39" s="1"/>
  <c r="B15" i="43" a="1"/>
  <c r="B15" i="43" s="1"/>
  <c r="N4" i="43"/>
  <c r="N5" i="43" s="1"/>
  <c r="E37" i="3"/>
  <c r="G13" i="30"/>
  <c r="I56" i="39" s="1"/>
  <c r="H43" i="39"/>
  <c r="H44" i="39" s="1"/>
  <c r="H60" i="39"/>
  <c r="H58" i="39"/>
  <c r="H86" i="39" s="1"/>
  <c r="H62" i="39"/>
  <c r="H77" i="39" s="1"/>
  <c r="N8" i="43" l="1"/>
  <c r="N9" i="43" s="1"/>
  <c r="E46" i="3"/>
  <c r="E47" i="3" s="1"/>
  <c r="L6" i="22" s="1"/>
  <c r="E23" i="26" s="1"/>
  <c r="E27" i="26" s="1"/>
  <c r="E29" i="26" s="1"/>
  <c r="F12" i="47" a="1"/>
  <c r="F12" i="47" s="1"/>
  <c r="F37" i="3"/>
  <c r="F46" i="3" s="1"/>
  <c r="F47" i="3" s="1"/>
  <c r="M6" i="22" s="1"/>
  <c r="O4" i="43"/>
  <c r="O5" i="43" s="1"/>
  <c r="I43" i="39"/>
  <c r="I44" i="39" s="1"/>
  <c r="I60" i="39"/>
  <c r="I58" i="39"/>
  <c r="I86" i="39" s="1"/>
  <c r="I62" i="39"/>
  <c r="I77" i="39" s="1"/>
  <c r="O8" i="43"/>
  <c r="O9" i="43" s="1"/>
  <c r="H78" i="39"/>
  <c r="H79" i="39" s="1"/>
  <c r="H13" i="30"/>
  <c r="J56" i="39" s="1"/>
  <c r="L14" i="22" l="1"/>
  <c r="L22" i="22"/>
  <c r="S12" i="47"/>
  <c r="U12" i="47" s="1"/>
  <c r="F19" i="47"/>
  <c r="T12" i="47"/>
  <c r="F14" i="47"/>
  <c r="F15" i="47"/>
  <c r="I78" i="39"/>
  <c r="I79" i="39" s="1"/>
  <c r="P8" i="43"/>
  <c r="P9" i="43" s="1"/>
  <c r="P4" i="43"/>
  <c r="P5" i="43" s="1"/>
  <c r="G37" i="3"/>
  <c r="G46" i="3" s="1"/>
  <c r="G47" i="3" s="1"/>
  <c r="N6" i="22" s="1"/>
  <c r="I13" i="30"/>
  <c r="K56" i="39" s="1"/>
  <c r="J58" i="39"/>
  <c r="J86" i="39" s="1"/>
  <c r="J60" i="39"/>
  <c r="J43" i="39"/>
  <c r="J44" i="39" s="1"/>
  <c r="J62" i="39"/>
  <c r="J77" i="39" s="1"/>
  <c r="F23" i="26"/>
  <c r="F27" i="26" s="1"/>
  <c r="F29" i="26" s="1"/>
  <c r="M14" i="22"/>
  <c r="M22" i="22"/>
  <c r="S14" i="47" l="1"/>
  <c r="U14" i="47" s="1"/>
  <c r="T14" i="47"/>
  <c r="F23" i="47"/>
  <c r="T15" i="47"/>
  <c r="S15" i="47"/>
  <c r="T19" i="47"/>
  <c r="S19" i="47"/>
  <c r="U19" i="47" s="1"/>
  <c r="K43" i="39"/>
  <c r="K44" i="39" s="1"/>
  <c r="K58" i="39"/>
  <c r="K86" i="39" s="1"/>
  <c r="K60" i="39"/>
  <c r="K62" i="39"/>
  <c r="K77" i="39" s="1"/>
  <c r="N14" i="22"/>
  <c r="G23" i="26"/>
  <c r="G27" i="26" s="1"/>
  <c r="G29" i="26" s="1"/>
  <c r="N22" i="22"/>
  <c r="J13" i="30"/>
  <c r="L56" i="39" s="1"/>
  <c r="J78" i="39"/>
  <c r="J79" i="39" s="1"/>
  <c r="Q8" i="43"/>
  <c r="Q9" i="43" s="1"/>
  <c r="Q4" i="43"/>
  <c r="Q5" i="43" s="1"/>
  <c r="H37" i="3"/>
  <c r="H46" i="3" s="1"/>
  <c r="H47" i="3" s="1"/>
  <c r="O6" i="22" s="1"/>
  <c r="T23" i="47" l="1"/>
  <c r="S23" i="47"/>
  <c r="U15" i="47"/>
  <c r="K78" i="39"/>
  <c r="K79" i="39" s="1"/>
  <c r="R8" i="43"/>
  <c r="R9" i="43" s="1"/>
  <c r="K13" i="30"/>
  <c r="M56" i="39" s="1"/>
  <c r="I37" i="3"/>
  <c r="I46" i="3" s="1"/>
  <c r="I47" i="3" s="1"/>
  <c r="P6" i="22" s="1"/>
  <c r="R4" i="43"/>
  <c r="R5" i="43" s="1"/>
  <c r="O22" i="22"/>
  <c r="H23" i="26"/>
  <c r="H27" i="26" s="1"/>
  <c r="H29" i="26" s="1"/>
  <c r="O14" i="22"/>
  <c r="L43" i="39"/>
  <c r="L44" i="39" s="1"/>
  <c r="L58" i="39"/>
  <c r="L86" i="39" s="1"/>
  <c r="L60" i="39"/>
  <c r="L62" i="39"/>
  <c r="L77" i="39" s="1"/>
  <c r="I23" i="26" l="1"/>
  <c r="I27" i="26" s="1"/>
  <c r="I29" i="26" s="1"/>
  <c r="P22" i="22"/>
  <c r="P14" i="22"/>
  <c r="M43" i="39"/>
  <c r="M44" i="39" s="1"/>
  <c r="M62" i="39"/>
  <c r="M77" i="39" s="1"/>
  <c r="M60" i="39"/>
  <c r="M58" i="39"/>
  <c r="M86" i="39" s="1"/>
  <c r="S8" i="43"/>
  <c r="S9" i="43" s="1"/>
  <c r="L78" i="39"/>
  <c r="L79" i="39" s="1"/>
  <c r="L13" i="30"/>
  <c r="N56" i="39" s="1"/>
  <c r="J37" i="3"/>
  <c r="J46" i="3" s="1"/>
  <c r="J47" i="3" s="1"/>
  <c r="Q6" i="22" s="1"/>
  <c r="S4" i="43"/>
  <c r="S5" i="43" s="1"/>
  <c r="M13" i="30" l="1"/>
  <c r="O56" i="39" s="1"/>
  <c r="K37" i="3"/>
  <c r="K46" i="3" s="1"/>
  <c r="K47" i="3" s="1"/>
  <c r="R6" i="22" s="1"/>
  <c r="T4" i="43"/>
  <c r="T5" i="43" s="1"/>
  <c r="N62" i="39"/>
  <c r="N77" i="39" s="1"/>
  <c r="N60" i="39"/>
  <c r="N58" i="39"/>
  <c r="N86" i="39" s="1"/>
  <c r="N43" i="39"/>
  <c r="N44" i="39" s="1"/>
  <c r="T8" i="43"/>
  <c r="T9" i="43" s="1"/>
  <c r="M78" i="39"/>
  <c r="M79" i="39" s="1"/>
  <c r="J23" i="26"/>
  <c r="J27" i="26" s="1"/>
  <c r="J29" i="26" s="1"/>
  <c r="Q22" i="22"/>
  <c r="Q14" i="22"/>
  <c r="U4" i="43" l="1"/>
  <c r="U5" i="43" s="1"/>
  <c r="L37" i="3"/>
  <c r="L46" i="3" s="1"/>
  <c r="L47" i="3" s="1"/>
  <c r="S6" i="22" s="1"/>
  <c r="U8" i="43"/>
  <c r="U9" i="43" s="1"/>
  <c r="N78" i="39"/>
  <c r="N79" i="39" s="1"/>
  <c r="R14" i="22"/>
  <c r="K23" i="26"/>
  <c r="K27" i="26" s="1"/>
  <c r="K29" i="26" s="1"/>
  <c r="R22" i="22"/>
  <c r="O58" i="39"/>
  <c r="O86" i="39" s="1"/>
  <c r="O62" i="39"/>
  <c r="O77" i="39" s="1"/>
  <c r="O60" i="39"/>
  <c r="O43" i="39"/>
  <c r="O44" i="39" s="1"/>
  <c r="S14" i="22" l="1"/>
  <c r="L23" i="26"/>
  <c r="L27" i="26" s="1"/>
  <c r="L29" i="26" s="1"/>
  <c r="S22" i="22"/>
  <c r="M37" i="3"/>
  <c r="M46" i="3" s="1"/>
  <c r="M47" i="3" s="1"/>
  <c r="T6" i="22" s="1"/>
  <c r="V4" i="43"/>
  <c r="V5" i="43" s="1"/>
  <c r="O78" i="39"/>
  <c r="O79" i="39" s="1"/>
  <c r="V8" i="43"/>
  <c r="V9" i="43" s="1"/>
  <c r="M23" i="26" l="1"/>
  <c r="M27" i="26" s="1"/>
  <c r="M29" i="26" s="1"/>
  <c r="T14" i="22"/>
  <c r="T22" i="2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D304C0-358B-475D-9B2E-2F75A4E99660}" keepAlive="1" name="Abfrage - Tabelle5" description="Verbindung mit der Abfrage 'Tabelle5' in der Arbeitsmappe." type="5" refreshedVersion="7" background="1" saveData="1">
    <dbPr connection="Provider=Microsoft.Mashup.OleDb.1;Data Source=$Workbook$;Location=Tabelle5;Extended Properties=&quot;&quot;" command="SELECT * FROM [Tabelle5]"/>
  </connection>
  <connection id="2" xr16:uid="{12D59E32-E508-4686-9DCB-19B7F21CD453}" keepAlive="1" name="Abfrage - Tabelle5 (2)" description="Verbindung mit der Abfrage 'Tabelle5 (2)' in der Arbeitsmappe." type="5" refreshedVersion="7" background="1" saveData="1">
    <dbPr connection="Provider=Microsoft.Mashup.OleDb.1;Data Source=$Workbook$;Location=&quot;Tabelle5 (2)&quot;;Extended Properties=&quot;&quot;" command="SELECT * FROM [Tabelle5 (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<sst xmlns="http://schemas.openxmlformats.org/spreadsheetml/2006/main" count="994" uniqueCount="515">
  <si>
    <t>Jahr</t>
  </si>
  <si>
    <t>Mehrwertsteuersatz</t>
  </si>
  <si>
    <t>CO2-Preis [€/t]</t>
  </si>
  <si>
    <t>Quelle:</t>
  </si>
  <si>
    <t>EBeV 2022</t>
  </si>
  <si>
    <t>Mineralöl</t>
  </si>
  <si>
    <t>Benzin</t>
  </si>
  <si>
    <t>Diesel</t>
  </si>
  <si>
    <t>Mineralölsteuer [ct/l]</t>
  </si>
  <si>
    <t>Erdölbevorratungsbeitrag [ct/l]</t>
  </si>
  <si>
    <t>Erdgas</t>
  </si>
  <si>
    <t>Strom</t>
  </si>
  <si>
    <t>Stromsteuer [ct/kWh]</t>
  </si>
  <si>
    <t>KWKG-Umlage</t>
  </si>
  <si>
    <t>§19.2-StromNEV-Umlage</t>
  </si>
  <si>
    <t>Offshore-Netzumlage</t>
  </si>
  <si>
    <t>AblaV-Umlage</t>
  </si>
  <si>
    <t>Mineralöle</t>
  </si>
  <si>
    <t>Benzin [PJ]</t>
  </si>
  <si>
    <t>Diesel [PJ]</t>
  </si>
  <si>
    <t>Flugkraftstoffe [PJ]</t>
  </si>
  <si>
    <t>Steuereinnahmen (rechnerisch)</t>
  </si>
  <si>
    <t>In Litern</t>
  </si>
  <si>
    <t>Dichte</t>
  </si>
  <si>
    <t>[kg/l]</t>
  </si>
  <si>
    <t>Heizwert</t>
  </si>
  <si>
    <t>[MJ/kg]</t>
  </si>
  <si>
    <t>Emissionsfaktor</t>
  </si>
  <si>
    <t>[kg/MJ]</t>
  </si>
  <si>
    <t>Benzin [l]</t>
  </si>
  <si>
    <t>Energiesteuer</t>
  </si>
  <si>
    <t>Diesel [l]</t>
  </si>
  <si>
    <t>(Verkehrsministerium)</t>
  </si>
  <si>
    <t>Benzin [t]</t>
  </si>
  <si>
    <t>Diesel [t]</t>
  </si>
  <si>
    <t>Mineralölverband-BAFA</t>
  </si>
  <si>
    <t>CO2-Steuer</t>
  </si>
  <si>
    <t>In GJ</t>
  </si>
  <si>
    <t>Benzin [GJ]</t>
  </si>
  <si>
    <t>Diesel [GJ]</t>
  </si>
  <si>
    <t>In CO2-Emissionen</t>
  </si>
  <si>
    <t>Umsatzsteuer</t>
  </si>
  <si>
    <t>Summe</t>
  </si>
  <si>
    <t>Erdgas [TWh]</t>
  </si>
  <si>
    <t>Energiesteuer [ct/kWh] ermäßigt</t>
  </si>
  <si>
    <t>Energiesteuer befreit [ct/kWh]</t>
  </si>
  <si>
    <t>Strom aus Erdgas [TWh]</t>
  </si>
  <si>
    <t>Erdgaseinsatz KWK [TWh]</t>
  </si>
  <si>
    <t>Bergbau und Erden</t>
  </si>
  <si>
    <t>Haushalte</t>
  </si>
  <si>
    <t>GHD</t>
  </si>
  <si>
    <t>Landwirtschaft</t>
  </si>
  <si>
    <t>Verkehr</t>
  </si>
  <si>
    <t>Stromerzeugung</t>
  </si>
  <si>
    <t>Fernwärmeerzeugung</t>
  </si>
  <si>
    <t>Steigerung ggü 2019</t>
  </si>
  <si>
    <t>Für Erdgassteuer relevant</t>
  </si>
  <si>
    <t>Anteil Stromversorgung Erdgas nicht im EU-ETS</t>
  </si>
  <si>
    <t>Anteil Fernwärmeversorgung Erdgas nicht im EU-ETS</t>
  </si>
  <si>
    <t>(Schätzung ohne Datenevaluierung)</t>
  </si>
  <si>
    <t>[GJ/MWh]</t>
  </si>
  <si>
    <t>[GJ/GJ]</t>
  </si>
  <si>
    <t>[kg CO2/MJ]</t>
  </si>
  <si>
    <t>CO2-Emissionen für BEHG [t]</t>
  </si>
  <si>
    <t>Bundeshaushalt</t>
  </si>
  <si>
    <t>Heizöl EL</t>
  </si>
  <si>
    <t>Heizöl (EL), Schwefelarm [t]</t>
  </si>
  <si>
    <t>Heizöl (EL), Standard [t]</t>
  </si>
  <si>
    <t>CO2-Emissionen</t>
  </si>
  <si>
    <t>Heizöl (EL), Schwefelarm [l]</t>
  </si>
  <si>
    <t>Heizöl (EL), Standard [l]</t>
  </si>
  <si>
    <t>Heizstoffe außer Erdgas</t>
  </si>
  <si>
    <t>Heizöl (EL), Schwefelarm [GJ]</t>
  </si>
  <si>
    <t>Heizöl (EL), Standard [GJ]</t>
  </si>
  <si>
    <t>Energiesteuer schwefelarm [ct/l]</t>
  </si>
  <si>
    <t>Energiesteuer[ct/l]</t>
  </si>
  <si>
    <t xml:space="preserve">EEG-Umlage </t>
  </si>
  <si>
    <t>Konzessionsabgabe</t>
  </si>
  <si>
    <t>Stromverbrauch [TWh]</t>
  </si>
  <si>
    <t>https://www.bmu.de/gesetz/verordnung-ueber-die-emissionsberichterstattung-nach-dem-brennstoffemissionshandelsgesetz-fuer-die-jah/</t>
  </si>
  <si>
    <t>https://ag-energiebilanzen.de/10-0-Auswertungstabellen.html</t>
  </si>
  <si>
    <t>https://www.mwv.de/statistiken/mineraloelabsatz/</t>
  </si>
  <si>
    <t>https://www.bafa.de/SharedDocs/Downloads/DE/Energie/egas_entwicklung_1991.html</t>
  </si>
  <si>
    <t>Stromsteuer</t>
  </si>
  <si>
    <t>Stromsteuer Anteil</t>
  </si>
  <si>
    <t>Summe CO2-Steuer</t>
  </si>
  <si>
    <t>Gesamt</t>
  </si>
  <si>
    <t>Weitergabe CO2-Steuer Gas an Endkundenpreise (Bergbau und Erden)</t>
  </si>
  <si>
    <t>Weitergabe CO2-Steuer Gas an Endkundenpreise (GHD)</t>
  </si>
  <si>
    <t>Weitergabe CO2-Steuer an Endkunden (Export berücksichtigen)</t>
  </si>
  <si>
    <t>Gebäudesanierung</t>
  </si>
  <si>
    <t>E-Mobilitätsförderung</t>
  </si>
  <si>
    <t>Förderung E-Dienstwagen</t>
  </si>
  <si>
    <t>7% auf Bahntickets</t>
  </si>
  <si>
    <t>Zusätzliche Klimaschutzmaßnahmen</t>
  </si>
  <si>
    <t>Bundeshaushalt 2019</t>
  </si>
  <si>
    <t>Quelle: BAFA, MWV</t>
  </si>
  <si>
    <t>Energiesteuer [ct/kWh] (Kraftstoff)</t>
  </si>
  <si>
    <t>Flüssiggase</t>
  </si>
  <si>
    <t>vermischt [ct/kg]</t>
  </si>
  <si>
    <t>Flüssiggas [kt]</t>
  </si>
  <si>
    <t>Sektoren (2018)</t>
  </si>
  <si>
    <t>Chemie</t>
  </si>
  <si>
    <t>Haushalte inkl. Landwirtschaft</t>
  </si>
  <si>
    <t>Industrie</t>
  </si>
  <si>
    <t>Mobilität</t>
  </si>
  <si>
    <t>Raffinerie</t>
  </si>
  <si>
    <t>Resultierende Verbräuche</t>
  </si>
  <si>
    <t>Flüssiggas</t>
  </si>
  <si>
    <t>[kg/kg]</t>
  </si>
  <si>
    <t>Anteil des Sektors Bergbau und Erden (Erdgas) nicht im EU-ETS:</t>
  </si>
  <si>
    <t>Anteil des Sektors Chemie (Flüssiggas) nicht im EU-ETS</t>
  </si>
  <si>
    <t>Anteil des Sektors Industrie (Flüssiggas) nicht im EU-ETS</t>
  </si>
  <si>
    <t>CO2-Emissionen [t] für BEHG</t>
  </si>
  <si>
    <t>Anteil des Sektors Raffinerie (Flüssiggas) nicht im EU-ETS</t>
  </si>
  <si>
    <t>Energiesteuer[ct/l] ermäßigt</t>
  </si>
  <si>
    <t>Energiesteuer schwefelarm [ct/l] ermäßigt</t>
  </si>
  <si>
    <t>Gasöl (Heizöl EL)</t>
  </si>
  <si>
    <t>Flüssiggas (Mobilität)</t>
  </si>
  <si>
    <t>Flüssiggas (außer Mobilität)</t>
  </si>
  <si>
    <t>[Optional]</t>
  </si>
  <si>
    <t>Teilerstattung CO2-Steuer für denkmalgeschützte Wohngebäude</t>
  </si>
  <si>
    <t>Energiesteuer [ct/kg] ermäßigt</t>
  </si>
  <si>
    <t>Heizöl S</t>
  </si>
  <si>
    <t>Heizöl (S) [t]</t>
  </si>
  <si>
    <t>Heizöl (S) Komponenten [t]</t>
  </si>
  <si>
    <t>Heizöl (S) [GJ]</t>
  </si>
  <si>
    <t>Heizöl (S) Komponenten [GJ]</t>
  </si>
  <si>
    <t>Wertung HS-Komponenten für CO2-Emissionen</t>
  </si>
  <si>
    <t>Heizöl S (Mobilität)</t>
  </si>
  <si>
    <t>Heizöl (S) [kt]</t>
  </si>
  <si>
    <t>Heizöl (S) Komponenten [kt]</t>
  </si>
  <si>
    <t>Heizöl S (außer Mobilität)</t>
  </si>
  <si>
    <t>Ust Steigerung ggü 2019</t>
  </si>
  <si>
    <t>Mineralöl und Flüssiggas</t>
  </si>
  <si>
    <t>Energiesteuer [ct/kg] (Kraftstoff)</t>
  </si>
  <si>
    <t>ermäßigt [ct/kg]</t>
  </si>
  <si>
    <t>unvermischt [ct/kg] (Kraftstoff)</t>
  </si>
  <si>
    <t>Umlagen</t>
  </si>
  <si>
    <t>KWKG Umlage rechnerisch</t>
  </si>
  <si>
    <t>Relation Stromsteuer rechnerisch</t>
  </si>
  <si>
    <t>KWKG-Umlage nach Netztransparenz.de</t>
  </si>
  <si>
    <t>Relation KWKG rechnerisch</t>
  </si>
  <si>
    <t>Stromsteuer rechnerisch voll</t>
  </si>
  <si>
    <t>KWKG Umlage rechnerisch voll</t>
  </si>
  <si>
    <t>anzulegender Letzverbrauch [kWh]</t>
  </si>
  <si>
    <t>Umlagebeitrag [€]</t>
  </si>
  <si>
    <t>Umlage</t>
  </si>
  <si>
    <t>Aufkommen [€]</t>
  </si>
  <si>
    <t>Umlagebeitrag [€} Kat. A</t>
  </si>
  <si>
    <t>anzulegender Letztverbrauch [kWh] Kat. A</t>
  </si>
  <si>
    <t>Umlagebeitrag [€} Kat. B</t>
  </si>
  <si>
    <t>anzulegender Letztverbrauch [kWh] Kat. B</t>
  </si>
  <si>
    <t>Umlagebeitrag [€} Kat. C</t>
  </si>
  <si>
    <t>anzulegender Letztverbrauch [kWh] Kat. C</t>
  </si>
  <si>
    <t>Umlage [ct/kWh]</t>
  </si>
  <si>
    <t>Umlagenhöhe [ct/kWh]</t>
  </si>
  <si>
    <t>Heizöl</t>
  </si>
  <si>
    <t>Rohölpreis Brent [$/bbl]</t>
  </si>
  <si>
    <t>Dollarkurs [$/€]</t>
  </si>
  <si>
    <t>Rohölpreis Brent [€/bbl]</t>
  </si>
  <si>
    <t>Produktbeschaffung</t>
  </si>
  <si>
    <t>Mehrwertsteuer</t>
  </si>
  <si>
    <t>CO2-Preis</t>
  </si>
  <si>
    <t>[kg CO2/l]</t>
  </si>
  <si>
    <t>Großhandelspreis Base YA</t>
  </si>
  <si>
    <t>Beschaffungskosten [ct/kWh]</t>
  </si>
  <si>
    <t>Netznutzungsentgelte</t>
  </si>
  <si>
    <t>Durchschnittliche Netznutzungsentgelte (inkl. Messung und Messtellenbetrieb)</t>
  </si>
  <si>
    <t>Vertrieb, Marge</t>
  </si>
  <si>
    <t>EEG-Umlage</t>
  </si>
  <si>
    <t>Summe Brutto</t>
  </si>
  <si>
    <t>BDEW-Strompreisanalyse</t>
  </si>
  <si>
    <t>Großhandelspreis</t>
  </si>
  <si>
    <t>BDEW-Gaspreisanalyse</t>
  </si>
  <si>
    <t>[kg CO2/kWh]</t>
  </si>
  <si>
    <t>Abgaben und Umlagen [ct/kWh]</t>
  </si>
  <si>
    <t>Benzin [€/l]</t>
  </si>
  <si>
    <t>Diesel [€/l]</t>
  </si>
  <si>
    <t>Heizöl [€/l]</t>
  </si>
  <si>
    <t>Erdgas [ct/kWh]</t>
  </si>
  <si>
    <t xml:space="preserve">Strom [ct/kWh]          </t>
  </si>
  <si>
    <t>Auto</t>
  </si>
  <si>
    <t>km/Jahr</t>
  </si>
  <si>
    <t>Gasverbrauch</t>
  </si>
  <si>
    <t>kWh/a</t>
  </si>
  <si>
    <t>Stromverbrauch</t>
  </si>
  <si>
    <t>Heizölverbrauch</t>
  </si>
  <si>
    <t>l/a</t>
  </si>
  <si>
    <t>Verbrauch (l/100km)</t>
  </si>
  <si>
    <t>Gas</t>
  </si>
  <si>
    <t>Diesel (D) oder Benzin (B)</t>
  </si>
  <si>
    <t>B</t>
  </si>
  <si>
    <t>Mehrbelastung pro Jahr ggü. 2019</t>
  </si>
  <si>
    <t>KNDE</t>
  </si>
  <si>
    <t>Energiegeld</t>
  </si>
  <si>
    <t>Vergütungsansprüche</t>
  </si>
  <si>
    <t>EEG-Umlage (nicht priviligiert)</t>
  </si>
  <si>
    <t>Für EEG-Umlage anzulegender Letztverbrauch [TWh]</t>
  </si>
  <si>
    <t>EEG-Kernumlage</t>
  </si>
  <si>
    <t>EEG-Umlage gesamt (nominal) [ct/kWh]</t>
  </si>
  <si>
    <t>Liquiditätsreserve (nominal) [Mrd. euro]</t>
  </si>
  <si>
    <t>Kontostand am 30.9. des Vorjahres (nominal) [Mrd. Euro]</t>
  </si>
  <si>
    <t>jährliche Zuschüsse aus dem Bundeshaushalt</t>
  </si>
  <si>
    <t>Großhandelsstrompreis Base YA</t>
  </si>
  <si>
    <t>Umlagebetrag Nominal</t>
  </si>
  <si>
    <t>Mehr/Mindereinnahmen ggü. 2019</t>
  </si>
  <si>
    <t>Spalte1</t>
  </si>
  <si>
    <t>Summe Erdgas</t>
  </si>
  <si>
    <t>Nettostromverbrauch [TWh]</t>
  </si>
  <si>
    <t>Flüssiggas [PJ]</t>
  </si>
  <si>
    <t>Heizöl (EL), Schwefelarm [PJ]</t>
  </si>
  <si>
    <t>Heizöl (EL), Standard [PJ]</t>
  </si>
  <si>
    <t>Heizöl (EL) [PJ]</t>
  </si>
  <si>
    <t>Heizöl (EL), Schwefelarm [%]</t>
  </si>
  <si>
    <t>Heizöl (EL), Standard [%]</t>
  </si>
  <si>
    <t>Heizöl EL [PJ]</t>
  </si>
  <si>
    <t>[Eigenes Szenario 4]</t>
  </si>
  <si>
    <t>[Eigenes Szenario 5]</t>
  </si>
  <si>
    <t>Strom nur Stromsteuer</t>
  </si>
  <si>
    <t>Titel</t>
  </si>
  <si>
    <t>Erläuterung</t>
  </si>
  <si>
    <t>Quelle</t>
  </si>
  <si>
    <t>BMF, ÜNB</t>
  </si>
  <si>
    <t>Erstellungsdatum</t>
  </si>
  <si>
    <t>Link zur Quelle</t>
  </si>
  <si>
    <t>Mrd. €</t>
  </si>
  <si>
    <t>Bemerkung</t>
  </si>
  <si>
    <t>Fortschreibung</t>
  </si>
  <si>
    <t>Offshore-Haftungsumlage</t>
  </si>
  <si>
    <t>alle Umlagen</t>
  </si>
  <si>
    <t>Gesamtaufkommen, Fortschreibung</t>
  </si>
  <si>
    <t>Energiesteuern</t>
  </si>
  <si>
    <t>Strom- und Energiesteuern</t>
  </si>
  <si>
    <t>CO2-Beitrag (180€/t)</t>
  </si>
  <si>
    <t>Mengenentwicklung</t>
  </si>
  <si>
    <t>CO2-Intensität Strom [g/kWh]</t>
  </si>
  <si>
    <t>CO2-Beitrag von Strom [ct/kWh]</t>
  </si>
  <si>
    <t>Erdgas [PJ]</t>
  </si>
  <si>
    <t>Energieverbrauch Erdgas [PJ]</t>
  </si>
  <si>
    <t>EEV Fossile Gase [TWh]</t>
  </si>
  <si>
    <t>EEV Fossile Gase [PJ]</t>
  </si>
  <si>
    <t>Stromerzeugung aus Erdgas [TWh]</t>
  </si>
  <si>
    <t>Fernwärmeerzeugung aus Erdgas [TWh]</t>
  </si>
  <si>
    <t>Prozentuale Verteilung EEV</t>
  </si>
  <si>
    <t>(AGEB-Daten)</t>
  </si>
  <si>
    <t>EEV nach Sektoren [TWh]</t>
  </si>
  <si>
    <t xml:space="preserve">Summe EEV </t>
  </si>
  <si>
    <t>Koeffizient Stromerzeugung</t>
  </si>
  <si>
    <t>BdEW-Stromerzeugung aus Erdgas [TWh]</t>
  </si>
  <si>
    <t>https://www.bdew.de/energie/stromerzeugung-und-verbrauch-deutschland/</t>
  </si>
  <si>
    <t>Heizöl S [PJ]</t>
  </si>
  <si>
    <t>Statistik Mineralverband</t>
  </si>
  <si>
    <t>Eingabe</t>
  </si>
  <si>
    <t>CO2-Preis Szenarien</t>
  </si>
  <si>
    <t>Anzahl Personen</t>
  </si>
  <si>
    <t>Szenario eingestellt im EEG-Rechner</t>
  </si>
  <si>
    <t>ja</t>
  </si>
  <si>
    <t>nein</t>
  </si>
  <si>
    <t>Bevölkerung Deutschland:</t>
  </si>
  <si>
    <t>Mio</t>
  </si>
  <si>
    <t>Musterhaushalt</t>
  </si>
  <si>
    <t>A</t>
  </si>
  <si>
    <t>Auto 1</t>
  </si>
  <si>
    <t>Auto 2</t>
  </si>
  <si>
    <t>Vertieb &amp; Marge</t>
  </si>
  <si>
    <t>Vertrieb &amp; Marge</t>
  </si>
  <si>
    <t>3 Musterhaushalte auf einem Blatt</t>
  </si>
  <si>
    <t>Bundeszuschüsse</t>
  </si>
  <si>
    <t>CO2-Bepreisung aus BEHG</t>
  </si>
  <si>
    <t>Diagramm (3) plus CO2-Einnahmen (schwarz) plus Mehr-Mindereinnahmen ggü 2019 als Linie</t>
  </si>
  <si>
    <t>Erhöhung Wohngeld</t>
  </si>
  <si>
    <t>Erhöhung Pendlerpauschale</t>
  </si>
  <si>
    <t>Veränderung ggü. 2019</t>
  </si>
  <si>
    <t>Summe Energiesteuern</t>
  </si>
  <si>
    <t>davon bei Verabschiedung BEHG 12. Dezember 2019</t>
  </si>
  <si>
    <t>davon Mehreinnahmen aus BEHG-Erhöhung 2020</t>
  </si>
  <si>
    <t>Indiziert</t>
  </si>
  <si>
    <t xml:space="preserve">Strom     </t>
  </si>
  <si>
    <t>Summe Energiesteuern und CO2-Preis im BEHG</t>
  </si>
  <si>
    <t>Klimaschutzausgaben aus BEHG</t>
  </si>
  <si>
    <t>Mittel zur Senkung der EEG-Umlage</t>
  </si>
  <si>
    <t>Saldoveränderung ggü. 2019</t>
  </si>
  <si>
    <t>Saldo (Einnahmen-Ausgaben)</t>
  </si>
  <si>
    <t>Stromsteuersatz [ct/kWh]</t>
  </si>
  <si>
    <t>Stromsteuersenkung auf EU Mindestsatz</t>
  </si>
  <si>
    <t>Saldo</t>
  </si>
  <si>
    <t>Aufhübschen</t>
  </si>
  <si>
    <t>[Eigenes Szenario 6]</t>
  </si>
  <si>
    <t>[Eigenes Szenario 7]</t>
  </si>
  <si>
    <t>[Eigenes Szenario 8]</t>
  </si>
  <si>
    <t>[Eigenes Szenario 9]</t>
  </si>
  <si>
    <t>[Eigenes Szenario 10]</t>
  </si>
  <si>
    <t>[Eigenes Szenario 11]</t>
  </si>
  <si>
    <t>[Eigenes Szenario 12]</t>
  </si>
  <si>
    <t>[Eigenes Szenario 13]</t>
  </si>
  <si>
    <t>[Eigenes Szenario 14]</t>
  </si>
  <si>
    <t>[Eigenes Szenario 15]</t>
  </si>
  <si>
    <t>Prognostizierte Deckungslücke [Mrd. €] - Nominal</t>
  </si>
  <si>
    <t>Strompreis</t>
  </si>
  <si>
    <t>Summe Strompreis und Umlage</t>
  </si>
  <si>
    <t>Summe Energiesteuern und CO2-Preis</t>
  </si>
  <si>
    <t>Zusätzliche Ausgaben</t>
  </si>
  <si>
    <t>Vergleich der Energiepreise bei Strom, Wärme und Verkehr (Stand: 2018 soweit verfügbar)</t>
  </si>
  <si>
    <t>Rote Werte noch prüfen!</t>
  </si>
  <si>
    <t xml:space="preserve">BDEW, BMWi, BNetzA, ÜNB, UBA, Agora Energiewende
</t>
  </si>
  <si>
    <t>EUR/EUA</t>
  </si>
  <si>
    <t>08.11.2017, aktualisiert 8.2.2021 (nicht Beschaffungskosten)</t>
  </si>
  <si>
    <t xml:space="preserve">Energiesteuer </t>
  </si>
  <si>
    <t>Mehrwertsteuer auf Entgelte, Steuern, Abgaben und Umlagen</t>
  </si>
  <si>
    <t>Beschaffung,
Vertrieb und Marge (ohne EUA-Kosten)</t>
  </si>
  <si>
    <t>Senkung Stromsteuer</t>
  </si>
  <si>
    <t>EEG-Umlagen-
Senkung</t>
  </si>
  <si>
    <t>KWK-Umlage</t>
  </si>
  <si>
    <t>Energiesteuer-
Erhöhung</t>
  </si>
  <si>
    <t>Netzentgelte</t>
  </si>
  <si>
    <t>Konzessions-
abgabe</t>
  </si>
  <si>
    <t>Sonstige Umlagen</t>
  </si>
  <si>
    <t>Summe ohne Beschaffung etc. ohne MWSt.</t>
  </si>
  <si>
    <t>Summe ohne Beschaffung etc. mit MWSt.</t>
  </si>
  <si>
    <t>Erzeugung</t>
  </si>
  <si>
    <t>E-Pkw*
(ungesteuertes Laden)</t>
  </si>
  <si>
    <t>E-Pkw, PtX</t>
  </si>
  <si>
    <t>Wärme</t>
  </si>
  <si>
    <t>Wärmepumpe, PtX</t>
  </si>
  <si>
    <t>Leichtes Heizöl</t>
  </si>
  <si>
    <t>Kalkulation Beschaffungskosten E-Mob</t>
  </si>
  <si>
    <t>Preis inkl. A&amp;U&amp;MwSt.</t>
  </si>
  <si>
    <t>ct/Liter</t>
  </si>
  <si>
    <t>EUR/t_CO2</t>
  </si>
  <si>
    <t>ct/kWh</t>
  </si>
  <si>
    <t>Haushalt</t>
  </si>
  <si>
    <t>E-Mob (gesteuert)</t>
  </si>
  <si>
    <t>E-Mob (ungesteuert)</t>
  </si>
  <si>
    <t>Beschaffung, Marge und Vertrieb</t>
  </si>
  <si>
    <t>Beschaffung</t>
  </si>
  <si>
    <t>Heizöl 
(leicht)</t>
  </si>
  <si>
    <t>Marge und Vertrieb</t>
  </si>
  <si>
    <t>NNE_WP = NNE_E-Pkw, davor: Annahme: Ermäßigung auf die Netzentgelte (Mittelwert)</t>
  </si>
  <si>
    <t>Strompreise bei unterschiedlichem Verbrauchsverhalten (2016)</t>
  </si>
  <si>
    <t>€/MWh</t>
  </si>
  <si>
    <t>Aufpreis gegenüber Ø Jahresstrompreis Börse</t>
  </si>
  <si>
    <t>Aufpreis gegenüber Ø Börsenstrompreis für einen Standard-Haushaltsstromverbrauch (H0-Profil)</t>
  </si>
  <si>
    <t>Tabelle 2 - Kosten (Euro/Jahr) für Netznutzung im Vergleich bei 3.500 kWh</t>
  </si>
  <si>
    <t>Umrechnung</t>
  </si>
  <si>
    <t>Ø Jahresstrompreis Börse</t>
  </si>
  <si>
    <t>Elektromobilität</t>
  </si>
  <si>
    <t>Nachlass</t>
  </si>
  <si>
    <t>Preis inkl. A&amp;U ohne MwSt.</t>
  </si>
  <si>
    <t>kWh/l</t>
  </si>
  <si>
    <t>Ø Börsenstrompreis für einen Standard-Haushaltsstrom-verbrauch (H0-Profil)</t>
  </si>
  <si>
    <t>€/Jahr</t>
  </si>
  <si>
    <t>Prozent</t>
  </si>
  <si>
    <t>Ø Börsenstrompreis für gesteuertes Laden</t>
  </si>
  <si>
    <t xml:space="preserve">Stuttgart </t>
  </si>
  <si>
    <t>Ø Börsenstrompreis für ungesteuertes Laden</t>
  </si>
  <si>
    <t>Netze BW</t>
  </si>
  <si>
    <t>SW Tübingen</t>
  </si>
  <si>
    <t>EnergieNetz</t>
  </si>
  <si>
    <t>WeserNetz</t>
  </si>
  <si>
    <t>Bayernwerk</t>
  </si>
  <si>
    <t>EWE</t>
  </si>
  <si>
    <t>Edis</t>
  </si>
  <si>
    <t>Westnetz</t>
  </si>
  <si>
    <t xml:space="preserve">Berlin </t>
  </si>
  <si>
    <t>Quelle: Entgelte der Verteilnetze, eigene Darstellung</t>
  </si>
  <si>
    <t>Jahresauswertung 2020, Agora Energiewende</t>
  </si>
  <si>
    <t>Rückverteilung pro Kopf [€/Person/a]</t>
  </si>
  <si>
    <t>CO2-Preis BEHG Stand 3.11.2020</t>
  </si>
  <si>
    <t>Aktuell ausgewählt</t>
  </si>
  <si>
    <t>Agora 50 Maßnahmen max</t>
  </si>
  <si>
    <t>Agora 50 Maßnahmen min</t>
  </si>
  <si>
    <t>DNR, NABU, BUND et al.</t>
  </si>
  <si>
    <t>Pauschal 100€ ab 2023</t>
  </si>
  <si>
    <t>Pauschal 75€ ab 2023</t>
  </si>
  <si>
    <t>Keine Rückverteilung pro Kopf</t>
  </si>
  <si>
    <t>2019 fortgeschrieben</t>
  </si>
  <si>
    <t>1% Minderung p.a. ggü. 2019</t>
  </si>
  <si>
    <t>2% Minderung p.a. ggü. 2019</t>
  </si>
  <si>
    <t>3% Minderung p.a. ggü. 2019</t>
  </si>
  <si>
    <t>BEE</t>
  </si>
  <si>
    <t>0,5% Minderung p.a. ggü. 2019</t>
  </si>
  <si>
    <t>0,5% Steigerung p.a. ggü. 2019</t>
  </si>
  <si>
    <t>1% Steigerung p.a. ggü. 2019</t>
  </si>
  <si>
    <t>2% Steigerung p.a. ggü. 2019</t>
  </si>
  <si>
    <t>3% Steigerung p.a. ggü. 2019</t>
  </si>
  <si>
    <t>2,5% Minderung p.a. ggü. 2019</t>
  </si>
  <si>
    <t>5% Minderung p.a. ggü. 2019</t>
  </si>
  <si>
    <t>2,5% Steigerung p.a. ggü. 2019</t>
  </si>
  <si>
    <t>EUA Preis</t>
  </si>
  <si>
    <t>manuelle Eingabe</t>
  </si>
  <si>
    <t>Szenario/Auswahl</t>
  </si>
  <si>
    <r>
      <t>CO2-Preis</t>
    </r>
    <r>
      <rPr>
        <sz val="11"/>
        <color theme="7"/>
        <rFont val="Arial"/>
        <family val="2"/>
      </rPr>
      <t xml:space="preserve"> [Euro pro Tonne CO2]</t>
    </r>
  </si>
  <si>
    <r>
      <t>Einnahmen aus CO2-Preis</t>
    </r>
    <r>
      <rPr>
        <sz val="11"/>
        <color theme="7"/>
        <rFont val="Arial"/>
        <family val="2"/>
      </rPr>
      <t xml:space="preserve"> [Millionen Euro]</t>
    </r>
  </si>
  <si>
    <t>Agora 50 Maßnahmen</t>
  </si>
  <si>
    <t>gesamt</t>
  </si>
  <si>
    <t>Rückverteilung pro Kopf</t>
  </si>
  <si>
    <r>
      <t>Einnahmeverwendung</t>
    </r>
    <r>
      <rPr>
        <sz val="11"/>
        <color theme="7"/>
        <rFont val="Arial"/>
        <family val="2"/>
      </rPr>
      <t xml:space="preserve"> [Millionen Euro, wenn nicht anders angegeben]</t>
    </r>
  </si>
  <si>
    <t>Rückverteilung pro Kopf [Euro/Person/Jahr] - manuelle Eingabe</t>
  </si>
  <si>
    <t>Rückverteilung pro Kopf [Euro/Person/Jahr] - gewähltes Szenario</t>
  </si>
  <si>
    <t>bezahlt aus CO2-Preis-Einnahmen</t>
  </si>
  <si>
    <t>aus CO2-Preiseinnahmen bezahlt - gewähltes Szenario</t>
  </si>
  <si>
    <t>(1) Zusage Bundesregierung Verwendung BEHG-Einnahmen</t>
  </si>
  <si>
    <t>(2) Bundeszuschüsse aus Corona-Konjunkturprogramm</t>
  </si>
  <si>
    <t>Bundeszuschüsse aus dem Haushalt (3) = (1) + (2)</t>
  </si>
  <si>
    <t>Energiesteuer [Millionen Euro]</t>
  </si>
  <si>
    <t>Benzin [ct/l]</t>
  </si>
  <si>
    <t>Diesel [ct/l]</t>
  </si>
  <si>
    <t>Heizöl EL [ct/l]</t>
  </si>
  <si>
    <t>Strom durch Senkung EEG-Umlage [ct/kWh]</t>
  </si>
  <si>
    <t>Anzeigejahr</t>
  </si>
  <si>
    <t>Carbon-Leakage Ausgaben</t>
  </si>
  <si>
    <t>gewähltes Szenario</t>
  </si>
  <si>
    <t>Einnahmen aus CO2-Preis (gesamt)</t>
  </si>
  <si>
    <r>
      <t>Veränderung der Energiepreise für Haushalte ggü. 2019</t>
    </r>
    <r>
      <rPr>
        <sz val="11"/>
        <color theme="7"/>
        <rFont val="Arial"/>
        <family val="2"/>
      </rPr>
      <t xml:space="preserve"> (inklusive CO2-Preis und inklusive Mehrwertsteuer)</t>
    </r>
  </si>
  <si>
    <t>gewähltes Verbrauchsszenario</t>
  </si>
  <si>
    <t>Heizöl [ct/l]</t>
  </si>
  <si>
    <t>Kontrolle Resultat EEG-Rechner</t>
  </si>
  <si>
    <t>EEG-Umlage mit Zuschüssen [ct/kWh]</t>
  </si>
  <si>
    <t>EEG-Umlage ohne Zuschüsse [ct/kWh]</t>
  </si>
  <si>
    <t>EEG-Umlage mit Zuschüssen (rechnerisch) [ct/kWh]</t>
  </si>
  <si>
    <t xml:space="preserve">Senkung EEG-Umlage durch Zuschüsse [ct/kWh] </t>
  </si>
  <si>
    <t>Überschüssige Mittel  [Millionen Euro]</t>
  </si>
  <si>
    <t>Kuchendiagramm</t>
  </si>
  <si>
    <t>Rückverteilung</t>
  </si>
  <si>
    <t>Senkung EEG-Umlage</t>
  </si>
  <si>
    <t>Sonstige Klimaschutzausgaben</t>
  </si>
  <si>
    <t>Überschüssige Mittel</t>
  </si>
  <si>
    <t>Gaspreis [€/MWh]</t>
  </si>
  <si>
    <t>Energiesteuer (031-03 820)</t>
  </si>
  <si>
    <t>Erdgas (04-03 820)</t>
  </si>
  <si>
    <t>Andere Heizstoffe ohne Erdgas (031-02 820)</t>
  </si>
  <si>
    <t>Stromsteuer (037-03 820)</t>
  </si>
  <si>
    <t>(Relevant für Umsatzsteuer, nicht aktiv)</t>
  </si>
  <si>
    <t>Anteil Spitzenkessel an der Fernwärmeerzeugung (relevant für Erdgassteuer)</t>
  </si>
  <si>
    <t>in [kt]</t>
  </si>
  <si>
    <t>Im EEG-Rechner eingestellte Strompreise</t>
  </si>
  <si>
    <t>Anteil Heizöl S für Verkehr</t>
  </si>
  <si>
    <t>Anteil Heizöl S für andere Zwecke</t>
  </si>
  <si>
    <t>Anteil Heizöl S nicht im EU-ETS</t>
  </si>
  <si>
    <t>https://www.bundeshaushalt.de/fileadmin/de.bundeshaushalt/content_de/dokumente/2019/ist/epl60.pdf</t>
  </si>
  <si>
    <t>Ist-Steuereinnahmen</t>
  </si>
  <si>
    <t xml:space="preserve"> (Link für 2019, google suche: "Rechnung über den Haushalt des Einzelplans 60 Allgemeine Finanzverwaltung für das Haushaltsjahr 2019 Inhalt")</t>
  </si>
  <si>
    <t>Dann Excel-Tabelle runterladen. Verlinkung entsprechend 2019 im Blatt "Absätze Erdgas"</t>
  </si>
  <si>
    <t>https://www.mwv.de/wp-content/uploads/2021/06/mwv-statistiken-mineraloelabsatzdaten-laufendes-jahr-April-2021.xls</t>
  </si>
  <si>
    <t>Die Verlinkungen beziehen sich auf folgende Dateien.</t>
  </si>
  <si>
    <t>Um hier auf ältere Dateien zurückzugreifen, muss man etwas tricksen.</t>
  </si>
  <si>
    <t>Hinten muss man den Monat und das Jahr eingeben, für welches mann die Statistik haben möchte, im Regelfall die Ausgabe vom Dezember, die Veröffentlichung scheint immer zwei Monate später zu sein, also der Link für die Daten vom Dezember 2020, der die Daten für 2019 und 2020 enthält, wäre:</t>
  </si>
  <si>
    <t>https://www.mwv.de/wp-content/uploads/2021/02/mwv-statistiken-mineraloelabsatzdaten-laufendes-jahr-Dezember-2020.xls</t>
  </si>
  <si>
    <t>Diese Daten sind relevant für Absätze Mineralöl, Absätze Heizöl EL, Absätze Flüssiggas, Absätze Heizöl S, Verlinkung entsprechend des Jahres 2019</t>
  </si>
  <si>
    <t>Physikalische Parameter</t>
  </si>
  <si>
    <t>Energiesteuergesetz</t>
  </si>
  <si>
    <t>https://www.gesetze-im-internet.de/energiestg/</t>
  </si>
  <si>
    <t>Statistiken für den Mineralölverbrauch</t>
  </si>
  <si>
    <t>BEHG</t>
  </si>
  <si>
    <t>http://www.gesetze-im-internet.de/behg/</t>
  </si>
  <si>
    <t>https://www.kba.de/SharedDocs/Publikationen/DE/Statistik/Kraftverkehr/VK/2019/vk_2020.xlsx;jsessionid=012C42DF4AB1EAAAEBC7FF51393FA9A5.live21304?__blob=publicationFile&amp;v=5</t>
  </si>
  <si>
    <t>Kraftfahrtbundesamt, Verkehr in Kilometern</t>
  </si>
  <si>
    <t>Absätze Erdgas und Strom</t>
  </si>
  <si>
    <t>Sektor</t>
  </si>
  <si>
    <t>Energieträger</t>
  </si>
  <si>
    <r>
      <t>Emissionsfaktoren in t CO</t>
    </r>
    <r>
      <rPr>
        <vertAlign val="subscript"/>
        <sz val="10"/>
        <color theme="1"/>
        <rFont val="Arial"/>
        <family val="2"/>
      </rPr>
      <t>2</t>
    </r>
    <r>
      <rPr>
        <sz val="11"/>
        <color theme="1"/>
        <rFont val="Arial"/>
        <family val="2"/>
        <scheme val="minor"/>
      </rPr>
      <t>/MWh</t>
    </r>
  </si>
  <si>
    <t xml:space="preserve">Ø Strom </t>
  </si>
  <si>
    <t>EE-Strom*</t>
  </si>
  <si>
    <t xml:space="preserve">Wärme </t>
  </si>
  <si>
    <t>Erdgas (AGEB-Daten)</t>
  </si>
  <si>
    <t>Stromverbrauch Statistik [TWh}</t>
  </si>
  <si>
    <t>Mit Beschlussfassung des BEHG zugesagt:</t>
  </si>
  <si>
    <t>EEG-Umlage auf Null (KNDE)</t>
  </si>
  <si>
    <t>EEG-Umlage auf Null (Referenz)</t>
  </si>
  <si>
    <t xml:space="preserve"> t CO2/MWh</t>
  </si>
  <si>
    <t>Emissionsfaktoren</t>
  </si>
  <si>
    <t>erarbeitet durch</t>
  </si>
  <si>
    <t>Agora Energiewende</t>
  </si>
  <si>
    <t>Anna-Louisa-Karsch-Str. 2</t>
  </si>
  <si>
    <t>10178 Berlin</t>
  </si>
  <si>
    <t>www.agora-energiewende.de</t>
  </si>
  <si>
    <t>Autoren</t>
  </si>
  <si>
    <t>Thorsten Lenck (Agora Energiewende)</t>
  </si>
  <si>
    <t>Frank Steffe (Agora Energiewende)</t>
  </si>
  <si>
    <t>1.00</t>
  </si>
  <si>
    <t>info@agora-energiewende.de</t>
  </si>
  <si>
    <t>Letzte Aktualisierung</t>
  </si>
  <si>
    <t>Modellversion</t>
  </si>
  <si>
    <t>Kontakt</t>
  </si>
  <si>
    <t>Prof. Dr. Konstantin Lenz</t>
  </si>
  <si>
    <t>(Professor für Energiewirtschaft, FH Erfurt)</t>
  </si>
  <si>
    <t>© Agora Energiewende, Smart Energy for Europe Platform (SEFEP) gGmbH.</t>
  </si>
  <si>
    <t>Alle Rechte vorbehalten. Nutzung der Methoden, Standarddaten und</t>
  </si>
  <si>
    <t>Ergebnisse nur mit Verweis auf die Autoren und Agora Energiewende gestattet.</t>
  </si>
  <si>
    <r>
      <t>Politisch avisierte Bundesmittel zur Senkung der EEG-Umlage</t>
    </r>
    <r>
      <rPr>
        <sz val="11"/>
        <color theme="7"/>
        <rFont val="Arial"/>
        <family val="2"/>
      </rPr>
      <t xml:space="preserve"> (nachrichtlich)</t>
    </r>
  </si>
  <si>
    <t>Weitere diskutierte Einnahmeverwendungen:</t>
  </si>
  <si>
    <t>Benötigte Mittel für EEG-Umlage von 0 ct/kWh [Millionen Euro]</t>
  </si>
  <si>
    <t>Benötigter CO2-Preis für EEG-Umlage von 0 ct/kWh [Euro pro Tonne CO2]</t>
  </si>
  <si>
    <t>-</t>
  </si>
  <si>
    <t>Senkung der EEG-Umlage</t>
  </si>
  <si>
    <t>verfügbare Mittel (Einnahmen abzüglich Einnahmeverwendung) [Millionen Euro]</t>
  </si>
  <si>
    <t>davon zur Senkung der EEG-Umlage eingesetzt [Millionen Euro]</t>
  </si>
  <si>
    <t>Bergbau und Erden, Industrie</t>
  </si>
  <si>
    <t>EEV Erdgas nach Sektoren [PJ] (AGEB)</t>
  </si>
  <si>
    <t>(Eingabe bei Start-Ergebnisse)</t>
  </si>
  <si>
    <t>Absätze Mineralöl (MWV)</t>
  </si>
  <si>
    <t>Absätze Flüssiggas (MWV)</t>
  </si>
  <si>
    <t>114 Millionen Tonnen im EU-ETS</t>
  </si>
  <si>
    <t>187 Millionen Tonnen Industrie insgesamt</t>
  </si>
  <si>
    <t>Strom aus Erdgas [PJ]</t>
  </si>
  <si>
    <t>Erdgaseinsatz KWK [PJ]</t>
  </si>
  <si>
    <t>Anteil des Sektors Bergbau und Erden und Industrie für die Erdgassteuer:</t>
  </si>
  <si>
    <t>2019 fortgeschrieben (Corona Effekt in 2020/2021)</t>
  </si>
  <si>
    <t>2019 fortgeschrieben (Corona und BEHG Effekt in 2020/2021)</t>
  </si>
  <si>
    <t>Szenario eingestellt im EEG-Rechner für Nettostromverbrauch</t>
  </si>
  <si>
    <t>Zuschüsse aus dem Bundeshaushalt</t>
  </si>
  <si>
    <r>
      <t>CO</t>
    </r>
    <r>
      <rPr>
        <b/>
        <vertAlign val="subscript"/>
        <sz val="12"/>
        <color theme="7"/>
        <rFont val="Arial"/>
        <family val="2"/>
      </rPr>
      <t>2</t>
    </r>
    <r>
      <rPr>
        <b/>
        <sz val="12"/>
        <color theme="7"/>
        <rFont val="Arial"/>
        <family val="2"/>
      </rPr>
      <t>-Preis-Rechner</t>
    </r>
  </si>
  <si>
    <r>
      <t xml:space="preserve">Zitiervorschlag: Agora Energiewende (2021): </t>
    </r>
    <r>
      <rPr>
        <i/>
        <sz val="10"/>
        <rFont val="Arial"/>
        <family val="2"/>
      </rPr>
      <t>CO</t>
    </r>
    <r>
      <rPr>
        <i/>
        <vertAlign val="subscript"/>
        <sz val="10"/>
        <rFont val="Arial"/>
        <family val="2"/>
      </rPr>
      <t>2</t>
    </r>
    <r>
      <rPr>
        <i/>
        <sz val="10"/>
        <rFont val="Arial"/>
        <family val="2"/>
      </rPr>
      <t>-Preis-Rechner.</t>
    </r>
  </si>
  <si>
    <t>manuelle Eingabe (Hinweis: muss erst bei 'gewähltes Szenario' ausgewählt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</si>
</sst>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_-* #,##0.00\ _€_-;\-* #,##0.00\ _€_-;_-* &quot;-&quot;??\ _€_-;_-@_-"/>
    <numFmt numFmtId="166" formatCode="#,##0.00\ &quot;€&quot;"/>
    <numFmt numFmtId="167" formatCode="_-* #,##0_-;\-* #,##0_-;_-* &quot;-&quot;??_-;_-@_-"/>
    <numFmt numFmtId="168" formatCode="#,##0.0"/>
    <numFmt numFmtId="169" formatCode="#,##0\ &quot;€&quot;"/>
    <numFmt numFmtId="170" formatCode="0.0"/>
    <numFmt numFmtId="171" formatCode="_-* #,##0\ _€_-;\-* #,##0\ _€_-;_-* &quot;-&quot;??\ _€_-;_-@_-"/>
    <numFmt numFmtId="172" formatCode="0.000"/>
    <numFmt numFmtId="173" formatCode="_-* #,##0\ &quot;€&quot;_-;\-* #,##0\ &quot;€&quot;_-;_-* &quot;-&quot;??\ &quot;€&quot;_-;_-@_-"/>
    <numFmt numFmtId="174" formatCode="[$-407]d/\ mmmm\ yyyy;@"/>
    <numFmt numFmtId="175" formatCode="#,##0.00_ ;[Red]\-#,##0.00\ "/>
    <numFmt numFmtId="176" formatCode="#,##0.0_ ;[Red]\-#,##0.0\ "/>
    <numFmt numFmtId="177" formatCode="#,##0_ ;[Red]\-#,##0\ "/>
  </numFmts>
  <fonts count="52">
    <font>
      <sz val="11"/>
      <color theme="1"/>
      <name val="Arial"/>
      <family val="2"/>
      <scheme val="minor"/>
    </font>
    <font>
      <sz val="10"/>
      <color theme="1"/>
      <name val="Arial"/>
      <family val="2"/>
    </font>
    <font>
      <sz val="10"/>
      <color theme="1"/>
      <name val="Arial"/>
      <family val="2"/>
    </font>
    <font>
      <sz val="11"/>
      <color theme="1"/>
      <name val="Arial"/>
      <family val="2"/>
      <scheme val="minor"/>
    </font>
    <font>
      <u/>
      <sz val="10"/>
      <color indexed="12"/>
      <name val="Arial"/>
      <family val="2"/>
    </font>
    <font>
      <sz val="10"/>
      <color indexed="22"/>
      <name val="Arial"/>
      <family val="2"/>
    </font>
    <font>
      <sz val="10"/>
      <name val="Arial"/>
      <family val="2"/>
    </font>
    <font>
      <sz val="10"/>
      <name val="Courier"/>
      <family val="3"/>
    </font>
    <font>
      <sz val="10"/>
      <name val="Helv"/>
    </font>
    <font>
      <u/>
      <sz val="10"/>
      <color indexed="12"/>
      <name val="Helv"/>
    </font>
    <font>
      <sz val="10"/>
      <color rgb="FF000000"/>
      <name val="Arial"/>
      <family val="2"/>
    </font>
    <font>
      <b/>
      <sz val="11"/>
      <color theme="1"/>
      <name val="Arial"/>
      <family val="2"/>
      <scheme val="minor"/>
    </font>
    <font>
      <sz val="10"/>
      <color theme="1"/>
      <name val="Arial"/>
      <family val="2"/>
    </font>
    <font>
      <b/>
      <sz val="14"/>
      <color theme="0"/>
      <name val="Arial"/>
      <family val="2"/>
    </font>
    <font>
      <i/>
      <sz val="10"/>
      <color theme="1"/>
      <name val="Arial"/>
      <family val="2"/>
    </font>
    <font>
      <sz val="10"/>
      <color theme="0"/>
      <name val="Arial"/>
      <family val="2"/>
    </font>
    <font>
      <b/>
      <sz val="10"/>
      <color theme="1"/>
      <name val="Arial"/>
      <family val="2"/>
    </font>
    <font>
      <u/>
      <sz val="11"/>
      <color theme="10"/>
      <name val="Arial"/>
      <family val="2"/>
      <scheme val="minor"/>
    </font>
    <font>
      <b/>
      <sz val="12"/>
      <name val="NewCenturySchlbk"/>
    </font>
    <font>
      <u/>
      <sz val="10"/>
      <color theme="10"/>
      <name val="Arial"/>
      <family val="2"/>
    </font>
    <font>
      <b/>
      <sz val="10"/>
      <name val="Arial"/>
      <family val="2"/>
    </font>
    <font>
      <sz val="10"/>
      <color theme="1"/>
      <name val="Flexo Medium"/>
      <family val="3"/>
    </font>
    <font>
      <sz val="10"/>
      <color theme="1"/>
      <name val="Times New Roman"/>
      <family val="1"/>
    </font>
    <font>
      <sz val="10"/>
      <color rgb="FFE7E6E6"/>
      <name val="Flexo Medium"/>
      <family val="3"/>
    </font>
    <font>
      <sz val="10"/>
      <color theme="1"/>
      <name val="Flexo"/>
      <family val="3"/>
    </font>
    <font>
      <sz val="10"/>
      <color theme="1"/>
      <name val="Calibri Light"/>
      <family val="2"/>
    </font>
    <font>
      <sz val="7"/>
      <color rgb="FF000000"/>
      <name val="Flexo"/>
      <family val="3"/>
    </font>
    <font>
      <b/>
      <sz val="11"/>
      <color theme="0"/>
      <name val="Arial"/>
      <family val="2"/>
      <scheme val="minor"/>
    </font>
    <font>
      <sz val="10"/>
      <color theme="1"/>
      <name val="Arial"/>
      <family val="2"/>
      <scheme val="minor"/>
    </font>
    <font>
      <b/>
      <sz val="10"/>
      <color theme="1"/>
      <name val="Arial"/>
      <family val="2"/>
      <scheme val="minor"/>
    </font>
    <font>
      <b/>
      <sz val="10"/>
      <name val="Arial"/>
      <family val="2"/>
      <scheme val="minor"/>
    </font>
    <font>
      <b/>
      <sz val="11"/>
      <color theme="7"/>
      <name val="Arial"/>
      <family val="2"/>
      <scheme val="minor"/>
    </font>
    <font>
      <sz val="11"/>
      <color theme="7"/>
      <name val="Arial"/>
      <family val="2"/>
    </font>
    <font>
      <sz val="10"/>
      <color theme="0" tint="-0.34998626667073579"/>
      <name val="Arial"/>
      <family val="2"/>
      <scheme val="minor"/>
    </font>
    <font>
      <sz val="9"/>
      <color theme="7"/>
      <name val="Arial"/>
      <family val="2"/>
      <scheme val="minor"/>
    </font>
    <font>
      <b/>
      <sz val="9"/>
      <color theme="1"/>
      <name val="Arial"/>
      <family val="2"/>
      <scheme val="minor"/>
    </font>
    <font>
      <b/>
      <sz val="9"/>
      <color theme="7"/>
      <name val="Arial"/>
      <family val="2"/>
      <scheme val="minor"/>
    </font>
    <font>
      <sz val="10"/>
      <color theme="1"/>
      <name val="Brix Slab Light"/>
      <family val="3"/>
    </font>
    <font>
      <vertAlign val="subscript"/>
      <sz val="10"/>
      <color theme="1"/>
      <name val="Arial"/>
      <family val="2"/>
    </font>
    <font>
      <sz val="11"/>
      <name val="Calibri"/>
      <family val="2"/>
    </font>
    <font>
      <b/>
      <sz val="12"/>
      <name val="Arial"/>
      <family val="2"/>
    </font>
    <font>
      <i/>
      <sz val="10"/>
      <name val="Arial"/>
      <family val="2"/>
    </font>
    <font>
      <b/>
      <sz val="12"/>
      <color theme="7"/>
      <name val="Arial"/>
      <family val="2"/>
    </font>
    <font>
      <sz val="10"/>
      <color theme="7"/>
      <name val="Arial"/>
      <family val="2"/>
    </font>
    <font>
      <sz val="10"/>
      <color theme="7"/>
      <name val="Arial"/>
      <family val="2"/>
      <scheme val="minor"/>
    </font>
    <font>
      <sz val="10"/>
      <color rgb="FFB5B8C7"/>
      <name val="Arial"/>
      <family val="2"/>
      <scheme val="minor"/>
    </font>
    <font>
      <sz val="10"/>
      <name val="Arial"/>
      <family val="2"/>
      <scheme val="minor"/>
    </font>
    <font>
      <b/>
      <sz val="10"/>
      <color theme="0"/>
      <name val="Arial"/>
      <family val="2"/>
      <scheme val="minor"/>
    </font>
    <font>
      <b/>
      <vertAlign val="subscript"/>
      <sz val="12"/>
      <color theme="7"/>
      <name val="Arial"/>
      <family val="2"/>
    </font>
    <font>
      <i/>
      <vertAlign val="subscript"/>
      <sz val="10"/>
      <name val="Arial"/>
      <family val="2"/>
    </font>
    <font>
      <sz val="11"/>
      <color rgb="FFB5B8C7"/>
      <name val="Arial"/>
      <family val="2"/>
      <scheme val="minor"/>
    </font>
    <font>
      <b/>
      <sz val="10"/>
      <color theme="7"/>
      <name val="Arial"/>
      <family val="2"/>
      <scheme val="minor"/>
    </font>
  </fonts>
  <fills count="20">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0"/>
        <bgColor indexed="64"/>
      </patternFill>
    </fill>
    <fill>
      <patternFill patternType="solid">
        <fgColor theme="7"/>
        <bgColor indexed="64"/>
      </patternFill>
    </fill>
    <fill>
      <patternFill patternType="solid">
        <fgColor rgb="FFE3E4EA"/>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2E3E8"/>
        <bgColor indexed="64"/>
      </patternFill>
    </fill>
    <fill>
      <patternFill patternType="solid">
        <fgColor rgb="FF44546A"/>
        <bgColor indexed="64"/>
      </patternFill>
    </fill>
    <fill>
      <patternFill patternType="solid">
        <fgColor rgb="FFD9E2F3"/>
        <bgColor indexed="64"/>
      </patternFill>
    </fill>
    <fill>
      <patternFill patternType="solid">
        <fgColor theme="8" tint="0.79998168889431442"/>
        <bgColor indexed="64"/>
      </patternFill>
    </fill>
    <fill>
      <patternFill patternType="solid">
        <fgColor rgb="FF7AC4ED"/>
        <bgColor indexed="64"/>
      </patternFill>
    </fill>
    <fill>
      <patternFill patternType="solid">
        <fgColor rgb="FFABD7F3"/>
        <bgColor indexed="64"/>
      </patternFill>
    </fill>
    <fill>
      <patternFill patternType="solid">
        <fgColor rgb="FFCCE6F8"/>
        <bgColor indexed="64"/>
      </patternFill>
    </fill>
    <fill>
      <patternFill patternType="solid">
        <fgColor rgb="FFB5B8C7"/>
        <bgColor indexed="64"/>
      </patternFill>
    </fill>
    <fill>
      <patternFill patternType="solid">
        <fgColor theme="5" tint="0.79998168889431442"/>
        <bgColor indexed="64"/>
      </patternFill>
    </fill>
  </fills>
  <borders count="67">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rgb="FFE7E6E6"/>
      </right>
      <top/>
      <bottom style="thick">
        <color rgb="FFE7E6E6"/>
      </bottom>
      <diagonal/>
    </border>
    <border>
      <left/>
      <right/>
      <top/>
      <bottom style="thick">
        <color rgb="FFE7E6E6"/>
      </bottom>
      <diagonal/>
    </border>
    <border>
      <left/>
      <right style="thick">
        <color rgb="FFE7E6E6"/>
      </right>
      <top/>
      <bottom/>
      <diagonal/>
    </border>
    <border>
      <left/>
      <right/>
      <top style="thin">
        <color theme="0"/>
      </top>
      <bottom style="thin">
        <color theme="0"/>
      </bottom>
      <diagonal/>
    </border>
    <border>
      <left/>
      <right/>
      <top style="thin">
        <color theme="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thin">
        <color theme="0"/>
      </bottom>
      <diagonal/>
    </border>
    <border>
      <left/>
      <right/>
      <top style="medium">
        <color theme="0"/>
      </top>
      <bottom style="thin">
        <color theme="0"/>
      </bottom>
      <diagonal/>
    </border>
    <border>
      <left/>
      <right style="medium">
        <color theme="0"/>
      </right>
      <top style="medium">
        <color theme="0"/>
      </top>
      <bottom style="thin">
        <color theme="0"/>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medium">
        <color theme="0"/>
      </left>
      <right/>
      <top style="thin">
        <color theme="0"/>
      </top>
      <bottom/>
      <diagonal/>
    </border>
    <border>
      <left/>
      <right style="medium">
        <color theme="0"/>
      </right>
      <top style="thin">
        <color theme="0"/>
      </top>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bottom style="medium">
        <color theme="0"/>
      </bottom>
      <diagonal/>
    </border>
    <border>
      <left style="medium">
        <color theme="0"/>
      </left>
      <right/>
      <top/>
      <bottom style="thin">
        <color theme="0"/>
      </bottom>
      <diagonal/>
    </border>
    <border>
      <left style="medium">
        <color theme="0"/>
      </left>
      <right/>
      <top style="thin">
        <color theme="0"/>
      </top>
      <bottom style="thin">
        <color rgb="FFB5B8C7"/>
      </bottom>
      <diagonal/>
    </border>
    <border>
      <left style="medium">
        <color theme="0"/>
      </left>
      <right/>
      <top style="thin">
        <color rgb="FFB5B8C7"/>
      </top>
      <bottom style="thin">
        <color rgb="FFB5B8C7"/>
      </bottom>
      <diagonal/>
    </border>
    <border>
      <left style="medium">
        <color theme="0"/>
      </left>
      <right/>
      <top style="thin">
        <color rgb="FFB5B8C7"/>
      </top>
      <bottom style="medium">
        <color theme="0"/>
      </bottom>
      <diagonal/>
    </border>
    <border>
      <left/>
      <right style="medium">
        <color theme="0"/>
      </right>
      <top/>
      <bottom/>
      <diagonal/>
    </border>
    <border>
      <left/>
      <right/>
      <top style="thin">
        <color theme="0"/>
      </top>
      <bottom style="thin">
        <color rgb="FFB5B8C7"/>
      </bottom>
      <diagonal/>
    </border>
    <border>
      <left/>
      <right/>
      <top style="thin">
        <color rgb="FFB5B8C7"/>
      </top>
      <bottom style="thin">
        <color rgb="FFB5B8C7"/>
      </bottom>
      <diagonal/>
    </border>
    <border>
      <left/>
      <right/>
      <top style="thin">
        <color rgb="FFB5B8C7"/>
      </top>
      <bottom style="medium">
        <color theme="0"/>
      </bottom>
      <diagonal/>
    </border>
    <border>
      <left style="medium">
        <color theme="0"/>
      </left>
      <right/>
      <top/>
      <bottom style="medium">
        <color theme="0"/>
      </bottom>
      <diagonal/>
    </border>
    <border>
      <left/>
      <right style="medium">
        <color theme="0"/>
      </right>
      <top style="thin">
        <color theme="0"/>
      </top>
      <bottom style="thin">
        <color rgb="FFB5B8C7"/>
      </bottom>
      <diagonal/>
    </border>
    <border>
      <left/>
      <right style="medium">
        <color theme="0"/>
      </right>
      <top style="thin">
        <color rgb="FFB5B8C7"/>
      </top>
      <bottom style="thin">
        <color rgb="FFB5B8C7"/>
      </bottom>
      <diagonal/>
    </border>
    <border>
      <left/>
      <right style="medium">
        <color theme="0"/>
      </right>
      <top style="thin">
        <color rgb="FFB5B8C7"/>
      </top>
      <bottom style="medium">
        <color theme="0"/>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s>
  <cellStyleXfs count="27">
    <xf numFmtId="0" fontId="0" fillId="0" borderId="0"/>
    <xf numFmtId="43" fontId="3" fillId="0" borderId="0" applyFont="0" applyFill="0" applyBorder="0" applyAlignment="0" applyProtection="0"/>
    <xf numFmtId="0" fontId="4" fillId="0" borderId="0" applyNumberFormat="0" applyFill="0" applyBorder="0" applyAlignment="0" applyProtection="0">
      <alignment vertical="top"/>
      <protection locked="0"/>
    </xf>
    <xf numFmtId="0" fontId="5" fillId="0" borderId="0"/>
    <xf numFmtId="0" fontId="6" fillId="0" borderId="0"/>
    <xf numFmtId="0" fontId="7" fillId="0" borderId="0"/>
    <xf numFmtId="0" fontId="8" fillId="0" borderId="0"/>
    <xf numFmtId="0" fontId="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alignment horizontal="left" vertical="center"/>
    </xf>
    <xf numFmtId="0" fontId="13" fillId="7" borderId="0">
      <alignment vertical="center"/>
    </xf>
    <xf numFmtId="9" fontId="12" fillId="0" borderId="0">
      <alignment horizontal="center" vertical="center"/>
    </xf>
    <xf numFmtId="0" fontId="17" fillId="0" borderId="0" applyNumberFormat="0" applyFill="0" applyBorder="0" applyAlignment="0" applyProtection="0"/>
    <xf numFmtId="0" fontId="18" fillId="0" borderId="0"/>
    <xf numFmtId="4" fontId="8" fillId="0" borderId="0" applyFont="0" applyFill="0" applyBorder="0" applyAlignment="0" applyProtection="0"/>
    <xf numFmtId="0" fontId="19" fillId="0" borderId="0" applyNumberFormat="0" applyFill="0" applyBorder="0" applyAlignment="0" applyProtection="0">
      <alignment horizontal="left" vertical="center"/>
    </xf>
    <xf numFmtId="0" fontId="2" fillId="0" borderId="0">
      <alignment horizontal="left" vertical="center"/>
    </xf>
    <xf numFmtId="0" fontId="1" fillId="0" borderId="0">
      <alignment horizontal="left" vertical="center"/>
    </xf>
    <xf numFmtId="0" fontId="3" fillId="0" borderId="0"/>
    <xf numFmtId="0" fontId="39" fillId="0" borderId="0"/>
  </cellStyleXfs>
  <cellXfs count="380">
    <xf numFmtId="0" fontId="0" fillId="0" borderId="0" xfId="0"/>
    <xf numFmtId="9" fontId="0" fillId="0" borderId="0" xfId="0" applyNumberFormat="1"/>
    <xf numFmtId="165" fontId="0" fillId="0" borderId="0" xfId="0" applyNumberFormat="1"/>
    <xf numFmtId="166" fontId="0" fillId="0" borderId="0" xfId="0" applyNumberFormat="1"/>
    <xf numFmtId="167" fontId="0" fillId="0" borderId="0" xfId="1" applyNumberFormat="1" applyFont="1"/>
    <xf numFmtId="169" fontId="0" fillId="0" borderId="0" xfId="0" applyNumberFormat="1"/>
    <xf numFmtId="4" fontId="0" fillId="0" borderId="0" xfId="0" applyNumberFormat="1"/>
    <xf numFmtId="2" fontId="0" fillId="0" borderId="0" xfId="0" applyNumberFormat="1"/>
    <xf numFmtId="1" fontId="0" fillId="0" borderId="0" xfId="0" applyNumberFormat="1"/>
    <xf numFmtId="167" fontId="0" fillId="0" borderId="0" xfId="0" applyNumberFormat="1"/>
    <xf numFmtId="171" fontId="0" fillId="0" borderId="0" xfId="0" applyNumberFormat="1"/>
    <xf numFmtId="0" fontId="0" fillId="0" borderId="16" xfId="0" applyBorder="1"/>
    <xf numFmtId="9" fontId="0" fillId="3" borderId="0" xfId="0" applyNumberFormat="1" applyFill="1"/>
    <xf numFmtId="0" fontId="0" fillId="0" borderId="16" xfId="0" applyBorder="1" applyAlignment="1">
      <alignment vertical="top"/>
    </xf>
    <xf numFmtId="10" fontId="0" fillId="0" borderId="0" xfId="0" applyNumberFormat="1"/>
    <xf numFmtId="0" fontId="0" fillId="0" borderId="0" xfId="0" applyNumberFormat="1"/>
    <xf numFmtId="0" fontId="0" fillId="0" borderId="0" xfId="0" applyBorder="1" applyAlignment="1">
      <alignment vertical="top"/>
    </xf>
    <xf numFmtId="172" fontId="0" fillId="0" borderId="0" xfId="0" applyNumberFormat="1"/>
    <xf numFmtId="3" fontId="0" fillId="0" borderId="0" xfId="0" applyNumberFormat="1"/>
    <xf numFmtId="173" fontId="0" fillId="0" borderId="0" xfId="0" applyNumberFormat="1"/>
    <xf numFmtId="0" fontId="11" fillId="5" borderId="0" xfId="0" applyFont="1" applyFill="1"/>
    <xf numFmtId="164" fontId="0" fillId="0" borderId="0" xfId="0" applyNumberFormat="1"/>
    <xf numFmtId="0" fontId="12" fillId="0" borderId="0" xfId="16" applyAlignment="1">
      <alignment vertical="top"/>
    </xf>
    <xf numFmtId="0" fontId="12" fillId="0" borderId="6" xfId="16" applyBorder="1" applyAlignment="1">
      <alignment vertical="top"/>
    </xf>
    <xf numFmtId="0" fontId="0" fillId="0" borderId="6" xfId="17" applyFont="1" applyFill="1" applyBorder="1" applyAlignment="1">
      <alignment vertical="top" wrapText="1"/>
    </xf>
    <xf numFmtId="0" fontId="14" fillId="0" borderId="0" xfId="16" applyFont="1" applyAlignment="1">
      <alignment vertical="top"/>
    </xf>
    <xf numFmtId="0" fontId="15" fillId="0" borderId="0" xfId="16" applyFont="1" applyAlignment="1">
      <alignment vertical="top"/>
    </xf>
    <xf numFmtId="0" fontId="16" fillId="0" borderId="0" xfId="16" applyFont="1" applyAlignment="1">
      <alignment vertical="top"/>
    </xf>
    <xf numFmtId="175" fontId="12" fillId="0" borderId="0" xfId="16" applyNumberFormat="1" applyAlignment="1">
      <alignment vertical="top"/>
    </xf>
    <xf numFmtId="175" fontId="12" fillId="8" borderId="0" xfId="16" applyNumberFormat="1" applyFill="1" applyAlignment="1">
      <alignment vertical="top"/>
    </xf>
    <xf numFmtId="0" fontId="12" fillId="0" borderId="11" xfId="16" applyBorder="1" applyAlignment="1">
      <alignment vertical="top"/>
    </xf>
    <xf numFmtId="175" fontId="12" fillId="0" borderId="11" xfId="16" applyNumberFormat="1" applyBorder="1" applyAlignment="1">
      <alignment vertical="top"/>
    </xf>
    <xf numFmtId="175" fontId="12" fillId="8" borderId="11" xfId="16" applyNumberFormat="1" applyFill="1" applyBorder="1" applyAlignment="1">
      <alignment vertical="top"/>
    </xf>
    <xf numFmtId="175" fontId="12" fillId="9" borderId="11" xfId="16" applyNumberFormat="1" applyFill="1" applyBorder="1" applyAlignment="1">
      <alignment vertical="top"/>
    </xf>
    <xf numFmtId="176" fontId="12" fillId="0" borderId="11" xfId="16" applyNumberFormat="1" applyBorder="1" applyAlignment="1">
      <alignment vertical="top"/>
    </xf>
    <xf numFmtId="175" fontId="12" fillId="3" borderId="0" xfId="16" applyNumberFormat="1" applyFill="1" applyAlignment="1">
      <alignment vertical="top"/>
    </xf>
    <xf numFmtId="9" fontId="12" fillId="3" borderId="0" xfId="18" applyFill="1">
      <alignment horizontal="center" vertical="center"/>
    </xf>
    <xf numFmtId="9" fontId="12" fillId="8" borderId="0" xfId="18" applyFill="1">
      <alignment horizontal="center" vertical="center"/>
    </xf>
    <xf numFmtId="9" fontId="12" fillId="0" borderId="0" xfId="18">
      <alignment horizontal="center" vertical="center"/>
    </xf>
    <xf numFmtId="0" fontId="12" fillId="3" borderId="0" xfId="16" applyFill="1" applyAlignment="1">
      <alignment vertical="top"/>
    </xf>
    <xf numFmtId="0" fontId="12" fillId="8" borderId="0" xfId="16" applyFill="1" applyAlignment="1">
      <alignment vertical="top"/>
    </xf>
    <xf numFmtId="170" fontId="12" fillId="0" borderId="0" xfId="16" applyNumberFormat="1" applyAlignment="1">
      <alignment vertical="top"/>
    </xf>
    <xf numFmtId="0" fontId="12" fillId="0" borderId="0" xfId="16" applyBorder="1" applyAlignment="1">
      <alignment vertical="top" wrapText="1"/>
    </xf>
    <xf numFmtId="0" fontId="0" fillId="0" borderId="0" xfId="17" applyFont="1" applyFill="1" applyBorder="1" applyAlignment="1">
      <alignment vertical="top" wrapText="1"/>
    </xf>
    <xf numFmtId="174" fontId="12" fillId="0" borderId="0" xfId="16" applyNumberFormat="1" applyBorder="1" applyAlignment="1">
      <alignment vertical="top" wrapText="1"/>
    </xf>
    <xf numFmtId="0" fontId="0" fillId="6" borderId="0" xfId="0" applyFill="1"/>
    <xf numFmtId="0" fontId="11" fillId="6" borderId="0" xfId="0" applyFont="1" applyFill="1"/>
    <xf numFmtId="3" fontId="11" fillId="6" borderId="0" xfId="0" applyNumberFormat="1" applyFont="1" applyFill="1"/>
    <xf numFmtId="1" fontId="11" fillId="6" borderId="0" xfId="0" applyNumberFormat="1" applyFont="1" applyFill="1"/>
    <xf numFmtId="0" fontId="17" fillId="0" borderId="0" xfId="19"/>
    <xf numFmtId="0" fontId="12" fillId="0" borderId="0" xfId="16">
      <alignment horizontal="left" vertical="center"/>
    </xf>
    <xf numFmtId="0" fontId="12" fillId="0" borderId="6" xfId="16" applyBorder="1" applyAlignment="1">
      <alignment horizontal="left" vertical="top"/>
    </xf>
    <xf numFmtId="0" fontId="0" fillId="0" borderId="6" xfId="17" applyFont="1" applyFill="1" applyBorder="1" applyAlignment="1">
      <alignment horizontal="left" vertical="top" wrapText="1"/>
    </xf>
    <xf numFmtId="0" fontId="12" fillId="3" borderId="0" xfId="16" applyFill="1">
      <alignment horizontal="left" vertical="center"/>
    </xf>
    <xf numFmtId="0" fontId="12" fillId="0" borderId="10" xfId="16" applyBorder="1" applyAlignment="1">
      <alignment vertical="center"/>
    </xf>
    <xf numFmtId="0" fontId="12" fillId="0" borderId="11" xfId="16" applyBorder="1" applyAlignment="1">
      <alignment vertical="center"/>
    </xf>
    <xf numFmtId="0" fontId="12" fillId="0" borderId="12" xfId="16" applyBorder="1" applyAlignment="1">
      <alignment vertical="center"/>
    </xf>
    <xf numFmtId="0" fontId="12" fillId="0" borderId="0" xfId="16" applyAlignment="1">
      <alignment horizontal="left" vertical="center" wrapText="1"/>
    </xf>
    <xf numFmtId="0" fontId="12" fillId="0" borderId="10" xfId="16" applyBorder="1" applyAlignment="1">
      <alignment horizontal="left" vertical="center" wrapText="1"/>
    </xf>
    <xf numFmtId="0" fontId="12" fillId="3" borderId="12" xfId="16" applyFill="1" applyBorder="1" applyAlignment="1">
      <alignment horizontal="left" vertical="center" wrapText="1"/>
    </xf>
    <xf numFmtId="0" fontId="12" fillId="0" borderId="11" xfId="16" applyBorder="1" applyAlignment="1">
      <alignment horizontal="left" vertical="center" wrapText="1"/>
    </xf>
    <xf numFmtId="0" fontId="12" fillId="3" borderId="11" xfId="16" applyFill="1" applyBorder="1" applyAlignment="1">
      <alignment horizontal="left" vertical="center" wrapText="1"/>
    </xf>
    <xf numFmtId="0" fontId="12" fillId="0" borderId="6" xfId="16" applyBorder="1" applyAlignment="1">
      <alignment horizontal="left" vertical="center" wrapText="1"/>
    </xf>
    <xf numFmtId="0" fontId="12" fillId="4" borderId="12" xfId="16" applyFill="1" applyBorder="1" applyAlignment="1">
      <alignment horizontal="left" vertical="center" wrapText="1"/>
    </xf>
    <xf numFmtId="0" fontId="12" fillId="4" borderId="6" xfId="16" applyFill="1" applyBorder="1" applyAlignment="1">
      <alignment horizontal="left" vertical="center" wrapText="1"/>
    </xf>
    <xf numFmtId="170" fontId="12" fillId="0" borderId="8" xfId="16" applyNumberFormat="1" applyBorder="1" applyAlignment="1">
      <alignment horizontal="center" vertical="center"/>
    </xf>
    <xf numFmtId="170" fontId="12" fillId="0" borderId="9" xfId="16" applyNumberFormat="1" applyBorder="1" applyAlignment="1">
      <alignment horizontal="center" vertical="center"/>
    </xf>
    <xf numFmtId="170" fontId="12" fillId="0" borderId="1" xfId="16" applyNumberFormat="1" applyBorder="1" applyAlignment="1">
      <alignment horizontal="center" vertical="center"/>
    </xf>
    <xf numFmtId="170" fontId="12" fillId="0" borderId="3" xfId="16" applyNumberFormat="1" applyBorder="1" applyAlignment="1">
      <alignment horizontal="center" vertical="center"/>
    </xf>
    <xf numFmtId="2" fontId="12" fillId="0" borderId="3" xfId="16" applyNumberFormat="1" applyBorder="1" applyAlignment="1">
      <alignment horizontal="center" vertical="center"/>
    </xf>
    <xf numFmtId="170" fontId="12" fillId="0" borderId="0" xfId="16" applyNumberFormat="1">
      <alignment horizontal="left" vertical="center"/>
    </xf>
    <xf numFmtId="0" fontId="12" fillId="0" borderId="6" xfId="16" applyBorder="1">
      <alignment horizontal="left" vertical="center"/>
    </xf>
    <xf numFmtId="170" fontId="12" fillId="0" borderId="7" xfId="16" applyNumberFormat="1" applyBorder="1" applyAlignment="1">
      <alignment horizontal="center" vertical="center"/>
    </xf>
    <xf numFmtId="170" fontId="12" fillId="3" borderId="15" xfId="16" applyNumberFormat="1" applyFill="1" applyBorder="1" applyAlignment="1">
      <alignment horizontal="center" vertical="center"/>
    </xf>
    <xf numFmtId="170" fontId="12" fillId="0" borderId="2" xfId="16" applyNumberFormat="1" applyBorder="1" applyAlignment="1">
      <alignment horizontal="center" vertical="center"/>
    </xf>
    <xf numFmtId="170" fontId="12" fillId="3" borderId="2" xfId="16" applyNumberFormat="1" applyFill="1" applyBorder="1" applyAlignment="1">
      <alignment horizontal="center" vertical="center"/>
    </xf>
    <xf numFmtId="170" fontId="12" fillId="0" borderId="5" xfId="16" applyNumberFormat="1" applyBorder="1" applyAlignment="1">
      <alignment horizontal="center" vertical="center"/>
    </xf>
    <xf numFmtId="170" fontId="12" fillId="0" borderId="15" xfId="16" applyNumberFormat="1" applyBorder="1" applyAlignment="1">
      <alignment horizontal="center" vertical="center"/>
    </xf>
    <xf numFmtId="2" fontId="12" fillId="0" borderId="5" xfId="16" applyNumberFormat="1" applyBorder="1" applyAlignment="1">
      <alignment horizontal="center" vertical="center"/>
    </xf>
    <xf numFmtId="170" fontId="12" fillId="0" borderId="13" xfId="16" applyNumberFormat="1" applyBorder="1" applyAlignment="1">
      <alignment horizontal="center" vertical="center"/>
    </xf>
    <xf numFmtId="170" fontId="12" fillId="0" borderId="14" xfId="16" applyNumberFormat="1" applyBorder="1" applyAlignment="1">
      <alignment horizontal="center" vertical="center"/>
    </xf>
    <xf numFmtId="170" fontId="12" fillId="0" borderId="0" xfId="16" applyNumberFormat="1" applyAlignment="1">
      <alignment horizontal="center" vertical="center"/>
    </xf>
    <xf numFmtId="170" fontId="12" fillId="0" borderId="4" xfId="16" applyNumberFormat="1" applyBorder="1" applyAlignment="1">
      <alignment horizontal="center" vertical="center"/>
    </xf>
    <xf numFmtId="2" fontId="12" fillId="0" borderId="4" xfId="16" applyNumberFormat="1" applyBorder="1" applyAlignment="1">
      <alignment horizontal="center" vertical="center"/>
    </xf>
    <xf numFmtId="170" fontId="12" fillId="10" borderId="14" xfId="16" applyNumberFormat="1" applyFill="1" applyBorder="1" applyAlignment="1">
      <alignment horizontal="center" vertical="center"/>
    </xf>
    <xf numFmtId="170" fontId="12" fillId="10" borderId="0" xfId="16" applyNumberFormat="1" applyFill="1" applyAlignment="1">
      <alignment horizontal="center" vertical="center"/>
    </xf>
    <xf numFmtId="170" fontId="12" fillId="10" borderId="9" xfId="16" applyNumberFormat="1" applyFill="1" applyBorder="1" applyAlignment="1">
      <alignment horizontal="center" vertical="center"/>
    </xf>
    <xf numFmtId="170" fontId="12" fillId="10" borderId="1" xfId="16" applyNumberFormat="1" applyFill="1" applyBorder="1" applyAlignment="1">
      <alignment horizontal="center" vertical="center"/>
    </xf>
    <xf numFmtId="170" fontId="12" fillId="10" borderId="2" xfId="16" applyNumberFormat="1" applyFill="1" applyBorder="1" applyAlignment="1">
      <alignment horizontal="center" vertical="center"/>
    </xf>
    <xf numFmtId="0" fontId="12" fillId="0" borderId="11" xfId="16" applyBorder="1">
      <alignment horizontal="left" vertical="center"/>
    </xf>
    <xf numFmtId="0" fontId="12" fillId="0" borderId="12" xfId="16" applyBorder="1">
      <alignment horizontal="left" vertical="center"/>
    </xf>
    <xf numFmtId="170" fontId="12" fillId="0" borderId="10" xfId="16" applyNumberFormat="1" applyBorder="1" applyAlignment="1">
      <alignment horizontal="center" vertical="center"/>
    </xf>
    <xf numFmtId="170" fontId="12" fillId="0" borderId="12" xfId="16" applyNumberFormat="1" applyBorder="1" applyAlignment="1">
      <alignment horizontal="center" vertical="center"/>
    </xf>
    <xf numFmtId="170" fontId="12" fillId="0" borderId="11" xfId="16" applyNumberFormat="1" applyBorder="1" applyAlignment="1">
      <alignment horizontal="center" vertical="center"/>
    </xf>
    <xf numFmtId="170" fontId="12" fillId="0" borderId="6" xfId="16" applyNumberFormat="1" applyBorder="1" applyAlignment="1">
      <alignment horizontal="center" vertical="center"/>
    </xf>
    <xf numFmtId="2" fontId="12" fillId="0" borderId="6" xfId="16" applyNumberFormat="1" applyBorder="1" applyAlignment="1">
      <alignment horizontal="center" vertical="center"/>
    </xf>
    <xf numFmtId="0" fontId="12" fillId="0" borderId="1" xfId="16" applyBorder="1">
      <alignment horizontal="left" vertical="center"/>
    </xf>
    <xf numFmtId="2" fontId="12" fillId="0" borderId="1" xfId="16" applyNumberFormat="1" applyBorder="1" applyAlignment="1">
      <alignment horizontal="center" vertical="center"/>
    </xf>
    <xf numFmtId="2" fontId="12" fillId="0" borderId="0" xfId="16" applyNumberFormat="1" applyAlignment="1">
      <alignment horizontal="center" vertical="center"/>
    </xf>
    <xf numFmtId="0" fontId="16" fillId="0" borderId="0" xfId="16" applyFont="1">
      <alignment horizontal="left" vertical="center"/>
    </xf>
    <xf numFmtId="0" fontId="12" fillId="0" borderId="0" xfId="16" applyAlignment="1">
      <alignment horizontal="right" vertical="center"/>
    </xf>
    <xf numFmtId="0" fontId="12" fillId="10" borderId="0" xfId="16" applyFill="1" applyAlignment="1">
      <alignment horizontal="center" vertical="center"/>
    </xf>
    <xf numFmtId="0" fontId="12" fillId="3" borderId="0" xfId="16" applyFill="1" applyAlignment="1">
      <alignment horizontal="center" vertical="center"/>
    </xf>
    <xf numFmtId="2" fontId="12" fillId="0" borderId="0" xfId="16" applyNumberFormat="1">
      <alignment horizontal="left" vertical="center"/>
    </xf>
    <xf numFmtId="2" fontId="16" fillId="0" borderId="0" xfId="16" applyNumberFormat="1" applyFont="1">
      <alignment horizontal="left" vertical="center"/>
    </xf>
    <xf numFmtId="9" fontId="12" fillId="0" borderId="0" xfId="16" applyNumberFormat="1">
      <alignment horizontal="left" vertical="center"/>
    </xf>
    <xf numFmtId="0" fontId="12" fillId="0" borderId="0" xfId="16" applyAlignment="1">
      <alignment vertical="top" wrapText="1"/>
    </xf>
    <xf numFmtId="0" fontId="20" fillId="0" borderId="0" xfId="16" applyFont="1" applyAlignment="1">
      <alignment horizontal="center" vertical="top" wrapText="1"/>
    </xf>
    <xf numFmtId="0" fontId="16" fillId="0" borderId="0" xfId="16" applyFont="1" applyAlignment="1">
      <alignment horizontal="right" vertical="center"/>
    </xf>
    <xf numFmtId="0" fontId="16" fillId="0" borderId="0" xfId="16" applyFont="1" applyAlignment="1">
      <alignment horizontal="left" vertical="center" wrapText="1"/>
    </xf>
    <xf numFmtId="164" fontId="12" fillId="0" borderId="0" xfId="16" applyNumberFormat="1" applyAlignment="1">
      <alignment horizontal="center" vertical="center"/>
    </xf>
    <xf numFmtId="0" fontId="22" fillId="12" borderId="24" xfId="16" applyFont="1" applyFill="1" applyBorder="1" applyAlignment="1">
      <alignment horizontal="left"/>
    </xf>
    <xf numFmtId="0" fontId="23" fillId="12" borderId="24" xfId="16" applyFont="1" applyFill="1" applyBorder="1" applyAlignment="1">
      <alignment horizontal="right" vertical="center"/>
    </xf>
    <xf numFmtId="0" fontId="23" fillId="12" borderId="25" xfId="16" applyFont="1" applyFill="1" applyBorder="1" applyAlignment="1">
      <alignment horizontal="right" vertical="center"/>
    </xf>
    <xf numFmtId="172" fontId="12" fillId="0" borderId="0" xfId="16" applyNumberFormat="1" applyAlignment="1">
      <alignment vertical="center"/>
    </xf>
    <xf numFmtId="0" fontId="22" fillId="13" borderId="24" xfId="16" applyFont="1" applyFill="1" applyBorder="1" applyAlignment="1">
      <alignment horizontal="left"/>
    </xf>
    <xf numFmtId="0" fontId="24" fillId="13" borderId="24" xfId="16" applyFont="1" applyFill="1" applyBorder="1" applyAlignment="1">
      <alignment horizontal="right" vertical="center"/>
    </xf>
    <xf numFmtId="0" fontId="24" fillId="13" borderId="25" xfId="16" applyFont="1" applyFill="1" applyBorder="1" applyAlignment="1">
      <alignment horizontal="right" vertical="center"/>
    </xf>
    <xf numFmtId="0" fontId="25" fillId="11" borderId="24" xfId="16" applyFont="1" applyFill="1" applyBorder="1">
      <alignment horizontal="left" vertical="center"/>
    </xf>
    <xf numFmtId="0" fontId="24" fillId="11" borderId="24" xfId="16" applyFont="1" applyFill="1" applyBorder="1" applyAlignment="1">
      <alignment horizontal="right" vertical="center"/>
    </xf>
    <xf numFmtId="9" fontId="24" fillId="11" borderId="25" xfId="16" applyNumberFormat="1" applyFont="1" applyFill="1" applyBorder="1" applyAlignment="1">
      <alignment horizontal="right" vertical="center"/>
    </xf>
    <xf numFmtId="0" fontId="12" fillId="10" borderId="0" xfId="16" applyFill="1">
      <alignment horizontal="left" vertical="center"/>
    </xf>
    <xf numFmtId="0" fontId="25" fillId="11" borderId="26" xfId="16" applyFont="1" applyFill="1" applyBorder="1">
      <alignment horizontal="left" vertical="center"/>
    </xf>
    <xf numFmtId="0" fontId="24" fillId="11" borderId="26" xfId="16" applyFont="1" applyFill="1" applyBorder="1" applyAlignment="1">
      <alignment horizontal="right" vertical="center"/>
    </xf>
    <xf numFmtId="9" fontId="24" fillId="11" borderId="0" xfId="16" applyNumberFormat="1" applyFont="1" applyFill="1" applyAlignment="1">
      <alignment horizontal="right" vertical="center"/>
    </xf>
    <xf numFmtId="170" fontId="12" fillId="2" borderId="7" xfId="16" applyNumberFormat="1" applyFill="1" applyBorder="1" applyAlignment="1">
      <alignment horizontal="center" vertical="center"/>
    </xf>
    <xf numFmtId="170" fontId="12" fillId="2" borderId="2" xfId="16" applyNumberFormat="1" applyFill="1" applyBorder="1" applyAlignment="1">
      <alignment horizontal="center" vertical="center"/>
    </xf>
    <xf numFmtId="0" fontId="12" fillId="14" borderId="0" xfId="16" applyFill="1">
      <alignment horizontal="left" vertical="center"/>
    </xf>
    <xf numFmtId="0" fontId="10" fillId="18" borderId="0" xfId="0" applyFont="1" applyFill="1" applyAlignment="1">
      <alignment vertical="center"/>
    </xf>
    <xf numFmtId="0" fontId="28" fillId="18" borderId="0" xfId="0" applyFont="1" applyFill="1"/>
    <xf numFmtId="0" fontId="28" fillId="18" borderId="0" xfId="0" applyFont="1" applyFill="1" applyBorder="1"/>
    <xf numFmtId="0" fontId="29" fillId="18" borderId="0" xfId="0" applyFont="1" applyFill="1" applyBorder="1"/>
    <xf numFmtId="0" fontId="29" fillId="18" borderId="0" xfId="0" applyFont="1" applyFill="1"/>
    <xf numFmtId="3" fontId="28" fillId="18" borderId="0" xfId="0" applyNumberFormat="1" applyFont="1" applyFill="1" applyBorder="1"/>
    <xf numFmtId="3" fontId="28" fillId="18" borderId="0" xfId="0" applyNumberFormat="1" applyFont="1" applyFill="1"/>
    <xf numFmtId="170" fontId="28" fillId="18" borderId="0" xfId="0" applyNumberFormat="1" applyFont="1" applyFill="1"/>
    <xf numFmtId="170" fontId="28" fillId="18" borderId="0" xfId="0" applyNumberFormat="1" applyFont="1" applyFill="1" applyBorder="1"/>
    <xf numFmtId="0" fontId="28" fillId="18" borderId="0" xfId="0" applyFont="1" applyFill="1" applyBorder="1" applyAlignment="1">
      <alignment vertical="top"/>
    </xf>
    <xf numFmtId="0" fontId="28" fillId="15" borderId="32" xfId="0" applyFont="1" applyFill="1" applyBorder="1"/>
    <xf numFmtId="0" fontId="28" fillId="15" borderId="33" xfId="0" applyFont="1" applyFill="1" applyBorder="1"/>
    <xf numFmtId="3" fontId="28" fillId="15" borderId="33" xfId="0" applyNumberFormat="1" applyFont="1" applyFill="1" applyBorder="1"/>
    <xf numFmtId="3" fontId="28" fillId="15" borderId="34" xfId="0" applyNumberFormat="1" applyFont="1" applyFill="1" applyBorder="1"/>
    <xf numFmtId="0" fontId="28" fillId="16" borderId="30" xfId="0" applyFont="1" applyFill="1" applyBorder="1"/>
    <xf numFmtId="0" fontId="28" fillId="16" borderId="35" xfId="0" applyFont="1" applyFill="1" applyBorder="1"/>
    <xf numFmtId="0" fontId="28" fillId="16" borderId="36" xfId="0" applyFont="1" applyFill="1" applyBorder="1"/>
    <xf numFmtId="0" fontId="29" fillId="15" borderId="32" xfId="0" applyFont="1" applyFill="1" applyBorder="1"/>
    <xf numFmtId="0" fontId="30" fillId="15" borderId="33" xfId="0" applyFont="1" applyFill="1" applyBorder="1"/>
    <xf numFmtId="0" fontId="30" fillId="15" borderId="34" xfId="0" applyFont="1" applyFill="1" applyBorder="1"/>
    <xf numFmtId="0" fontId="28" fillId="17" borderId="36" xfId="0" applyFont="1" applyFill="1" applyBorder="1"/>
    <xf numFmtId="3" fontId="28" fillId="17" borderId="36" xfId="0" applyNumberFormat="1" applyFont="1" applyFill="1" applyBorder="1"/>
    <xf numFmtId="3" fontId="28" fillId="17" borderId="37" xfId="0" applyNumberFormat="1" applyFont="1" applyFill="1" applyBorder="1"/>
    <xf numFmtId="0" fontId="28" fillId="16" borderId="38" xfId="0" applyFont="1" applyFill="1" applyBorder="1"/>
    <xf numFmtId="3" fontId="28" fillId="17" borderId="27" xfId="0" applyNumberFormat="1" applyFont="1" applyFill="1" applyBorder="1"/>
    <xf numFmtId="3" fontId="28" fillId="17" borderId="39" xfId="0" applyNumberFormat="1" applyFont="1" applyFill="1" applyBorder="1"/>
    <xf numFmtId="0" fontId="28" fillId="16" borderId="40" xfId="0" applyFont="1" applyFill="1" applyBorder="1"/>
    <xf numFmtId="3" fontId="28" fillId="17" borderId="41" xfId="0" applyNumberFormat="1" applyFont="1" applyFill="1" applyBorder="1"/>
    <xf numFmtId="3" fontId="28" fillId="17" borderId="42" xfId="0" applyNumberFormat="1" applyFont="1" applyFill="1" applyBorder="1"/>
    <xf numFmtId="0" fontId="31" fillId="18" borderId="0" xfId="0" applyFont="1" applyFill="1"/>
    <xf numFmtId="0" fontId="28" fillId="16" borderId="32" xfId="0" applyFont="1" applyFill="1" applyBorder="1"/>
    <xf numFmtId="0" fontId="33" fillId="18" borderId="0" xfId="0" applyFont="1" applyFill="1"/>
    <xf numFmtId="0" fontId="28" fillId="16" borderId="27" xfId="0" applyFont="1" applyFill="1" applyBorder="1"/>
    <xf numFmtId="0" fontId="28" fillId="16" borderId="39" xfId="0" applyFont="1" applyFill="1" applyBorder="1"/>
    <xf numFmtId="3" fontId="28" fillId="15" borderId="41" xfId="0" applyNumberFormat="1" applyFont="1" applyFill="1" applyBorder="1"/>
    <xf numFmtId="0" fontId="28" fillId="18" borderId="43" xfId="0" applyFont="1" applyFill="1" applyBorder="1"/>
    <xf numFmtId="0" fontId="28" fillId="18" borderId="28" xfId="0" applyFont="1" applyFill="1" applyBorder="1"/>
    <xf numFmtId="0" fontId="28" fillId="18" borderId="44" xfId="0" applyFont="1" applyFill="1" applyBorder="1"/>
    <xf numFmtId="0" fontId="34" fillId="18" borderId="28" xfId="0" applyFont="1" applyFill="1" applyBorder="1"/>
    <xf numFmtId="0" fontId="28" fillId="15" borderId="38" xfId="0" applyFont="1" applyFill="1" applyBorder="1"/>
    <xf numFmtId="0" fontId="28" fillId="16" borderId="33" xfId="0" applyFont="1" applyFill="1" applyBorder="1"/>
    <xf numFmtId="3" fontId="28" fillId="16" borderId="36" xfId="0" applyNumberFormat="1" applyFont="1" applyFill="1" applyBorder="1"/>
    <xf numFmtId="3" fontId="28" fillId="16" borderId="37" xfId="0" applyNumberFormat="1" applyFont="1" applyFill="1" applyBorder="1"/>
    <xf numFmtId="0" fontId="28" fillId="16" borderId="38" xfId="0" applyFont="1" applyFill="1" applyBorder="1" applyAlignment="1">
      <alignment horizontal="left"/>
    </xf>
    <xf numFmtId="3" fontId="28" fillId="16" borderId="27" xfId="0" applyNumberFormat="1" applyFont="1" applyFill="1" applyBorder="1"/>
    <xf numFmtId="3" fontId="28" fillId="16" borderId="39" xfId="0" applyNumberFormat="1" applyFont="1" applyFill="1" applyBorder="1"/>
    <xf numFmtId="0" fontId="28" fillId="15" borderId="40" xfId="0" applyFont="1" applyFill="1" applyBorder="1" applyAlignment="1">
      <alignment horizontal="left"/>
    </xf>
    <xf numFmtId="0" fontId="31" fillId="18" borderId="0" xfId="0" applyFont="1" applyFill="1" applyBorder="1"/>
    <xf numFmtId="4" fontId="28" fillId="18" borderId="0" xfId="0" applyNumberFormat="1" applyFont="1" applyFill="1" applyBorder="1"/>
    <xf numFmtId="0" fontId="28" fillId="16" borderId="38" xfId="0" applyFont="1" applyFill="1" applyBorder="1" applyAlignment="1">
      <alignment horizontal="left" indent="2"/>
    </xf>
    <xf numFmtId="4" fontId="28" fillId="15" borderId="33" xfId="0" applyNumberFormat="1" applyFont="1" applyFill="1" applyBorder="1"/>
    <xf numFmtId="4" fontId="28" fillId="15" borderId="34" xfId="0" applyNumberFormat="1" applyFont="1" applyFill="1" applyBorder="1"/>
    <xf numFmtId="168" fontId="28" fillId="17" borderId="36" xfId="0" applyNumberFormat="1" applyFont="1" applyFill="1" applyBorder="1"/>
    <xf numFmtId="168" fontId="28" fillId="17" borderId="37" xfId="0" applyNumberFormat="1" applyFont="1" applyFill="1" applyBorder="1"/>
    <xf numFmtId="0" fontId="0" fillId="18" borderId="0" xfId="0" applyFill="1"/>
    <xf numFmtId="0" fontId="0" fillId="18" borderId="21" xfId="0" applyFill="1" applyBorder="1"/>
    <xf numFmtId="0" fontId="0" fillId="18" borderId="22" xfId="0" applyFill="1" applyBorder="1"/>
    <xf numFmtId="0" fontId="0" fillId="18" borderId="23" xfId="0" applyFill="1" applyBorder="1"/>
    <xf numFmtId="0" fontId="0" fillId="18" borderId="16" xfId="0" applyFill="1" applyBorder="1"/>
    <xf numFmtId="0" fontId="0" fillId="18" borderId="18" xfId="0" applyFill="1" applyBorder="1"/>
    <xf numFmtId="0" fontId="0" fillId="18" borderId="0" xfId="0" applyFill="1" applyBorder="1"/>
    <xf numFmtId="0" fontId="0" fillId="18" borderId="17" xfId="0" applyFill="1" applyBorder="1"/>
    <xf numFmtId="0" fontId="0" fillId="18" borderId="19" xfId="0" applyFill="1" applyBorder="1"/>
    <xf numFmtId="0" fontId="0" fillId="18" borderId="20" xfId="0" applyFill="1" applyBorder="1"/>
    <xf numFmtId="2" fontId="12" fillId="3" borderId="0" xfId="16" applyNumberFormat="1" applyFill="1" applyAlignment="1">
      <alignment horizontal="center" vertical="center"/>
    </xf>
    <xf numFmtId="170" fontId="2" fillId="0" borderId="0" xfId="16" applyNumberFormat="1" applyFont="1" applyAlignment="1">
      <alignment horizontal="center" vertical="center"/>
    </xf>
    <xf numFmtId="0" fontId="28" fillId="18" borderId="45" xfId="0" applyFont="1" applyFill="1" applyBorder="1"/>
    <xf numFmtId="168" fontId="28" fillId="18" borderId="45" xfId="0" applyNumberFormat="1" applyFont="1" applyFill="1" applyBorder="1"/>
    <xf numFmtId="0" fontId="28" fillId="17" borderId="30" xfId="0" applyFont="1" applyFill="1" applyBorder="1"/>
    <xf numFmtId="0" fontId="29" fillId="17" borderId="30" xfId="0" applyFont="1" applyFill="1" applyBorder="1"/>
    <xf numFmtId="0" fontId="1" fillId="16" borderId="29" xfId="0" applyFont="1" applyFill="1" applyBorder="1" applyAlignment="1">
      <alignment vertical="center"/>
    </xf>
    <xf numFmtId="0" fontId="28" fillId="15" borderId="35" xfId="0" applyFont="1" applyFill="1" applyBorder="1"/>
    <xf numFmtId="0" fontId="28" fillId="15" borderId="36" xfId="0" applyFont="1" applyFill="1" applyBorder="1"/>
    <xf numFmtId="0" fontId="29" fillId="15" borderId="35" xfId="0" applyFont="1" applyFill="1" applyBorder="1"/>
    <xf numFmtId="0" fontId="29" fillId="15" borderId="40" xfId="0" applyFont="1" applyFill="1" applyBorder="1"/>
    <xf numFmtId="0" fontId="29" fillId="15" borderId="41" xfId="0" applyFont="1" applyFill="1" applyBorder="1"/>
    <xf numFmtId="3" fontId="29" fillId="17" borderId="41" xfId="0" applyNumberFormat="1" applyFont="1" applyFill="1" applyBorder="1"/>
    <xf numFmtId="0" fontId="29" fillId="15" borderId="33" xfId="0" applyFont="1" applyFill="1" applyBorder="1"/>
    <xf numFmtId="3" fontId="29" fillId="15" borderId="33" xfId="0" applyNumberFormat="1" applyFont="1" applyFill="1" applyBorder="1"/>
    <xf numFmtId="3" fontId="29" fillId="15" borderId="34" xfId="0" applyNumberFormat="1" applyFont="1" applyFill="1" applyBorder="1"/>
    <xf numFmtId="3" fontId="29" fillId="15" borderId="36" xfId="0" applyNumberFormat="1" applyFont="1" applyFill="1" applyBorder="1"/>
    <xf numFmtId="3" fontId="29" fillId="15" borderId="37" xfId="0" applyNumberFormat="1" applyFont="1" applyFill="1" applyBorder="1"/>
    <xf numFmtId="0" fontId="30" fillId="18" borderId="45" xfId="0" applyFont="1" applyFill="1" applyBorder="1"/>
    <xf numFmtId="0" fontId="36" fillId="18" borderId="47" xfId="0" applyFont="1" applyFill="1" applyBorder="1"/>
    <xf numFmtId="168" fontId="28" fillId="18" borderId="48" xfId="0" applyNumberFormat="1" applyFont="1" applyFill="1" applyBorder="1"/>
    <xf numFmtId="0" fontId="28" fillId="16" borderId="49" xfId="0" applyFont="1" applyFill="1" applyBorder="1"/>
    <xf numFmtId="0" fontId="30" fillId="15" borderId="0" xfId="0" applyFont="1" applyFill="1" applyBorder="1"/>
    <xf numFmtId="0" fontId="28" fillId="16" borderId="0" xfId="0" applyFont="1" applyFill="1" applyBorder="1"/>
    <xf numFmtId="0" fontId="28" fillId="6" borderId="0" xfId="0" applyFont="1" applyFill="1" applyBorder="1"/>
    <xf numFmtId="168" fontId="29" fillId="15" borderId="33" xfId="0" applyNumberFormat="1" applyFont="1" applyFill="1" applyBorder="1"/>
    <xf numFmtId="3" fontId="28" fillId="17" borderId="0" xfId="0" applyNumberFormat="1" applyFont="1" applyFill="1" applyBorder="1"/>
    <xf numFmtId="4" fontId="28" fillId="17" borderId="0" xfId="0" applyNumberFormat="1" applyFont="1" applyFill="1" applyBorder="1"/>
    <xf numFmtId="3" fontId="29" fillId="15" borderId="0" xfId="0" applyNumberFormat="1" applyFont="1" applyFill="1" applyBorder="1"/>
    <xf numFmtId="4" fontId="29" fillId="15" borderId="0" xfId="0" applyNumberFormat="1" applyFont="1" applyFill="1" applyBorder="1"/>
    <xf numFmtId="9" fontId="28" fillId="6" borderId="0" xfId="0" applyNumberFormat="1" applyFont="1" applyFill="1" applyBorder="1"/>
    <xf numFmtId="176" fontId="28" fillId="15" borderId="36" xfId="0" applyNumberFormat="1" applyFont="1" applyFill="1" applyBorder="1"/>
    <xf numFmtId="0" fontId="34" fillId="18" borderId="45" xfId="0" applyFont="1" applyFill="1" applyBorder="1" applyAlignment="1">
      <alignment horizontal="right"/>
    </xf>
    <xf numFmtId="9" fontId="28" fillId="16" borderId="0" xfId="0" applyNumberFormat="1" applyFont="1" applyFill="1" applyBorder="1"/>
    <xf numFmtId="0" fontId="37" fillId="0" borderId="0" xfId="0" applyFont="1" applyAlignment="1">
      <alignment vertical="center"/>
    </xf>
    <xf numFmtId="2" fontId="28" fillId="18" borderId="0" xfId="0" applyNumberFormat="1" applyFont="1" applyFill="1" applyBorder="1"/>
    <xf numFmtId="0" fontId="0" fillId="0" borderId="6" xfId="0" applyBorder="1" applyAlignment="1">
      <alignment horizontal="left" vertical="top"/>
    </xf>
    <xf numFmtId="2" fontId="0" fillId="0" borderId="6" xfId="0" applyNumberFormat="1" applyBorder="1" applyAlignment="1">
      <alignment horizontal="left" vertical="top"/>
    </xf>
    <xf numFmtId="4" fontId="12" fillId="3" borderId="0" xfId="16" applyNumberFormat="1" applyFill="1" applyAlignment="1">
      <alignment horizontal="center" vertical="center"/>
    </xf>
    <xf numFmtId="43" fontId="0" fillId="0" borderId="0" xfId="0" applyNumberFormat="1"/>
    <xf numFmtId="0" fontId="28" fillId="18" borderId="53" xfId="0" applyFont="1" applyFill="1" applyBorder="1"/>
    <xf numFmtId="0" fontId="28" fillId="16" borderId="52" xfId="0" applyFont="1" applyFill="1" applyBorder="1"/>
    <xf numFmtId="3" fontId="28" fillId="16" borderId="56" xfId="0" applyNumberFormat="1" applyFont="1" applyFill="1" applyBorder="1"/>
    <xf numFmtId="3" fontId="29" fillId="18" borderId="0" xfId="0" applyNumberFormat="1" applyFont="1" applyFill="1" applyBorder="1"/>
    <xf numFmtId="0" fontId="6" fillId="6" borderId="0" xfId="26" applyFont="1" applyFill="1"/>
    <xf numFmtId="14" fontId="6" fillId="6" borderId="0" xfId="26" applyNumberFormat="1" applyFont="1" applyFill="1"/>
    <xf numFmtId="0" fontId="40" fillId="6" borderId="0" xfId="26" applyFont="1" applyFill="1" applyAlignment="1">
      <alignment vertical="top"/>
    </xf>
    <xf numFmtId="0" fontId="6" fillId="6" borderId="0" xfId="26" applyFont="1" applyFill="1" applyAlignment="1">
      <alignment horizontal="left"/>
    </xf>
    <xf numFmtId="14" fontId="6" fillId="6" borderId="0" xfId="26" applyNumberFormat="1" applyFont="1" applyFill="1" applyAlignment="1">
      <alignment horizontal="left"/>
    </xf>
    <xf numFmtId="0" fontId="42" fillId="6" borderId="0" xfId="26" applyFont="1" applyFill="1" applyAlignment="1">
      <alignment vertical="top"/>
    </xf>
    <xf numFmtId="0" fontId="43" fillId="6" borderId="0" xfId="26" applyFont="1" applyFill="1"/>
    <xf numFmtId="0" fontId="44" fillId="6" borderId="0" xfId="19" applyFont="1" applyFill="1" applyAlignment="1">
      <alignment horizontal="left"/>
    </xf>
    <xf numFmtId="0" fontId="6" fillId="18" borderId="0" xfId="26" applyFont="1" applyFill="1"/>
    <xf numFmtId="177" fontId="28" fillId="15" borderId="36" xfId="0" applyNumberFormat="1" applyFont="1" applyFill="1" applyBorder="1"/>
    <xf numFmtId="177" fontId="29" fillId="15" borderId="33" xfId="0" applyNumberFormat="1" applyFont="1" applyFill="1" applyBorder="1"/>
    <xf numFmtId="177" fontId="29" fillId="15" borderId="34" xfId="0" applyNumberFormat="1" applyFont="1" applyFill="1" applyBorder="1"/>
    <xf numFmtId="0" fontId="28" fillId="18" borderId="0" xfId="0" quotePrefix="1" applyFont="1" applyFill="1" applyBorder="1"/>
    <xf numFmtId="177" fontId="28" fillId="15" borderId="37" xfId="0" applyNumberFormat="1" applyFont="1" applyFill="1" applyBorder="1"/>
    <xf numFmtId="176" fontId="28" fillId="15" borderId="37" xfId="0" applyNumberFormat="1" applyFont="1" applyFill="1" applyBorder="1"/>
    <xf numFmtId="168" fontId="29" fillId="15" borderId="34" xfId="0" applyNumberFormat="1" applyFont="1" applyFill="1" applyBorder="1"/>
    <xf numFmtId="3" fontId="28" fillId="15" borderId="42" xfId="0" applyNumberFormat="1" applyFont="1" applyFill="1" applyBorder="1"/>
    <xf numFmtId="0" fontId="36" fillId="18" borderId="33" xfId="0" applyFont="1" applyFill="1" applyBorder="1"/>
    <xf numFmtId="0" fontId="28" fillId="18" borderId="33" xfId="0" applyFont="1" applyFill="1" applyBorder="1"/>
    <xf numFmtId="168" fontId="28" fillId="18" borderId="33" xfId="0" applyNumberFormat="1" applyFont="1" applyFill="1" applyBorder="1"/>
    <xf numFmtId="177" fontId="28" fillId="17" borderId="36" xfId="0" applyNumberFormat="1" applyFont="1" applyFill="1" applyBorder="1" applyAlignment="1">
      <alignment horizontal="right"/>
    </xf>
    <xf numFmtId="177" fontId="28" fillId="17" borderId="36" xfId="0" applyNumberFormat="1" applyFont="1" applyFill="1" applyBorder="1"/>
    <xf numFmtId="177" fontId="28" fillId="17" borderId="37" xfId="0" applyNumberFormat="1" applyFont="1" applyFill="1" applyBorder="1"/>
    <xf numFmtId="0" fontId="45" fillId="18" borderId="0" xfId="0" applyFont="1" applyFill="1"/>
    <xf numFmtId="0" fontId="46" fillId="18" borderId="0" xfId="0" applyFont="1" applyFill="1"/>
    <xf numFmtId="0" fontId="28" fillId="6" borderId="27" xfId="0" applyFont="1" applyFill="1" applyBorder="1" applyProtection="1">
      <protection locked="0"/>
    </xf>
    <xf numFmtId="1" fontId="28" fillId="6" borderId="27" xfId="0" applyNumberFormat="1" applyFont="1" applyFill="1" applyBorder="1" applyProtection="1">
      <protection locked="0"/>
    </xf>
    <xf numFmtId="0" fontId="28" fillId="6" borderId="36" xfId="0" applyFont="1" applyFill="1" applyBorder="1" applyProtection="1">
      <protection locked="0"/>
    </xf>
    <xf numFmtId="0" fontId="29" fillId="6" borderId="36" xfId="0" applyFont="1" applyFill="1" applyBorder="1" applyProtection="1">
      <protection locked="0"/>
    </xf>
    <xf numFmtId="0" fontId="29" fillId="6" borderId="37" xfId="0" applyFont="1" applyFill="1" applyBorder="1" applyProtection="1">
      <protection locked="0"/>
    </xf>
    <xf numFmtId="0" fontId="29" fillId="6" borderId="30" xfId="0" applyFont="1" applyFill="1" applyBorder="1" applyProtection="1">
      <protection locked="0"/>
    </xf>
    <xf numFmtId="0" fontId="29" fillId="6" borderId="31" xfId="0" applyFont="1" applyFill="1" applyBorder="1" applyProtection="1">
      <protection locked="0"/>
    </xf>
    <xf numFmtId="0" fontId="28" fillId="6" borderId="50" xfId="0" applyFont="1" applyFill="1" applyBorder="1" applyProtection="1">
      <protection locked="0"/>
    </xf>
    <xf numFmtId="0" fontId="28" fillId="6" borderId="51" xfId="0" applyFont="1" applyFill="1" applyBorder="1" applyProtection="1">
      <protection locked="0"/>
    </xf>
    <xf numFmtId="0" fontId="28" fillId="6" borderId="52" xfId="0" applyFont="1" applyFill="1" applyBorder="1" applyProtection="1">
      <protection locked="0"/>
    </xf>
    <xf numFmtId="3" fontId="28" fillId="6" borderId="54" xfId="0" applyNumberFormat="1" applyFont="1" applyFill="1" applyBorder="1" applyProtection="1">
      <protection locked="0"/>
    </xf>
    <xf numFmtId="3" fontId="28" fillId="6" borderId="55" xfId="0" applyNumberFormat="1" applyFont="1" applyFill="1" applyBorder="1" applyProtection="1">
      <protection locked="0"/>
    </xf>
    <xf numFmtId="3" fontId="28" fillId="6" borderId="56" xfId="0" applyNumberFormat="1" applyFont="1" applyFill="1" applyBorder="1" applyProtection="1">
      <protection locked="0"/>
    </xf>
    <xf numFmtId="0" fontId="28" fillId="16" borderId="38" xfId="0" applyFont="1" applyFill="1" applyBorder="1" applyProtection="1">
      <protection locked="0"/>
    </xf>
    <xf numFmtId="0" fontId="28" fillId="15" borderId="32" xfId="0" applyFont="1" applyFill="1" applyBorder="1" applyProtection="1">
      <protection locked="0"/>
    </xf>
    <xf numFmtId="0" fontId="28" fillId="6" borderId="46" xfId="0" applyFont="1" applyFill="1" applyBorder="1" applyProtection="1">
      <protection locked="0"/>
    </xf>
    <xf numFmtId="0" fontId="28" fillId="18" borderId="57" xfId="0" applyFont="1" applyFill="1" applyBorder="1" applyProtection="1">
      <protection locked="0"/>
    </xf>
    <xf numFmtId="0" fontId="28" fillId="18" borderId="48" xfId="0" applyFont="1" applyFill="1" applyBorder="1" applyProtection="1">
      <protection locked="0"/>
    </xf>
    <xf numFmtId="3" fontId="29" fillId="6" borderId="41" xfId="0" applyNumberFormat="1" applyFont="1" applyFill="1" applyBorder="1" applyProtection="1">
      <protection locked="0"/>
    </xf>
    <xf numFmtId="164" fontId="28" fillId="6" borderId="0" xfId="0" applyNumberFormat="1" applyFont="1" applyFill="1" applyBorder="1" applyProtection="1">
      <protection locked="0"/>
    </xf>
    <xf numFmtId="0" fontId="28" fillId="6" borderId="0" xfId="0" applyFont="1" applyFill="1" applyBorder="1" applyProtection="1">
      <protection locked="0"/>
    </xf>
    <xf numFmtId="4" fontId="28" fillId="6" borderId="41" xfId="0" applyNumberFormat="1" applyFont="1" applyFill="1" applyBorder="1" applyProtection="1">
      <protection locked="0"/>
    </xf>
    <xf numFmtId="4" fontId="28" fillId="6" borderId="42" xfId="0" applyNumberFormat="1" applyFont="1" applyFill="1" applyBorder="1" applyProtection="1">
      <protection locked="0"/>
    </xf>
    <xf numFmtId="172" fontId="28" fillId="6" borderId="0" xfId="0" applyNumberFormat="1" applyFont="1" applyFill="1" applyBorder="1" applyProtection="1">
      <protection locked="0"/>
    </xf>
    <xf numFmtId="0" fontId="35" fillId="6" borderId="33" xfId="0" applyFont="1" applyFill="1" applyBorder="1" applyProtection="1">
      <protection locked="0"/>
    </xf>
    <xf numFmtId="170" fontId="28" fillId="6" borderId="0" xfId="0" applyNumberFormat="1" applyFont="1" applyFill="1" applyBorder="1" applyProtection="1">
      <protection locked="0"/>
    </xf>
    <xf numFmtId="2" fontId="28" fillId="6" borderId="0" xfId="0" applyNumberFormat="1" applyFont="1" applyFill="1" applyBorder="1" applyProtection="1">
      <protection locked="0"/>
    </xf>
    <xf numFmtId="3" fontId="47" fillId="18" borderId="0" xfId="0" applyNumberFormat="1" applyFont="1" applyFill="1"/>
    <xf numFmtId="3" fontId="46" fillId="18" borderId="0" xfId="0" applyNumberFormat="1" applyFont="1" applyFill="1"/>
    <xf numFmtId="3" fontId="29" fillId="6" borderId="42" xfId="0" applyNumberFormat="1" applyFont="1" applyFill="1" applyBorder="1" applyProtection="1">
      <protection locked="0"/>
    </xf>
    <xf numFmtId="0" fontId="28" fillId="18" borderId="40" xfId="0" applyFont="1" applyFill="1" applyBorder="1"/>
    <xf numFmtId="0" fontId="28" fillId="18" borderId="47" xfId="0" applyFont="1" applyFill="1" applyBorder="1"/>
    <xf numFmtId="3" fontId="28" fillId="6" borderId="58" xfId="0" applyNumberFormat="1" applyFont="1" applyFill="1" applyBorder="1" applyProtection="1">
      <protection locked="0"/>
    </xf>
    <xf numFmtId="3" fontId="28" fillId="6" borderId="59" xfId="0" applyNumberFormat="1" applyFont="1" applyFill="1" applyBorder="1" applyProtection="1">
      <protection locked="0"/>
    </xf>
    <xf numFmtId="3" fontId="28" fillId="6" borderId="60" xfId="0" applyNumberFormat="1" applyFont="1" applyFill="1" applyBorder="1" applyProtection="1">
      <protection locked="0"/>
    </xf>
    <xf numFmtId="3" fontId="28" fillId="16" borderId="60" xfId="0" applyNumberFormat="1" applyFont="1" applyFill="1" applyBorder="1"/>
    <xf numFmtId="0" fontId="50" fillId="18" borderId="0" xfId="0" applyFont="1" applyFill="1"/>
    <xf numFmtId="1" fontId="50" fillId="18" borderId="0" xfId="0" applyNumberFormat="1" applyFont="1" applyFill="1" applyBorder="1"/>
    <xf numFmtId="3" fontId="28" fillId="16" borderId="30" xfId="0" applyNumberFormat="1" applyFont="1" applyFill="1" applyBorder="1"/>
    <xf numFmtId="0" fontId="34" fillId="18" borderId="0" xfId="0" applyFont="1" applyFill="1" applyBorder="1"/>
    <xf numFmtId="0" fontId="30" fillId="15" borderId="45" xfId="0" applyFont="1" applyFill="1" applyBorder="1"/>
    <xf numFmtId="0" fontId="30" fillId="15" borderId="48" xfId="0" applyFont="1" applyFill="1" applyBorder="1"/>
    <xf numFmtId="0" fontId="50" fillId="18" borderId="0" xfId="0" applyFont="1" applyFill="1" applyBorder="1"/>
    <xf numFmtId="0" fontId="28" fillId="6" borderId="33" xfId="0" applyFont="1" applyFill="1" applyBorder="1" applyProtection="1">
      <protection locked="0"/>
    </xf>
    <xf numFmtId="0" fontId="28" fillId="16" borderId="46" xfId="0" applyFont="1" applyFill="1" applyBorder="1"/>
    <xf numFmtId="3" fontId="28" fillId="6" borderId="27" xfId="0" applyNumberFormat="1" applyFont="1" applyFill="1" applyBorder="1" applyProtection="1">
      <protection locked="0"/>
    </xf>
    <xf numFmtId="0" fontId="3" fillId="18" borderId="0" xfId="25" applyFill="1"/>
    <xf numFmtId="0" fontId="3" fillId="18" borderId="16" xfId="25" applyFill="1" applyBorder="1"/>
    <xf numFmtId="0" fontId="3" fillId="18" borderId="0" xfId="25" applyFill="1" applyBorder="1"/>
    <xf numFmtId="2" fontId="3" fillId="18" borderId="0" xfId="25" applyNumberFormat="1" applyFill="1" applyBorder="1"/>
    <xf numFmtId="3" fontId="3" fillId="18" borderId="0" xfId="25" applyNumberFormat="1" applyFill="1" applyBorder="1"/>
    <xf numFmtId="0" fontId="3" fillId="18" borderId="0" xfId="25" applyFill="1" applyBorder="1" applyAlignment="1">
      <alignment horizontal="left" indent="2"/>
    </xf>
    <xf numFmtId="4" fontId="3" fillId="18" borderId="0" xfId="25" applyNumberFormat="1" applyFill="1" applyBorder="1"/>
    <xf numFmtId="170" fontId="3" fillId="18" borderId="0" xfId="25" applyNumberFormat="1" applyFill="1" applyBorder="1"/>
    <xf numFmtId="0" fontId="28" fillId="15" borderId="61" xfId="0" applyFont="1" applyFill="1" applyBorder="1"/>
    <xf numFmtId="3" fontId="28" fillId="15" borderId="62" xfId="0" applyNumberFormat="1" applyFont="1" applyFill="1" applyBorder="1"/>
    <xf numFmtId="0" fontId="28" fillId="15" borderId="63" xfId="0" applyFont="1" applyFill="1" applyBorder="1"/>
    <xf numFmtId="3" fontId="28" fillId="15" borderId="64" xfId="0" applyNumberFormat="1" applyFont="1" applyFill="1" applyBorder="1"/>
    <xf numFmtId="0" fontId="28" fillId="15" borderId="65" xfId="0" applyFont="1" applyFill="1" applyBorder="1"/>
    <xf numFmtId="3" fontId="28" fillId="15" borderId="66" xfId="0" applyNumberFormat="1" applyFont="1" applyFill="1" applyBorder="1"/>
    <xf numFmtId="2" fontId="3" fillId="16" borderId="0" xfId="25" applyNumberFormat="1" applyFill="1" applyBorder="1"/>
    <xf numFmtId="2" fontId="3" fillId="17" borderId="0" xfId="25" applyNumberFormat="1" applyFill="1" applyBorder="1"/>
    <xf numFmtId="0" fontId="3" fillId="16" borderId="29" xfId="25" applyFill="1" applyBorder="1"/>
    <xf numFmtId="2" fontId="3" fillId="17" borderId="30" xfId="25" applyNumberFormat="1" applyFill="1" applyBorder="1"/>
    <xf numFmtId="2" fontId="3" fillId="17" borderId="31" xfId="25" applyNumberFormat="1" applyFill="1" applyBorder="1"/>
    <xf numFmtId="0" fontId="3" fillId="16" borderId="47" xfId="25" applyFill="1" applyBorder="1"/>
    <xf numFmtId="2" fontId="3" fillId="17" borderId="53" xfId="25" applyNumberFormat="1" applyFill="1" applyBorder="1"/>
    <xf numFmtId="2" fontId="3" fillId="16" borderId="53" xfId="25" applyNumberFormat="1" applyFill="1" applyBorder="1"/>
    <xf numFmtId="2" fontId="3" fillId="19" borderId="0" xfId="25" applyNumberFormat="1" applyFill="1" applyBorder="1"/>
    <xf numFmtId="2" fontId="3" fillId="19" borderId="53" xfId="25" applyNumberFormat="1" applyFill="1" applyBorder="1"/>
    <xf numFmtId="0" fontId="3" fillId="16" borderId="57" xfId="25" applyFill="1" applyBorder="1"/>
    <xf numFmtId="2" fontId="3" fillId="17" borderId="45" xfId="25" applyNumberFormat="1" applyFill="1" applyBorder="1"/>
    <xf numFmtId="2" fontId="3" fillId="17" borderId="48" xfId="25" applyNumberFormat="1" applyFill="1" applyBorder="1"/>
    <xf numFmtId="2" fontId="3" fillId="18" borderId="53" xfId="25" applyNumberFormat="1" applyFill="1" applyBorder="1"/>
    <xf numFmtId="0" fontId="3" fillId="18" borderId="32" xfId="25" applyFill="1" applyBorder="1"/>
    <xf numFmtId="2" fontId="3" fillId="18" borderId="33" xfId="25" applyNumberFormat="1" applyFill="1" applyBorder="1"/>
    <xf numFmtId="2" fontId="3" fillId="18" borderId="30" xfId="25" applyNumberFormat="1" applyFill="1" applyBorder="1"/>
    <xf numFmtId="0" fontId="27" fillId="15" borderId="32" xfId="25" applyFont="1" applyFill="1" applyBorder="1"/>
    <xf numFmtId="0" fontId="27" fillId="15" borderId="33" xfId="25" applyFont="1" applyFill="1" applyBorder="1"/>
    <xf numFmtId="0" fontId="27" fillId="15" borderId="34" xfId="25" applyFont="1" applyFill="1" applyBorder="1"/>
    <xf numFmtId="0" fontId="47" fillId="15" borderId="0" xfId="0" applyFont="1" applyFill="1" applyBorder="1"/>
    <xf numFmtId="0" fontId="28" fillId="15" borderId="0" xfId="0" applyFont="1" applyFill="1" applyBorder="1"/>
    <xf numFmtId="2" fontId="28" fillId="17" borderId="0" xfId="0" applyNumberFormat="1" applyFont="1" applyFill="1" applyBorder="1"/>
    <xf numFmtId="0" fontId="51" fillId="18" borderId="0" xfId="0" applyFont="1" applyFill="1" applyBorder="1"/>
    <xf numFmtId="1" fontId="28" fillId="17" borderId="0" xfId="0" applyNumberFormat="1" applyFont="1" applyFill="1" applyBorder="1"/>
    <xf numFmtId="169" fontId="28" fillId="18" borderId="0" xfId="0" applyNumberFormat="1" applyFont="1" applyFill="1" applyBorder="1"/>
    <xf numFmtId="169" fontId="28" fillId="7" borderId="0" xfId="0" applyNumberFormat="1" applyFont="1" applyFill="1" applyBorder="1"/>
    <xf numFmtId="169" fontId="28" fillId="17" borderId="0" xfId="0" applyNumberFormat="1" applyFont="1" applyFill="1" applyBorder="1"/>
    <xf numFmtId="0" fontId="28" fillId="18" borderId="0" xfId="0" applyNumberFormat="1" applyFont="1" applyFill="1" applyBorder="1"/>
    <xf numFmtId="0" fontId="47" fillId="15" borderId="0" xfId="0" applyFont="1" applyFill="1"/>
    <xf numFmtId="0" fontId="28" fillId="15" borderId="0" xfId="0" applyFont="1" applyFill="1"/>
    <xf numFmtId="0" fontId="28" fillId="16" borderId="0" xfId="0" applyFont="1" applyFill="1"/>
    <xf numFmtId="167" fontId="28" fillId="17" borderId="0" xfId="1" applyNumberFormat="1" applyFont="1" applyFill="1"/>
    <xf numFmtId="43" fontId="28" fillId="17" borderId="0" xfId="1" applyFont="1" applyFill="1"/>
    <xf numFmtId="167" fontId="28" fillId="18" borderId="0" xfId="0" applyNumberFormat="1" applyFont="1" applyFill="1"/>
    <xf numFmtId="167" fontId="28" fillId="17" borderId="0" xfId="0" applyNumberFormat="1" applyFont="1" applyFill="1"/>
    <xf numFmtId="1" fontId="28" fillId="17" borderId="0" xfId="0" applyNumberFormat="1" applyFont="1" applyFill="1"/>
    <xf numFmtId="167" fontId="28" fillId="16" borderId="0" xfId="0" applyNumberFormat="1" applyFont="1" applyFill="1"/>
    <xf numFmtId="0" fontId="28" fillId="17" borderId="0" xfId="0" applyFont="1" applyFill="1"/>
    <xf numFmtId="0" fontId="11" fillId="0" borderId="0" xfId="0" applyFont="1"/>
    <xf numFmtId="0" fontId="12" fillId="0" borderId="3" xfId="16" applyBorder="1" applyAlignment="1">
      <alignment horizontal="center" vertical="center"/>
    </xf>
    <xf numFmtId="0" fontId="12" fillId="0" borderId="4" xfId="16" applyBorder="1" applyAlignment="1">
      <alignment horizontal="center" vertical="center"/>
    </xf>
    <xf numFmtId="0" fontId="12" fillId="0" borderId="5" xfId="16" applyBorder="1" applyAlignment="1">
      <alignment horizontal="center" vertical="center"/>
    </xf>
    <xf numFmtId="0" fontId="12" fillId="0" borderId="1" xfId="16" applyBorder="1" applyAlignment="1">
      <alignment horizontal="center" vertical="center"/>
    </xf>
    <xf numFmtId="0" fontId="12" fillId="0" borderId="0" xfId="16" applyAlignment="1">
      <alignment horizontal="center" vertical="center"/>
    </xf>
    <xf numFmtId="0" fontId="12" fillId="0" borderId="2" xfId="16" applyBorder="1" applyAlignment="1">
      <alignment horizontal="center" vertical="center"/>
    </xf>
    <xf numFmtId="0" fontId="21" fillId="11" borderId="0" xfId="16" applyFont="1" applyFill="1" applyAlignment="1">
      <alignment horizontal="left" vertical="center" wrapText="1" indent="3"/>
    </xf>
    <xf numFmtId="0" fontId="26" fillId="11" borderId="0" xfId="16" applyFont="1" applyFill="1" applyAlignment="1">
      <alignment horizontal="left" vertical="center" wrapText="1"/>
    </xf>
    <xf numFmtId="0" fontId="12" fillId="0" borderId="6" xfId="16" applyBorder="1" applyAlignment="1">
      <alignment horizontal="left" vertical="top" wrapText="1"/>
    </xf>
    <xf numFmtId="0" fontId="0" fillId="0" borderId="6" xfId="17" applyFont="1" applyFill="1" applyBorder="1" applyAlignment="1">
      <alignment horizontal="left" vertical="top" wrapText="1"/>
    </xf>
    <xf numFmtId="174" fontId="12" fillId="0" borderId="6" xfId="16" applyNumberFormat="1" applyBorder="1" applyAlignment="1">
      <alignment horizontal="left" vertical="top" wrapText="1"/>
    </xf>
    <xf numFmtId="0" fontId="19" fillId="0" borderId="6" xfId="22" applyBorder="1" applyAlignment="1">
      <alignment horizontal="left" vertical="top" wrapText="1"/>
    </xf>
    <xf numFmtId="0" fontId="12" fillId="0" borderId="6" xfId="16" applyBorder="1" applyAlignment="1">
      <alignment horizontal="center" vertical="center"/>
    </xf>
    <xf numFmtId="0" fontId="0" fillId="0" borderId="3" xfId="0" applyBorder="1" applyAlignment="1">
      <alignment horizontal="center" vertical="top"/>
    </xf>
    <xf numFmtId="0" fontId="0" fillId="0" borderId="5" xfId="0" applyBorder="1" applyAlignment="1">
      <alignment horizontal="center" vertical="top"/>
    </xf>
    <xf numFmtId="0" fontId="0" fillId="0" borderId="6" xfId="0" applyBorder="1" applyAlignment="1">
      <alignment horizontal="center" vertical="top"/>
    </xf>
    <xf numFmtId="0" fontId="12" fillId="0" borderId="6" xfId="16" applyBorder="1" applyAlignment="1">
      <alignment vertical="top" wrapText="1"/>
    </xf>
    <xf numFmtId="0" fontId="0" fillId="0" borderId="6" xfId="17" applyFont="1" applyFill="1" applyBorder="1" applyAlignment="1">
      <alignment vertical="top" wrapText="1"/>
    </xf>
    <xf numFmtId="174" fontId="12" fillId="0" borderId="6" xfId="16" applyNumberFormat="1" applyBorder="1" applyAlignment="1">
      <alignment vertical="top" wrapText="1"/>
    </xf>
  </cellXfs>
  <cellStyles count="27">
    <cellStyle name="Komma" xfId="1" builtinId="3"/>
    <cellStyle name="Komma 2" xfId="21" xr:uid="{509665E9-9C04-498C-85C5-C6634BCDCA67}"/>
    <cellStyle name="Link" xfId="19" builtinId="8"/>
    <cellStyle name="Link 2" xfId="2" xr:uid="{FAE115A6-0C94-4C6D-8079-BC1AD9FDB4A1}"/>
    <cellStyle name="Link 3" xfId="7" xr:uid="{77ACAAF5-A668-4E34-96D0-4BA16D744283}"/>
    <cellStyle name="Link 4" xfId="22" xr:uid="{8C0E60F2-4DE1-489B-8E69-8331BFD6BCCD}"/>
    <cellStyle name="Prozent 2" xfId="18" xr:uid="{4D862D31-B029-4921-B91C-3D5917A243A3}"/>
    <cellStyle name="Standard" xfId="0" builtinId="0"/>
    <cellStyle name="Standard 17" xfId="25" xr:uid="{13F9A43D-FB44-4DA5-A072-FAF38E7D79EF}"/>
    <cellStyle name="Standard 2" xfId="3" xr:uid="{CABBEAD2-FB4B-4F0A-B7D2-82F23B1AAD8D}"/>
    <cellStyle name="Standard 2 2" xfId="4" xr:uid="{17FA898F-03E5-4626-9C91-7B72AD0BD2F8}"/>
    <cellStyle name="Standard 3" xfId="5" xr:uid="{7DA53CBC-90CA-48E0-9995-FD107F5974D2}"/>
    <cellStyle name="Standard 4" xfId="6" xr:uid="{91FB45EB-F3DA-44D6-8759-D2830438EA05}"/>
    <cellStyle name="Standard 5" xfId="16" xr:uid="{3A17B906-32A4-4C6D-8712-6563184B080E}"/>
    <cellStyle name="Standard 5 2" xfId="24" xr:uid="{EADFE75E-39A6-46A1-8F45-0C0E1DA1AA19}"/>
    <cellStyle name="Standard 6" xfId="20" xr:uid="{F60C43C6-5C70-4A6B-8AA6-1EB9669A8588}"/>
    <cellStyle name="Standard 7" xfId="23" xr:uid="{7C5C1001-2467-4283-8F08-69988D2E2E40}"/>
    <cellStyle name="Standard 8" xfId="26" xr:uid="{F22B4758-5ACC-4B3E-A8EF-C24E5A89395B}"/>
    <cellStyle name="style1583310575083" xfId="8" xr:uid="{26FD672E-19C9-4029-8E91-11D1FFE5AD1A}"/>
    <cellStyle name="style1583310575146" xfId="9" xr:uid="{239DE027-B087-4518-8929-46D6B8E21BCC}"/>
    <cellStyle name="style1583310575302" xfId="10" xr:uid="{19738764-34F1-47D1-8CEE-59D3B2D852B2}"/>
    <cellStyle name="style1583310575724" xfId="11" xr:uid="{2D7BB87C-027F-44BB-A056-278B2A5DB082}"/>
    <cellStyle name="style1583310575927" xfId="12" xr:uid="{BB6460DD-FF7A-4472-A327-A428AA3BCF64}"/>
    <cellStyle name="style1583312198098" xfId="13" xr:uid="{07126DA0-59BF-4278-B822-4E4FE5D66304}"/>
    <cellStyle name="style1583312376838" xfId="14" xr:uid="{A81AB471-EC49-4431-A399-15A5532C293E}"/>
    <cellStyle name="style1612530438959" xfId="15" xr:uid="{A7C4E54C-FE2F-4C7C-ABE0-5814369CFE59}"/>
    <cellStyle name="Titel" xfId="17" xr:uid="{2F577A80-2D41-433B-8D73-1EFF1F5CB243}"/>
  </cellStyles>
  <dxfs count="4">
    <dxf>
      <numFmt numFmtId="0" formatCode="General"/>
    </dxf>
    <dxf>
      <numFmt numFmtId="0" formatCode="General"/>
    </dxf>
    <dxf>
      <fill>
        <patternFill>
          <bgColor rgb="FFFF0000"/>
        </patternFill>
      </fill>
    </dxf>
    <dxf>
      <font>
        <color rgb="FFCCE6F8"/>
      </font>
      <fill>
        <patternFill>
          <bgColor rgb="FFCCE6F8"/>
        </patternFill>
      </fill>
    </dxf>
  </dxfs>
  <tableStyles count="0" defaultTableStyle="TableStyleMedium2" defaultPivotStyle="PivotStyleLight16"/>
  <colors>
    <mruColors>
      <color rgb="FFB5B8C7"/>
      <color rgb="FF7AC4ED"/>
      <color rgb="FFABD7F3"/>
      <color rgb="FFCCE6F8"/>
      <color rgb="FF64B9E4"/>
      <color rgb="FFE3E4EA"/>
      <color rgb="FF1E83B3"/>
      <color rgb="FFECB9D4"/>
      <color rgb="FFD05094"/>
      <color rgb="FFCBE9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onnections" Target="connections.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de-DE" sz="1000" b="1"/>
              <a:t>Energiesteuereinnahmen nach Energieträgern und sowie CO2-Preis-Einnahmen</a:t>
            </a:r>
          </a:p>
        </c:rich>
      </c:tx>
      <c:overlay val="0"/>
    </c:title>
    <c:autoTitleDeleted val="0"/>
    <c:plotArea>
      <c:layout>
        <c:manualLayout>
          <c:layoutTarget val="inner"/>
          <c:xMode val="edge"/>
          <c:yMode val="edge"/>
          <c:x val="0.11285859416891843"/>
          <c:y val="0.12236962924577245"/>
          <c:w val="0.70471350230689278"/>
          <c:h val="0.74690578688164477"/>
        </c:manualLayout>
      </c:layout>
      <c:barChart>
        <c:barDir val="col"/>
        <c:grouping val="stacked"/>
        <c:varyColors val="0"/>
        <c:ser>
          <c:idx val="1"/>
          <c:order val="0"/>
          <c:tx>
            <c:strRef>
              <c:f>'Graphikdaten 3'!$B$21</c:f>
              <c:strCache>
                <c:ptCount val="1"/>
                <c:pt idx="0">
                  <c:v>Benzin</c:v>
                </c:pt>
              </c:strCache>
            </c:strRef>
          </c:tx>
          <c:spPr>
            <a:solidFill>
              <a:srgbClr val="18658C"/>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3'!$C$21:$P$21</c:f>
              <c:numCache>
                <c:formatCode>#,##0.00_ ;[Red]\-#,##0.00\ </c:formatCode>
                <c:ptCount val="14"/>
                <c:pt idx="0">
                  <c:v>16.072055153000001</c:v>
                </c:pt>
                <c:pt idx="1">
                  <c:v>16.072055153000001</c:v>
                </c:pt>
                <c:pt idx="2">
                  <c:v>15.574424785430462</c:v>
                </c:pt>
                <c:pt idx="3">
                  <c:v>14.059084774834439</c:v>
                </c:pt>
                <c:pt idx="4">
                  <c:v>14.049554692852251</c:v>
                </c:pt>
                <c:pt idx="5">
                  <c:v>15.574424785430462</c:v>
                </c:pt>
                <c:pt idx="6">
                  <c:v>15.574424785430462</c:v>
                </c:pt>
                <c:pt idx="7">
                  <c:v>15.574424785430462</c:v>
                </c:pt>
                <c:pt idx="8">
                  <c:v>15.574424785430462</c:v>
                </c:pt>
                <c:pt idx="9">
                  <c:v>15.574424785430462</c:v>
                </c:pt>
                <c:pt idx="10">
                  <c:v>15.574424785430462</c:v>
                </c:pt>
                <c:pt idx="11">
                  <c:v>15.574424785430462</c:v>
                </c:pt>
                <c:pt idx="12">
                  <c:v>15.574424785430462</c:v>
                </c:pt>
                <c:pt idx="13">
                  <c:v>15.574424785430462</c:v>
                </c:pt>
              </c:numCache>
            </c:numRef>
          </c:val>
          <c:extLst>
            <c:ext xmlns:c16="http://schemas.microsoft.com/office/drawing/2014/chart" uri="{C3380CC4-5D6E-409C-BE32-E72D297353CC}">
              <c16:uniqueId val="{00000000-4C4E-451B-BE87-602BB83D9A16}"/>
            </c:ext>
          </c:extLst>
        </c:ser>
        <c:ser>
          <c:idx val="2"/>
          <c:order val="1"/>
          <c:tx>
            <c:strRef>
              <c:f>'Graphikdaten 3'!$B$22</c:f>
              <c:strCache>
                <c:ptCount val="1"/>
                <c:pt idx="0">
                  <c:v>Diesel</c:v>
                </c:pt>
              </c:strCache>
            </c:strRef>
          </c:tx>
          <c:spPr>
            <a:solidFill>
              <a:srgbClr val="2497D2"/>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3'!$C$22:$P$22</c:f>
              <c:numCache>
                <c:formatCode>#,##0.00_ ;[Red]\-#,##0.00\ </c:formatCode>
                <c:ptCount val="14"/>
                <c:pt idx="0">
                  <c:v>20.358710198400004</c:v>
                </c:pt>
                <c:pt idx="1">
                  <c:v>20.358710198400004</c:v>
                </c:pt>
                <c:pt idx="2">
                  <c:v>21.069562258934916</c:v>
                </c:pt>
                <c:pt idx="3">
                  <c:v>19.574924432662723</c:v>
                </c:pt>
                <c:pt idx="4">
                  <c:v>19.562063816844553</c:v>
                </c:pt>
                <c:pt idx="5">
                  <c:v>21.069562258934916</c:v>
                </c:pt>
                <c:pt idx="6">
                  <c:v>21.069562258934916</c:v>
                </c:pt>
                <c:pt idx="7">
                  <c:v>21.069562258934916</c:v>
                </c:pt>
                <c:pt idx="8">
                  <c:v>21.069562258934916</c:v>
                </c:pt>
                <c:pt idx="9">
                  <c:v>21.069562258934916</c:v>
                </c:pt>
                <c:pt idx="10">
                  <c:v>21.069562258934916</c:v>
                </c:pt>
                <c:pt idx="11">
                  <c:v>21.069562258934916</c:v>
                </c:pt>
                <c:pt idx="12">
                  <c:v>21.069562258934916</c:v>
                </c:pt>
                <c:pt idx="13">
                  <c:v>21.069562258934916</c:v>
                </c:pt>
              </c:numCache>
            </c:numRef>
          </c:val>
          <c:extLst>
            <c:ext xmlns:c16="http://schemas.microsoft.com/office/drawing/2014/chart" uri="{C3380CC4-5D6E-409C-BE32-E72D297353CC}">
              <c16:uniqueId val="{00000001-4C4E-451B-BE87-602BB83D9A16}"/>
            </c:ext>
          </c:extLst>
        </c:ser>
        <c:ser>
          <c:idx val="3"/>
          <c:order val="2"/>
          <c:tx>
            <c:strRef>
              <c:f>'Graphikdaten 3'!$B$23</c:f>
              <c:strCache>
                <c:ptCount val="1"/>
                <c:pt idx="0">
                  <c:v>Heizöl</c:v>
                </c:pt>
              </c:strCache>
            </c:strRef>
          </c:tx>
          <c:spPr>
            <a:solidFill>
              <a:srgbClr val="1D565C"/>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3'!$C$23:$P$23</c:f>
              <c:numCache>
                <c:formatCode>#,##0.00_ ;[Red]\-#,##0.00\ </c:formatCode>
                <c:ptCount val="14"/>
                <c:pt idx="0">
                  <c:v>1.2028776708</c:v>
                </c:pt>
                <c:pt idx="1">
                  <c:v>1.2028776708</c:v>
                </c:pt>
                <c:pt idx="2">
                  <c:v>1.119338996972929</c:v>
                </c:pt>
                <c:pt idx="3">
                  <c:v>1.1465650834840238</c:v>
                </c:pt>
                <c:pt idx="4">
                  <c:v>0.86952182849751591</c:v>
                </c:pt>
                <c:pt idx="5">
                  <c:v>1.119338996972929</c:v>
                </c:pt>
                <c:pt idx="6">
                  <c:v>1.119338996972929</c:v>
                </c:pt>
                <c:pt idx="7">
                  <c:v>1.119338996972929</c:v>
                </c:pt>
                <c:pt idx="8">
                  <c:v>1.119338996972929</c:v>
                </c:pt>
                <c:pt idx="9">
                  <c:v>1.119338996972929</c:v>
                </c:pt>
                <c:pt idx="10">
                  <c:v>1.119338996972929</c:v>
                </c:pt>
                <c:pt idx="11">
                  <c:v>1.119338996972929</c:v>
                </c:pt>
                <c:pt idx="12">
                  <c:v>1.119338996972929</c:v>
                </c:pt>
                <c:pt idx="13">
                  <c:v>1.119338996972929</c:v>
                </c:pt>
              </c:numCache>
            </c:numRef>
          </c:val>
          <c:extLst>
            <c:ext xmlns:c16="http://schemas.microsoft.com/office/drawing/2014/chart" uri="{C3380CC4-5D6E-409C-BE32-E72D297353CC}">
              <c16:uniqueId val="{00000002-4C4E-451B-BE87-602BB83D9A16}"/>
            </c:ext>
          </c:extLst>
        </c:ser>
        <c:ser>
          <c:idx val="4"/>
          <c:order val="3"/>
          <c:tx>
            <c:strRef>
              <c:f>'Graphikdaten 3'!$B$24</c:f>
              <c:strCache>
                <c:ptCount val="1"/>
                <c:pt idx="0">
                  <c:v>Erdgas</c:v>
                </c:pt>
              </c:strCache>
            </c:strRef>
          </c:tx>
          <c:spPr>
            <a:solidFill>
              <a:srgbClr val="9ABBCA"/>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3'!$C$24:$P$24</c:f>
              <c:numCache>
                <c:formatCode>#,##0.00_ ;[Red]\-#,##0.00\ </c:formatCode>
                <c:ptCount val="14"/>
                <c:pt idx="0">
                  <c:v>2.8036347517730498</c:v>
                </c:pt>
                <c:pt idx="1">
                  <c:v>2.8036347517730498</c:v>
                </c:pt>
                <c:pt idx="2">
                  <c:v>2.9578897201179335</c:v>
                </c:pt>
                <c:pt idx="3">
                  <c:v>2.8648312015322484</c:v>
                </c:pt>
                <c:pt idx="4">
                  <c:v>2.9968158592569587</c:v>
                </c:pt>
                <c:pt idx="5">
                  <c:v>3.0172124745960582</c:v>
                </c:pt>
                <c:pt idx="6">
                  <c:v>3.0172124745960582</c:v>
                </c:pt>
                <c:pt idx="7">
                  <c:v>3.0172124745960582</c:v>
                </c:pt>
                <c:pt idx="8">
                  <c:v>3.0172124745960582</c:v>
                </c:pt>
                <c:pt idx="9">
                  <c:v>3.0172124745960582</c:v>
                </c:pt>
                <c:pt idx="10">
                  <c:v>3.0172124745960582</c:v>
                </c:pt>
                <c:pt idx="11">
                  <c:v>3.0172124745960582</c:v>
                </c:pt>
                <c:pt idx="12">
                  <c:v>3.0172124745960582</c:v>
                </c:pt>
                <c:pt idx="13">
                  <c:v>3.0172124745960582</c:v>
                </c:pt>
              </c:numCache>
            </c:numRef>
          </c:val>
          <c:extLst>
            <c:ext xmlns:c16="http://schemas.microsoft.com/office/drawing/2014/chart" uri="{C3380CC4-5D6E-409C-BE32-E72D297353CC}">
              <c16:uniqueId val="{00000003-4C4E-451B-BE87-602BB83D9A16}"/>
            </c:ext>
          </c:extLst>
        </c:ser>
        <c:ser>
          <c:idx val="0"/>
          <c:order val="4"/>
          <c:tx>
            <c:strRef>
              <c:f>'Graphikdaten 3'!$B$20</c:f>
              <c:strCache>
                <c:ptCount val="1"/>
                <c:pt idx="0">
                  <c:v>Stromsteuer</c:v>
                </c:pt>
              </c:strCache>
            </c:strRef>
          </c:tx>
          <c:spPr>
            <a:solidFill>
              <a:srgbClr val="D05094"/>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3'!$C$20:$P$20</c:f>
              <c:numCache>
                <c:formatCode>#,##0.00_ ;[Red]\-#,##0.00\ </c:formatCode>
                <c:ptCount val="14"/>
                <c:pt idx="0">
                  <c:v>6.6</c:v>
                </c:pt>
                <c:pt idx="1">
                  <c:v>6.6</c:v>
                </c:pt>
                <c:pt idx="2">
                  <c:v>6.6887819409999993</c:v>
                </c:pt>
                <c:pt idx="3">
                  <c:v>6.4485186030857991</c:v>
                </c:pt>
                <c:pt idx="4">
                  <c:v>6.6725984001042251</c:v>
                </c:pt>
                <c:pt idx="5">
                  <c:v>6.6725984001042251</c:v>
                </c:pt>
                <c:pt idx="6">
                  <c:v>6.6725984001042251</c:v>
                </c:pt>
                <c:pt idx="7">
                  <c:v>6.6725984001042251</c:v>
                </c:pt>
                <c:pt idx="8">
                  <c:v>6.6725984001042251</c:v>
                </c:pt>
                <c:pt idx="9">
                  <c:v>6.6725984001042251</c:v>
                </c:pt>
                <c:pt idx="10">
                  <c:v>6.6725984001042251</c:v>
                </c:pt>
                <c:pt idx="11">
                  <c:v>6.6725984001042251</c:v>
                </c:pt>
                <c:pt idx="12">
                  <c:v>6.6725984001042251</c:v>
                </c:pt>
                <c:pt idx="13">
                  <c:v>6.6725984001042251</c:v>
                </c:pt>
              </c:numCache>
            </c:numRef>
          </c:val>
          <c:extLst>
            <c:ext xmlns:c16="http://schemas.microsoft.com/office/drawing/2014/chart" uri="{C3380CC4-5D6E-409C-BE32-E72D297353CC}">
              <c16:uniqueId val="{00000004-4C4E-451B-BE87-602BB83D9A16}"/>
            </c:ext>
          </c:extLst>
        </c:ser>
        <c:ser>
          <c:idx val="6"/>
          <c:order val="6"/>
          <c:tx>
            <c:v>BEHG</c:v>
          </c:tx>
          <c:spPr>
            <a:solidFill>
              <a:schemeClr val="tx1"/>
            </a:solidFill>
            <a:ln w="19050">
              <a:noFill/>
            </a:ln>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3'!$C$31:$P$31</c:f>
              <c:numCache>
                <c:formatCode>#,##0.00_ ;[Red]\-#,##0.00\ </c:formatCode>
                <c:ptCount val="14"/>
                <c:pt idx="0">
                  <c:v>0</c:v>
                </c:pt>
                <c:pt idx="1">
                  <c:v>0</c:v>
                </c:pt>
                <c:pt idx="2">
                  <c:v>0</c:v>
                </c:pt>
                <c:pt idx="3">
                  <c:v>0</c:v>
                </c:pt>
                <c:pt idx="4">
                  <c:v>8.0149139712222865</c:v>
                </c:pt>
                <c:pt idx="5">
                  <c:v>10.364082893933745</c:v>
                </c:pt>
                <c:pt idx="6">
                  <c:v>12.091430042922699</c:v>
                </c:pt>
                <c:pt idx="7">
                  <c:v>15.546124340900615</c:v>
                </c:pt>
                <c:pt idx="8">
                  <c:v>19.000818638878528</c:v>
                </c:pt>
                <c:pt idx="9">
                  <c:v>20.728165787867489</c:v>
                </c:pt>
                <c:pt idx="10">
                  <c:v>20.728165787867489</c:v>
                </c:pt>
                <c:pt idx="11">
                  <c:v>20.728165787867489</c:v>
                </c:pt>
                <c:pt idx="12">
                  <c:v>20.728165787867489</c:v>
                </c:pt>
                <c:pt idx="13">
                  <c:v>20.728165787867489</c:v>
                </c:pt>
              </c:numCache>
            </c:numRef>
          </c:val>
          <c:extLst>
            <c:ext xmlns:c16="http://schemas.microsoft.com/office/drawing/2014/chart" uri="{C3380CC4-5D6E-409C-BE32-E72D297353CC}">
              <c16:uniqueId val="{00000005-4C4E-451B-BE87-602BB83D9A16}"/>
            </c:ext>
          </c:extLst>
        </c:ser>
        <c:dLbls>
          <c:showLegendKey val="0"/>
          <c:showVal val="0"/>
          <c:showCatName val="0"/>
          <c:showSerName val="0"/>
          <c:showPercent val="0"/>
          <c:showBubbleSize val="0"/>
        </c:dLbls>
        <c:gapWidth val="150"/>
        <c:overlap val="100"/>
        <c:axId val="415006976"/>
        <c:axId val="415007368"/>
      </c:barChart>
      <c:lineChart>
        <c:grouping val="standard"/>
        <c:varyColors val="0"/>
        <c:ser>
          <c:idx val="5"/>
          <c:order val="5"/>
          <c:tx>
            <c:strRef>
              <c:f>'Graphikdaten 3'!$B$32</c:f>
              <c:strCache>
                <c:ptCount val="1"/>
                <c:pt idx="0">
                  <c:v>Gesamt</c:v>
                </c:pt>
              </c:strCache>
            </c:strRef>
          </c:tx>
          <c:spPr>
            <a:ln>
              <a:solidFill>
                <a:srgbClr val="FFFFFF">
                  <a:alpha val="0"/>
                </a:srgbClr>
              </a:solidFill>
            </a:ln>
          </c:spPr>
          <c:marker>
            <c:symbol val="none"/>
          </c:marker>
          <c:dLbls>
            <c:spPr>
              <a:noFill/>
              <a:ln>
                <a:noFill/>
              </a:ln>
              <a:effectLst/>
            </c:spPr>
            <c:txPr>
              <a:bodyPr rot="0" vert="horz"/>
              <a:lstStyle/>
              <a:p>
                <a:pPr>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'Graphikdaten 3'!$C$32:$P$32</c:f>
              <c:numCache>
                <c:formatCode>#,##0.0_ ;[Red]\-#,##0.0\ </c:formatCode>
                <c:ptCount val="14"/>
                <c:pt idx="0">
                  <c:v>47.037277773973059</c:v>
                </c:pt>
                <c:pt idx="1">
                  <c:v>47.037277773973059</c:v>
                </c:pt>
                <c:pt idx="2">
                  <c:v>47.409997702456238</c:v>
                </c:pt>
                <c:pt idx="3">
                  <c:v>44.093924095599228</c:v>
                </c:pt>
                <c:pt idx="4">
                  <c:v>52.165468568777797</c:v>
                </c:pt>
                <c:pt idx="5">
                  <c:v>57.817219809972329</c:v>
                </c:pt>
                <c:pt idx="6">
                  <c:v>59.544566958961283</c:v>
                </c:pt>
                <c:pt idx="7">
                  <c:v>62.999261256939207</c:v>
                </c:pt>
                <c:pt idx="8">
                  <c:v>66.453955554917115</c:v>
                </c:pt>
                <c:pt idx="9">
                  <c:v>68.181302703906084</c:v>
                </c:pt>
                <c:pt idx="10">
                  <c:v>68.181302703906084</c:v>
                </c:pt>
                <c:pt idx="11">
                  <c:v>68.181302703906084</c:v>
                </c:pt>
                <c:pt idx="12">
                  <c:v>68.181302703906084</c:v>
                </c:pt>
                <c:pt idx="13">
                  <c:v>68.181302703906084</c:v>
                </c:pt>
              </c:numCache>
            </c:numRef>
          </c:val>
          <c:smooth val="0"/>
          <c:extLst>
            <c:ext xmlns:c16="http://schemas.microsoft.com/office/drawing/2014/chart" uri="{C3380CC4-5D6E-409C-BE32-E72D297353CC}">
              <c16:uniqueId val="{00000006-4C4E-451B-BE87-602BB83D9A16}"/>
            </c:ext>
          </c:extLst>
        </c:ser>
        <c:dLbls>
          <c:showLegendKey val="0"/>
          <c:showVal val="0"/>
          <c:showCatName val="0"/>
          <c:showSerName val="0"/>
          <c:showPercent val="0"/>
          <c:showBubbleSize val="0"/>
        </c:dLbls>
        <c:marker val="1"/>
        <c:smooth val="0"/>
        <c:axId val="415006976"/>
        <c:axId val="415007368"/>
      </c:lineChart>
      <c:catAx>
        <c:axId val="415006976"/>
        <c:scaling>
          <c:orientation val="minMax"/>
        </c:scaling>
        <c:delete val="0"/>
        <c:axPos val="b"/>
        <c:majorGridlines>
          <c:spPr>
            <a:ln w="12700"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a:lstStyle/>
          <a:p>
            <a:pPr algn="ctr">
              <a:defRPr/>
            </a:pPr>
            <a:endParaRPr lang="de-DE"/>
          </a:p>
        </c:txPr>
        <c:crossAx val="415007368"/>
        <c:crosses val="autoZero"/>
        <c:auto val="1"/>
        <c:lblAlgn val="ctr"/>
        <c:lblOffset val="100"/>
        <c:noMultiLvlLbl val="0"/>
      </c:catAx>
      <c:valAx>
        <c:axId val="415007368"/>
        <c:scaling>
          <c:orientation val="minMax"/>
          <c:min val="0"/>
        </c:scaling>
        <c:delete val="0"/>
        <c:axPos val="l"/>
        <c:majorGridlines>
          <c:spPr>
            <a:ln w="6350" cap="flat" cmpd="sng" algn="ctr">
              <a:solidFill>
                <a:schemeClr val="bg1"/>
              </a:solidFill>
              <a:round/>
            </a:ln>
            <a:effectLst/>
          </c:spPr>
        </c:majorGridlines>
        <c:title>
          <c:tx>
            <c:rich>
              <a:bodyPr rot="-5400000" vert="horz"/>
              <a:lstStyle/>
              <a:p>
                <a:pPr>
                  <a:defRPr/>
                </a:pPr>
                <a:r>
                  <a:rPr lang="de-DE"/>
                  <a:t>Milliarden Euro</a:t>
                </a:r>
              </a:p>
            </c:rich>
          </c:tx>
          <c:layout>
            <c:manualLayout>
              <c:xMode val="edge"/>
              <c:yMode val="edge"/>
              <c:x val="1.2334601150234988E-2"/>
              <c:y val="0.34808003466131104"/>
            </c:manualLayout>
          </c:layout>
          <c:overlay val="0"/>
          <c:spPr>
            <a:noFill/>
            <a:ln>
              <a:noFill/>
            </a:ln>
            <a:effectLst/>
          </c:spPr>
        </c:title>
        <c:numFmt formatCode="0" sourceLinked="0"/>
        <c:majorTickMark val="none"/>
        <c:minorTickMark val="none"/>
        <c:tickLblPos val="nextTo"/>
        <c:spPr>
          <a:noFill/>
          <a:ln w="19050">
            <a:solidFill>
              <a:schemeClr val="bg2"/>
            </a:solidFill>
          </a:ln>
          <a:effectLst/>
        </c:spPr>
        <c:txPr>
          <a:bodyPr rot="-60000000" vert="horz"/>
          <a:lstStyle/>
          <a:p>
            <a:pPr>
              <a:defRPr/>
            </a:pPr>
            <a:endParaRPr lang="de-DE"/>
          </a:p>
        </c:txPr>
        <c:crossAx val="415006976"/>
        <c:crosses val="autoZero"/>
        <c:crossBetween val="between"/>
        <c:majorUnit val="10"/>
      </c:valAx>
      <c:spPr>
        <a:noFill/>
        <a:ln>
          <a:noFill/>
        </a:ln>
        <a:effectLst/>
      </c:spPr>
    </c:plotArea>
    <c:legend>
      <c:legendPos val="r"/>
      <c:legendEntry>
        <c:idx val="6"/>
        <c:delete val="1"/>
      </c:legendEntry>
      <c:layout>
        <c:manualLayout>
          <c:xMode val="edge"/>
          <c:yMode val="edge"/>
          <c:x val="0.82681771188505515"/>
          <c:y val="0.34331124134231794"/>
          <c:w val="0.16454152463837468"/>
          <c:h val="0.52234376287636386"/>
        </c:manualLayout>
      </c:layout>
      <c:overlay val="0"/>
      <c:spPr>
        <a:noFill/>
        <a:ln>
          <a:noFill/>
        </a:ln>
        <a:effectLst/>
      </c:spPr>
      <c:txPr>
        <a:bodyPr rot="0" vert="horz"/>
        <a:lstStyle/>
        <a:p>
          <a:pPr>
            <a:defRPr/>
          </a:pPr>
          <a:endParaRPr lang="de-DE"/>
        </a:p>
      </c:txPr>
    </c:legend>
    <c:plotVisOnly val="1"/>
    <c:dispBlanksAs val="gap"/>
    <c:showDLblsOverMax val="0"/>
  </c:chart>
  <c:spPr>
    <a:solidFill>
      <a:srgbClr val="E3E4EA"/>
    </a:solidFill>
    <a:ln w="19050" cap="flat" cmpd="sng" algn="ctr">
      <a:solidFill>
        <a:schemeClr val="bg1"/>
      </a:solidFill>
      <a:round/>
    </a:ln>
    <a:effectLst/>
  </c:spPr>
  <c:txPr>
    <a:bodyPr/>
    <a:lstStyle/>
    <a:p>
      <a:pPr algn="ctr">
        <a:defRPr lang="en-US" sz="1100" b="0" i="0" u="none" strike="noStrike" kern="1200" baseline="0">
          <a:solidFill>
            <a:sysClr val="windowText" lastClr="000000"/>
          </a:solidFill>
          <a:latin typeface="+mn-lt"/>
          <a:ea typeface="+mn-ea"/>
          <a:cs typeface="+mn-cs"/>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'Start - Ergebnisse'!$AH$8</c:f>
          <c:strCache>
            <c:ptCount val="1"/>
            <c:pt idx="0">
              <c:v>Szenario: CO2-Preis BEHG Stand 3.11.2020</c:v>
            </c:pt>
          </c:strCache>
        </c:strRef>
      </c:tx>
      <c:layout>
        <c:manualLayout>
          <c:xMode val="edge"/>
          <c:yMode val="edge"/>
          <c:x val="0.37096937490370813"/>
          <c:y val="3.9521891958053834E-2"/>
        </c:manualLayout>
      </c:layout>
      <c:overlay val="1"/>
      <c:txPr>
        <a:bodyPr/>
        <a:lstStyle/>
        <a:p>
          <a:pPr>
            <a:defRPr sz="1000"/>
          </a:pPr>
          <a:endParaRPr lang="de-DE"/>
        </a:p>
      </c:txPr>
    </c:title>
    <c:autoTitleDeleted val="0"/>
    <c:plotArea>
      <c:layout>
        <c:manualLayout>
          <c:layoutTarget val="inner"/>
          <c:xMode val="edge"/>
          <c:yMode val="edge"/>
          <c:x val="0.10441327587709681"/>
          <c:y val="0.12014720747375437"/>
          <c:w val="0.8865694883881281"/>
          <c:h val="0.70877739789004179"/>
        </c:manualLayout>
      </c:layout>
      <c:barChart>
        <c:barDir val="col"/>
        <c:grouping val="stacked"/>
        <c:varyColors val="0"/>
        <c:ser>
          <c:idx val="0"/>
          <c:order val="0"/>
          <c:tx>
            <c:strRef>
              <c:f>'Graphikdaten 1'!$A$3</c:f>
              <c:strCache>
                <c:ptCount val="1"/>
                <c:pt idx="0">
                  <c:v>Strompreis</c:v>
                </c:pt>
              </c:strCache>
            </c:strRef>
          </c:tx>
          <c:spPr>
            <a:solidFill>
              <a:srgbClr val="1E83B3"/>
            </a:solidFill>
          </c:spPr>
          <c:invertIfNegative val="0"/>
          <c:dLbls>
            <c:spPr>
              <a:noFill/>
              <a:ln>
                <a:noFill/>
              </a:ln>
              <a:effectLst/>
            </c:spPr>
            <c:txPr>
              <a:bodyPr wrap="square" lIns="38100" tIns="19050" rIns="38100" bIns="19050" anchor="ctr">
                <a:spAutoFit/>
              </a:bodyPr>
              <a:lstStyle/>
              <a:p>
                <a:pPr>
                  <a:defRPr b="1">
                    <a:solidFill>
                      <a:schemeClr val="bg1"/>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'Start - Ergebnisse'!$D$2:$O$2</c15:sqref>
                  </c15:fullRef>
                </c:ext>
              </c:extLst>
              <c:f>'Start - Ergebnisse'!$F$2:$O$2</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extLst>
                <c:ext xmlns:c15="http://schemas.microsoft.com/office/drawing/2012/chart" uri="{02D57815-91ED-43cb-92C2-25804820EDAC}">
                  <c15:fullRef>
                    <c15:sqref>'Start - Ergebnisse'!$D$6:$O$6</c15:sqref>
                  </c15:fullRef>
                </c:ext>
              </c:extLst>
              <c:f>'Start - Ergebnisse'!$F$6:$O$6</c:f>
              <c:numCache>
                <c:formatCode>#,##0</c:formatCode>
                <c:ptCount val="10"/>
                <c:pt idx="0">
                  <c:v>25</c:v>
                </c:pt>
                <c:pt idx="1">
                  <c:v>30</c:v>
                </c:pt>
                <c:pt idx="2">
                  <c:v>35</c:v>
                </c:pt>
                <c:pt idx="3">
                  <c:v>45</c:v>
                </c:pt>
                <c:pt idx="4">
                  <c:v>55</c:v>
                </c:pt>
                <c:pt idx="5">
                  <c:v>60</c:v>
                </c:pt>
                <c:pt idx="6">
                  <c:v>60</c:v>
                </c:pt>
                <c:pt idx="7">
                  <c:v>60</c:v>
                </c:pt>
                <c:pt idx="8">
                  <c:v>60</c:v>
                </c:pt>
                <c:pt idx="9">
                  <c:v>60</c:v>
                </c:pt>
              </c:numCache>
            </c:numRef>
          </c:val>
          <c:extLst>
            <c:ext xmlns:c16="http://schemas.microsoft.com/office/drawing/2014/chart" uri="{C3380CC4-5D6E-409C-BE32-E72D297353CC}">
              <c16:uniqueId val="{00000000-55B9-4FC7-A91C-23C8503D1262}"/>
            </c:ext>
          </c:extLst>
        </c:ser>
        <c:dLbls>
          <c:dLblPos val="ctr"/>
          <c:showLegendKey val="0"/>
          <c:showVal val="1"/>
          <c:showCatName val="0"/>
          <c:showSerName val="0"/>
          <c:showPercent val="0"/>
          <c:showBubbleSize val="0"/>
        </c:dLbls>
        <c:gapWidth val="10"/>
        <c:overlap val="100"/>
        <c:axId val="365263104"/>
        <c:axId val="365294336"/>
      </c:barChart>
      <c:catAx>
        <c:axId val="365263104"/>
        <c:scaling>
          <c:orientation val="minMax"/>
        </c:scaling>
        <c:delete val="0"/>
        <c:axPos val="b"/>
        <c:majorGridlines>
          <c:spPr>
            <a:ln w="6350">
              <a:solidFill>
                <a:sysClr val="window" lastClr="FFFFFF"/>
              </a:solidFill>
            </a:ln>
          </c:spPr>
        </c:majorGridlines>
        <c:numFmt formatCode="General" sourceLinked="1"/>
        <c:majorTickMark val="out"/>
        <c:minorTickMark val="none"/>
        <c:tickLblPos val="nextTo"/>
        <c:spPr>
          <a:ln w="19050">
            <a:solidFill>
              <a:sysClr val="window" lastClr="FFFFFF"/>
            </a:solidFill>
          </a:ln>
        </c:spPr>
        <c:crossAx val="365294336"/>
        <c:crosses val="autoZero"/>
        <c:auto val="1"/>
        <c:lblAlgn val="ctr"/>
        <c:lblOffset val="100"/>
        <c:noMultiLvlLbl val="0"/>
      </c:catAx>
      <c:valAx>
        <c:axId val="365294336"/>
        <c:scaling>
          <c:orientation val="minMax"/>
        </c:scaling>
        <c:delete val="0"/>
        <c:axPos val="l"/>
        <c:majorGridlines>
          <c:spPr>
            <a:ln w="6350">
              <a:solidFill>
                <a:sysClr val="window" lastClr="FFFFFF"/>
              </a:solidFill>
            </a:ln>
          </c:spPr>
        </c:majorGridlines>
        <c:title>
          <c:tx>
            <c:rich>
              <a:bodyPr rot="-5400000" vert="horz"/>
              <a:lstStyle/>
              <a:p>
                <a:pPr>
                  <a:defRPr/>
                </a:pPr>
                <a:r>
                  <a:rPr lang="en-US"/>
                  <a:t>Euro je Tonne CO</a:t>
                </a:r>
                <a:r>
                  <a:rPr lang="en-US" baseline="-25000"/>
                  <a:t>2</a:t>
                </a:r>
              </a:p>
            </c:rich>
          </c:tx>
          <c:layout>
            <c:manualLayout>
              <c:xMode val="edge"/>
              <c:yMode val="edge"/>
              <c:x val="2.4058119224292948E-2"/>
              <c:y val="0.30881551792695811"/>
            </c:manualLayout>
          </c:layout>
          <c:overlay val="0"/>
        </c:title>
        <c:numFmt formatCode="0" sourceLinked="0"/>
        <c:majorTickMark val="out"/>
        <c:minorTickMark val="none"/>
        <c:tickLblPos val="nextTo"/>
        <c:spPr>
          <a:ln w="19050">
            <a:solidFill>
              <a:sysClr val="window" lastClr="FFFFFF"/>
            </a:solidFill>
          </a:ln>
        </c:spPr>
        <c:crossAx val="365263104"/>
        <c:crosses val="autoZero"/>
        <c:crossBetween val="between"/>
      </c:valAx>
      <c:spPr>
        <a:noFill/>
        <a:ln w="19050">
          <a:solidFill>
            <a:sysClr val="window" lastClr="FFFFFF"/>
          </a:solidFill>
        </a:ln>
      </c:spPr>
    </c:plotArea>
    <c:plotVisOnly val="1"/>
    <c:dispBlanksAs val="gap"/>
    <c:showDLblsOverMax val="0"/>
  </c:chart>
  <c:spPr>
    <a:solidFill>
      <a:srgbClr val="E3E4EA"/>
    </a:solidFill>
    <a:ln w="19050">
      <a:solidFill>
        <a:sysClr val="window" lastClr="FFFFFF"/>
      </a:solidFill>
    </a:ln>
  </c:spPr>
  <c:txPr>
    <a:bodyPr/>
    <a:lstStyle/>
    <a:p>
      <a:pPr>
        <a:defRPr sz="1000">
          <a:latin typeface="+mn-lt"/>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'Konfiguration Szenarien'!$A$20</c:f>
          <c:strCache>
            <c:ptCount val="1"/>
            <c:pt idx="0">
              <c:v>CO2-Preis BEHG Stand 3.11.2020</c:v>
            </c:pt>
          </c:strCache>
        </c:strRef>
      </c:tx>
      <c:layout>
        <c:manualLayout>
          <c:xMode val="edge"/>
          <c:yMode val="edge"/>
          <c:x val="0.37096937490370813"/>
          <c:y val="3.9521891958053834E-2"/>
        </c:manualLayout>
      </c:layout>
      <c:overlay val="1"/>
      <c:txPr>
        <a:bodyPr/>
        <a:lstStyle/>
        <a:p>
          <a:pPr>
            <a:defRPr sz="1000"/>
          </a:pPr>
          <a:endParaRPr lang="de-DE"/>
        </a:p>
      </c:txPr>
    </c:title>
    <c:autoTitleDeleted val="0"/>
    <c:plotArea>
      <c:layout>
        <c:manualLayout>
          <c:layoutTarget val="inner"/>
          <c:xMode val="edge"/>
          <c:yMode val="edge"/>
          <c:x val="0.10441327587709681"/>
          <c:y val="0.12014720747375437"/>
          <c:w val="0.8865694883881281"/>
          <c:h val="0.70877739789004179"/>
        </c:manualLayout>
      </c:layout>
      <c:barChart>
        <c:barDir val="col"/>
        <c:grouping val="stacked"/>
        <c:varyColors val="0"/>
        <c:ser>
          <c:idx val="0"/>
          <c:order val="0"/>
          <c:spPr>
            <a:solidFill>
              <a:srgbClr val="B5B8C7"/>
            </a:solidFill>
          </c:spPr>
          <c:invertIfNegative val="0"/>
          <c:dLbls>
            <c:spPr>
              <a:noFill/>
              <a:ln>
                <a:noFill/>
              </a:ln>
              <a:effectLst/>
            </c:spPr>
            <c:txPr>
              <a:bodyPr wrap="square" lIns="38100" tIns="19050" rIns="38100" bIns="19050" anchor="ctr">
                <a:spAutoFit/>
              </a:bodyPr>
              <a:lstStyle/>
              <a:p>
                <a:pPr>
                  <a:defRPr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'Konfiguration Szenarien'!$C$6:$N$6</c15:sqref>
                  </c15:fullRef>
                </c:ext>
              </c:extLst>
              <c:f>'Konfiguration Szenarien'!$E$6:$N$6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extLst>
                <c:ext xmlns:c15="http://schemas.microsoft.com/office/drawing/2012/chart" uri="{02D57815-91ED-43cb-92C2-25804820EDAC}">
                  <c15:fullRef>
                    <c15:sqref>'Konfiguration Szenarien'!$C$20:$N$20</c15:sqref>
                  </c15:fullRef>
                </c:ext>
              </c:extLst>
              <c:f>'Konfiguration Szenarien'!$E$20:$N$20</c:f>
              <c:numCache>
                <c:formatCode>General</c:formatCode>
                <c:ptCount val="10"/>
                <c:pt idx="0">
                  <c:v>25</c:v>
                </c:pt>
                <c:pt idx="1">
                  <c:v>30</c:v>
                </c:pt>
                <c:pt idx="2">
                  <c:v>35</c:v>
                </c:pt>
                <c:pt idx="3">
                  <c:v>45</c:v>
                </c:pt>
                <c:pt idx="4">
                  <c:v>55</c:v>
                </c:pt>
                <c:pt idx="5">
                  <c:v>60</c:v>
                </c:pt>
                <c:pt idx="6">
                  <c:v>60</c:v>
                </c:pt>
                <c:pt idx="7">
                  <c:v>60</c:v>
                </c:pt>
                <c:pt idx="8">
                  <c:v>60</c:v>
                </c:pt>
                <c:pt idx="9">
                  <c:v>60</c:v>
                </c:pt>
              </c:numCache>
            </c:numRef>
          </c:val>
          <c:extLst>
            <c:ext xmlns:c16="http://schemas.microsoft.com/office/drawing/2014/chart" uri="{C3380CC4-5D6E-409C-BE32-E72D297353CC}">
              <c16:uniqueId val="{00000000-55B9-4FC7-A91C-23C8503D1262}"/>
            </c:ext>
          </c:extLst>
        </c:ser>
        <c:dLbls>
          <c:showLegendKey val="0"/>
          <c:showVal val="0"/>
          <c:showCatName val="0"/>
          <c:showSerName val="0"/>
          <c:showPercent val="0"/>
          <c:showBubbleSize val="0"/>
        </c:dLbls>
        <c:gapWidth val="10"/>
        <c:overlap val="100"/>
        <c:axId val="365263104"/>
        <c:axId val="365294336"/>
      </c:barChart>
      <c:catAx>
        <c:axId val="365263104"/>
        <c:scaling>
          <c:orientation val="minMax"/>
        </c:scaling>
        <c:delete val="0"/>
        <c:axPos val="b"/>
        <c:majorGridlines>
          <c:spPr>
            <a:ln w="6350">
              <a:solidFill>
                <a:sysClr val="window" lastClr="FFFFFF"/>
              </a:solidFill>
            </a:ln>
          </c:spPr>
        </c:majorGridlines>
        <c:numFmt formatCode="General" sourceLinked="1"/>
        <c:majorTickMark val="out"/>
        <c:minorTickMark val="none"/>
        <c:tickLblPos val="nextTo"/>
        <c:spPr>
          <a:ln w="19050">
            <a:solidFill>
              <a:sysClr val="window" lastClr="FFFFFF"/>
            </a:solidFill>
          </a:ln>
        </c:spPr>
        <c:crossAx val="365294336"/>
        <c:crosses val="autoZero"/>
        <c:auto val="1"/>
        <c:lblAlgn val="ctr"/>
        <c:lblOffset val="100"/>
        <c:noMultiLvlLbl val="0"/>
      </c:catAx>
      <c:valAx>
        <c:axId val="365294336"/>
        <c:scaling>
          <c:orientation val="minMax"/>
        </c:scaling>
        <c:delete val="0"/>
        <c:axPos val="l"/>
        <c:majorGridlines>
          <c:spPr>
            <a:ln w="6350">
              <a:solidFill>
                <a:sysClr val="window" lastClr="FFFFFF"/>
              </a:solidFill>
            </a:ln>
          </c:spPr>
        </c:majorGridlines>
        <c:title>
          <c:tx>
            <c:rich>
              <a:bodyPr rot="-5400000" vert="horz"/>
              <a:lstStyle/>
              <a:p>
                <a:pPr>
                  <a:defRPr/>
                </a:pPr>
                <a:r>
                  <a:rPr lang="en-US"/>
                  <a:t>Euro je Tonne CO</a:t>
                </a:r>
                <a:r>
                  <a:rPr lang="en-US" baseline="-25000"/>
                  <a:t>2</a:t>
                </a:r>
              </a:p>
            </c:rich>
          </c:tx>
          <c:layout>
            <c:manualLayout>
              <c:xMode val="edge"/>
              <c:yMode val="edge"/>
              <c:x val="2.4058088304343743E-2"/>
              <c:y val="0.27609430693870024"/>
            </c:manualLayout>
          </c:layout>
          <c:overlay val="0"/>
        </c:title>
        <c:numFmt formatCode="0" sourceLinked="0"/>
        <c:majorTickMark val="out"/>
        <c:minorTickMark val="none"/>
        <c:tickLblPos val="nextTo"/>
        <c:spPr>
          <a:ln w="19050">
            <a:solidFill>
              <a:sysClr val="window" lastClr="FFFFFF"/>
            </a:solidFill>
          </a:ln>
        </c:spPr>
        <c:crossAx val="365263104"/>
        <c:crosses val="autoZero"/>
        <c:crossBetween val="between"/>
      </c:valAx>
      <c:spPr>
        <a:noFill/>
        <a:ln w="19050">
          <a:solidFill>
            <a:sysClr val="window" lastClr="FFFFFF"/>
          </a:solidFill>
        </a:ln>
      </c:spPr>
    </c:plotArea>
    <c:plotVisOnly val="1"/>
    <c:dispBlanksAs val="gap"/>
    <c:showDLblsOverMax val="0"/>
  </c:chart>
  <c:spPr>
    <a:solidFill>
      <a:srgbClr val="E3E4EA"/>
    </a:solidFill>
    <a:ln w="19050">
      <a:solidFill>
        <a:sysClr val="window" lastClr="FFFFFF"/>
      </a:solidFill>
    </a:ln>
  </c:spPr>
  <c:txPr>
    <a:bodyPr/>
    <a:lstStyle/>
    <a:p>
      <a:pPr>
        <a:defRPr sz="1000">
          <a:latin typeface="+mn-lt"/>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2445935869"/>
          <c:y val="4.5226098548305955E-2"/>
          <c:w val="0.79986195770930402"/>
          <c:h val="0.75133138427571478"/>
        </c:manualLayout>
      </c:layout>
      <c:lineChart>
        <c:grouping val="standard"/>
        <c:varyColors val="0"/>
        <c:ser>
          <c:idx val="0"/>
          <c:order val="0"/>
          <c:tx>
            <c:v>Strom</c:v>
          </c:tx>
          <c:spPr>
            <a:ln w="28575" cap="rnd">
              <a:solidFill>
                <a:srgbClr val="D05094"/>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Endverbraucherpreise!$I$6:$T$6</c:f>
              <c:numCache>
                <c:formatCode>0.00</c:formatCode>
                <c:ptCount val="12"/>
                <c:pt idx="0">
                  <c:v>30.457552373213588</c:v>
                </c:pt>
                <c:pt idx="1">
                  <c:v>31.417286668738715</c:v>
                </c:pt>
                <c:pt idx="2">
                  <c:v>31.896302282823132</c:v>
                </c:pt>
                <c:pt idx="3">
                  <c:v>32.355023303730867</c:v>
                </c:pt>
                <c:pt idx="4">
                  <c:v>29.010373125242673</c:v>
                </c:pt>
                <c:pt idx="5">
                  <c:v>27.226639502980028</c:v>
                </c:pt>
                <c:pt idx="6">
                  <c:v>27.115704515458738</c:v>
                </c:pt>
                <c:pt idx="7">
                  <c:v>26.999235527977714</c:v>
                </c:pt>
                <c:pt idx="8">
                  <c:v>26.967092969234507</c:v>
                </c:pt>
                <c:pt idx="9">
                  <c:v>26.878990943561092</c:v>
                </c:pt>
                <c:pt idx="10">
                  <c:v>26.798103141149102</c:v>
                </c:pt>
                <c:pt idx="11">
                  <c:v>26.756445678385766</c:v>
                </c:pt>
              </c:numCache>
            </c:numRef>
          </c:val>
          <c:smooth val="0"/>
          <c:extLst>
            <c:ext xmlns:c16="http://schemas.microsoft.com/office/drawing/2014/chart" uri="{C3380CC4-5D6E-409C-BE32-E72D297353CC}">
              <c16:uniqueId val="{00000000-F05D-459E-8282-A722D3C0C441}"/>
            </c:ext>
          </c:extLst>
        </c:ser>
        <c:ser>
          <c:idx val="1"/>
          <c:order val="1"/>
          <c:tx>
            <c:v>Erdgas</c:v>
          </c:tx>
          <c:spPr>
            <a:ln w="28575" cap="rnd">
              <a:solidFill>
                <a:srgbClr val="9ABBCA"/>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Endverbraucherpreise!$I$5:$T$5</c:f>
              <c:numCache>
                <c:formatCode>0.00</c:formatCode>
                <c:ptCount val="12"/>
                <c:pt idx="0">
                  <c:v>6.1725300000000001</c:v>
                </c:pt>
                <c:pt idx="1">
                  <c:v>5.9725250000000001</c:v>
                </c:pt>
                <c:pt idx="2">
                  <c:v>6.1167332799999992</c:v>
                </c:pt>
                <c:pt idx="3">
                  <c:v>6.4020624359999996</c:v>
                </c:pt>
                <c:pt idx="4">
                  <c:v>6.5683915920000002</c:v>
                </c:pt>
                <c:pt idx="5">
                  <c:v>6.8430374040000004</c:v>
                </c:pt>
                <c:pt idx="6">
                  <c:v>7.1176832160000014</c:v>
                </c:pt>
                <c:pt idx="7">
                  <c:v>7.2497998720000005</c:v>
                </c:pt>
                <c:pt idx="8">
                  <c:v>7.273599872000001</c:v>
                </c:pt>
                <c:pt idx="9">
                  <c:v>7.2973998720000006</c:v>
                </c:pt>
                <c:pt idx="10">
                  <c:v>7.3211998719999993</c:v>
                </c:pt>
                <c:pt idx="11">
                  <c:v>7.3449998720000007</c:v>
                </c:pt>
              </c:numCache>
            </c:numRef>
          </c:val>
          <c:smooth val="0"/>
          <c:extLst>
            <c:ext xmlns:c16="http://schemas.microsoft.com/office/drawing/2014/chart" uri="{C3380CC4-5D6E-409C-BE32-E72D297353CC}">
              <c16:uniqueId val="{00000001-F05D-459E-8282-A722D3C0C441}"/>
            </c:ext>
          </c:extLst>
        </c:ser>
        <c:dLbls>
          <c:showLegendKey val="0"/>
          <c:showVal val="0"/>
          <c:showCatName val="0"/>
          <c:showSerName val="0"/>
          <c:showPercent val="0"/>
          <c:showBubbleSize val="0"/>
        </c:dLbls>
        <c:smooth val="0"/>
        <c:axId val="411143576"/>
        <c:axId val="411143968"/>
      </c:lineChart>
      <c:catAx>
        <c:axId val="411143576"/>
        <c:scaling>
          <c:orientation val="minMax"/>
        </c:scaling>
        <c:delete val="0"/>
        <c:axPos val="b"/>
        <c:majorGridlines>
          <c:spPr>
            <a:ln w="9525" cap="flat" cmpd="sng" algn="ctr">
              <a:solidFill>
                <a:schemeClr val="bg1"/>
              </a:solidFill>
              <a:round/>
            </a:ln>
            <a:effectLst/>
          </c:spPr>
        </c:majorGridlines>
        <c:numFmt formatCode="0" sourceLinked="0"/>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1143968"/>
        <c:crosses val="autoZero"/>
        <c:auto val="1"/>
        <c:lblAlgn val="ctr"/>
        <c:lblOffset val="100"/>
        <c:tickLblSkip val="1"/>
        <c:noMultiLvlLbl val="1"/>
      </c:catAx>
      <c:valAx>
        <c:axId val="4111439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de-DE" sz="1200" b="1">
                    <a:solidFill>
                      <a:schemeClr val="tx1"/>
                    </a:solidFill>
                    <a:latin typeface="Arial" panose="020B0604020202020204" pitchFamily="34" charset="0"/>
                    <a:cs typeface="Arial" panose="020B0604020202020204" pitchFamily="34" charset="0"/>
                  </a:rPr>
                  <a:t>ct/kWh</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1143576"/>
        <c:crosses val="autoZero"/>
        <c:crossBetween val="between"/>
      </c:valAx>
      <c:spPr>
        <a:noFill/>
        <a:ln>
          <a:noFill/>
        </a:ln>
        <a:effectLst/>
      </c:spPr>
    </c:plotArea>
    <c:legend>
      <c:legendPos val="r"/>
      <c:layout>
        <c:manualLayout>
          <c:xMode val="edge"/>
          <c:yMode val="edge"/>
          <c:x val="0.80070348408248693"/>
          <c:y val="8.1623508004834117E-2"/>
          <c:w val="0.11977012894879316"/>
          <c:h val="0.118158892653897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2445935869"/>
          <c:y val="4.5226098548305955E-2"/>
          <c:w val="0.7795764858790194"/>
          <c:h val="0.75133138427571478"/>
        </c:manualLayout>
      </c:layout>
      <c:lineChart>
        <c:grouping val="standard"/>
        <c:varyColors val="0"/>
        <c:ser>
          <c:idx val="0"/>
          <c:order val="0"/>
          <c:tx>
            <c:v>Benzin</c:v>
          </c:tx>
          <c:spPr>
            <a:ln w="28575" cap="rnd">
              <a:solidFill>
                <a:srgbClr val="18658C"/>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Endverbraucherpreise!$I$2:$T$2</c:f>
              <c:numCache>
                <c:formatCode>0.00</c:formatCode>
                <c:ptCount val="12"/>
                <c:pt idx="0">
                  <c:v>1.4514282384297519</c:v>
                </c:pt>
                <c:pt idx="1">
                  <c:v>1.2609949141131334</c:v>
                </c:pt>
                <c:pt idx="2">
                  <c:v>1.554812895740036</c:v>
                </c:pt>
                <c:pt idx="3">
                  <c:v>1.5773029890764494</c:v>
                </c:pt>
                <c:pt idx="4">
                  <c:v>1.5999161635954708</c:v>
                </c:pt>
                <c:pt idx="5">
                  <c:v>1.6369389466773405</c:v>
                </c:pt>
                <c:pt idx="6">
                  <c:v>1.6740885310705631</c:v>
                </c:pt>
                <c:pt idx="7">
                  <c:v>1.6970821376323086</c:v>
                </c:pt>
                <c:pt idx="8">
                  <c:v>1.7059216969125435</c:v>
                </c:pt>
                <c:pt idx="9">
                  <c:v>1.7148938495819817</c:v>
                </c:pt>
                <c:pt idx="10">
                  <c:v>1.7240005845414614</c:v>
                </c:pt>
                <c:pt idx="11">
                  <c:v>1.7332439205253334</c:v>
                </c:pt>
              </c:numCache>
            </c:numRef>
          </c:val>
          <c:smooth val="0"/>
          <c:extLst>
            <c:ext xmlns:c16="http://schemas.microsoft.com/office/drawing/2014/chart" uri="{C3380CC4-5D6E-409C-BE32-E72D297353CC}">
              <c16:uniqueId val="{00000000-381C-4D23-BECB-C77A0690CCEC}"/>
            </c:ext>
          </c:extLst>
        </c:ser>
        <c:ser>
          <c:idx val="1"/>
          <c:order val="1"/>
          <c:tx>
            <c:v>Diesel</c:v>
          </c:tx>
          <c:spPr>
            <a:ln w="28575" cap="rnd">
              <a:solidFill>
                <a:srgbClr val="2497D2"/>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Endverbraucherpreise!$I$3:$T$3</c:f>
              <c:numCache>
                <c:formatCode>0.00</c:formatCode>
                <c:ptCount val="12"/>
                <c:pt idx="0">
                  <c:v>1.2733696950881324</c:v>
                </c:pt>
                <c:pt idx="1">
                  <c:v>1.0779096163992283</c:v>
                </c:pt>
                <c:pt idx="2">
                  <c:v>1.3863004537463768</c:v>
                </c:pt>
                <c:pt idx="3">
                  <c:v>1.4107763561550726</c:v>
                </c:pt>
                <c:pt idx="4">
                  <c:v>1.4353805387528984</c:v>
                </c:pt>
                <c:pt idx="5">
                  <c:v>1.476038815542692</c:v>
                </c:pt>
                <c:pt idx="6">
                  <c:v>1.5168292497903324</c:v>
                </c:pt>
                <c:pt idx="7">
                  <c:v>1.5418299340576871</c:v>
                </c:pt>
                <c:pt idx="8">
                  <c:v>1.5510428804420524</c:v>
                </c:pt>
                <c:pt idx="9">
                  <c:v>1.5603940210221834</c:v>
                </c:pt>
                <c:pt idx="10">
                  <c:v>1.569885428711016</c:v>
                </c:pt>
                <c:pt idx="11">
                  <c:v>1.5795192075151812</c:v>
                </c:pt>
              </c:numCache>
            </c:numRef>
          </c:val>
          <c:smooth val="0"/>
          <c:extLst>
            <c:ext xmlns:c16="http://schemas.microsoft.com/office/drawing/2014/chart" uri="{C3380CC4-5D6E-409C-BE32-E72D297353CC}">
              <c16:uniqueId val="{00000001-381C-4D23-BECB-C77A0690CCEC}"/>
            </c:ext>
          </c:extLst>
        </c:ser>
        <c:ser>
          <c:idx val="2"/>
          <c:order val="2"/>
          <c:tx>
            <c:v>Leichtes Heizöl</c:v>
          </c:tx>
          <c:spPr>
            <a:ln w="28575" cap="rnd">
              <a:solidFill>
                <a:srgbClr val="1D565C"/>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Endverbraucherpreise!$I$4:$T$4</c:f>
              <c:numCache>
                <c:formatCode>0.00</c:formatCode>
                <c:ptCount val="12"/>
                <c:pt idx="0">
                  <c:v>0.66563252705707621</c:v>
                </c:pt>
                <c:pt idx="1">
                  <c:v>0.47717198365250957</c:v>
                </c:pt>
                <c:pt idx="2">
                  <c:v>0.77868601827536221</c:v>
                </c:pt>
                <c:pt idx="3">
                  <c:v>0.80319342981449282</c:v>
                </c:pt>
                <c:pt idx="4">
                  <c:v>0.82782959417971014</c:v>
                </c:pt>
                <c:pt idx="5">
                  <c:v>0.86852033246340565</c:v>
                </c:pt>
                <c:pt idx="6">
                  <c:v>0.90934371512735668</c:v>
                </c:pt>
                <c:pt idx="7">
                  <c:v>0.93437784203726681</c:v>
                </c:pt>
                <c:pt idx="8">
                  <c:v>0.94362473270382596</c:v>
                </c:pt>
                <c:pt idx="9">
                  <c:v>0.95301032673038333</c:v>
                </c:pt>
                <c:pt idx="10">
                  <c:v>0.96253670466733876</c:v>
                </c:pt>
                <c:pt idx="11">
                  <c:v>0.97220597827334898</c:v>
                </c:pt>
              </c:numCache>
            </c:numRef>
          </c:val>
          <c:smooth val="0"/>
          <c:extLst>
            <c:ext xmlns:c16="http://schemas.microsoft.com/office/drawing/2014/chart" uri="{C3380CC4-5D6E-409C-BE32-E72D297353CC}">
              <c16:uniqueId val="{00000002-381C-4D23-BECB-C77A0690CCEC}"/>
            </c:ext>
          </c:extLst>
        </c:ser>
        <c:dLbls>
          <c:showLegendKey val="0"/>
          <c:showVal val="0"/>
          <c:showCatName val="0"/>
          <c:showSerName val="0"/>
          <c:showPercent val="0"/>
          <c:showBubbleSize val="0"/>
        </c:dLbls>
        <c:smooth val="0"/>
        <c:axId val="411143576"/>
        <c:axId val="411143968"/>
      </c:lineChart>
      <c:catAx>
        <c:axId val="411143576"/>
        <c:scaling>
          <c:orientation val="minMax"/>
        </c:scaling>
        <c:delete val="0"/>
        <c:axPos val="b"/>
        <c:majorGridlines>
          <c:spPr>
            <a:ln w="9525" cap="flat" cmpd="sng" algn="ctr">
              <a:solidFill>
                <a:schemeClr val="bg1"/>
              </a:solidFill>
              <a:round/>
            </a:ln>
            <a:effectLst/>
          </c:spPr>
        </c:majorGridlines>
        <c:numFmt formatCode="0" sourceLinked="0"/>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1143968"/>
        <c:crosses val="autoZero"/>
        <c:auto val="1"/>
        <c:lblAlgn val="ctr"/>
        <c:lblOffset val="100"/>
        <c:tickLblSkip val="1"/>
        <c:noMultiLvlLbl val="1"/>
      </c:catAx>
      <c:valAx>
        <c:axId val="4111439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de-DE" sz="1200" b="1">
                    <a:solidFill>
                      <a:schemeClr val="tx1"/>
                    </a:solidFill>
                    <a:latin typeface="Arial" panose="020B0604020202020204" pitchFamily="34" charset="0"/>
                    <a:cs typeface="Arial" panose="020B0604020202020204" pitchFamily="34" charset="0"/>
                  </a:rPr>
                  <a:t>€/Liter</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1143576"/>
        <c:crosses val="autoZero"/>
        <c:crossBetween val="between"/>
      </c:valAx>
      <c:spPr>
        <a:noFill/>
        <a:ln>
          <a:noFill/>
        </a:ln>
        <a:effectLst/>
      </c:spPr>
    </c:plotArea>
    <c:legend>
      <c:legendPos val="r"/>
      <c:layout>
        <c:manualLayout>
          <c:xMode val="edge"/>
          <c:yMode val="edge"/>
          <c:x val="0.71939471627737295"/>
          <c:y val="0.60462147144747236"/>
          <c:w val="0.18576470247859861"/>
          <c:h val="0.178174014398202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2445935869"/>
          <c:y val="4.5226098548305955E-2"/>
          <c:w val="0.7795764858790194"/>
          <c:h val="0.75133138427571478"/>
        </c:manualLayout>
      </c:layout>
      <c:lineChart>
        <c:grouping val="standard"/>
        <c:varyColors val="0"/>
        <c:ser>
          <c:idx val="0"/>
          <c:order val="0"/>
          <c:tx>
            <c:strRef>
              <c:f>Endverbraucherpreise!$A$18</c:f>
              <c:strCache>
                <c:ptCount val="1"/>
                <c:pt idx="0">
                  <c:v>Benzin</c:v>
                </c:pt>
              </c:strCache>
            </c:strRef>
          </c:tx>
          <c:spPr>
            <a:ln w="28575" cap="rnd">
              <a:solidFill>
                <a:srgbClr val="18658C"/>
              </a:solidFill>
              <a:round/>
            </a:ln>
            <a:effectLst/>
          </c:spPr>
          <c:marker>
            <c:symbol val="none"/>
          </c:marker>
          <c:cat>
            <c:numRef>
              <c:extLst>
                <c:ext xmlns:c15="http://schemas.microsoft.com/office/drawing/2012/chart" uri="{02D57815-91ED-43cb-92C2-25804820EDAC}">
                  <c15:fullRef>
                    <c15:sqref>Endverbraucherpreise!$B$17:$T$17</c15:sqref>
                  </c15:fullRef>
                </c:ext>
              </c:extLst>
              <c:f>Endverbraucherpreise!$I$17:$T$17</c:f>
              <c:numCache>
                <c:formatCode>General</c:formatCode>
                <c:ptCount val="12"/>
                <c:pt idx="0">
                  <c:v>2019</c:v>
                </c:pt>
                <c:pt idx="2">
                  <c:v>2021</c:v>
                </c:pt>
                <c:pt idx="6">
                  <c:v>2025</c:v>
                </c:pt>
                <c:pt idx="11">
                  <c:v>2030</c:v>
                </c:pt>
              </c:numCache>
            </c:numRef>
          </c:cat>
          <c:val>
            <c:numRef>
              <c:extLst>
                <c:ext xmlns:c15="http://schemas.microsoft.com/office/drawing/2012/chart" uri="{02D57815-91ED-43cb-92C2-25804820EDAC}">
                  <c15:fullRef>
                    <c15:sqref>Endverbraucherpreise!$B$18:$T$18</c15:sqref>
                  </c15:fullRef>
                </c:ext>
              </c:extLst>
              <c:f>Endverbraucherpreise!$I$18:$T$18</c:f>
              <c:numCache>
                <c:formatCode>0</c:formatCode>
                <c:ptCount val="12"/>
                <c:pt idx="0">
                  <c:v>100</c:v>
                </c:pt>
                <c:pt idx="1">
                  <c:v>86.879590786889921</c:v>
                </c:pt>
                <c:pt idx="2">
                  <c:v>107.12296030716146</c:v>
                </c:pt>
                <c:pt idx="3">
                  <c:v>108.67247496733816</c:v>
                </c:pt>
                <c:pt idx="4">
                  <c:v>110.23046963219916</c:v>
                </c:pt>
                <c:pt idx="5">
                  <c:v>112.7812525163687</c:v>
                </c:pt>
                <c:pt idx="6">
                  <c:v>115.34077171336416</c:v>
                </c:pt>
                <c:pt idx="7">
                  <c:v>116.924977253324</c:v>
                </c:pt>
                <c:pt idx="8">
                  <c:v>117.53400214661104</c:v>
                </c:pt>
                <c:pt idx="9">
                  <c:v>118.15216241329738</c:v>
                </c:pt>
                <c:pt idx="10">
                  <c:v>118.77959508398402</c:v>
                </c:pt>
                <c:pt idx="11">
                  <c:v>119.41643924473095</c:v>
                </c:pt>
              </c:numCache>
            </c:numRef>
          </c:val>
          <c:smooth val="0"/>
          <c:extLst>
            <c:ext xmlns:c16="http://schemas.microsoft.com/office/drawing/2014/chart" uri="{C3380CC4-5D6E-409C-BE32-E72D297353CC}">
              <c16:uniqueId val="{00000000-0421-4F99-ABB8-51A259DF0949}"/>
            </c:ext>
          </c:extLst>
        </c:ser>
        <c:ser>
          <c:idx val="1"/>
          <c:order val="1"/>
          <c:tx>
            <c:strRef>
              <c:f>Endverbraucherpreise!$A$19</c:f>
              <c:strCache>
                <c:ptCount val="1"/>
                <c:pt idx="0">
                  <c:v>Diesel</c:v>
                </c:pt>
              </c:strCache>
            </c:strRef>
          </c:tx>
          <c:spPr>
            <a:ln w="28575" cap="rnd">
              <a:solidFill>
                <a:srgbClr val="2497D2"/>
              </a:solidFill>
              <a:round/>
            </a:ln>
            <a:effectLst/>
          </c:spPr>
          <c:marker>
            <c:symbol val="none"/>
          </c:marker>
          <c:cat>
            <c:numRef>
              <c:extLst>
                <c:ext xmlns:c15="http://schemas.microsoft.com/office/drawing/2012/chart" uri="{02D57815-91ED-43cb-92C2-25804820EDAC}">
                  <c15:fullRef>
                    <c15:sqref>Endverbraucherpreise!$B$17:$T$17</c15:sqref>
                  </c15:fullRef>
                </c:ext>
              </c:extLst>
              <c:f>Endverbraucherpreise!$I$17:$T$17</c:f>
              <c:numCache>
                <c:formatCode>General</c:formatCode>
                <c:ptCount val="12"/>
                <c:pt idx="0">
                  <c:v>2019</c:v>
                </c:pt>
                <c:pt idx="2">
                  <c:v>2021</c:v>
                </c:pt>
                <c:pt idx="6">
                  <c:v>2025</c:v>
                </c:pt>
                <c:pt idx="11">
                  <c:v>2030</c:v>
                </c:pt>
              </c:numCache>
            </c:numRef>
          </c:cat>
          <c:val>
            <c:numRef>
              <c:extLst>
                <c:ext xmlns:c15="http://schemas.microsoft.com/office/drawing/2012/chart" uri="{02D57815-91ED-43cb-92C2-25804820EDAC}">
                  <c15:fullRef>
                    <c15:sqref>Endverbraucherpreise!$B$19:$T$19</c15:sqref>
                  </c15:fullRef>
                </c:ext>
              </c:extLst>
              <c:f>Endverbraucherpreise!$I$19:$T$19</c:f>
              <c:numCache>
                <c:formatCode>0</c:formatCode>
                <c:ptCount val="12"/>
                <c:pt idx="0">
                  <c:v>100</c:v>
                </c:pt>
                <c:pt idx="1">
                  <c:v>84.650170375275351</c:v>
                </c:pt>
                <c:pt idx="2">
                  <c:v>108.86865449161081</c:v>
                </c:pt>
                <c:pt idx="3">
                  <c:v>110.79079089104833</c:v>
                </c:pt>
                <c:pt idx="4">
                  <c:v>112.72300136320999</c:v>
                </c:pt>
                <c:pt idx="5">
                  <c:v>115.91596857034772</c:v>
                </c:pt>
                <c:pt idx="6">
                  <c:v>119.11931433905765</c:v>
                </c:pt>
                <c:pt idx="7">
                  <c:v>121.08266279660238</c:v>
                </c:pt>
                <c:pt idx="8">
                  <c:v>121.80617195658185</c:v>
                </c:pt>
                <c:pt idx="9">
                  <c:v>122.54053375396101</c:v>
                </c:pt>
                <c:pt idx="10">
                  <c:v>123.28591097830086</c:v>
                </c:pt>
                <c:pt idx="11">
                  <c:v>124.0424688610058</c:v>
                </c:pt>
              </c:numCache>
            </c:numRef>
          </c:val>
          <c:smooth val="0"/>
          <c:extLst>
            <c:ext xmlns:c16="http://schemas.microsoft.com/office/drawing/2014/chart" uri="{C3380CC4-5D6E-409C-BE32-E72D297353CC}">
              <c16:uniqueId val="{00000001-0421-4F99-ABB8-51A259DF0949}"/>
            </c:ext>
          </c:extLst>
        </c:ser>
        <c:ser>
          <c:idx val="2"/>
          <c:order val="2"/>
          <c:tx>
            <c:strRef>
              <c:f>Endverbraucherpreise!$A$20</c:f>
              <c:strCache>
                <c:ptCount val="1"/>
                <c:pt idx="0">
                  <c:v>Heizöl</c:v>
                </c:pt>
              </c:strCache>
            </c:strRef>
          </c:tx>
          <c:spPr>
            <a:ln w="28575" cap="rnd">
              <a:solidFill>
                <a:srgbClr val="1D565C"/>
              </a:solidFill>
              <a:round/>
            </a:ln>
            <a:effectLst/>
          </c:spPr>
          <c:marker>
            <c:symbol val="none"/>
          </c:marker>
          <c:cat>
            <c:numRef>
              <c:extLst>
                <c:ext xmlns:c15="http://schemas.microsoft.com/office/drawing/2012/chart" uri="{02D57815-91ED-43cb-92C2-25804820EDAC}">
                  <c15:fullRef>
                    <c15:sqref>Endverbraucherpreise!$B$17:$T$17</c15:sqref>
                  </c15:fullRef>
                </c:ext>
              </c:extLst>
              <c:f>Endverbraucherpreise!$I$17:$T$17</c:f>
              <c:numCache>
                <c:formatCode>General</c:formatCode>
                <c:ptCount val="12"/>
                <c:pt idx="0">
                  <c:v>2019</c:v>
                </c:pt>
                <c:pt idx="2">
                  <c:v>2021</c:v>
                </c:pt>
                <c:pt idx="6">
                  <c:v>2025</c:v>
                </c:pt>
                <c:pt idx="11">
                  <c:v>2030</c:v>
                </c:pt>
              </c:numCache>
            </c:numRef>
          </c:cat>
          <c:val>
            <c:numRef>
              <c:extLst>
                <c:ext xmlns:c15="http://schemas.microsoft.com/office/drawing/2012/chart" uri="{02D57815-91ED-43cb-92C2-25804820EDAC}">
                  <c15:fullRef>
                    <c15:sqref>Endverbraucherpreise!$B$20:$T$20</c15:sqref>
                  </c15:fullRef>
                </c:ext>
              </c:extLst>
              <c:f>Endverbraucherpreise!$I$20:$T$20</c:f>
              <c:numCache>
                <c:formatCode>0</c:formatCode>
                <c:ptCount val="12"/>
                <c:pt idx="0">
                  <c:v>100</c:v>
                </c:pt>
                <c:pt idx="1">
                  <c:v>71.686999095762843</c:v>
                </c:pt>
                <c:pt idx="2">
                  <c:v>116.98436999738024</c:v>
                </c:pt>
                <c:pt idx="3">
                  <c:v>120.66619300676409</c:v>
                </c:pt>
                <c:pt idx="4">
                  <c:v>124.36735894499429</c:v>
                </c:pt>
                <c:pt idx="5">
                  <c:v>130.48045237562923</c:v>
                </c:pt>
                <c:pt idx="6">
                  <c:v>136.61347337513493</c:v>
                </c:pt>
                <c:pt idx="7">
                  <c:v>140.37442643741872</c:v>
                </c:pt>
                <c:pt idx="8">
                  <c:v>141.76361495971676</c:v>
                </c:pt>
                <c:pt idx="9">
                  <c:v>143.17364130984922</c:v>
                </c:pt>
                <c:pt idx="10">
                  <c:v>144.60481805523361</c:v>
                </c:pt>
                <c:pt idx="11">
                  <c:v>146.05746245179887</c:v>
                </c:pt>
              </c:numCache>
            </c:numRef>
          </c:val>
          <c:smooth val="0"/>
          <c:extLst>
            <c:ext xmlns:c16="http://schemas.microsoft.com/office/drawing/2014/chart" uri="{C3380CC4-5D6E-409C-BE32-E72D297353CC}">
              <c16:uniqueId val="{00000002-0421-4F99-ABB8-51A259DF0949}"/>
            </c:ext>
          </c:extLst>
        </c:ser>
        <c:ser>
          <c:idx val="3"/>
          <c:order val="3"/>
          <c:tx>
            <c:strRef>
              <c:f>Endverbraucherpreise!$A$21</c:f>
              <c:strCache>
                <c:ptCount val="1"/>
                <c:pt idx="0">
                  <c:v>Erdgas</c:v>
                </c:pt>
              </c:strCache>
            </c:strRef>
          </c:tx>
          <c:spPr>
            <a:ln w="28575" cap="rnd">
              <a:solidFill>
                <a:srgbClr val="9ABBCA"/>
              </a:solidFill>
              <a:round/>
            </a:ln>
            <a:effectLst/>
          </c:spPr>
          <c:marker>
            <c:symbol val="none"/>
          </c:marker>
          <c:cat>
            <c:numRef>
              <c:extLst>
                <c:ext xmlns:c15="http://schemas.microsoft.com/office/drawing/2012/chart" uri="{02D57815-91ED-43cb-92C2-25804820EDAC}">
                  <c15:fullRef>
                    <c15:sqref>Endverbraucherpreise!$B$17:$T$17</c15:sqref>
                  </c15:fullRef>
                </c:ext>
              </c:extLst>
              <c:f>Endverbraucherpreise!$I$17:$T$17</c:f>
              <c:numCache>
                <c:formatCode>General</c:formatCode>
                <c:ptCount val="12"/>
                <c:pt idx="0">
                  <c:v>2019</c:v>
                </c:pt>
                <c:pt idx="2">
                  <c:v>2021</c:v>
                </c:pt>
                <c:pt idx="6">
                  <c:v>2025</c:v>
                </c:pt>
                <c:pt idx="11">
                  <c:v>2030</c:v>
                </c:pt>
              </c:numCache>
            </c:numRef>
          </c:cat>
          <c:val>
            <c:numRef>
              <c:extLst>
                <c:ext xmlns:c15="http://schemas.microsoft.com/office/drawing/2012/chart" uri="{02D57815-91ED-43cb-92C2-25804820EDAC}">
                  <c15:fullRef>
                    <c15:sqref>Endverbraucherpreise!$B$21:$T$21</c15:sqref>
                  </c15:fullRef>
                </c:ext>
              </c:extLst>
              <c:f>Endverbraucherpreise!$I$21:$T$21</c:f>
              <c:numCache>
                <c:formatCode>0</c:formatCode>
                <c:ptCount val="12"/>
                <c:pt idx="0">
                  <c:v>100</c:v>
                </c:pt>
                <c:pt idx="1">
                  <c:v>96.759756534192618</c:v>
                </c:pt>
                <c:pt idx="2">
                  <c:v>99.096047811837281</c:v>
                </c:pt>
                <c:pt idx="3">
                  <c:v>103.71861191440136</c:v>
                </c:pt>
                <c:pt idx="4">
                  <c:v>106.41327935222674</c:v>
                </c:pt>
                <c:pt idx="5">
                  <c:v>110.86276460381723</c:v>
                </c:pt>
                <c:pt idx="6">
                  <c:v>115.31224985540777</c:v>
                </c:pt>
                <c:pt idx="7">
                  <c:v>117.4526470021207</c:v>
                </c:pt>
                <c:pt idx="8">
                  <c:v>117.83822633506847</c:v>
                </c:pt>
                <c:pt idx="9">
                  <c:v>118.2238056680162</c:v>
                </c:pt>
                <c:pt idx="10">
                  <c:v>118.60938500096394</c:v>
                </c:pt>
                <c:pt idx="11">
                  <c:v>118.9949643339117</c:v>
                </c:pt>
              </c:numCache>
            </c:numRef>
          </c:val>
          <c:smooth val="0"/>
          <c:extLst>
            <c:ext xmlns:c16="http://schemas.microsoft.com/office/drawing/2014/chart" uri="{C3380CC4-5D6E-409C-BE32-E72D297353CC}">
              <c16:uniqueId val="{00000004-0421-4F99-ABB8-51A259DF0949}"/>
            </c:ext>
          </c:extLst>
        </c:ser>
        <c:ser>
          <c:idx val="4"/>
          <c:order val="4"/>
          <c:tx>
            <c:strRef>
              <c:f>Endverbraucherpreise!$A$22</c:f>
              <c:strCache>
                <c:ptCount val="1"/>
                <c:pt idx="0">
                  <c:v>Strom     </c:v>
                </c:pt>
              </c:strCache>
            </c:strRef>
          </c:tx>
          <c:spPr>
            <a:ln w="28575" cap="rnd">
              <a:solidFill>
                <a:srgbClr val="D05094"/>
              </a:solidFill>
              <a:round/>
            </a:ln>
            <a:effectLst/>
          </c:spPr>
          <c:marker>
            <c:symbol val="none"/>
          </c:marker>
          <c:cat>
            <c:numRef>
              <c:extLst>
                <c:ext xmlns:c15="http://schemas.microsoft.com/office/drawing/2012/chart" uri="{02D57815-91ED-43cb-92C2-25804820EDAC}">
                  <c15:fullRef>
                    <c15:sqref>Endverbraucherpreise!$B$17:$T$17</c15:sqref>
                  </c15:fullRef>
                </c:ext>
              </c:extLst>
              <c:f>Endverbraucherpreise!$I$17:$T$17</c:f>
              <c:numCache>
                <c:formatCode>General</c:formatCode>
                <c:ptCount val="12"/>
                <c:pt idx="0">
                  <c:v>2019</c:v>
                </c:pt>
                <c:pt idx="2">
                  <c:v>2021</c:v>
                </c:pt>
                <c:pt idx="6">
                  <c:v>2025</c:v>
                </c:pt>
                <c:pt idx="11">
                  <c:v>2030</c:v>
                </c:pt>
              </c:numCache>
            </c:numRef>
          </c:cat>
          <c:val>
            <c:numRef>
              <c:extLst>
                <c:ext xmlns:c15="http://schemas.microsoft.com/office/drawing/2012/chart" uri="{02D57815-91ED-43cb-92C2-25804820EDAC}">
                  <c15:fullRef>
                    <c15:sqref>Endverbraucherpreise!$B$22:$T$22</c15:sqref>
                  </c15:fullRef>
                </c:ext>
              </c:extLst>
              <c:f>Endverbraucherpreise!$I$22:$T$22</c:f>
              <c:numCache>
                <c:formatCode>0</c:formatCode>
                <c:ptCount val="12"/>
                <c:pt idx="0">
                  <c:v>100</c:v>
                </c:pt>
                <c:pt idx="1">
                  <c:v>103.15105522520314</c:v>
                </c:pt>
                <c:pt idx="2">
                  <c:v>104.72378703311327</c:v>
                </c:pt>
                <c:pt idx="3">
                  <c:v>106.22988645727831</c:v>
                </c:pt>
                <c:pt idx="4">
                  <c:v>95.248537274966111</c:v>
                </c:pt>
                <c:pt idx="5">
                  <c:v>89.392079735615781</c:v>
                </c:pt>
                <c:pt idx="6">
                  <c:v>89.027851559425059</c:v>
                </c:pt>
                <c:pt idx="7">
                  <c:v>88.645453834046918</c:v>
                </c:pt>
                <c:pt idx="8">
                  <c:v>88.539921523540329</c:v>
                </c:pt>
                <c:pt idx="9">
                  <c:v>88.250659850133843</c:v>
                </c:pt>
                <c:pt idx="10">
                  <c:v>87.985084332374484</c:v>
                </c:pt>
                <c:pt idx="11">
                  <c:v>87.848312137902383</c:v>
                </c:pt>
              </c:numCache>
            </c:numRef>
          </c:val>
          <c:smooth val="0"/>
          <c:extLst>
            <c:ext xmlns:c16="http://schemas.microsoft.com/office/drawing/2014/chart" uri="{C3380CC4-5D6E-409C-BE32-E72D297353CC}">
              <c16:uniqueId val="{00000005-0421-4F99-ABB8-51A259DF0949}"/>
            </c:ext>
          </c:extLst>
        </c:ser>
        <c:dLbls>
          <c:showLegendKey val="0"/>
          <c:showVal val="0"/>
          <c:showCatName val="0"/>
          <c:showSerName val="0"/>
          <c:showPercent val="0"/>
          <c:showBubbleSize val="0"/>
        </c:dLbls>
        <c:smooth val="0"/>
        <c:axId val="411143576"/>
        <c:axId val="411143968"/>
      </c:lineChart>
      <c:catAx>
        <c:axId val="411143576"/>
        <c:scaling>
          <c:orientation val="minMax"/>
        </c:scaling>
        <c:delete val="0"/>
        <c:axPos val="b"/>
        <c:majorGridlines>
          <c:spPr>
            <a:ln w="9525" cap="flat" cmpd="sng" algn="ctr">
              <a:solidFill>
                <a:schemeClr val="bg1"/>
              </a:solidFill>
              <a:round/>
            </a:ln>
            <a:effectLst/>
          </c:spPr>
        </c:majorGridlines>
        <c:numFmt formatCode="0" sourceLinked="0"/>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1143968"/>
        <c:crosses val="autoZero"/>
        <c:auto val="1"/>
        <c:lblAlgn val="ctr"/>
        <c:lblOffset val="100"/>
        <c:tickLblSkip val="1"/>
        <c:noMultiLvlLbl val="1"/>
      </c:catAx>
      <c:valAx>
        <c:axId val="411143968"/>
        <c:scaling>
          <c:orientation val="minMax"/>
          <c:min val="6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de-DE" sz="1200" b="1">
                    <a:solidFill>
                      <a:schemeClr val="tx1"/>
                    </a:solidFill>
                    <a:latin typeface="Arial" panose="020B0604020202020204" pitchFamily="34" charset="0"/>
                    <a:cs typeface="Arial" panose="020B0604020202020204" pitchFamily="34" charset="0"/>
                  </a:rPr>
                  <a:t>[2019=100]</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411143576"/>
        <c:crosses val="autoZero"/>
        <c:crossBetween val="between"/>
      </c:valAx>
      <c:spPr>
        <a:noFill/>
        <a:ln>
          <a:noFill/>
        </a:ln>
        <a:effectLst/>
      </c:spPr>
    </c:plotArea>
    <c:legend>
      <c:legendPos val="r"/>
      <c:layout>
        <c:manualLayout>
          <c:xMode val="edge"/>
          <c:yMode val="edge"/>
          <c:x val="0.19835232605523753"/>
          <c:y val="2.0332329933049221E-2"/>
          <c:w val="0.17672401013210262"/>
          <c:h val="0.28171269075488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53031399983336E-2"/>
          <c:y val="7.8422813275641434E-2"/>
          <c:w val="0.65573090953185176"/>
          <c:h val="0.42847611111111106"/>
        </c:manualLayout>
      </c:layout>
      <c:barChart>
        <c:barDir val="col"/>
        <c:grouping val="stacked"/>
        <c:varyColors val="0"/>
        <c:ser>
          <c:idx val="0"/>
          <c:order val="1"/>
          <c:tx>
            <c:strRef>
              <c:f>'Graphikdaten 2'!$D$9</c:f>
              <c:strCache>
                <c:ptCount val="1"/>
                <c:pt idx="0">
                  <c:v>Stromsteuer</c:v>
                </c:pt>
              </c:strCache>
            </c:strRef>
          </c:tx>
          <c:spPr>
            <a:solidFill>
              <a:schemeClr val="accent3">
                <a:lumMod val="50000"/>
              </a:schemeClr>
            </a:solidFill>
            <a:ln>
              <a:noFill/>
            </a:ln>
            <a:effectLst/>
          </c:spPr>
          <c:invertIfNegative val="0"/>
          <c:dPt>
            <c:idx val="0"/>
            <c:invertIfNegative val="0"/>
            <c:bubble3D val="0"/>
            <c:spPr>
              <a:solidFill>
                <a:srgbClr val="18658C"/>
              </a:solidFill>
              <a:ln>
                <a:noFill/>
              </a:ln>
              <a:effectLst/>
            </c:spPr>
            <c:extLst>
              <c:ext xmlns:c16="http://schemas.microsoft.com/office/drawing/2014/chart" uri="{C3380CC4-5D6E-409C-BE32-E72D297353CC}">
                <c16:uniqueId val="{00000012-207A-43AB-873E-44FEE6F7E8A9}"/>
              </c:ext>
            </c:extLst>
          </c:dPt>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2'!$D$10:$D$21</c15:sqref>
                  </c15:fullRef>
                </c:ext>
              </c:extLst>
              <c:f>('Graphikdaten 2'!$D$12,'Graphikdaten 2'!$D$15:$D$17,'Graphikdaten 2'!$D$19:$D$21)</c:f>
              <c:numCache>
                <c:formatCode>0.0</c:formatCode>
                <c:ptCount val="7"/>
                <c:pt idx="0">
                  <c:v>2.0499999999999998</c:v>
                </c:pt>
                <c:pt idx="1">
                  <c:v>2.0499999999999998</c:v>
                </c:pt>
                <c:pt idx="4">
                  <c:v>2.0499999999999998</c:v>
                </c:pt>
              </c:numCache>
            </c:numRef>
          </c:val>
          <c:extLst>
            <c:ext xmlns:c16="http://schemas.microsoft.com/office/drawing/2014/chart" uri="{C3380CC4-5D6E-409C-BE32-E72D297353CC}">
              <c16:uniqueId val="{00000000-207A-43AB-873E-44FEE6F7E8A9}"/>
            </c:ext>
          </c:extLst>
        </c:ser>
        <c:ser>
          <c:idx val="6"/>
          <c:order val="2"/>
          <c:tx>
            <c:strRef>
              <c:f>'Graphikdaten 2'!$N$9</c:f>
              <c:strCache>
                <c:ptCount val="1"/>
                <c:pt idx="0">
                  <c:v>Energiesteuer</c:v>
                </c:pt>
              </c:strCache>
            </c:strRef>
          </c:tx>
          <c:spPr>
            <a:solidFill>
              <a:srgbClr val="1E83B3"/>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2'!$N$10:$N$21</c15:sqref>
                  </c15:fullRef>
                </c:ext>
              </c:extLst>
              <c:f>('Graphikdaten 2'!$N$12,'Graphikdaten 2'!$N$15:$N$17,'Graphikdaten 2'!$N$19:$N$21)</c:f>
              <c:numCache>
                <c:formatCode>0.0</c:formatCode>
                <c:ptCount val="7"/>
                <c:pt idx="2">
                  <c:v>7.3427706333865901</c:v>
                </c:pt>
                <c:pt idx="3">
                  <c:v>4.757103666808467</c:v>
                </c:pt>
                <c:pt idx="5">
                  <c:v>0.60948581560283699</c:v>
                </c:pt>
                <c:pt idx="6">
                  <c:v>0.61400348285594186</c:v>
                </c:pt>
              </c:numCache>
            </c:numRef>
          </c:val>
          <c:extLst>
            <c:ext xmlns:c16="http://schemas.microsoft.com/office/drawing/2014/chart" uri="{C3380CC4-5D6E-409C-BE32-E72D297353CC}">
              <c16:uniqueId val="{00000001-207A-43AB-873E-44FEE6F7E8A9}"/>
            </c:ext>
          </c:extLst>
        </c:ser>
        <c:ser>
          <c:idx val="8"/>
          <c:order val="4"/>
          <c:tx>
            <c:strRef>
              <c:f>'Graphikdaten 2'!$P$9</c:f>
              <c:strCache>
                <c:ptCount val="1"/>
                <c:pt idx="0">
                  <c:v>Netzentgelte</c:v>
                </c:pt>
              </c:strCache>
            </c:strRef>
          </c:tx>
          <c:spPr>
            <a:solidFill>
              <a:srgbClr val="A2D5EF"/>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2'!$P$10:$P$21</c15:sqref>
                  </c15:fullRef>
                </c:ext>
              </c:extLst>
              <c:f>('Graphikdaten 2'!$P$12,'Graphikdaten 2'!$P$15:$P$17,'Graphikdaten 2'!$P$19:$P$21)</c:f>
              <c:numCache>
                <c:formatCode>0.0</c:formatCode>
                <c:ptCount val="7"/>
                <c:pt idx="0">
                  <c:v>7.8</c:v>
                </c:pt>
                <c:pt idx="1">
                  <c:v>3.9</c:v>
                </c:pt>
                <c:pt idx="4">
                  <c:v>3.9</c:v>
                </c:pt>
                <c:pt idx="5">
                  <c:v>1.56</c:v>
                </c:pt>
              </c:numCache>
            </c:numRef>
          </c:val>
          <c:extLst>
            <c:ext xmlns:c16="http://schemas.microsoft.com/office/drawing/2014/chart" uri="{C3380CC4-5D6E-409C-BE32-E72D297353CC}">
              <c16:uniqueId val="{00000002-207A-43AB-873E-44FEE6F7E8A9}"/>
            </c:ext>
          </c:extLst>
        </c:ser>
        <c:ser>
          <c:idx val="9"/>
          <c:order val="5"/>
          <c:tx>
            <c:strRef>
              <c:f>'Graphikdaten 2'!$Q$9</c:f>
              <c:strCache>
                <c:ptCount val="1"/>
                <c:pt idx="0">
                  <c:v>Konzessions-
abgabe</c:v>
                </c:pt>
              </c:strCache>
            </c:strRef>
          </c:tx>
          <c:spPr>
            <a:solidFill>
              <a:srgbClr val="CBE9F6"/>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2'!$Q$10:$Q$21</c15:sqref>
                  </c15:fullRef>
                </c:ext>
              </c:extLst>
              <c:f>('Graphikdaten 2'!$Q$12,'Graphikdaten 2'!$Q$15:$Q$17,'Graphikdaten 2'!$Q$19:$Q$21)</c:f>
              <c:numCache>
                <c:formatCode>0.0</c:formatCode>
                <c:ptCount val="7"/>
                <c:pt idx="0">
                  <c:v>1.7</c:v>
                </c:pt>
                <c:pt idx="1">
                  <c:v>0.51</c:v>
                </c:pt>
                <c:pt idx="4">
                  <c:v>0.51</c:v>
                </c:pt>
                <c:pt idx="5">
                  <c:v>0.03</c:v>
                </c:pt>
              </c:numCache>
            </c:numRef>
          </c:val>
          <c:extLst>
            <c:ext xmlns:c16="http://schemas.microsoft.com/office/drawing/2014/chart" uri="{C3380CC4-5D6E-409C-BE32-E72D297353CC}">
              <c16:uniqueId val="{00000003-207A-43AB-873E-44FEE6F7E8A9}"/>
            </c:ext>
          </c:extLst>
        </c:ser>
        <c:ser>
          <c:idx val="3"/>
          <c:order val="6"/>
          <c:tx>
            <c:strRef>
              <c:f>'Graphikdaten 2'!$I$9</c:f>
              <c:strCache>
                <c:ptCount val="1"/>
                <c:pt idx="0">
                  <c:v>CO2-Zertifikate EU-ETS 
(≙ 51 €/EUA)</c:v>
                </c:pt>
              </c:strCache>
            </c:strRef>
          </c:tx>
          <c:spPr>
            <a:solidFill>
              <a:schemeClr val="tx1"/>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2'!$I$10:$I$21</c15:sqref>
                  </c15:fullRef>
                </c:ext>
              </c:extLst>
              <c:f>('Graphikdaten 2'!$I$12,'Graphikdaten 2'!$I$15:$I$17,'Graphikdaten 2'!$I$19:$I$21)</c:f>
              <c:numCache>
                <c:formatCode>0.0</c:formatCode>
                <c:ptCount val="7"/>
                <c:pt idx="0">
                  <c:v>2.0451000000000001</c:v>
                </c:pt>
                <c:pt idx="1">
                  <c:v>2.0451000000000001</c:v>
                </c:pt>
                <c:pt idx="4">
                  <c:v>2.0451000000000001</c:v>
                </c:pt>
              </c:numCache>
            </c:numRef>
          </c:val>
          <c:extLst xmlns:c15="http://schemas.microsoft.com/office/drawing/2012/chart">
            <c:ext xmlns:c16="http://schemas.microsoft.com/office/drawing/2014/chart" uri="{C3380CC4-5D6E-409C-BE32-E72D297353CC}">
              <c16:uniqueId val="{00000004-207A-43AB-873E-44FEE6F7E8A9}"/>
            </c:ext>
          </c:extLst>
        </c:ser>
        <c:ser>
          <c:idx val="15"/>
          <c:order val="7"/>
          <c:tx>
            <c:strRef>
              <c:f>'Graphikdaten 2'!$J$9</c:f>
              <c:strCache>
                <c:ptCount val="1"/>
                <c:pt idx="0">
                  <c:v>CO2-Zertifikate BEHG 
(≙ 30 €/t_CO2)</c:v>
                </c:pt>
              </c:strCache>
            </c:strRef>
          </c:tx>
          <c:spPr>
            <a:solidFill>
              <a:schemeClr val="tx2">
                <a:lumMod val="75000"/>
                <a:lumOff val="25000"/>
              </a:schemeClr>
            </a:solidFill>
            <a:ln w="25400">
              <a:noFill/>
            </a:ln>
            <a:effectLst/>
          </c:spPr>
          <c:invertIfNegative val="0"/>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2'!$J$10:$J$21</c15:sqref>
                  </c15:fullRef>
                </c:ext>
              </c:extLst>
              <c:f>('Graphikdaten 2'!$J$12,'Graphikdaten 2'!$J$15:$J$17,'Graphikdaten 2'!$J$19:$J$21)</c:f>
              <c:numCache>
                <c:formatCode>0.0</c:formatCode>
                <c:ptCount val="7"/>
                <c:pt idx="2">
                  <c:v>0.78953128070453527</c:v>
                </c:pt>
                <c:pt idx="3">
                  <c:v>0.7994865292550698</c:v>
                </c:pt>
                <c:pt idx="5">
                  <c:v>0.60410826996635003</c:v>
                </c:pt>
                <c:pt idx="6">
                  <c:v>0.79941600000000002</c:v>
                </c:pt>
              </c:numCache>
            </c:numRef>
          </c:val>
          <c:extLst>
            <c:ext xmlns:c16="http://schemas.microsoft.com/office/drawing/2014/chart" uri="{C3380CC4-5D6E-409C-BE32-E72D297353CC}">
              <c16:uniqueId val="{00000005-207A-43AB-873E-44FEE6F7E8A9}"/>
            </c:ext>
          </c:extLst>
        </c:ser>
        <c:ser>
          <c:idx val="12"/>
          <c:order val="11"/>
          <c:tx>
            <c:strRef>
              <c:f>'Graphikdaten 2'!$R$9</c:f>
              <c:strCache>
                <c:ptCount val="1"/>
                <c:pt idx="0">
                  <c:v>Sonstige Umlagen</c:v>
                </c:pt>
              </c:strCache>
            </c:strRef>
          </c:tx>
          <c:spPr>
            <a:solidFill>
              <a:schemeClr val="accent1"/>
            </a:solidFill>
            <a:ln w="25400">
              <a:noFill/>
            </a:ln>
            <a:effectLst/>
          </c:spPr>
          <c:invertIfNegative val="0"/>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2'!$R$10:$R$21</c15:sqref>
                  </c15:fullRef>
                </c:ext>
              </c:extLst>
              <c:f>('Graphikdaten 2'!$R$12,'Graphikdaten 2'!$R$15:$R$17,'Graphikdaten 2'!$R$19:$R$21)</c:f>
              <c:numCache>
                <c:formatCode>0.0</c:formatCode>
                <c:ptCount val="7"/>
                <c:pt idx="0">
                  <c:v>0.82192812073396038</c:v>
                </c:pt>
                <c:pt idx="1">
                  <c:v>0.82192812073396038</c:v>
                </c:pt>
                <c:pt idx="2">
                  <c:v>0</c:v>
                </c:pt>
                <c:pt idx="3">
                  <c:v>0</c:v>
                </c:pt>
                <c:pt idx="4">
                  <c:v>0.82192812073396038</c:v>
                </c:pt>
                <c:pt idx="5">
                  <c:v>0</c:v>
                </c:pt>
                <c:pt idx="6">
                  <c:v>0</c:v>
                </c:pt>
              </c:numCache>
            </c:numRef>
          </c:val>
          <c:extLst>
            <c:ext xmlns:c16="http://schemas.microsoft.com/office/drawing/2014/chart" uri="{C3380CC4-5D6E-409C-BE32-E72D297353CC}">
              <c16:uniqueId val="{00000006-207A-43AB-873E-44FEE6F7E8A9}"/>
            </c:ext>
          </c:extLst>
        </c:ser>
        <c:ser>
          <c:idx val="1"/>
          <c:order val="13"/>
          <c:tx>
            <c:strRef>
              <c:f>'Graphikdaten 2'!$F$9</c:f>
              <c:strCache>
                <c:ptCount val="1"/>
                <c:pt idx="0">
                  <c:v>EEG-Umlage</c:v>
                </c:pt>
              </c:strCache>
            </c:strRef>
          </c:tx>
          <c:spPr>
            <a:solidFill>
              <a:srgbClr val="D05094"/>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2'!$F$10:$F$21</c15:sqref>
                  </c15:fullRef>
                </c:ext>
              </c:extLst>
              <c:f>('Graphikdaten 2'!$F$12,'Graphikdaten 2'!$F$15:$F$17,'Graphikdaten 2'!$F$19:$F$21)</c:f>
              <c:numCache>
                <c:formatCode>0.0</c:formatCode>
                <c:ptCount val="7"/>
                <c:pt idx="0">
                  <c:v>3.7231670924852511</c:v>
                </c:pt>
                <c:pt idx="1">
                  <c:v>3.7231670924852511</c:v>
                </c:pt>
                <c:pt idx="4">
                  <c:v>3.7231670924852511</c:v>
                </c:pt>
              </c:numCache>
            </c:numRef>
          </c:val>
          <c:extLst>
            <c:ext xmlns:c16="http://schemas.microsoft.com/office/drawing/2014/chart" uri="{C3380CC4-5D6E-409C-BE32-E72D297353CC}">
              <c16:uniqueId val="{00000007-207A-43AB-873E-44FEE6F7E8A9}"/>
            </c:ext>
          </c:extLst>
        </c:ser>
        <c:ser>
          <c:idx val="14"/>
          <c:order val="14"/>
          <c:tx>
            <c:strRef>
              <c:f>'Graphikdaten 2'!$S$9</c:f>
              <c:strCache>
                <c:ptCount val="1"/>
                <c:pt idx="0">
                  <c:v>Mehrwertsteuer</c:v>
                </c:pt>
              </c:strCache>
            </c:strRef>
          </c:tx>
          <c:spPr>
            <a:solidFill>
              <a:srgbClr val="ECB9D4"/>
            </a:solidFill>
            <a:ln w="25400">
              <a:noFill/>
            </a:ln>
            <a:effectLst/>
          </c:spPr>
          <c:invertIfNegative val="0"/>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2'!$S$10:$S$21</c15:sqref>
                  </c15:fullRef>
                </c:ext>
              </c:extLst>
              <c:f>('Graphikdaten 2'!$S$12,'Graphikdaten 2'!$S$15:$S$17,'Graphikdaten 2'!$S$19:$S$21)</c:f>
              <c:numCache>
                <c:formatCode>0.0</c:formatCode>
                <c:ptCount val="7"/>
                <c:pt idx="0">
                  <c:v>3.4948970905116497</c:v>
                </c:pt>
                <c:pt idx="1">
                  <c:v>2.5277970905116502</c:v>
                </c:pt>
                <c:pt idx="2">
                  <c:v>1.5451373636773136</c:v>
                </c:pt>
                <c:pt idx="3">
                  <c:v>1.055752137252072</c:v>
                </c:pt>
                <c:pt idx="4">
                  <c:v>2.5277970905116502</c:v>
                </c:pt>
                <c:pt idx="5">
                  <c:v>0.53268287625814548</c:v>
                </c:pt>
                <c:pt idx="6">
                  <c:v>0.26854970174262893</c:v>
                </c:pt>
              </c:numCache>
            </c:numRef>
          </c:val>
          <c:extLst>
            <c:ext xmlns:c16="http://schemas.microsoft.com/office/drawing/2014/chart" uri="{C3380CC4-5D6E-409C-BE32-E72D297353CC}">
              <c16:uniqueId val="{00000008-207A-43AB-873E-44FEE6F7E8A9}"/>
            </c:ext>
          </c:extLst>
        </c:ser>
        <c:dLbls>
          <c:showLegendKey val="0"/>
          <c:showVal val="0"/>
          <c:showCatName val="0"/>
          <c:showSerName val="0"/>
          <c:showPercent val="0"/>
          <c:showBubbleSize val="0"/>
        </c:dLbls>
        <c:gapWidth val="150"/>
        <c:overlap val="100"/>
        <c:axId val="415006976"/>
        <c:axId val="415007368"/>
        <c:extLst>
          <c:ext xmlns:c15="http://schemas.microsoft.com/office/drawing/2012/chart" uri="{02D57815-91ED-43cb-92C2-25804820EDAC}">
            <c15:filteredBarSeries>
              <c15:ser>
                <c:idx val="10"/>
                <c:order val="0"/>
                <c:tx>
                  <c:strRef>
                    <c:extLst>
                      <c:ext uri="{02D57815-91ED-43cb-92C2-25804820EDAC}">
                        <c15:formulaRef>
                          <c15:sqref>'Graphikdaten 2'!$C$9</c15:sqref>
                        </c15:formulaRef>
                      </c:ext>
                    </c:extLst>
                    <c:strCache>
                      <c:ptCount val="1"/>
                      <c:pt idx="0">
                        <c:v>Beschaffung,
Vertrieb und Marge (ohne EUA-Kosten)</c:v>
                      </c:pt>
                    </c:strCache>
                  </c:strRef>
                </c:tx>
                <c:spPr>
                  <a:solidFill>
                    <a:schemeClr val="accent3"/>
                  </a:solidFill>
                  <a:ln w="25400">
                    <a:noFill/>
                  </a:ln>
                  <a:effectLst/>
                </c:spPr>
                <c:invertIfNegative val="0"/>
                <c:val>
                  <c:numRef>
                    <c:extLst>
                      <c:ext uri="{02D57815-91ED-43cb-92C2-25804820EDAC}">
                        <c15:fullRef>
                          <c15:sqref>'Graphikdaten 2'!$C$10:$C$21</c15:sqref>
                        </c15:fullRef>
                        <c15:formulaRef>
                          <c15:sqref>('Graphikdaten 2'!$C$12,'Graphikdaten 2'!$C$15:$C$17,'Graphikdaten 2'!$C$19:$C$21)</c15:sqref>
                        </c15:formulaRef>
                      </c:ext>
                    </c:extLst>
                    <c:numCache>
                      <c:formatCode>0.0</c:formatCode>
                      <c:ptCount val="7"/>
                      <c:pt idx="0">
                        <c:v>8.7949000000000002</c:v>
                      </c:pt>
                      <c:pt idx="1">
                        <c:v>8.3047387094097722</c:v>
                      </c:pt>
                      <c:pt idx="2">
                        <c:v>6.1002488313134098</c:v>
                      </c:pt>
                      <c:pt idx="3">
                        <c:v>5.7733143548220589</c:v>
                      </c:pt>
                      <c:pt idx="4">
                        <c:v>4.8099999999999996</c:v>
                      </c:pt>
                      <c:pt idx="5">
                        <c:v>2.1806368320778731</c:v>
                      </c:pt>
                      <c:pt idx="6">
                        <c:v>4.7610524427761032</c:v>
                      </c:pt>
                    </c:numCache>
                  </c:numRef>
                </c:val>
                <c:extLst>
                  <c:ext xmlns:c16="http://schemas.microsoft.com/office/drawing/2014/chart" uri="{C3380CC4-5D6E-409C-BE32-E72D297353CC}">
                    <c16:uniqueId val="{0000000A-207A-43AB-873E-44FEE6F7E8A9}"/>
                  </c:ext>
                </c:extLst>
              </c15:ser>
            </c15:filteredBarSeries>
            <c15:filteredBarSeries>
              <c15:ser>
                <c:idx val="7"/>
                <c:order val="3"/>
                <c:tx>
                  <c:strRef>
                    <c:extLst xmlns:c15="http://schemas.microsoft.com/office/drawing/2012/chart">
                      <c:ext xmlns:c15="http://schemas.microsoft.com/office/drawing/2012/chart" uri="{02D57815-91ED-43cb-92C2-25804820EDAC}">
                        <c15:formulaRef>
                          <c15:sqref>'Graphikdaten 2'!$O$9</c15:sqref>
                        </c15:formulaRef>
                      </c:ext>
                    </c:extLst>
                    <c:strCache>
                      <c:ptCount val="1"/>
                      <c:pt idx="0">
                        <c:v>Energiesteuer-
Erhöhung</c:v>
                      </c:pt>
                    </c:strCache>
                  </c:strRef>
                </c:tx>
                <c:spPr>
                  <a:solidFill>
                    <a:schemeClr val="accent2">
                      <a:lumMod val="60000"/>
                      <a:lumOff val="40000"/>
                    </a:schemeClr>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2'!$O$10:$O$21</c15:sqref>
                        </c15:fullRef>
                        <c15:formulaRef>
                          <c15:sqref>('Graphikdaten 2'!$O$12,'Graphikdaten 2'!$O$15:$O$17,'Graphikdaten 2'!$O$19:$O$21)</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B-207A-43AB-873E-44FEE6F7E8A9}"/>
                  </c:ext>
                </c:extLst>
              </c15:ser>
            </c15:filteredBarSeries>
            <c15:filteredBarSeries>
              <c15:ser>
                <c:idx val="2"/>
                <c:order val="8"/>
                <c:tx>
                  <c:strRef>
                    <c:extLst xmlns:c15="http://schemas.microsoft.com/office/drawing/2012/chart">
                      <c:ext xmlns:c15="http://schemas.microsoft.com/office/drawing/2012/chart" uri="{02D57815-91ED-43cb-92C2-25804820EDAC}">
                        <c15:formulaRef>
                          <c15:sqref>'Graphikdaten 2'!$H$9</c15:sqref>
                        </c15:formulaRef>
                      </c:ext>
                    </c:extLst>
                    <c:strCache>
                      <c:ptCount val="1"/>
                      <c:pt idx="0">
                        <c:v>KWK-Umlage</c:v>
                      </c:pt>
                    </c:strCache>
                  </c:strRef>
                </c:tx>
                <c:spPr>
                  <a:solidFill>
                    <a:schemeClr val="accent5">
                      <a:lumMod val="75000"/>
                    </a:schemeClr>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2'!$H$10:$H$21</c15:sqref>
                        </c15:fullRef>
                        <c15:formulaRef>
                          <c15:sqref>('Graphikdaten 2'!$H$12,'Graphikdaten 2'!$H$15:$H$17,'Graphikdaten 2'!$H$19:$H$21)</c15:sqref>
                        </c15:formulaRef>
                      </c:ext>
                    </c:extLst>
                    <c:numCache>
                      <c:formatCode>0.0</c:formatCode>
                      <c:ptCount val="7"/>
                      <c:pt idx="0">
                        <c:v>0.254</c:v>
                      </c:pt>
                      <c:pt idx="1">
                        <c:v>0.254</c:v>
                      </c:pt>
                      <c:pt idx="4">
                        <c:v>0.254</c:v>
                      </c:pt>
                    </c:numCache>
                  </c:numRef>
                </c:val>
                <c:extLst xmlns:c15="http://schemas.microsoft.com/office/drawing/2012/chart">
                  <c:ext xmlns:c16="http://schemas.microsoft.com/office/drawing/2014/chart" uri="{C3380CC4-5D6E-409C-BE32-E72D297353CC}">
                    <c16:uniqueId val="{0000000C-207A-43AB-873E-44FEE6F7E8A9}"/>
                  </c:ext>
                </c:extLst>
              </c15:ser>
            </c15:filteredBarSeries>
            <c15:filteredBarSeries>
              <c15:ser>
                <c:idx val="4"/>
                <c:order val="9"/>
                <c:tx>
                  <c:strRef>
                    <c:extLst xmlns:c15="http://schemas.microsoft.com/office/drawing/2012/chart">
                      <c:ext xmlns:c15="http://schemas.microsoft.com/office/drawing/2012/chart" uri="{02D57815-91ED-43cb-92C2-25804820EDAC}">
                        <c15:formulaRef>
                          <c15:sqref>'Graphikdaten 2'!$K$9</c15:sqref>
                        </c15:formulaRef>
                      </c:ext>
                    </c:extLst>
                    <c:strCache>
                      <c:ptCount val="1"/>
                      <c:pt idx="0">
                        <c:v>§19.2-StromNEV-Umlage</c:v>
                      </c:pt>
                    </c:strCache>
                  </c:strRef>
                </c:tx>
                <c:spPr>
                  <a:solidFill>
                    <a:schemeClr val="accent5"/>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2'!$K$10:$K$21</c15:sqref>
                        </c15:fullRef>
                        <c15:formulaRef>
                          <c15:sqref>('Graphikdaten 2'!$K$12,'Graphikdaten 2'!$K$15:$K$17,'Graphikdaten 2'!$K$19:$K$21)</c15:sqref>
                        </c15:formulaRef>
                      </c:ext>
                    </c:extLst>
                    <c:numCache>
                      <c:formatCode>0.0</c:formatCode>
                      <c:ptCount val="7"/>
                      <c:pt idx="0">
                        <c:v>0.40471806950975447</c:v>
                      </c:pt>
                      <c:pt idx="1">
                        <c:v>0.40471806950975447</c:v>
                      </c:pt>
                      <c:pt idx="4">
                        <c:v>0.40471806950975447</c:v>
                      </c:pt>
                    </c:numCache>
                  </c:numRef>
                </c:val>
                <c:extLst xmlns:c15="http://schemas.microsoft.com/office/drawing/2012/chart">
                  <c:ext xmlns:c16="http://schemas.microsoft.com/office/drawing/2014/chart" uri="{C3380CC4-5D6E-409C-BE32-E72D297353CC}">
                    <c16:uniqueId val="{0000000D-207A-43AB-873E-44FEE6F7E8A9}"/>
                  </c:ext>
                </c:extLst>
              </c15:ser>
            </c15:filteredBarSeries>
            <c15:filteredBarSeries>
              <c15:ser>
                <c:idx val="5"/>
                <c:order val="10"/>
                <c:tx>
                  <c:strRef>
                    <c:extLst xmlns:c15="http://schemas.microsoft.com/office/drawing/2012/chart">
                      <c:ext xmlns:c15="http://schemas.microsoft.com/office/drawing/2012/chart" uri="{02D57815-91ED-43cb-92C2-25804820EDAC}">
                        <c15:formulaRef>
                          <c15:sqref>'Graphikdaten 2'!$M$9</c15:sqref>
                        </c15:formulaRef>
                      </c:ext>
                    </c:extLst>
                    <c:strCache>
                      <c:ptCount val="1"/>
                      <c:pt idx="0">
                        <c:v>AblaV-Umlage</c:v>
                      </c:pt>
                    </c:strCache>
                  </c:strRef>
                </c:tx>
                <c:spPr>
                  <a:solidFill>
                    <a:schemeClr val="accent6"/>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2'!$M$10:$M$21</c15:sqref>
                        </c15:fullRef>
                        <c15:formulaRef>
                          <c15:sqref>('Graphikdaten 2'!$M$12,'Graphikdaten 2'!$M$15:$M$17,'Graphikdaten 2'!$M$19:$M$21)</c15:sqref>
                        </c15:formulaRef>
                      </c:ext>
                    </c:extLst>
                    <c:numCache>
                      <c:formatCode>0.0</c:formatCode>
                      <c:ptCount val="7"/>
                      <c:pt idx="0">
                        <c:v>8.0612580505828625E-3</c:v>
                      </c:pt>
                      <c:pt idx="1">
                        <c:v>8.0612580505828625E-3</c:v>
                      </c:pt>
                      <c:pt idx="4">
                        <c:v>8.0612580505828625E-3</c:v>
                      </c:pt>
                    </c:numCache>
                  </c:numRef>
                </c:val>
                <c:extLst xmlns:c15="http://schemas.microsoft.com/office/drawing/2012/chart">
                  <c:ext xmlns:c16="http://schemas.microsoft.com/office/drawing/2014/chart" uri="{C3380CC4-5D6E-409C-BE32-E72D297353CC}">
                    <c16:uniqueId val="{0000000E-207A-43AB-873E-44FEE6F7E8A9}"/>
                  </c:ext>
                </c:extLst>
              </c15:ser>
            </c15:filteredBarSeries>
          </c:ext>
        </c:extLst>
      </c:barChart>
      <c:lineChart>
        <c:grouping val="standard"/>
        <c:varyColors val="0"/>
        <c:ser>
          <c:idx val="16"/>
          <c:order val="16"/>
          <c:tx>
            <c:strRef>
              <c:f>'Graphikdaten 2'!$U$9</c:f>
              <c:strCache>
                <c:ptCount val="1"/>
                <c:pt idx="0">
                  <c:v>Summe ohne Beschaffung etc. mit MWSt.</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2'!$U$10:$U$21</c15:sqref>
                  </c15:fullRef>
                </c:ext>
              </c:extLst>
              <c:f>('Graphikdaten 2'!$U$12,'Graphikdaten 2'!$U$15:$U$17,'Graphikdaten 2'!$U$19:$U$21)</c:f>
              <c:numCache>
                <c:formatCode>0.00</c:formatCode>
                <c:ptCount val="7"/>
                <c:pt idx="0">
                  <c:v>21.889092303730859</c:v>
                </c:pt>
                <c:pt idx="1">
                  <c:v>15.831992303730861</c:v>
                </c:pt>
                <c:pt idx="2">
                  <c:v>9.677439277768439</c:v>
                </c:pt>
                <c:pt idx="3">
                  <c:v>6.6123423333156088</c:v>
                </c:pt>
                <c:pt idx="4">
                  <c:v>15.831992303730861</c:v>
                </c:pt>
                <c:pt idx="5">
                  <c:v>3.3362769618273322</c:v>
                </c:pt>
                <c:pt idx="6">
                  <c:v>1.6819691845985707</c:v>
                </c:pt>
              </c:numCache>
            </c:numRef>
          </c:val>
          <c:smooth val="0"/>
          <c:extLst>
            <c:ext xmlns:c16="http://schemas.microsoft.com/office/drawing/2014/chart" uri="{C3380CC4-5D6E-409C-BE32-E72D297353CC}">
              <c16:uniqueId val="{00000009-207A-43AB-873E-44FEE6F7E8A9}"/>
            </c:ext>
          </c:extLst>
        </c:ser>
        <c:dLbls>
          <c:showLegendKey val="0"/>
          <c:showVal val="0"/>
          <c:showCatName val="0"/>
          <c:showSerName val="0"/>
          <c:showPercent val="0"/>
          <c:showBubbleSize val="0"/>
        </c:dLbls>
        <c:marker val="1"/>
        <c:smooth val="0"/>
        <c:axId val="415006976"/>
        <c:axId val="415007368"/>
        <c:extLst>
          <c:ext xmlns:c15="http://schemas.microsoft.com/office/drawing/2012/chart" uri="{02D57815-91ED-43cb-92C2-25804820EDAC}">
            <c15:filteredLineSeries>
              <c15:ser>
                <c:idx val="13"/>
                <c:order val="12"/>
                <c:tx>
                  <c:strRef>
                    <c:extLst>
                      <c:ext uri="{02D57815-91ED-43cb-92C2-25804820EDAC}">
                        <c15:formulaRef>
                          <c15:sqref>'Graphikdaten 2'!$G$9</c15:sqref>
                        </c15:formulaRef>
                      </c:ext>
                    </c:extLst>
                    <c:strCache>
                      <c:ptCount val="1"/>
                      <c:pt idx="0">
                        <c:v>EEG-Umlagen-
Senkung</c:v>
                      </c:pt>
                    </c:strCache>
                  </c:strRef>
                </c:tx>
                <c:spPr>
                  <a:ln w="25400" cap="rnd">
                    <a:noFill/>
                    <a:round/>
                  </a:ln>
                  <a:effectLst/>
                </c:spPr>
                <c:marker>
                  <c:symbol val="none"/>
                </c:marker>
                <c:val>
                  <c:numRef>
                    <c:extLst>
                      <c:ext uri="{02D57815-91ED-43cb-92C2-25804820EDAC}">
                        <c15:fullRef>
                          <c15:sqref>'Graphikdaten 2'!$G$10:$G$21</c15:sqref>
                        </c15:fullRef>
                        <c15:formulaRef>
                          <c15:sqref>('Graphikdaten 2'!$G$12,'Graphikdaten 2'!$G$15:$G$17,'Graphikdaten 2'!$G$19:$G$21)</c15:sqref>
                        </c15:formulaRef>
                      </c:ext>
                    </c:extLst>
                    <c:numCache>
                      <c:formatCode>0.0</c:formatCode>
                      <c:ptCount val="7"/>
                      <c:pt idx="1">
                        <c:v>0</c:v>
                      </c:pt>
                      <c:pt idx="4">
                        <c:v>0</c:v>
                      </c:pt>
                    </c:numCache>
                  </c:numRef>
                </c:val>
                <c:smooth val="0"/>
                <c:extLst>
                  <c:ext xmlns:c16="http://schemas.microsoft.com/office/drawing/2014/chart" uri="{C3380CC4-5D6E-409C-BE32-E72D297353CC}">
                    <c16:uniqueId val="{0000000F-207A-43AB-873E-44FEE6F7E8A9}"/>
                  </c:ext>
                </c:extLst>
              </c15:ser>
            </c15:filteredLineSeries>
            <c15:filteredLineSeries>
              <c15:ser>
                <c:idx val="11"/>
                <c:order val="15"/>
                <c:tx>
                  <c:strRef>
                    <c:extLst xmlns:c15="http://schemas.microsoft.com/office/drawing/2012/chart">
                      <c:ext xmlns:c15="http://schemas.microsoft.com/office/drawing/2012/chart" uri="{02D57815-91ED-43cb-92C2-25804820EDAC}">
                        <c15:formulaRef>
                          <c15:sqref>'Graphikdaten 2'!$T$9</c15:sqref>
                        </c15:formulaRef>
                      </c:ext>
                    </c:extLst>
                    <c:strCache>
                      <c:ptCount val="1"/>
                      <c:pt idx="0">
                        <c:v>Summe ohne Beschaffung etc. ohne MWSt.</c:v>
                      </c:pt>
                    </c:strCache>
                  </c:strRef>
                </c:tx>
                <c:spPr>
                  <a:ln w="28575" cap="rnd">
                    <a:noFill/>
                    <a:round/>
                  </a:ln>
                  <a:effectLst/>
                </c:spPr>
                <c:marker>
                  <c:symbol val="none"/>
                </c:marker>
                <c:dLbls>
                  <c:numFmt formatCode="#,##0.0" sourceLinked="0"/>
                  <c:spPr>
                    <a:solidFill>
                      <a:srgbClr val="E3E4EA"/>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2'!$T$10:$T$21</c15:sqref>
                        </c15:fullRef>
                        <c15:formulaRef>
                          <c15:sqref>('Graphikdaten 2'!$T$12,'Graphikdaten 2'!$T$15:$T$17,'Graphikdaten 2'!$T$19:$T$21)</c15:sqref>
                        </c15:formulaRef>
                      </c:ext>
                    </c:extLst>
                    <c:numCache>
                      <c:formatCode>0.00</c:formatCode>
                      <c:ptCount val="7"/>
                      <c:pt idx="0">
                        <c:v>18.394195213219209</c:v>
                      </c:pt>
                      <c:pt idx="1">
                        <c:v>13.304195213219211</c:v>
                      </c:pt>
                      <c:pt idx="2">
                        <c:v>8.1323019140911246</c:v>
                      </c:pt>
                      <c:pt idx="3">
                        <c:v>5.5565901960635369</c:v>
                      </c:pt>
                      <c:pt idx="4">
                        <c:v>13.304195213219211</c:v>
                      </c:pt>
                      <c:pt idx="5">
                        <c:v>2.8035940855691868</c:v>
                      </c:pt>
                      <c:pt idx="6">
                        <c:v>1.4134194828559419</c:v>
                      </c:pt>
                    </c:numCache>
                  </c:numRef>
                </c:val>
                <c:smooth val="0"/>
                <c:extLst xmlns:c15="http://schemas.microsoft.com/office/drawing/2012/chart">
                  <c:ext xmlns:c16="http://schemas.microsoft.com/office/drawing/2014/chart" uri="{C3380CC4-5D6E-409C-BE32-E72D297353CC}">
                    <c16:uniqueId val="{00000010-207A-43AB-873E-44FEE6F7E8A9}"/>
                  </c:ext>
                </c:extLst>
              </c15:ser>
            </c15:filteredLineSeries>
          </c:ext>
        </c:extLst>
      </c:lineChart>
      <c:catAx>
        <c:axId val="415006976"/>
        <c:scaling>
          <c:orientation val="minMax"/>
        </c:scaling>
        <c:delete val="0"/>
        <c:axPos val="b"/>
        <c:majorGridlines>
          <c:spPr>
            <a:ln w="12700"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15007368"/>
        <c:crosses val="autoZero"/>
        <c:auto val="1"/>
        <c:lblAlgn val="ctr"/>
        <c:lblOffset val="100"/>
        <c:noMultiLvlLbl val="0"/>
      </c:catAx>
      <c:valAx>
        <c:axId val="415007368"/>
        <c:scaling>
          <c:orientation val="minMax"/>
          <c:max val="30"/>
          <c:min val="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de-DE" b="1"/>
                  <a:t>ct/kWh</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15006976"/>
        <c:crosses val="autoZero"/>
        <c:crossBetween val="between"/>
        <c:majorUnit val="10"/>
      </c:valAx>
      <c:spPr>
        <a:noFill/>
        <a:ln>
          <a:noFill/>
        </a:ln>
        <a:effectLst/>
      </c:spPr>
    </c:plotArea>
    <c:legend>
      <c:legendPos val="r"/>
      <c:legendEntry>
        <c:idx val="9"/>
        <c:delete val="1"/>
      </c:legendEntry>
      <c:layout>
        <c:manualLayout>
          <c:xMode val="edge"/>
          <c:yMode val="edge"/>
          <c:x val="0.75584419289816396"/>
          <c:y val="8.1941452820990135E-2"/>
          <c:w val="0.2441558538404176"/>
          <c:h val="0.833901519312971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b="0" i="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02761144377913E-2"/>
          <c:y val="4.4713888888888886E-2"/>
          <c:w val="0.64728110445775111"/>
          <c:h val="0.53372233166665861"/>
        </c:manualLayout>
      </c:layout>
      <c:barChart>
        <c:barDir val="col"/>
        <c:grouping val="stacked"/>
        <c:varyColors val="0"/>
        <c:ser>
          <c:idx val="0"/>
          <c:order val="1"/>
          <c:tx>
            <c:strRef>
              <c:f>'Graphikdaten 2'!$D$9</c:f>
              <c:strCache>
                <c:ptCount val="1"/>
                <c:pt idx="0">
                  <c:v>Stromsteuer</c:v>
                </c:pt>
              </c:strCache>
            </c:strRef>
          </c:tx>
          <c:spPr>
            <a:solidFill>
              <a:schemeClr val="accent3">
                <a:lumMod val="5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2'!$A$11:$B$12,'Graphikdaten 2'!$A$15:$B$17,'Graphikdaten 2'!$A$19:$B$21)</c:f>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2'!$D$10:$D$21</c15:sqref>
                  </c15:fullRef>
                </c:ext>
              </c:extLst>
              <c:f>('Graphikdaten 2'!$D$11:$D$12,'Graphikdaten 2'!$D$15:$D$17,'Graphikdaten 2'!$D$19:$D$21)</c:f>
              <c:numCache>
                <c:formatCode>0.0</c:formatCode>
                <c:ptCount val="8"/>
                <c:pt idx="1">
                  <c:v>2.0499999999999998</c:v>
                </c:pt>
                <c:pt idx="2">
                  <c:v>2.0499999999999998</c:v>
                </c:pt>
                <c:pt idx="5">
                  <c:v>2.0499999999999998</c:v>
                </c:pt>
              </c:numCache>
            </c:numRef>
          </c:val>
          <c:extLst>
            <c:ext xmlns:c16="http://schemas.microsoft.com/office/drawing/2014/chart" uri="{C3380CC4-5D6E-409C-BE32-E72D297353CC}">
              <c16:uniqueId val="{00000000-123F-4708-9A14-A14345BC15E1}"/>
            </c:ext>
          </c:extLst>
        </c:ser>
        <c:ser>
          <c:idx val="6"/>
          <c:order val="2"/>
          <c:tx>
            <c:strRef>
              <c:f>'Graphikdaten 2'!$N$9</c:f>
              <c:strCache>
                <c:ptCount val="1"/>
                <c:pt idx="0">
                  <c:v>Energiesteuer</c:v>
                </c:pt>
              </c:strCache>
            </c:strRef>
          </c:tx>
          <c:spPr>
            <a:solidFill>
              <a:schemeClr val="accent4"/>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2'!$A$11:$B$12,'Graphikdaten 2'!$A$15:$B$17,'Graphikdaten 2'!$A$19:$B$21)</c:f>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2'!$N$10:$N$21</c15:sqref>
                  </c15:fullRef>
                </c:ext>
              </c:extLst>
              <c:f>('Graphikdaten 2'!$N$11:$N$12,'Graphikdaten 2'!$N$15:$N$17,'Graphikdaten 2'!$N$19:$N$21)</c:f>
              <c:numCache>
                <c:formatCode>0.0</c:formatCode>
                <c:ptCount val="8"/>
                <c:pt idx="3">
                  <c:v>7.3427706333865901</c:v>
                </c:pt>
                <c:pt idx="4">
                  <c:v>4.757103666808467</c:v>
                </c:pt>
                <c:pt idx="6">
                  <c:v>0.60948581560283699</c:v>
                </c:pt>
                <c:pt idx="7">
                  <c:v>0.61400348285594186</c:v>
                </c:pt>
              </c:numCache>
            </c:numRef>
          </c:val>
          <c:extLst>
            <c:ext xmlns:c16="http://schemas.microsoft.com/office/drawing/2014/chart" uri="{C3380CC4-5D6E-409C-BE32-E72D297353CC}">
              <c16:uniqueId val="{00000001-123F-4708-9A14-A14345BC15E1}"/>
            </c:ext>
          </c:extLst>
        </c:ser>
        <c:ser>
          <c:idx val="8"/>
          <c:order val="4"/>
          <c:tx>
            <c:strRef>
              <c:f>'Graphikdaten 2'!$P$9</c:f>
              <c:strCache>
                <c:ptCount val="1"/>
                <c:pt idx="0">
                  <c:v>Netzentgelte</c:v>
                </c:pt>
              </c:strCache>
            </c:strRef>
          </c:tx>
          <c:spPr>
            <a:solidFill>
              <a:schemeClr val="accent3">
                <a:lumMod val="60000"/>
                <a:lumOff val="4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2'!$A$11:$B$12,'Graphikdaten 2'!$A$15:$B$17,'Graphikdaten 2'!$A$19:$B$21)</c:f>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2'!$P$10:$P$21</c15:sqref>
                  </c15:fullRef>
                </c:ext>
              </c:extLst>
              <c:f>('Graphikdaten 2'!$P$11:$P$12,'Graphikdaten 2'!$P$15:$P$17,'Graphikdaten 2'!$P$19:$P$21)</c:f>
              <c:numCache>
                <c:formatCode>0.0</c:formatCode>
                <c:ptCount val="8"/>
                <c:pt idx="1">
                  <c:v>7.8</c:v>
                </c:pt>
                <c:pt idx="2">
                  <c:v>3.9</c:v>
                </c:pt>
                <c:pt idx="5">
                  <c:v>3.9</c:v>
                </c:pt>
                <c:pt idx="6">
                  <c:v>1.56</c:v>
                </c:pt>
              </c:numCache>
            </c:numRef>
          </c:val>
          <c:extLst xmlns:c15="http://schemas.microsoft.com/office/drawing/2012/chart">
            <c:ext xmlns:c16="http://schemas.microsoft.com/office/drawing/2014/chart" uri="{C3380CC4-5D6E-409C-BE32-E72D297353CC}">
              <c16:uniqueId val="{00000002-123F-4708-9A14-A14345BC15E1}"/>
            </c:ext>
          </c:extLst>
        </c:ser>
        <c:ser>
          <c:idx val="9"/>
          <c:order val="5"/>
          <c:tx>
            <c:strRef>
              <c:f>'Graphikdaten 2'!$Q$9</c:f>
              <c:strCache>
                <c:ptCount val="1"/>
                <c:pt idx="0">
                  <c:v>Konzessions-
abgabe</c:v>
                </c:pt>
              </c:strCache>
            </c:strRef>
          </c:tx>
          <c:spPr>
            <a:solidFill>
              <a:schemeClr val="accent4">
                <a:lumMod val="20000"/>
                <a:lumOff val="8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2'!$A$11:$B$12,'Graphikdaten 2'!$A$15:$B$17,'Graphikdaten 2'!$A$19:$B$21)</c:f>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2'!$Q$10:$Q$21</c15:sqref>
                  </c15:fullRef>
                </c:ext>
              </c:extLst>
              <c:f>('Graphikdaten 2'!$Q$11:$Q$12,'Graphikdaten 2'!$Q$15:$Q$17,'Graphikdaten 2'!$Q$19:$Q$21)</c:f>
              <c:numCache>
                <c:formatCode>0.0</c:formatCode>
                <c:ptCount val="8"/>
                <c:pt idx="1">
                  <c:v>1.7</c:v>
                </c:pt>
                <c:pt idx="2">
                  <c:v>0.51</c:v>
                </c:pt>
                <c:pt idx="5">
                  <c:v>0.51</c:v>
                </c:pt>
                <c:pt idx="6">
                  <c:v>0.03</c:v>
                </c:pt>
              </c:numCache>
            </c:numRef>
          </c:val>
          <c:extLst>
            <c:ext xmlns:c16="http://schemas.microsoft.com/office/drawing/2014/chart" uri="{C3380CC4-5D6E-409C-BE32-E72D297353CC}">
              <c16:uniqueId val="{00000003-123F-4708-9A14-A14345BC15E1}"/>
            </c:ext>
          </c:extLst>
        </c:ser>
        <c:ser>
          <c:idx val="3"/>
          <c:order val="6"/>
          <c:tx>
            <c:strRef>
              <c:f>'Graphikdaten 2'!$I$9</c:f>
              <c:strCache>
                <c:ptCount val="1"/>
                <c:pt idx="0">
                  <c:v>CO2-Zertifikate EU-ETS 
(≙ 51 €/EUA)</c:v>
                </c:pt>
              </c:strCache>
            </c:strRef>
          </c:tx>
          <c:spPr>
            <a:solidFill>
              <a:schemeClr val="tx1"/>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2'!$A$11:$B$12,'Graphikdaten 2'!$A$15:$B$17,'Graphikdaten 2'!$A$19:$B$21)</c:f>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2'!$I$10:$I$21</c15:sqref>
                  </c15:fullRef>
                </c:ext>
              </c:extLst>
              <c:f>('Graphikdaten 2'!$I$11:$I$12,'Graphikdaten 2'!$I$15:$I$17,'Graphikdaten 2'!$I$19:$I$21)</c:f>
              <c:numCache>
                <c:formatCode>0.0</c:formatCode>
                <c:ptCount val="8"/>
                <c:pt idx="0">
                  <c:v>2.0451000000000001</c:v>
                </c:pt>
                <c:pt idx="1">
                  <c:v>2.0451000000000001</c:v>
                </c:pt>
                <c:pt idx="2">
                  <c:v>2.0451000000000001</c:v>
                </c:pt>
                <c:pt idx="5">
                  <c:v>2.0451000000000001</c:v>
                </c:pt>
              </c:numCache>
            </c:numRef>
          </c:val>
          <c:extLst xmlns:c15="http://schemas.microsoft.com/office/drawing/2012/chart">
            <c:ext xmlns:c16="http://schemas.microsoft.com/office/drawing/2014/chart" uri="{C3380CC4-5D6E-409C-BE32-E72D297353CC}">
              <c16:uniqueId val="{00000004-123F-4708-9A14-A14345BC15E1}"/>
            </c:ext>
          </c:extLst>
        </c:ser>
        <c:ser>
          <c:idx val="12"/>
          <c:order val="10"/>
          <c:tx>
            <c:strRef>
              <c:f>'Graphikdaten 2'!$R$9</c:f>
              <c:strCache>
                <c:ptCount val="1"/>
                <c:pt idx="0">
                  <c:v>Sonstige Umlagen</c:v>
                </c:pt>
              </c:strCache>
            </c:strRef>
          </c:tx>
          <c:spPr>
            <a:solidFill>
              <a:schemeClr val="accent1"/>
            </a:solidFill>
            <a:ln w="25400">
              <a:noFill/>
            </a:ln>
            <a:effectLst/>
          </c:spPr>
          <c:invertIfNegative val="0"/>
          <c:cat>
            <c:strLit>
              <c:ptCount val="8"/>
              <c:pt idx="0">
                <c:v>Strom Erzeugung</c:v>
              </c:pt>
              <c:pt idx="1">
                <c:v>Strom Haushalte</c:v>
              </c:pt>
              <c:pt idx="2">
                <c:v>Verkehr E-Pkw, PtX</c:v>
              </c:pt>
              <c:pt idx="3">
                <c:v>Verkehr Benzin</c:v>
              </c:pt>
              <c:pt idx="4">
                <c:v>Verkehr Diesel</c:v>
              </c:pt>
              <c:pt idx="5">
                <c:v>Wärme Wärmepumpe, PtX</c:v>
              </c:pt>
              <c:pt idx="6">
                <c:v>Wärme Erdgas</c:v>
              </c:pt>
              <c:pt idx="7">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2'!$R$10:$R$21</c15:sqref>
                  </c15:fullRef>
                </c:ext>
              </c:extLst>
              <c:f>('Graphikdaten 2'!$R$11:$R$12,'Graphikdaten 2'!$R$15:$R$17,'Graphikdaten 2'!$R$19:$R$21)</c:f>
              <c:numCache>
                <c:formatCode>0.0</c:formatCode>
                <c:ptCount val="8"/>
                <c:pt idx="0">
                  <c:v>0</c:v>
                </c:pt>
                <c:pt idx="1">
                  <c:v>0.82192812073396038</c:v>
                </c:pt>
                <c:pt idx="2">
                  <c:v>0.82192812073396038</c:v>
                </c:pt>
                <c:pt idx="3">
                  <c:v>0</c:v>
                </c:pt>
                <c:pt idx="4">
                  <c:v>0</c:v>
                </c:pt>
                <c:pt idx="5">
                  <c:v>0.82192812073396038</c:v>
                </c:pt>
                <c:pt idx="6">
                  <c:v>0</c:v>
                </c:pt>
                <c:pt idx="7">
                  <c:v>0</c:v>
                </c:pt>
              </c:numCache>
            </c:numRef>
          </c:val>
          <c:extLst>
            <c:ext xmlns:c16="http://schemas.microsoft.com/office/drawing/2014/chart" uri="{C3380CC4-5D6E-409C-BE32-E72D297353CC}">
              <c16:uniqueId val="{00000005-123F-4708-9A14-A14345BC15E1}"/>
            </c:ext>
          </c:extLst>
        </c:ser>
        <c:ser>
          <c:idx val="1"/>
          <c:order val="11"/>
          <c:tx>
            <c:strRef>
              <c:f>'Graphikdaten 2'!$F$9</c:f>
              <c:strCache>
                <c:ptCount val="1"/>
                <c:pt idx="0">
                  <c:v>EEG-Umlage</c:v>
                </c:pt>
              </c:strCache>
            </c:strRef>
          </c:tx>
          <c:spPr>
            <a:solidFill>
              <a:schemeClr val="accent2"/>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2'!$A$11:$B$12,'Graphikdaten 2'!$A$15:$B$17,'Graphikdaten 2'!$A$19:$B$21)</c:f>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2'!$F$10:$F$21</c15:sqref>
                  </c15:fullRef>
                </c:ext>
              </c:extLst>
              <c:f>('Graphikdaten 2'!$F$11:$F$12,'Graphikdaten 2'!$F$15:$F$17,'Graphikdaten 2'!$F$19:$F$21)</c:f>
              <c:numCache>
                <c:formatCode>0.0</c:formatCode>
                <c:ptCount val="8"/>
                <c:pt idx="1">
                  <c:v>3.7231670924852511</c:v>
                </c:pt>
                <c:pt idx="2">
                  <c:v>3.7231670924852511</c:v>
                </c:pt>
                <c:pt idx="5">
                  <c:v>3.7231670924852511</c:v>
                </c:pt>
              </c:numCache>
            </c:numRef>
          </c:val>
          <c:extLst>
            <c:ext xmlns:c16="http://schemas.microsoft.com/office/drawing/2014/chart" uri="{C3380CC4-5D6E-409C-BE32-E72D297353CC}">
              <c16:uniqueId val="{00000006-123F-4708-9A14-A14345BC15E1}"/>
            </c:ext>
          </c:extLst>
        </c:ser>
        <c:ser>
          <c:idx val="14"/>
          <c:order val="13"/>
          <c:tx>
            <c:strRef>
              <c:f>'Graphikdaten 2'!$S$9</c:f>
              <c:strCache>
                <c:ptCount val="1"/>
                <c:pt idx="0">
                  <c:v>Mehrwertsteuer</c:v>
                </c:pt>
              </c:strCache>
            </c:strRef>
          </c:tx>
          <c:spPr>
            <a:solidFill>
              <a:schemeClr val="bg1">
                <a:lumMod val="75000"/>
              </a:schemeClr>
            </a:solidFill>
            <a:ln w="25400">
              <a:noFill/>
            </a:ln>
            <a:effectLst/>
          </c:spPr>
          <c:invertIfNegative val="0"/>
          <c:cat>
            <c:strLit>
              <c:ptCount val="8"/>
              <c:pt idx="0">
                <c:v>Strom Erzeugung</c:v>
              </c:pt>
              <c:pt idx="1">
                <c:v>Strom Haushalte</c:v>
              </c:pt>
              <c:pt idx="2">
                <c:v>Verkehr E-Pkw, PtX</c:v>
              </c:pt>
              <c:pt idx="3">
                <c:v>Verkehr Benzin</c:v>
              </c:pt>
              <c:pt idx="4">
                <c:v>Verkehr Diesel</c:v>
              </c:pt>
              <c:pt idx="5">
                <c:v>Wärme Wärmepumpe, PtX</c:v>
              </c:pt>
              <c:pt idx="6">
                <c:v>Wärme Erdgas</c:v>
              </c:pt>
              <c:pt idx="7">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2'!$S$10:$S$21</c15:sqref>
                  </c15:fullRef>
                </c:ext>
              </c:extLst>
              <c:f>('Graphikdaten 2'!$S$11:$S$12,'Graphikdaten 2'!$S$15:$S$17,'Graphikdaten 2'!$S$19:$S$21)</c:f>
              <c:numCache>
                <c:formatCode>0.0</c:formatCode>
                <c:ptCount val="8"/>
                <c:pt idx="0">
                  <c:v>0.38856900000000005</c:v>
                </c:pt>
                <c:pt idx="1">
                  <c:v>3.4948970905116497</c:v>
                </c:pt>
                <c:pt idx="2">
                  <c:v>2.5277970905116502</c:v>
                </c:pt>
                <c:pt idx="3">
                  <c:v>1.5451373636773136</c:v>
                </c:pt>
                <c:pt idx="4">
                  <c:v>1.055752137252072</c:v>
                </c:pt>
                <c:pt idx="5">
                  <c:v>2.5277970905116502</c:v>
                </c:pt>
                <c:pt idx="6">
                  <c:v>0.53268287625814548</c:v>
                </c:pt>
                <c:pt idx="7">
                  <c:v>0.26854970174262893</c:v>
                </c:pt>
              </c:numCache>
            </c:numRef>
          </c:val>
          <c:extLst xmlns:c15="http://schemas.microsoft.com/office/drawing/2012/chart">
            <c:ext xmlns:c16="http://schemas.microsoft.com/office/drawing/2014/chart" uri="{C3380CC4-5D6E-409C-BE32-E72D297353CC}">
              <c16:uniqueId val="{00000007-123F-4708-9A14-A14345BC15E1}"/>
            </c:ext>
          </c:extLst>
        </c:ser>
        <c:dLbls>
          <c:showLegendKey val="0"/>
          <c:showVal val="0"/>
          <c:showCatName val="0"/>
          <c:showSerName val="0"/>
          <c:showPercent val="0"/>
          <c:showBubbleSize val="0"/>
        </c:dLbls>
        <c:gapWidth val="100"/>
        <c:overlap val="100"/>
        <c:axId val="415006976"/>
        <c:axId val="415007368"/>
        <c:extLst>
          <c:ext xmlns:c15="http://schemas.microsoft.com/office/drawing/2012/chart" uri="{02D57815-91ED-43cb-92C2-25804820EDAC}">
            <c15:filteredBarSeries>
              <c15:ser>
                <c:idx val="10"/>
                <c:order val="0"/>
                <c:tx>
                  <c:strRef>
                    <c:extLst>
                      <c:ext uri="{02D57815-91ED-43cb-92C2-25804820EDAC}">
                        <c15:formulaRef>
                          <c15:sqref>'Graphikdaten 2'!$C$9</c15:sqref>
                        </c15:formulaRef>
                      </c:ext>
                    </c:extLst>
                    <c:strCache>
                      <c:ptCount val="1"/>
                      <c:pt idx="0">
                        <c:v>Beschaffung,
Vertrieb und Marge (ohne EUA-Kosten)</c:v>
                      </c:pt>
                    </c:strCache>
                  </c:strRef>
                </c:tx>
                <c:spPr>
                  <a:solidFill>
                    <a:schemeClr val="accent3"/>
                  </a:solidFill>
                  <a:ln w="25400">
                    <a:noFill/>
                  </a:ln>
                  <a:effectLst/>
                </c:spPr>
                <c:invertIfNegative val="0"/>
                <c:val>
                  <c:numRef>
                    <c:extLst>
                      <c:ext uri="{02D57815-91ED-43cb-92C2-25804820EDAC}">
                        <c15:fullRef>
                          <c15:sqref>'Graphikdaten 2'!$C$10:$C$21</c15:sqref>
                        </c15:fullRef>
                        <c15:formulaRef>
                          <c15:sqref>('Graphikdaten 2'!$C$11:$C$12,'Graphikdaten 2'!$C$15:$C$17,'Graphikdaten 2'!$C$19:$C$21)</c15:sqref>
                        </c15:formulaRef>
                      </c:ext>
                    </c:extLst>
                    <c:numCache>
                      <c:formatCode>0.0</c:formatCode>
                      <c:ptCount val="8"/>
                      <c:pt idx="1">
                        <c:v>8.7949000000000002</c:v>
                      </c:pt>
                      <c:pt idx="2">
                        <c:v>8.3047387094097722</c:v>
                      </c:pt>
                      <c:pt idx="3">
                        <c:v>6.1002488313134098</c:v>
                      </c:pt>
                      <c:pt idx="4">
                        <c:v>5.7733143548220589</c:v>
                      </c:pt>
                      <c:pt idx="5">
                        <c:v>4.8099999999999996</c:v>
                      </c:pt>
                      <c:pt idx="6">
                        <c:v>2.1806368320778731</c:v>
                      </c:pt>
                      <c:pt idx="7">
                        <c:v>4.7610524427761032</c:v>
                      </c:pt>
                    </c:numCache>
                  </c:numRef>
                </c:val>
                <c:extLst>
                  <c:ext xmlns:c16="http://schemas.microsoft.com/office/drawing/2014/chart" uri="{C3380CC4-5D6E-409C-BE32-E72D297353CC}">
                    <c16:uniqueId val="{00000009-123F-4708-9A14-A14345BC15E1}"/>
                  </c:ext>
                </c:extLst>
              </c15:ser>
            </c15:filteredBarSeries>
            <c15:filteredBarSeries>
              <c15:ser>
                <c:idx val="7"/>
                <c:order val="3"/>
                <c:tx>
                  <c:strRef>
                    <c:extLst xmlns:c15="http://schemas.microsoft.com/office/drawing/2012/chart">
                      <c:ext xmlns:c15="http://schemas.microsoft.com/office/drawing/2012/chart" uri="{02D57815-91ED-43cb-92C2-25804820EDAC}">
                        <c15:formulaRef>
                          <c15:sqref>'Graphikdaten 2'!$O$9</c15:sqref>
                        </c15:formulaRef>
                      </c:ext>
                    </c:extLst>
                    <c:strCache>
                      <c:ptCount val="1"/>
                      <c:pt idx="0">
                        <c:v>Energiesteuer-
Erhöhung</c:v>
                      </c:pt>
                    </c:strCache>
                  </c:strRef>
                </c:tx>
                <c:spPr>
                  <a:pattFill prst="dkUpDiag">
                    <a:fgClr>
                      <a:schemeClr val="accent4"/>
                    </a:fgClr>
                    <a:bgClr>
                      <a:srgbClr val="F6F6F8"/>
                    </a:bgClr>
                  </a:patt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2'!$A$11:$B$12,'Graphikdaten 2'!$A$15:$B$17,'Graphikdaten 2'!$A$19:$B$21)</c15:sqref>
                        </c15:formulaRef>
                      </c:ext>
                    </c:extLst>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2'!$O$10:$O$21</c15:sqref>
                        </c15:fullRef>
                        <c15:formulaRef>
                          <c15:sqref>('Graphikdaten 2'!$O$11:$O$12,'Graphikdaten 2'!$O$15:$O$17,'Graphikdaten 2'!$O$19:$O$21)</c15:sqref>
                        </c15:formulaRef>
                      </c:ext>
                    </c:extLst>
                    <c:numCache>
                      <c:formatCode>0.0</c:formatCode>
                      <c:ptCount val="8"/>
                    </c:numCache>
                  </c:numRef>
                </c:val>
                <c:extLst xmlns:c15="http://schemas.microsoft.com/office/drawing/2012/chart">
                  <c:ext xmlns:c16="http://schemas.microsoft.com/office/drawing/2014/chart" uri="{C3380CC4-5D6E-409C-BE32-E72D297353CC}">
                    <c16:uniqueId val="{0000000A-123F-4708-9A14-A14345BC15E1}"/>
                  </c:ext>
                </c:extLst>
              </c15:ser>
            </c15:filteredBarSeries>
            <c15:filteredBarSeries>
              <c15:ser>
                <c:idx val="2"/>
                <c:order val="7"/>
                <c:tx>
                  <c:strRef>
                    <c:extLst xmlns:c15="http://schemas.microsoft.com/office/drawing/2012/chart">
                      <c:ext xmlns:c15="http://schemas.microsoft.com/office/drawing/2012/chart" uri="{02D57815-91ED-43cb-92C2-25804820EDAC}">
                        <c15:formulaRef>
                          <c15:sqref>'Graphikdaten 2'!$H$9</c15:sqref>
                        </c15:formulaRef>
                      </c:ext>
                    </c:extLst>
                    <c:strCache>
                      <c:ptCount val="1"/>
                      <c:pt idx="0">
                        <c:v>KWK-Umlage</c:v>
                      </c:pt>
                    </c:strCache>
                  </c:strRef>
                </c:tx>
                <c:spPr>
                  <a:solidFill>
                    <a:schemeClr val="accent5">
                      <a:lumMod val="75000"/>
                    </a:schemeClr>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2'!$A$11:$B$12,'Graphikdaten 2'!$A$15:$B$17,'Graphikdaten 2'!$A$19:$B$21)</c15:sqref>
                        </c15:formulaRef>
                      </c:ext>
                    </c:extLst>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2'!$H$10:$H$21</c15:sqref>
                        </c15:fullRef>
                        <c15:formulaRef>
                          <c15:sqref>('Graphikdaten 2'!$H$11:$H$12,'Graphikdaten 2'!$H$15:$H$17,'Graphikdaten 2'!$H$19:$H$21)</c15:sqref>
                        </c15:formulaRef>
                      </c:ext>
                    </c:extLst>
                    <c:numCache>
                      <c:formatCode>0.0</c:formatCode>
                      <c:ptCount val="8"/>
                      <c:pt idx="1">
                        <c:v>0.254</c:v>
                      </c:pt>
                      <c:pt idx="2">
                        <c:v>0.254</c:v>
                      </c:pt>
                      <c:pt idx="5">
                        <c:v>0.254</c:v>
                      </c:pt>
                    </c:numCache>
                  </c:numRef>
                </c:val>
                <c:extLst xmlns:c15="http://schemas.microsoft.com/office/drawing/2012/chart">
                  <c:ext xmlns:c16="http://schemas.microsoft.com/office/drawing/2014/chart" uri="{C3380CC4-5D6E-409C-BE32-E72D297353CC}">
                    <c16:uniqueId val="{0000000B-123F-4708-9A14-A14345BC15E1}"/>
                  </c:ext>
                </c:extLst>
              </c15:ser>
            </c15:filteredBarSeries>
            <c15:filteredBarSeries>
              <c15:ser>
                <c:idx val="4"/>
                <c:order val="8"/>
                <c:tx>
                  <c:strRef>
                    <c:extLst xmlns:c15="http://schemas.microsoft.com/office/drawing/2012/chart">
                      <c:ext xmlns:c15="http://schemas.microsoft.com/office/drawing/2012/chart" uri="{02D57815-91ED-43cb-92C2-25804820EDAC}">
                        <c15:formulaRef>
                          <c15:sqref>'Graphikdaten 2'!$K$9</c15:sqref>
                        </c15:formulaRef>
                      </c:ext>
                    </c:extLst>
                    <c:strCache>
                      <c:ptCount val="1"/>
                      <c:pt idx="0">
                        <c:v>§19.2-StromNEV-Umlage</c:v>
                      </c:pt>
                    </c:strCache>
                  </c:strRef>
                </c:tx>
                <c:spPr>
                  <a:solidFill>
                    <a:schemeClr val="accent5"/>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2'!$A$11:$B$12,'Graphikdaten 2'!$A$15:$B$17,'Graphikdaten 2'!$A$19:$B$21)</c15:sqref>
                        </c15:formulaRef>
                      </c:ext>
                    </c:extLst>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2'!$K$10:$K$21</c15:sqref>
                        </c15:fullRef>
                        <c15:formulaRef>
                          <c15:sqref>('Graphikdaten 2'!$K$11:$K$12,'Graphikdaten 2'!$K$15:$K$17,'Graphikdaten 2'!$K$19:$K$21)</c15:sqref>
                        </c15:formulaRef>
                      </c:ext>
                    </c:extLst>
                    <c:numCache>
                      <c:formatCode>0.0</c:formatCode>
                      <c:ptCount val="8"/>
                      <c:pt idx="1">
                        <c:v>0.40471806950975447</c:v>
                      </c:pt>
                      <c:pt idx="2">
                        <c:v>0.40471806950975447</c:v>
                      </c:pt>
                      <c:pt idx="5">
                        <c:v>0.40471806950975447</c:v>
                      </c:pt>
                    </c:numCache>
                  </c:numRef>
                </c:val>
                <c:extLst xmlns:c15="http://schemas.microsoft.com/office/drawing/2012/chart">
                  <c:ext xmlns:c16="http://schemas.microsoft.com/office/drawing/2014/chart" uri="{C3380CC4-5D6E-409C-BE32-E72D297353CC}">
                    <c16:uniqueId val="{0000000C-123F-4708-9A14-A14345BC15E1}"/>
                  </c:ext>
                </c:extLst>
              </c15:ser>
            </c15:filteredBarSeries>
            <c15:filteredBarSeries>
              <c15:ser>
                <c:idx val="5"/>
                <c:order val="9"/>
                <c:tx>
                  <c:strRef>
                    <c:extLst xmlns:c15="http://schemas.microsoft.com/office/drawing/2012/chart">
                      <c:ext xmlns:c15="http://schemas.microsoft.com/office/drawing/2012/chart" uri="{02D57815-91ED-43cb-92C2-25804820EDAC}">
                        <c15:formulaRef>
                          <c15:sqref>'Graphikdaten 2'!$M$9</c15:sqref>
                        </c15:formulaRef>
                      </c:ext>
                    </c:extLst>
                    <c:strCache>
                      <c:ptCount val="1"/>
                      <c:pt idx="0">
                        <c:v>AblaV-Umlage</c:v>
                      </c:pt>
                    </c:strCache>
                  </c:strRef>
                </c:tx>
                <c:spPr>
                  <a:solidFill>
                    <a:schemeClr val="accent6"/>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2'!$A$11:$B$12,'Graphikdaten 2'!$A$15:$B$17,'Graphikdaten 2'!$A$19:$B$21)</c15:sqref>
                        </c15:formulaRef>
                      </c:ext>
                    </c:extLst>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2'!$M$10:$M$21</c15:sqref>
                        </c15:fullRef>
                        <c15:formulaRef>
                          <c15:sqref>('Graphikdaten 2'!$M$11:$M$12,'Graphikdaten 2'!$M$15:$M$17,'Graphikdaten 2'!$M$19:$M$21)</c15:sqref>
                        </c15:formulaRef>
                      </c:ext>
                    </c:extLst>
                    <c:numCache>
                      <c:formatCode>0.0</c:formatCode>
                      <c:ptCount val="8"/>
                      <c:pt idx="1">
                        <c:v>8.0612580505828625E-3</c:v>
                      </c:pt>
                      <c:pt idx="2">
                        <c:v>8.0612580505828625E-3</c:v>
                      </c:pt>
                      <c:pt idx="5">
                        <c:v>8.0612580505828625E-3</c:v>
                      </c:pt>
                    </c:numCache>
                  </c:numRef>
                </c:val>
                <c:extLst xmlns:c15="http://schemas.microsoft.com/office/drawing/2012/chart">
                  <c:ext xmlns:c16="http://schemas.microsoft.com/office/drawing/2014/chart" uri="{C3380CC4-5D6E-409C-BE32-E72D297353CC}">
                    <c16:uniqueId val="{0000000D-123F-4708-9A14-A14345BC15E1}"/>
                  </c:ext>
                </c:extLst>
              </c15:ser>
            </c15:filteredBarSeries>
            <c15:filteredBarSeries>
              <c15:ser>
                <c:idx val="13"/>
                <c:order val="12"/>
                <c:tx>
                  <c:strRef>
                    <c:extLst xmlns:c15="http://schemas.microsoft.com/office/drawing/2012/chart">
                      <c:ext xmlns:c15="http://schemas.microsoft.com/office/drawing/2012/chart" uri="{02D57815-91ED-43cb-92C2-25804820EDAC}">
                        <c15:formulaRef>
                          <c15:sqref>'Graphikdaten 2'!$G$9</c15:sqref>
                        </c15:formulaRef>
                      </c:ext>
                    </c:extLst>
                    <c:strCache>
                      <c:ptCount val="1"/>
                      <c:pt idx="0">
                        <c:v>EEG-Umlagen-
Senkung</c:v>
                      </c:pt>
                    </c:strCache>
                  </c:strRef>
                </c:tx>
                <c:spPr>
                  <a:noFill/>
                  <a:ln w="19050">
                    <a:solidFill>
                      <a:schemeClr val="accent2">
                        <a:lumMod val="60000"/>
                        <a:lumOff val="40000"/>
                      </a:schemeClr>
                    </a:solidFill>
                    <a:prstDash val="sysDash"/>
                  </a:ln>
                  <a:effectLst/>
                </c:spPr>
                <c:invertIfNegative val="0"/>
                <c:val>
                  <c:numRef>
                    <c:extLst>
                      <c:ext xmlns:c15="http://schemas.microsoft.com/office/drawing/2012/chart" uri="{02D57815-91ED-43cb-92C2-25804820EDAC}">
                        <c15:fullRef>
                          <c15:sqref>'Graphikdaten 2'!$G$10:$G$21</c15:sqref>
                        </c15:fullRef>
                        <c15:formulaRef>
                          <c15:sqref>('Graphikdaten 2'!$G$11:$G$12,'Graphikdaten 2'!$G$15:$G$17,'Graphikdaten 2'!$G$19:$G$21)</c15:sqref>
                        </c15:formulaRef>
                      </c:ext>
                    </c:extLst>
                    <c:numCache>
                      <c:formatCode>0.0</c:formatCode>
                      <c:ptCount val="8"/>
                      <c:pt idx="2">
                        <c:v>0</c:v>
                      </c:pt>
                      <c:pt idx="5">
                        <c:v>0</c:v>
                      </c:pt>
                    </c:numCache>
                  </c:numRef>
                </c:val>
                <c:extLst xmlns:c15="http://schemas.microsoft.com/office/drawing/2012/chart">
                  <c:ext xmlns:c16="http://schemas.microsoft.com/office/drawing/2014/chart" uri="{C3380CC4-5D6E-409C-BE32-E72D297353CC}">
                    <c16:uniqueId val="{0000000E-123F-4708-9A14-A14345BC15E1}"/>
                  </c:ext>
                </c:extLst>
              </c15:ser>
            </c15:filteredBarSeries>
          </c:ext>
        </c:extLst>
      </c:barChart>
      <c:lineChart>
        <c:grouping val="standard"/>
        <c:varyColors val="0"/>
        <c:ser>
          <c:idx val="11"/>
          <c:order val="14"/>
          <c:tx>
            <c:strRef>
              <c:f>'Graphikdaten 2'!$U$9</c:f>
              <c:strCache>
                <c:ptCount val="1"/>
                <c:pt idx="0">
                  <c:v>Summe ohne Beschaffung etc. mit MWSt.</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'Graphikdaten 2'!$A$10:$B$21</c15:sqref>
                  </c15:fullRef>
                </c:ext>
              </c:extLst>
              <c:f>('Graphikdaten 2'!$A$11:$B$12,'Graphikdaten 2'!$A$15:$B$17,'Graphikdaten 2'!$A$19:$B$21)</c:f>
              <c:multiLvlStrCache>
                <c:ptCount val="8"/>
                <c:lvl>
                  <c:pt idx="0">
                    <c:v>Erzeugung</c:v>
                  </c:pt>
                  <c:pt idx="1">
                    <c:v>Haushalte</c:v>
                  </c:pt>
                  <c:pt idx="2">
                    <c:v>E-Pkw, PtX</c:v>
                  </c:pt>
                  <c:pt idx="3">
                    <c:v>Benzin</c:v>
                  </c:pt>
                  <c:pt idx="4">
                    <c:v>Diesel</c:v>
                  </c:pt>
                  <c:pt idx="5">
                    <c:v>Wärmepumpe, PtX</c:v>
                  </c:pt>
                  <c:pt idx="6">
                    <c:v>Erdgas</c:v>
                  </c:pt>
                  <c:pt idx="7">
                    <c:v>Leichtes Heizöl</c:v>
                  </c:pt>
                </c:lvl>
                <c:lvl>
                  <c:pt idx="0">
                    <c:v>Strom</c:v>
                  </c:pt>
                  <c:pt idx="5">
                    <c:v>Wärme</c:v>
                  </c:pt>
                </c:lvl>
              </c:multiLvlStrCache>
            </c:multiLvlStrRef>
          </c:cat>
          <c:val>
            <c:numRef>
              <c:extLst>
                <c:ext xmlns:c15="http://schemas.microsoft.com/office/drawing/2012/chart" uri="{02D57815-91ED-43cb-92C2-25804820EDAC}">
                  <c15:fullRef>
                    <c15:sqref>'Graphikdaten 2'!$U$10:$U$21</c15:sqref>
                  </c15:fullRef>
                </c:ext>
              </c:extLst>
              <c:f>('Graphikdaten 2'!$U$11:$U$12,'Graphikdaten 2'!$U$15:$U$17,'Graphikdaten 2'!$U$19:$U$21)</c:f>
              <c:numCache>
                <c:formatCode>0.00</c:formatCode>
                <c:ptCount val="8"/>
                <c:pt idx="0">
                  <c:v>2.4336690000000001</c:v>
                </c:pt>
                <c:pt idx="1">
                  <c:v>21.889092303730859</c:v>
                </c:pt>
                <c:pt idx="2">
                  <c:v>15.831992303730861</c:v>
                </c:pt>
                <c:pt idx="3">
                  <c:v>9.677439277768439</c:v>
                </c:pt>
                <c:pt idx="4">
                  <c:v>6.6123423333156088</c:v>
                </c:pt>
                <c:pt idx="5">
                  <c:v>15.831992303730861</c:v>
                </c:pt>
                <c:pt idx="6">
                  <c:v>3.3362769618273322</c:v>
                </c:pt>
                <c:pt idx="7">
                  <c:v>1.6819691845985707</c:v>
                </c:pt>
              </c:numCache>
            </c:numRef>
          </c:val>
          <c:smooth val="0"/>
          <c:extLst>
            <c:ext xmlns:c16="http://schemas.microsoft.com/office/drawing/2014/chart" uri="{C3380CC4-5D6E-409C-BE32-E72D297353CC}">
              <c16:uniqueId val="{00000008-123F-4708-9A14-A14345BC15E1}"/>
            </c:ext>
          </c:extLst>
        </c:ser>
        <c:dLbls>
          <c:showLegendKey val="0"/>
          <c:showVal val="0"/>
          <c:showCatName val="0"/>
          <c:showSerName val="0"/>
          <c:showPercent val="0"/>
          <c:showBubbleSize val="0"/>
        </c:dLbls>
        <c:marker val="1"/>
        <c:smooth val="0"/>
        <c:axId val="415006976"/>
        <c:axId val="415007368"/>
        <c:extLst/>
      </c:lineChart>
      <c:catAx>
        <c:axId val="415006976"/>
        <c:scaling>
          <c:orientation val="minMax"/>
        </c:scaling>
        <c:delete val="0"/>
        <c:axPos val="b"/>
        <c:majorGridlines>
          <c:spPr>
            <a:ln w="12700"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7368"/>
        <c:crosses val="autoZero"/>
        <c:auto val="1"/>
        <c:lblAlgn val="ctr"/>
        <c:lblOffset val="100"/>
        <c:noMultiLvlLbl val="0"/>
      </c:catAx>
      <c:valAx>
        <c:axId val="415007368"/>
        <c:scaling>
          <c:orientation val="minMax"/>
          <c:min val="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Flexo" pitchFamily="50" charset="0"/>
                    <a:ea typeface="+mn-ea"/>
                    <a:cs typeface="Arial" panose="020B0604020202020204" pitchFamily="34" charset="0"/>
                  </a:defRPr>
                </a:pPr>
                <a:r>
                  <a:rPr lang="de-DE" b="1"/>
                  <a:t>ct/kWh</a:t>
                </a:r>
              </a:p>
            </c:rich>
          </c:tx>
          <c:layout>
            <c:manualLayout>
              <c:xMode val="edge"/>
              <c:yMode val="edge"/>
              <c:x val="8.4497671324018624E-3"/>
              <c:y val="0.2702972205011124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Flexo" pitchFamily="50" charset="0"/>
                  <a:ea typeface="+mn-ea"/>
                  <a:cs typeface="Arial" panose="020B0604020202020204" pitchFamily="34" charset="0"/>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6976"/>
        <c:crosses val="autoZero"/>
        <c:crossBetween val="between"/>
        <c:majorUnit val="5"/>
      </c:valAx>
      <c:spPr>
        <a:noFill/>
        <a:ln>
          <a:noFill/>
        </a:ln>
        <a:effectLst/>
      </c:spPr>
    </c:plotArea>
    <c:legend>
      <c:legendPos val="r"/>
      <c:legendEntry>
        <c:idx val="8"/>
        <c:delete val="1"/>
      </c:legendEntry>
      <c:layout>
        <c:manualLayout>
          <c:xMode val="edge"/>
          <c:yMode val="edge"/>
          <c:x val="0.73471972721224221"/>
          <c:y val="3.0772167597542619E-2"/>
          <c:w val="0.26528027278775784"/>
          <c:h val="0.6729344444444443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sz="1000" b="0" i="0">
          <a:solidFill>
            <a:sysClr val="windowText" lastClr="000000"/>
          </a:solidFill>
          <a:latin typeface="Flexo" pitchFamily="50"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00532724505324E-2"/>
          <c:y val="4.4713888888888886E-2"/>
          <c:w val="0.63278329528158306"/>
          <c:h val="0.50093513866729533"/>
        </c:manualLayout>
      </c:layout>
      <c:barChart>
        <c:barDir val="col"/>
        <c:grouping val="stacked"/>
        <c:varyColors val="0"/>
        <c:ser>
          <c:idx val="0"/>
          <c:order val="1"/>
          <c:tx>
            <c:strRef>
              <c:f>'Graphikdaten 2'!$D$9</c:f>
              <c:strCache>
                <c:ptCount val="1"/>
                <c:pt idx="0">
                  <c:v>Stromsteuer</c:v>
                </c:pt>
              </c:strCache>
            </c:strRef>
          </c:tx>
          <c:spPr>
            <a:solidFill>
              <a:schemeClr val="accent3">
                <a:lumMod val="5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2'!$D$10:$D$21</c15:sqref>
                  </c15:fullRef>
                </c:ext>
              </c:extLst>
              <c:f>('Graphikdaten 2'!$D$12,'Graphikdaten 2'!$D$15:$D$17,'Graphikdaten 2'!$D$19:$D$21)</c:f>
              <c:numCache>
                <c:formatCode>0.0</c:formatCode>
                <c:ptCount val="7"/>
                <c:pt idx="0">
                  <c:v>2.0499999999999998</c:v>
                </c:pt>
                <c:pt idx="1">
                  <c:v>2.0499999999999998</c:v>
                </c:pt>
                <c:pt idx="4">
                  <c:v>2.0499999999999998</c:v>
                </c:pt>
              </c:numCache>
            </c:numRef>
          </c:val>
          <c:extLst>
            <c:ext xmlns:c16="http://schemas.microsoft.com/office/drawing/2014/chart" uri="{C3380CC4-5D6E-409C-BE32-E72D297353CC}">
              <c16:uniqueId val="{00000000-F508-4072-B4B6-29BAAFA4D887}"/>
            </c:ext>
          </c:extLst>
        </c:ser>
        <c:ser>
          <c:idx val="6"/>
          <c:order val="2"/>
          <c:tx>
            <c:strRef>
              <c:f>'Graphikdaten 2'!$N$9</c:f>
              <c:strCache>
                <c:ptCount val="1"/>
                <c:pt idx="0">
                  <c:v>Energiesteuer</c:v>
                </c:pt>
              </c:strCache>
            </c:strRef>
          </c:tx>
          <c:spPr>
            <a:solidFill>
              <a:schemeClr val="accent4"/>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2'!$N$10:$N$21</c15:sqref>
                  </c15:fullRef>
                </c:ext>
              </c:extLst>
              <c:f>('Graphikdaten 2'!$N$12,'Graphikdaten 2'!$N$15:$N$17,'Graphikdaten 2'!$N$19:$N$21)</c:f>
              <c:numCache>
                <c:formatCode>0.0</c:formatCode>
                <c:ptCount val="7"/>
                <c:pt idx="2">
                  <c:v>7.3427706333865901</c:v>
                </c:pt>
                <c:pt idx="3">
                  <c:v>4.757103666808467</c:v>
                </c:pt>
                <c:pt idx="5">
                  <c:v>0.60948581560283699</c:v>
                </c:pt>
                <c:pt idx="6">
                  <c:v>0.61400348285594186</c:v>
                </c:pt>
              </c:numCache>
            </c:numRef>
          </c:val>
          <c:extLst>
            <c:ext xmlns:c16="http://schemas.microsoft.com/office/drawing/2014/chart" uri="{C3380CC4-5D6E-409C-BE32-E72D297353CC}">
              <c16:uniqueId val="{00000001-F508-4072-B4B6-29BAAFA4D887}"/>
            </c:ext>
          </c:extLst>
        </c:ser>
        <c:ser>
          <c:idx val="7"/>
          <c:order val="3"/>
          <c:tx>
            <c:strRef>
              <c:f>'Graphikdaten 2'!$O$9</c:f>
              <c:strCache>
                <c:ptCount val="1"/>
                <c:pt idx="0">
                  <c:v>Energiesteuer-
Erhöhung</c:v>
                </c:pt>
              </c:strCache>
            </c:strRef>
          </c:tx>
          <c:spPr>
            <a:solidFill>
              <a:schemeClr val="accent4"/>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2'!$O$10:$O$21</c15:sqref>
                  </c15:fullRef>
                </c:ext>
              </c:extLst>
              <c:f>('Graphikdaten 2'!$O$12,'Graphikdaten 2'!$O$15:$O$17,'Graphikdaten 2'!$O$19:$O$21)</c:f>
              <c:numCache>
                <c:formatCode>0.0</c:formatCode>
                <c:ptCount val="7"/>
              </c:numCache>
            </c:numRef>
          </c:val>
          <c:extLst xmlns:c15="http://schemas.microsoft.com/office/drawing/2012/chart">
            <c:ext xmlns:c16="http://schemas.microsoft.com/office/drawing/2014/chart" uri="{C3380CC4-5D6E-409C-BE32-E72D297353CC}">
              <c16:uniqueId val="{00000002-F508-4072-B4B6-29BAAFA4D887}"/>
            </c:ext>
          </c:extLst>
        </c:ser>
        <c:ser>
          <c:idx val="8"/>
          <c:order val="4"/>
          <c:tx>
            <c:strRef>
              <c:f>'Graphikdaten 2'!$P$9</c:f>
              <c:strCache>
                <c:ptCount val="1"/>
                <c:pt idx="0">
                  <c:v>Netzentgelte</c:v>
                </c:pt>
              </c:strCache>
            </c:strRef>
          </c:tx>
          <c:spPr>
            <a:solidFill>
              <a:schemeClr val="accent3">
                <a:lumMod val="60000"/>
                <a:lumOff val="4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2'!$P$10:$P$21</c15:sqref>
                  </c15:fullRef>
                </c:ext>
              </c:extLst>
              <c:f>('Graphikdaten 2'!$P$12,'Graphikdaten 2'!$P$15:$P$17,'Graphikdaten 2'!$P$19:$P$21)</c:f>
              <c:numCache>
                <c:formatCode>0.0</c:formatCode>
                <c:ptCount val="7"/>
                <c:pt idx="0">
                  <c:v>7.8</c:v>
                </c:pt>
                <c:pt idx="1">
                  <c:v>3.9</c:v>
                </c:pt>
                <c:pt idx="4">
                  <c:v>3.9</c:v>
                </c:pt>
                <c:pt idx="5">
                  <c:v>1.56</c:v>
                </c:pt>
              </c:numCache>
            </c:numRef>
          </c:val>
          <c:extLst xmlns:c15="http://schemas.microsoft.com/office/drawing/2012/chart">
            <c:ext xmlns:c16="http://schemas.microsoft.com/office/drawing/2014/chart" uri="{C3380CC4-5D6E-409C-BE32-E72D297353CC}">
              <c16:uniqueId val="{00000003-F508-4072-B4B6-29BAAFA4D887}"/>
            </c:ext>
          </c:extLst>
        </c:ser>
        <c:ser>
          <c:idx val="9"/>
          <c:order val="5"/>
          <c:tx>
            <c:strRef>
              <c:f>'Graphikdaten 2'!$Q$9</c:f>
              <c:strCache>
                <c:ptCount val="1"/>
                <c:pt idx="0">
                  <c:v>Konzessions-
abgabe</c:v>
                </c:pt>
              </c:strCache>
            </c:strRef>
          </c:tx>
          <c:spPr>
            <a:solidFill>
              <a:schemeClr val="accent4">
                <a:lumMod val="20000"/>
                <a:lumOff val="8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2'!$Q$10:$Q$21</c15:sqref>
                  </c15:fullRef>
                </c:ext>
              </c:extLst>
              <c:f>('Graphikdaten 2'!$Q$12,'Graphikdaten 2'!$Q$15:$Q$17,'Graphikdaten 2'!$Q$19:$Q$21)</c:f>
              <c:numCache>
                <c:formatCode>0.0</c:formatCode>
                <c:ptCount val="7"/>
                <c:pt idx="0">
                  <c:v>1.7</c:v>
                </c:pt>
                <c:pt idx="1">
                  <c:v>0.51</c:v>
                </c:pt>
                <c:pt idx="4">
                  <c:v>0.51</c:v>
                </c:pt>
                <c:pt idx="5">
                  <c:v>0.03</c:v>
                </c:pt>
              </c:numCache>
            </c:numRef>
          </c:val>
          <c:extLst>
            <c:ext xmlns:c16="http://schemas.microsoft.com/office/drawing/2014/chart" uri="{C3380CC4-5D6E-409C-BE32-E72D297353CC}">
              <c16:uniqueId val="{00000004-F508-4072-B4B6-29BAAFA4D887}"/>
            </c:ext>
          </c:extLst>
        </c:ser>
        <c:ser>
          <c:idx val="3"/>
          <c:order val="6"/>
          <c:tx>
            <c:strRef>
              <c:f>'Graphikdaten 2'!$I$9</c:f>
              <c:strCache>
                <c:ptCount val="1"/>
                <c:pt idx="0">
                  <c:v>CO2-Zertifikate EU-ETS 
(≙ 51 €/EUA)</c:v>
                </c:pt>
              </c:strCache>
            </c:strRef>
          </c:tx>
          <c:spPr>
            <a:solidFill>
              <a:schemeClr val="tx1"/>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2'!$I$10:$I$21</c15:sqref>
                  </c15:fullRef>
                </c:ext>
              </c:extLst>
              <c:f>('Graphikdaten 2'!$I$12,'Graphikdaten 2'!$I$15:$I$17,'Graphikdaten 2'!$I$19:$I$21)</c:f>
              <c:numCache>
                <c:formatCode>0.0</c:formatCode>
                <c:ptCount val="7"/>
                <c:pt idx="0">
                  <c:v>2.0451000000000001</c:v>
                </c:pt>
                <c:pt idx="1">
                  <c:v>2.0451000000000001</c:v>
                </c:pt>
                <c:pt idx="4">
                  <c:v>2.0451000000000001</c:v>
                </c:pt>
              </c:numCache>
            </c:numRef>
          </c:val>
          <c:extLst xmlns:c15="http://schemas.microsoft.com/office/drawing/2012/chart">
            <c:ext xmlns:c16="http://schemas.microsoft.com/office/drawing/2014/chart" uri="{C3380CC4-5D6E-409C-BE32-E72D297353CC}">
              <c16:uniqueId val="{00000005-F508-4072-B4B6-29BAAFA4D887}"/>
            </c:ext>
          </c:extLst>
        </c:ser>
        <c:ser>
          <c:idx val="12"/>
          <c:order val="10"/>
          <c:tx>
            <c:strRef>
              <c:f>'Graphikdaten 2'!$R$9</c:f>
              <c:strCache>
                <c:ptCount val="1"/>
                <c:pt idx="0">
                  <c:v>Sonstige Umlagen</c:v>
                </c:pt>
              </c:strCache>
            </c:strRef>
          </c:tx>
          <c:spPr>
            <a:solidFill>
              <a:schemeClr val="accent1"/>
            </a:solidFill>
            <a:ln w="25400">
              <a:noFill/>
            </a:ln>
            <a:effectLst/>
          </c:spPr>
          <c:invertIfNegative val="0"/>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2'!$R$10:$R$21</c15:sqref>
                  </c15:fullRef>
                </c:ext>
              </c:extLst>
              <c:f>('Graphikdaten 2'!$R$12,'Graphikdaten 2'!$R$15:$R$17,'Graphikdaten 2'!$R$19:$R$21)</c:f>
              <c:numCache>
                <c:formatCode>0.0</c:formatCode>
                <c:ptCount val="7"/>
                <c:pt idx="0">
                  <c:v>0.82192812073396038</c:v>
                </c:pt>
                <c:pt idx="1">
                  <c:v>0.82192812073396038</c:v>
                </c:pt>
                <c:pt idx="2">
                  <c:v>0</c:v>
                </c:pt>
                <c:pt idx="3">
                  <c:v>0</c:v>
                </c:pt>
                <c:pt idx="4">
                  <c:v>0.82192812073396038</c:v>
                </c:pt>
                <c:pt idx="5">
                  <c:v>0</c:v>
                </c:pt>
                <c:pt idx="6">
                  <c:v>0</c:v>
                </c:pt>
              </c:numCache>
            </c:numRef>
          </c:val>
          <c:extLst>
            <c:ext xmlns:c16="http://schemas.microsoft.com/office/drawing/2014/chart" uri="{C3380CC4-5D6E-409C-BE32-E72D297353CC}">
              <c16:uniqueId val="{00000006-F508-4072-B4B6-29BAAFA4D887}"/>
            </c:ext>
          </c:extLst>
        </c:ser>
        <c:ser>
          <c:idx val="1"/>
          <c:order val="11"/>
          <c:tx>
            <c:strRef>
              <c:f>'Graphikdaten 2'!$F$9</c:f>
              <c:strCache>
                <c:ptCount val="1"/>
                <c:pt idx="0">
                  <c:v>EEG-Umlage</c:v>
                </c:pt>
              </c:strCache>
            </c:strRef>
          </c:tx>
          <c:spPr>
            <a:solidFill>
              <a:schemeClr val="accent2"/>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2'!$F$10:$F$21</c15:sqref>
                  </c15:fullRef>
                </c:ext>
              </c:extLst>
              <c:f>('Graphikdaten 2'!$F$12,'Graphikdaten 2'!$F$15:$F$17,'Graphikdaten 2'!$F$19:$F$21)</c:f>
              <c:numCache>
                <c:formatCode>0.0</c:formatCode>
                <c:ptCount val="7"/>
                <c:pt idx="0">
                  <c:v>3.7231670924852511</c:v>
                </c:pt>
                <c:pt idx="1">
                  <c:v>3.7231670924852511</c:v>
                </c:pt>
                <c:pt idx="4">
                  <c:v>3.7231670924852511</c:v>
                </c:pt>
              </c:numCache>
            </c:numRef>
          </c:val>
          <c:extLst>
            <c:ext xmlns:c16="http://schemas.microsoft.com/office/drawing/2014/chart" uri="{C3380CC4-5D6E-409C-BE32-E72D297353CC}">
              <c16:uniqueId val="{00000007-F508-4072-B4B6-29BAAFA4D887}"/>
            </c:ext>
          </c:extLst>
        </c:ser>
        <c:ser>
          <c:idx val="14"/>
          <c:order val="12"/>
          <c:tx>
            <c:strRef>
              <c:f>'Graphikdaten 2'!$S$9</c:f>
              <c:strCache>
                <c:ptCount val="1"/>
                <c:pt idx="0">
                  <c:v>Mehrwertsteuer</c:v>
                </c:pt>
              </c:strCache>
            </c:strRef>
          </c:tx>
          <c:spPr>
            <a:solidFill>
              <a:schemeClr val="bg1">
                <a:lumMod val="75000"/>
              </a:schemeClr>
            </a:solidFill>
            <a:ln w="25400">
              <a:noFill/>
            </a:ln>
            <a:effectLst/>
          </c:spPr>
          <c:invertIfNegative val="0"/>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2'!$S$10:$S$21</c15:sqref>
                  </c15:fullRef>
                </c:ext>
              </c:extLst>
              <c:f>('Graphikdaten 2'!$S$12,'Graphikdaten 2'!$S$15:$S$17,'Graphikdaten 2'!$S$19:$S$21)</c:f>
              <c:numCache>
                <c:formatCode>0.0</c:formatCode>
                <c:ptCount val="7"/>
                <c:pt idx="0">
                  <c:v>3.4948970905116497</c:v>
                </c:pt>
                <c:pt idx="1">
                  <c:v>2.5277970905116502</c:v>
                </c:pt>
                <c:pt idx="2">
                  <c:v>1.5451373636773136</c:v>
                </c:pt>
                <c:pt idx="3">
                  <c:v>1.055752137252072</c:v>
                </c:pt>
                <c:pt idx="4">
                  <c:v>2.5277970905116502</c:v>
                </c:pt>
                <c:pt idx="5">
                  <c:v>0.53268287625814548</c:v>
                </c:pt>
                <c:pt idx="6">
                  <c:v>0.26854970174262893</c:v>
                </c:pt>
              </c:numCache>
            </c:numRef>
          </c:val>
          <c:extLst xmlns:c15="http://schemas.microsoft.com/office/drawing/2012/chart">
            <c:ext xmlns:c16="http://schemas.microsoft.com/office/drawing/2014/chart" uri="{C3380CC4-5D6E-409C-BE32-E72D297353CC}">
              <c16:uniqueId val="{00000008-F508-4072-B4B6-29BAAFA4D887}"/>
            </c:ext>
          </c:extLst>
        </c:ser>
        <c:dLbls>
          <c:showLegendKey val="0"/>
          <c:showVal val="0"/>
          <c:showCatName val="0"/>
          <c:showSerName val="0"/>
          <c:showPercent val="0"/>
          <c:showBubbleSize val="0"/>
        </c:dLbls>
        <c:gapWidth val="100"/>
        <c:overlap val="100"/>
        <c:axId val="415006976"/>
        <c:axId val="415007368"/>
        <c:extLst>
          <c:ext xmlns:c15="http://schemas.microsoft.com/office/drawing/2012/chart" uri="{02D57815-91ED-43cb-92C2-25804820EDAC}">
            <c15:filteredBarSeries>
              <c15:ser>
                <c:idx val="10"/>
                <c:order val="0"/>
                <c:tx>
                  <c:strRef>
                    <c:extLst>
                      <c:ext uri="{02D57815-91ED-43cb-92C2-25804820EDAC}">
                        <c15:formulaRef>
                          <c15:sqref>'Graphikdaten 2'!$C$9</c15:sqref>
                        </c15:formulaRef>
                      </c:ext>
                    </c:extLst>
                    <c:strCache>
                      <c:ptCount val="1"/>
                      <c:pt idx="0">
                        <c:v>Beschaffung,
Vertrieb und Marge (ohne EUA-Kosten)</c:v>
                      </c:pt>
                    </c:strCache>
                  </c:strRef>
                </c:tx>
                <c:spPr>
                  <a:solidFill>
                    <a:schemeClr val="accent3"/>
                  </a:solidFill>
                  <a:ln w="25400">
                    <a:noFill/>
                  </a:ln>
                  <a:effectLst/>
                </c:spPr>
                <c:invertIfNegative val="0"/>
                <c:val>
                  <c:numRef>
                    <c:extLst>
                      <c:ext uri="{02D57815-91ED-43cb-92C2-25804820EDAC}">
                        <c15:fullRef>
                          <c15:sqref>'Graphikdaten 2'!$C$10:$C$21</c15:sqref>
                        </c15:fullRef>
                        <c15:formulaRef>
                          <c15:sqref>('Graphikdaten 2'!$C$12,'Graphikdaten 2'!$C$15:$C$17,'Graphikdaten 2'!$C$19:$C$21)</c15:sqref>
                        </c15:formulaRef>
                      </c:ext>
                    </c:extLst>
                    <c:numCache>
                      <c:formatCode>0.0</c:formatCode>
                      <c:ptCount val="7"/>
                      <c:pt idx="0">
                        <c:v>8.7949000000000002</c:v>
                      </c:pt>
                      <c:pt idx="1">
                        <c:v>8.3047387094097722</c:v>
                      </c:pt>
                      <c:pt idx="2">
                        <c:v>6.1002488313134098</c:v>
                      </c:pt>
                      <c:pt idx="3">
                        <c:v>5.7733143548220589</c:v>
                      </c:pt>
                      <c:pt idx="4">
                        <c:v>4.8099999999999996</c:v>
                      </c:pt>
                      <c:pt idx="5">
                        <c:v>2.1806368320778731</c:v>
                      </c:pt>
                      <c:pt idx="6">
                        <c:v>4.7610524427761032</c:v>
                      </c:pt>
                    </c:numCache>
                  </c:numRef>
                </c:val>
                <c:extLst>
                  <c:ext xmlns:c16="http://schemas.microsoft.com/office/drawing/2014/chart" uri="{C3380CC4-5D6E-409C-BE32-E72D297353CC}">
                    <c16:uniqueId val="{0000000D-F508-4072-B4B6-29BAAFA4D887}"/>
                  </c:ext>
                </c:extLst>
              </c15:ser>
            </c15:filteredBarSeries>
            <c15:filteredBarSeries>
              <c15:ser>
                <c:idx val="2"/>
                <c:order val="7"/>
                <c:tx>
                  <c:strRef>
                    <c:extLst xmlns:c15="http://schemas.microsoft.com/office/drawing/2012/chart">
                      <c:ext xmlns:c15="http://schemas.microsoft.com/office/drawing/2012/chart" uri="{02D57815-91ED-43cb-92C2-25804820EDAC}">
                        <c15:formulaRef>
                          <c15:sqref>'Graphikdaten 2'!$H$9</c15:sqref>
                        </c15:formulaRef>
                      </c:ext>
                    </c:extLst>
                    <c:strCache>
                      <c:ptCount val="1"/>
                      <c:pt idx="0">
                        <c:v>KWK-Umlage</c:v>
                      </c:pt>
                    </c:strCache>
                  </c:strRef>
                </c:tx>
                <c:spPr>
                  <a:solidFill>
                    <a:schemeClr val="accent5">
                      <a:lumMod val="75000"/>
                    </a:schemeClr>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2'!$H$10:$H$21</c15:sqref>
                        </c15:fullRef>
                        <c15:formulaRef>
                          <c15:sqref>('Graphikdaten 2'!$H$12,'Graphikdaten 2'!$H$15:$H$17,'Graphikdaten 2'!$H$19:$H$21)</c15:sqref>
                        </c15:formulaRef>
                      </c:ext>
                    </c:extLst>
                    <c:numCache>
                      <c:formatCode>0.0</c:formatCode>
                      <c:ptCount val="7"/>
                      <c:pt idx="0">
                        <c:v>0.254</c:v>
                      </c:pt>
                      <c:pt idx="1">
                        <c:v>0.254</c:v>
                      </c:pt>
                      <c:pt idx="4">
                        <c:v>0.254</c:v>
                      </c:pt>
                    </c:numCache>
                  </c:numRef>
                </c:val>
                <c:extLst xmlns:c15="http://schemas.microsoft.com/office/drawing/2012/chart">
                  <c:ext xmlns:c16="http://schemas.microsoft.com/office/drawing/2014/chart" uri="{C3380CC4-5D6E-409C-BE32-E72D297353CC}">
                    <c16:uniqueId val="{0000000E-F508-4072-B4B6-29BAAFA4D887}"/>
                  </c:ext>
                </c:extLst>
              </c15:ser>
            </c15:filteredBarSeries>
            <c15:filteredBarSeries>
              <c15:ser>
                <c:idx val="4"/>
                <c:order val="8"/>
                <c:tx>
                  <c:strRef>
                    <c:extLst xmlns:c15="http://schemas.microsoft.com/office/drawing/2012/chart">
                      <c:ext xmlns:c15="http://schemas.microsoft.com/office/drawing/2012/chart" uri="{02D57815-91ED-43cb-92C2-25804820EDAC}">
                        <c15:formulaRef>
                          <c15:sqref>'Graphikdaten 2'!$K$9</c15:sqref>
                        </c15:formulaRef>
                      </c:ext>
                    </c:extLst>
                    <c:strCache>
                      <c:ptCount val="1"/>
                      <c:pt idx="0">
                        <c:v>§19.2-StromNEV-Umlage</c:v>
                      </c:pt>
                    </c:strCache>
                  </c:strRef>
                </c:tx>
                <c:spPr>
                  <a:solidFill>
                    <a:schemeClr val="accent5"/>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2'!$K$10:$K$21</c15:sqref>
                        </c15:fullRef>
                        <c15:formulaRef>
                          <c15:sqref>('Graphikdaten 2'!$K$12,'Graphikdaten 2'!$K$15:$K$17,'Graphikdaten 2'!$K$19:$K$21)</c15:sqref>
                        </c15:formulaRef>
                      </c:ext>
                    </c:extLst>
                    <c:numCache>
                      <c:formatCode>0.0</c:formatCode>
                      <c:ptCount val="7"/>
                      <c:pt idx="0">
                        <c:v>0.40471806950975447</c:v>
                      </c:pt>
                      <c:pt idx="1">
                        <c:v>0.40471806950975447</c:v>
                      </c:pt>
                      <c:pt idx="4">
                        <c:v>0.40471806950975447</c:v>
                      </c:pt>
                    </c:numCache>
                  </c:numRef>
                </c:val>
                <c:extLst xmlns:c15="http://schemas.microsoft.com/office/drawing/2012/chart">
                  <c:ext xmlns:c16="http://schemas.microsoft.com/office/drawing/2014/chart" uri="{C3380CC4-5D6E-409C-BE32-E72D297353CC}">
                    <c16:uniqueId val="{0000000F-F508-4072-B4B6-29BAAFA4D887}"/>
                  </c:ext>
                </c:extLst>
              </c15:ser>
            </c15:filteredBarSeries>
            <c15:filteredBarSeries>
              <c15:ser>
                <c:idx val="5"/>
                <c:order val="9"/>
                <c:tx>
                  <c:strRef>
                    <c:extLst xmlns:c15="http://schemas.microsoft.com/office/drawing/2012/chart">
                      <c:ext xmlns:c15="http://schemas.microsoft.com/office/drawing/2012/chart" uri="{02D57815-91ED-43cb-92C2-25804820EDAC}">
                        <c15:formulaRef>
                          <c15:sqref>'Graphikdaten 2'!$M$9</c15:sqref>
                        </c15:formulaRef>
                      </c:ext>
                    </c:extLst>
                    <c:strCache>
                      <c:ptCount val="1"/>
                      <c:pt idx="0">
                        <c:v>AblaV-Umlage</c:v>
                      </c:pt>
                    </c:strCache>
                  </c:strRef>
                </c:tx>
                <c:spPr>
                  <a:solidFill>
                    <a:schemeClr val="accent6"/>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2'!$M$10:$M$21</c15:sqref>
                        </c15:fullRef>
                        <c15:formulaRef>
                          <c15:sqref>('Graphikdaten 2'!$M$12,'Graphikdaten 2'!$M$15:$M$17,'Graphikdaten 2'!$M$19:$M$21)</c15:sqref>
                        </c15:formulaRef>
                      </c:ext>
                    </c:extLst>
                    <c:numCache>
                      <c:formatCode>0.0</c:formatCode>
                      <c:ptCount val="7"/>
                      <c:pt idx="0">
                        <c:v>8.0612580505828625E-3</c:v>
                      </c:pt>
                      <c:pt idx="1">
                        <c:v>8.0612580505828625E-3</c:v>
                      </c:pt>
                      <c:pt idx="4">
                        <c:v>8.0612580505828625E-3</c:v>
                      </c:pt>
                    </c:numCache>
                  </c:numRef>
                </c:val>
                <c:extLst xmlns:c15="http://schemas.microsoft.com/office/drawing/2012/chart">
                  <c:ext xmlns:c16="http://schemas.microsoft.com/office/drawing/2014/chart" uri="{C3380CC4-5D6E-409C-BE32-E72D297353CC}">
                    <c16:uniqueId val="{00000010-F508-4072-B4B6-29BAAFA4D887}"/>
                  </c:ext>
                </c:extLst>
              </c15:ser>
            </c15:filteredBarSeries>
            <c15:filteredBarSeries>
              <c15:ser>
                <c:idx val="13"/>
                <c:order val="14"/>
                <c:tx>
                  <c:strRef>
                    <c:extLst xmlns:c15="http://schemas.microsoft.com/office/drawing/2012/chart">
                      <c:ext xmlns:c15="http://schemas.microsoft.com/office/drawing/2012/chart" uri="{02D57815-91ED-43cb-92C2-25804820EDAC}">
                        <c15:formulaRef>
                          <c15:sqref>'Graphikdaten 2'!$G$9</c15:sqref>
                        </c15:formulaRef>
                      </c:ext>
                    </c:extLst>
                    <c:strCache>
                      <c:ptCount val="1"/>
                      <c:pt idx="0">
                        <c:v>EEG-Umlagen-
Senkung</c:v>
                      </c:pt>
                    </c:strCache>
                  </c:strRef>
                </c:tx>
                <c:spPr>
                  <a:noFill/>
                  <a:ln w="19050">
                    <a:solidFill>
                      <a:schemeClr val="accent2">
                        <a:lumMod val="60000"/>
                        <a:lumOff val="40000"/>
                      </a:schemeClr>
                    </a:solidFill>
                    <a:prstDash val="sysDash"/>
                  </a:ln>
                  <a:effectLst/>
                </c:spPr>
                <c:invertIfNegative val="0"/>
                <c:val>
                  <c:numRef>
                    <c:extLst>
                      <c:ext xmlns:c15="http://schemas.microsoft.com/office/drawing/2012/chart" uri="{02D57815-91ED-43cb-92C2-25804820EDAC}">
                        <c15:fullRef>
                          <c15:sqref>'Graphikdaten 2'!$G$10:$G$21</c15:sqref>
                        </c15:fullRef>
                        <c15:formulaRef>
                          <c15:sqref>('Graphikdaten 2'!$G$12,'Graphikdaten 2'!$G$15:$G$17,'Graphikdaten 2'!$G$19:$G$21)</c15:sqref>
                        </c15:formulaRef>
                      </c:ext>
                    </c:extLst>
                    <c:numCache>
                      <c:formatCode>0.0</c:formatCode>
                      <c:ptCount val="7"/>
                      <c:pt idx="1">
                        <c:v>0</c:v>
                      </c:pt>
                      <c:pt idx="4">
                        <c:v>0</c:v>
                      </c:pt>
                    </c:numCache>
                  </c:numRef>
                </c:val>
                <c:extLst xmlns:c15="http://schemas.microsoft.com/office/drawing/2012/chart">
                  <c:ext xmlns:c16="http://schemas.microsoft.com/office/drawing/2014/chart" uri="{C3380CC4-5D6E-409C-BE32-E72D297353CC}">
                    <c16:uniqueId val="{00000011-F508-4072-B4B6-29BAAFA4D887}"/>
                  </c:ext>
                </c:extLst>
              </c15:ser>
            </c15:filteredBarSeries>
          </c:ext>
        </c:extLst>
      </c:barChart>
      <c:lineChart>
        <c:grouping val="standard"/>
        <c:varyColors val="0"/>
        <c:ser>
          <c:idx val="11"/>
          <c:order val="13"/>
          <c:tx>
            <c:strRef>
              <c:f>'Graphikdaten 2'!$U$9</c:f>
              <c:strCache>
                <c:ptCount val="1"/>
                <c:pt idx="0">
                  <c:v>Summe ohne Beschaffung etc. mit MWSt.</c:v>
                </c:pt>
              </c:strCache>
            </c:strRef>
          </c:tx>
          <c:spPr>
            <a:ln w="25400" cap="rnd">
              <a:noFill/>
              <a:round/>
            </a:ln>
            <a:effectLst/>
          </c:spPr>
          <c:marker>
            <c:symbol val="none"/>
          </c:marker>
          <c:dLbls>
            <c:dLbl>
              <c:idx val="0"/>
              <c:layout>
                <c:manualLayout>
                  <c:x val="-3.7866206443129519E-2"/>
                  <c:y val="-2.5994152046783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08-4072-B4B6-29BAAFA4D887}"/>
                </c:ext>
              </c:extLst>
            </c:dLbl>
            <c:dLbl>
              <c:idx val="1"/>
              <c:layout>
                <c:manualLayout>
                  <c:x val="-3.5533530571992107E-2"/>
                  <c:y val="-3.7134502923976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508-4072-B4B6-29BAAFA4D887}"/>
                </c:ext>
              </c:extLst>
            </c:dLbl>
            <c:dLbl>
              <c:idx val="4"/>
              <c:layout>
                <c:manualLayout>
                  <c:x val="-3.553353057199219E-2"/>
                  <c:y val="-3.7134502923976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08-4072-B4B6-29BAAFA4D88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2'!$U$10:$U$21</c15:sqref>
                  </c15:fullRef>
                </c:ext>
              </c:extLst>
              <c:f>('Graphikdaten 2'!$U$12,'Graphikdaten 2'!$U$15:$U$17,'Graphikdaten 2'!$U$19:$U$21)</c:f>
              <c:numCache>
                <c:formatCode>0.00</c:formatCode>
                <c:ptCount val="7"/>
                <c:pt idx="0">
                  <c:v>21.889092303730859</c:v>
                </c:pt>
                <c:pt idx="1">
                  <c:v>15.831992303730861</c:v>
                </c:pt>
                <c:pt idx="2">
                  <c:v>9.677439277768439</c:v>
                </c:pt>
                <c:pt idx="3">
                  <c:v>6.6123423333156088</c:v>
                </c:pt>
                <c:pt idx="4">
                  <c:v>15.831992303730861</c:v>
                </c:pt>
                <c:pt idx="5">
                  <c:v>3.3362769618273322</c:v>
                </c:pt>
                <c:pt idx="6">
                  <c:v>1.6819691845985707</c:v>
                </c:pt>
              </c:numCache>
            </c:numRef>
          </c:val>
          <c:smooth val="0"/>
          <c:extLst>
            <c:ext xmlns:c16="http://schemas.microsoft.com/office/drawing/2014/chart" uri="{C3380CC4-5D6E-409C-BE32-E72D297353CC}">
              <c16:uniqueId val="{0000000C-F508-4072-B4B6-29BAAFA4D887}"/>
            </c:ext>
          </c:extLst>
        </c:ser>
        <c:dLbls>
          <c:showLegendKey val="0"/>
          <c:showVal val="0"/>
          <c:showCatName val="0"/>
          <c:showSerName val="0"/>
          <c:showPercent val="0"/>
          <c:showBubbleSize val="0"/>
        </c:dLbls>
        <c:marker val="1"/>
        <c:smooth val="0"/>
        <c:axId val="415006976"/>
        <c:axId val="415007368"/>
        <c:extLst/>
      </c:lineChart>
      <c:catAx>
        <c:axId val="415006976"/>
        <c:scaling>
          <c:orientation val="minMax"/>
        </c:scaling>
        <c:delete val="0"/>
        <c:axPos val="b"/>
        <c:majorGridlines>
          <c:spPr>
            <a:ln w="12700"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7368"/>
        <c:crosses val="autoZero"/>
        <c:auto val="1"/>
        <c:lblAlgn val="ctr"/>
        <c:lblOffset val="100"/>
        <c:noMultiLvlLbl val="0"/>
      </c:catAx>
      <c:valAx>
        <c:axId val="415007368"/>
        <c:scaling>
          <c:orientation val="minMax"/>
          <c:min val="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r>
                  <a:rPr lang="de-DE" b="0"/>
                  <a:t>ct/kWh</a:t>
                </a:r>
              </a:p>
            </c:rich>
          </c:tx>
          <c:layout>
            <c:manualLayout>
              <c:xMode val="edge"/>
              <c:yMode val="edge"/>
              <c:x val="8.4497671324018624E-3"/>
              <c:y val="0.270297220501112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6976"/>
        <c:crosses val="autoZero"/>
        <c:crossBetween val="between"/>
        <c:majorUnit val="5"/>
      </c:valAx>
      <c:spPr>
        <a:noFill/>
        <a:ln>
          <a:noFill/>
        </a:ln>
        <a:effectLst/>
      </c:spPr>
    </c:plotArea>
    <c:legend>
      <c:legendPos val="r"/>
      <c:legendEntry>
        <c:idx val="6"/>
        <c:delete val="1"/>
      </c:legendEntry>
      <c:legendEntry>
        <c:idx val="9"/>
        <c:delete val="1"/>
      </c:legendEntry>
      <c:layout>
        <c:manualLayout>
          <c:xMode val="edge"/>
          <c:yMode val="edge"/>
          <c:x val="0.73471972721224221"/>
          <c:y val="3.0772167597542619E-2"/>
          <c:w val="0.26528027278775784"/>
          <c:h val="0.6729344444444443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sz="1000" b="0" i="0">
          <a:solidFill>
            <a:sysClr val="windowText" lastClr="000000"/>
          </a:solidFill>
          <a:latin typeface="Flexo" pitchFamily="50"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00532724505324E-2"/>
          <c:y val="4.4713888888888886E-2"/>
          <c:w val="0.63278329528158306"/>
          <c:h val="0.50093513866729533"/>
        </c:manualLayout>
      </c:layout>
      <c:barChart>
        <c:barDir val="col"/>
        <c:grouping val="stacked"/>
        <c:varyColors val="0"/>
        <c:ser>
          <c:idx val="0"/>
          <c:order val="1"/>
          <c:tx>
            <c:strRef>
              <c:f>'Graphikdaten 2'!$D$9</c:f>
              <c:strCache>
                <c:ptCount val="1"/>
                <c:pt idx="0">
                  <c:v>Stromsteuer</c:v>
                </c:pt>
              </c:strCache>
            </c:strRef>
          </c:tx>
          <c:spPr>
            <a:solidFill>
              <a:schemeClr val="accent3">
                <a:lumMod val="5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2'!$D$10:$D$21</c15:sqref>
                  </c15:fullRef>
                </c:ext>
              </c:extLst>
              <c:f>('Graphikdaten 2'!$D$12,'Graphikdaten 2'!$D$16:$D$17,'Graphikdaten 2'!$D$20:$D$21)</c:f>
              <c:numCache>
                <c:formatCode>0.0</c:formatCode>
                <c:ptCount val="5"/>
                <c:pt idx="0">
                  <c:v>2.0499999999999998</c:v>
                </c:pt>
              </c:numCache>
            </c:numRef>
          </c:val>
          <c:extLst>
            <c:ext xmlns:c16="http://schemas.microsoft.com/office/drawing/2014/chart" uri="{C3380CC4-5D6E-409C-BE32-E72D297353CC}">
              <c16:uniqueId val="{00000000-5AD2-43BF-AB68-7C2C87980093}"/>
            </c:ext>
          </c:extLst>
        </c:ser>
        <c:ser>
          <c:idx val="6"/>
          <c:order val="2"/>
          <c:tx>
            <c:strRef>
              <c:f>'Graphikdaten 2'!$N$9</c:f>
              <c:strCache>
                <c:ptCount val="1"/>
                <c:pt idx="0">
                  <c:v>Energiesteuer</c:v>
                </c:pt>
              </c:strCache>
            </c:strRef>
          </c:tx>
          <c:spPr>
            <a:solidFill>
              <a:schemeClr val="accent4"/>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2'!$N$10:$N$21</c15:sqref>
                  </c15:fullRef>
                </c:ext>
              </c:extLst>
              <c:f>('Graphikdaten 2'!$N$12,'Graphikdaten 2'!$N$16:$N$17,'Graphikdaten 2'!$N$20:$N$21)</c:f>
              <c:numCache>
                <c:formatCode>0.0</c:formatCode>
                <c:ptCount val="5"/>
                <c:pt idx="1">
                  <c:v>7.3427706333865901</c:v>
                </c:pt>
                <c:pt idx="2">
                  <c:v>4.757103666808467</c:v>
                </c:pt>
                <c:pt idx="3">
                  <c:v>0.60948581560283699</c:v>
                </c:pt>
                <c:pt idx="4">
                  <c:v>0.61400348285594186</c:v>
                </c:pt>
              </c:numCache>
            </c:numRef>
          </c:val>
          <c:extLst>
            <c:ext xmlns:c16="http://schemas.microsoft.com/office/drawing/2014/chart" uri="{C3380CC4-5D6E-409C-BE32-E72D297353CC}">
              <c16:uniqueId val="{00000001-5AD2-43BF-AB68-7C2C87980093}"/>
            </c:ext>
          </c:extLst>
        </c:ser>
        <c:ser>
          <c:idx val="7"/>
          <c:order val="3"/>
          <c:tx>
            <c:strRef>
              <c:f>'Graphikdaten 2'!$O$9</c:f>
              <c:strCache>
                <c:ptCount val="1"/>
                <c:pt idx="0">
                  <c:v>Energiesteuer-
Erhöhung</c:v>
                </c:pt>
              </c:strCache>
            </c:strRef>
          </c:tx>
          <c:spPr>
            <a:solidFill>
              <a:schemeClr val="accent4"/>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2'!$O$10:$O$21</c15:sqref>
                  </c15:fullRef>
                </c:ext>
              </c:extLst>
              <c:f>('Graphikdaten 2'!$O$12,'Graphikdaten 2'!$O$16:$O$17,'Graphikdaten 2'!$O$20:$O$21)</c:f>
              <c:numCache>
                <c:formatCode>0.0</c:formatCode>
                <c:ptCount val="5"/>
              </c:numCache>
            </c:numRef>
          </c:val>
          <c:extLst xmlns:c15="http://schemas.microsoft.com/office/drawing/2012/chart">
            <c:ext xmlns:c16="http://schemas.microsoft.com/office/drawing/2014/chart" uri="{C3380CC4-5D6E-409C-BE32-E72D297353CC}">
              <c16:uniqueId val="{00000002-5AD2-43BF-AB68-7C2C87980093}"/>
            </c:ext>
          </c:extLst>
        </c:ser>
        <c:ser>
          <c:idx val="8"/>
          <c:order val="4"/>
          <c:tx>
            <c:strRef>
              <c:f>'Graphikdaten 2'!$P$9</c:f>
              <c:strCache>
                <c:ptCount val="1"/>
                <c:pt idx="0">
                  <c:v>Netzentgelte</c:v>
                </c:pt>
              </c:strCache>
            </c:strRef>
          </c:tx>
          <c:spPr>
            <a:solidFill>
              <a:schemeClr val="accent3">
                <a:lumMod val="60000"/>
                <a:lumOff val="4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2'!$P$10:$P$21</c15:sqref>
                  </c15:fullRef>
                </c:ext>
              </c:extLst>
              <c:f>('Graphikdaten 2'!$P$12,'Graphikdaten 2'!$P$16:$P$17,'Graphikdaten 2'!$P$20:$P$21)</c:f>
              <c:numCache>
                <c:formatCode>0.0</c:formatCode>
                <c:ptCount val="5"/>
                <c:pt idx="0">
                  <c:v>7.8</c:v>
                </c:pt>
                <c:pt idx="3">
                  <c:v>1.56</c:v>
                </c:pt>
              </c:numCache>
            </c:numRef>
          </c:val>
          <c:extLst xmlns:c15="http://schemas.microsoft.com/office/drawing/2012/chart">
            <c:ext xmlns:c16="http://schemas.microsoft.com/office/drawing/2014/chart" uri="{C3380CC4-5D6E-409C-BE32-E72D297353CC}">
              <c16:uniqueId val="{00000003-5AD2-43BF-AB68-7C2C87980093}"/>
            </c:ext>
          </c:extLst>
        </c:ser>
        <c:ser>
          <c:idx val="9"/>
          <c:order val="5"/>
          <c:tx>
            <c:strRef>
              <c:f>'Graphikdaten 2'!$Q$9</c:f>
              <c:strCache>
                <c:ptCount val="1"/>
                <c:pt idx="0">
                  <c:v>Konzessions-
abgabe</c:v>
                </c:pt>
              </c:strCache>
            </c:strRef>
          </c:tx>
          <c:spPr>
            <a:solidFill>
              <a:schemeClr val="accent4">
                <a:lumMod val="20000"/>
                <a:lumOff val="8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2'!$Q$10:$Q$21</c15:sqref>
                  </c15:fullRef>
                </c:ext>
              </c:extLst>
              <c:f>('Graphikdaten 2'!$Q$12,'Graphikdaten 2'!$Q$16:$Q$17,'Graphikdaten 2'!$Q$20:$Q$21)</c:f>
              <c:numCache>
                <c:formatCode>0.0</c:formatCode>
                <c:ptCount val="5"/>
                <c:pt idx="0">
                  <c:v>1.7</c:v>
                </c:pt>
                <c:pt idx="3">
                  <c:v>0.03</c:v>
                </c:pt>
              </c:numCache>
            </c:numRef>
          </c:val>
          <c:extLst>
            <c:ext xmlns:c16="http://schemas.microsoft.com/office/drawing/2014/chart" uri="{C3380CC4-5D6E-409C-BE32-E72D297353CC}">
              <c16:uniqueId val="{00000004-5AD2-43BF-AB68-7C2C87980093}"/>
            </c:ext>
          </c:extLst>
        </c:ser>
        <c:ser>
          <c:idx val="3"/>
          <c:order val="6"/>
          <c:tx>
            <c:strRef>
              <c:f>'Graphikdaten 2'!$I$9</c:f>
              <c:strCache>
                <c:ptCount val="1"/>
                <c:pt idx="0">
                  <c:v>CO2-Zertifikate EU-ETS 
(≙ 51 €/EUA)</c:v>
                </c:pt>
              </c:strCache>
            </c:strRef>
          </c:tx>
          <c:spPr>
            <a:solidFill>
              <a:schemeClr val="tx1"/>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2'!$I$10:$I$21</c15:sqref>
                  </c15:fullRef>
                </c:ext>
              </c:extLst>
              <c:f>('Graphikdaten 2'!$I$12,'Graphikdaten 2'!$I$16:$I$17,'Graphikdaten 2'!$I$20:$I$21)</c:f>
              <c:numCache>
                <c:formatCode>0.0</c:formatCode>
                <c:ptCount val="5"/>
                <c:pt idx="0">
                  <c:v>2.0451000000000001</c:v>
                </c:pt>
              </c:numCache>
            </c:numRef>
          </c:val>
          <c:extLst xmlns:c15="http://schemas.microsoft.com/office/drawing/2012/chart">
            <c:ext xmlns:c16="http://schemas.microsoft.com/office/drawing/2014/chart" uri="{C3380CC4-5D6E-409C-BE32-E72D297353CC}">
              <c16:uniqueId val="{00000005-5AD2-43BF-AB68-7C2C87980093}"/>
            </c:ext>
          </c:extLst>
        </c:ser>
        <c:ser>
          <c:idx val="12"/>
          <c:order val="10"/>
          <c:tx>
            <c:strRef>
              <c:f>'Graphikdaten 2'!$R$9</c:f>
              <c:strCache>
                <c:ptCount val="1"/>
                <c:pt idx="0">
                  <c:v>Sonstige Umlagen</c:v>
                </c:pt>
              </c:strCache>
            </c:strRef>
          </c:tx>
          <c:spPr>
            <a:solidFill>
              <a:schemeClr val="accent1"/>
            </a:solidFill>
            <a:ln w="25400">
              <a:noFill/>
            </a:ln>
            <a:effectLst/>
          </c:spPr>
          <c:invertIfNegative val="0"/>
          <c:cat>
            <c:strLit>
              <c:ptCount val="5"/>
              <c:pt idx="0">
                <c:v>Strom Haushalte</c:v>
              </c:pt>
              <c:pt idx="1">
                <c:v>Verkehr Benzin</c:v>
              </c:pt>
              <c:pt idx="2">
                <c:v>Verkehr Diesel</c:v>
              </c:pt>
              <c:pt idx="3">
                <c:v>Wärme Erdgas</c:v>
              </c:pt>
              <c:pt idx="4">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2'!$R$10:$R$21</c15:sqref>
                  </c15:fullRef>
                </c:ext>
              </c:extLst>
              <c:f>('Graphikdaten 2'!$R$12,'Graphikdaten 2'!$R$16:$R$17,'Graphikdaten 2'!$R$20:$R$21)</c:f>
              <c:numCache>
                <c:formatCode>0.0</c:formatCode>
                <c:ptCount val="5"/>
                <c:pt idx="0">
                  <c:v>0.82192812073396038</c:v>
                </c:pt>
                <c:pt idx="1">
                  <c:v>0</c:v>
                </c:pt>
                <c:pt idx="2">
                  <c:v>0</c:v>
                </c:pt>
                <c:pt idx="3">
                  <c:v>0</c:v>
                </c:pt>
                <c:pt idx="4">
                  <c:v>0</c:v>
                </c:pt>
              </c:numCache>
            </c:numRef>
          </c:val>
          <c:extLst>
            <c:ext xmlns:c16="http://schemas.microsoft.com/office/drawing/2014/chart" uri="{C3380CC4-5D6E-409C-BE32-E72D297353CC}">
              <c16:uniqueId val="{00000006-5AD2-43BF-AB68-7C2C87980093}"/>
            </c:ext>
          </c:extLst>
        </c:ser>
        <c:ser>
          <c:idx val="1"/>
          <c:order val="11"/>
          <c:tx>
            <c:strRef>
              <c:f>'Graphikdaten 2'!$F$9</c:f>
              <c:strCache>
                <c:ptCount val="1"/>
                <c:pt idx="0">
                  <c:v>EEG-Umlage</c:v>
                </c:pt>
              </c:strCache>
            </c:strRef>
          </c:tx>
          <c:spPr>
            <a:solidFill>
              <a:schemeClr val="accent2"/>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2'!$F$10:$F$21</c15:sqref>
                  </c15:fullRef>
                </c:ext>
              </c:extLst>
              <c:f>('Graphikdaten 2'!$F$12,'Graphikdaten 2'!$F$16:$F$17,'Graphikdaten 2'!$F$20:$F$21)</c:f>
              <c:numCache>
                <c:formatCode>0.0</c:formatCode>
                <c:ptCount val="5"/>
                <c:pt idx="0">
                  <c:v>3.7231670924852511</c:v>
                </c:pt>
              </c:numCache>
            </c:numRef>
          </c:val>
          <c:extLst>
            <c:ext xmlns:c16="http://schemas.microsoft.com/office/drawing/2014/chart" uri="{C3380CC4-5D6E-409C-BE32-E72D297353CC}">
              <c16:uniqueId val="{00000007-5AD2-43BF-AB68-7C2C87980093}"/>
            </c:ext>
          </c:extLst>
        </c:ser>
        <c:ser>
          <c:idx val="14"/>
          <c:order val="12"/>
          <c:tx>
            <c:strRef>
              <c:f>'Graphikdaten 2'!$S$9</c:f>
              <c:strCache>
                <c:ptCount val="1"/>
                <c:pt idx="0">
                  <c:v>Mehrwertsteuer</c:v>
                </c:pt>
              </c:strCache>
            </c:strRef>
          </c:tx>
          <c:spPr>
            <a:solidFill>
              <a:schemeClr val="bg1">
                <a:lumMod val="75000"/>
              </a:schemeClr>
            </a:solidFill>
            <a:ln w="25400">
              <a:noFill/>
            </a:ln>
            <a:effectLst/>
          </c:spPr>
          <c:invertIfNegative val="0"/>
          <c:cat>
            <c:strLit>
              <c:ptCount val="5"/>
              <c:pt idx="0">
                <c:v>Strom Haushalte</c:v>
              </c:pt>
              <c:pt idx="1">
                <c:v>Verkehr Benzin</c:v>
              </c:pt>
              <c:pt idx="2">
                <c:v>Verkehr Diesel</c:v>
              </c:pt>
              <c:pt idx="3">
                <c:v>Wärme Erdgas</c:v>
              </c:pt>
              <c:pt idx="4">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2'!$S$10:$S$21</c15:sqref>
                  </c15:fullRef>
                </c:ext>
              </c:extLst>
              <c:f>('Graphikdaten 2'!$S$12,'Graphikdaten 2'!$S$16:$S$17,'Graphikdaten 2'!$S$20:$S$21)</c:f>
              <c:numCache>
                <c:formatCode>0.0</c:formatCode>
                <c:ptCount val="5"/>
                <c:pt idx="0">
                  <c:v>3.4948970905116497</c:v>
                </c:pt>
                <c:pt idx="1">
                  <c:v>1.5451373636773136</c:v>
                </c:pt>
                <c:pt idx="2">
                  <c:v>1.055752137252072</c:v>
                </c:pt>
                <c:pt idx="3">
                  <c:v>0.53268287625814548</c:v>
                </c:pt>
                <c:pt idx="4">
                  <c:v>0.26854970174262893</c:v>
                </c:pt>
              </c:numCache>
            </c:numRef>
          </c:val>
          <c:extLst xmlns:c15="http://schemas.microsoft.com/office/drawing/2012/chart">
            <c:ext xmlns:c16="http://schemas.microsoft.com/office/drawing/2014/chart" uri="{C3380CC4-5D6E-409C-BE32-E72D297353CC}">
              <c16:uniqueId val="{00000008-5AD2-43BF-AB68-7C2C87980093}"/>
            </c:ext>
          </c:extLst>
        </c:ser>
        <c:dLbls>
          <c:showLegendKey val="0"/>
          <c:showVal val="0"/>
          <c:showCatName val="0"/>
          <c:showSerName val="0"/>
          <c:showPercent val="0"/>
          <c:showBubbleSize val="0"/>
        </c:dLbls>
        <c:gapWidth val="100"/>
        <c:overlap val="100"/>
        <c:axId val="415006976"/>
        <c:axId val="415007368"/>
        <c:extLst>
          <c:ext xmlns:c15="http://schemas.microsoft.com/office/drawing/2012/chart" uri="{02D57815-91ED-43cb-92C2-25804820EDAC}">
            <c15:filteredBarSeries>
              <c15:ser>
                <c:idx val="10"/>
                <c:order val="0"/>
                <c:tx>
                  <c:strRef>
                    <c:extLst>
                      <c:ext uri="{02D57815-91ED-43cb-92C2-25804820EDAC}">
                        <c15:formulaRef>
                          <c15:sqref>'Graphikdaten 2'!$C$9</c15:sqref>
                        </c15:formulaRef>
                      </c:ext>
                    </c:extLst>
                    <c:strCache>
                      <c:ptCount val="1"/>
                      <c:pt idx="0">
                        <c:v>Beschaffung,
Vertrieb und Marge (ohne EUA-Kosten)</c:v>
                      </c:pt>
                    </c:strCache>
                  </c:strRef>
                </c:tx>
                <c:spPr>
                  <a:solidFill>
                    <a:schemeClr val="accent3"/>
                  </a:solidFill>
                  <a:ln w="25400">
                    <a:noFill/>
                  </a:ln>
                  <a:effectLst/>
                </c:spPr>
                <c:invertIfNegative val="0"/>
                <c:val>
                  <c:numRef>
                    <c:extLst>
                      <c:ext uri="{02D57815-91ED-43cb-92C2-25804820EDAC}">
                        <c15:fullRef>
                          <c15:sqref>'Graphikdaten 2'!$C$10:$C$21</c15:sqref>
                        </c15:fullRef>
                        <c15:formulaRef>
                          <c15:sqref>('Graphikdaten 2'!$C$12,'Graphikdaten 2'!$C$16:$C$17,'Graphikdaten 2'!$C$20:$C$21)</c15:sqref>
                        </c15:formulaRef>
                      </c:ext>
                    </c:extLst>
                    <c:numCache>
                      <c:formatCode>0.0</c:formatCode>
                      <c:ptCount val="5"/>
                      <c:pt idx="0">
                        <c:v>8.7949000000000002</c:v>
                      </c:pt>
                      <c:pt idx="1">
                        <c:v>6.1002488313134098</c:v>
                      </c:pt>
                      <c:pt idx="2">
                        <c:v>5.7733143548220589</c:v>
                      </c:pt>
                      <c:pt idx="3">
                        <c:v>2.1806368320778731</c:v>
                      </c:pt>
                      <c:pt idx="4">
                        <c:v>4.7610524427761032</c:v>
                      </c:pt>
                    </c:numCache>
                  </c:numRef>
                </c:val>
                <c:extLst>
                  <c:ext xmlns:c16="http://schemas.microsoft.com/office/drawing/2014/chart" uri="{C3380CC4-5D6E-409C-BE32-E72D297353CC}">
                    <c16:uniqueId val="{0000000B-5AD2-43BF-AB68-7C2C87980093}"/>
                  </c:ext>
                </c:extLst>
              </c15:ser>
            </c15:filteredBarSeries>
            <c15:filteredBarSeries>
              <c15:ser>
                <c:idx val="2"/>
                <c:order val="7"/>
                <c:tx>
                  <c:strRef>
                    <c:extLst xmlns:c15="http://schemas.microsoft.com/office/drawing/2012/chart">
                      <c:ext xmlns:c15="http://schemas.microsoft.com/office/drawing/2012/chart" uri="{02D57815-91ED-43cb-92C2-25804820EDAC}">
                        <c15:formulaRef>
                          <c15:sqref>'Graphikdaten 2'!$H$9</c15:sqref>
                        </c15:formulaRef>
                      </c:ext>
                    </c:extLst>
                    <c:strCache>
                      <c:ptCount val="1"/>
                      <c:pt idx="0">
                        <c:v>KWK-Umlage</c:v>
                      </c:pt>
                    </c:strCache>
                  </c:strRef>
                </c:tx>
                <c:spPr>
                  <a:solidFill>
                    <a:schemeClr val="accent5">
                      <a:lumMod val="75000"/>
                    </a:schemeClr>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2'!$A$16:$B$17,'Graphikdaten 2'!$A$20:$B$21)</c15:sqref>
                        </c15:formulaRef>
                      </c:ext>
                    </c:extLst>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2'!$H$10:$H$21</c15:sqref>
                        </c15:fullRef>
                        <c15:formulaRef>
                          <c15:sqref>('Graphikdaten 2'!$H$12,'Graphikdaten 2'!$H$16:$H$17,'Graphikdaten 2'!$H$20:$H$21)</c15:sqref>
                        </c15:formulaRef>
                      </c:ext>
                    </c:extLst>
                    <c:numCache>
                      <c:formatCode>0.0</c:formatCode>
                      <c:ptCount val="5"/>
                      <c:pt idx="0">
                        <c:v>0.254</c:v>
                      </c:pt>
                    </c:numCache>
                  </c:numRef>
                </c:val>
                <c:extLst xmlns:c15="http://schemas.microsoft.com/office/drawing/2012/chart">
                  <c:ext xmlns:c16="http://schemas.microsoft.com/office/drawing/2014/chart" uri="{C3380CC4-5D6E-409C-BE32-E72D297353CC}">
                    <c16:uniqueId val="{0000000C-5AD2-43BF-AB68-7C2C87980093}"/>
                  </c:ext>
                </c:extLst>
              </c15:ser>
            </c15:filteredBarSeries>
            <c15:filteredBarSeries>
              <c15:ser>
                <c:idx val="4"/>
                <c:order val="8"/>
                <c:tx>
                  <c:strRef>
                    <c:extLst xmlns:c15="http://schemas.microsoft.com/office/drawing/2012/chart">
                      <c:ext xmlns:c15="http://schemas.microsoft.com/office/drawing/2012/chart" uri="{02D57815-91ED-43cb-92C2-25804820EDAC}">
                        <c15:formulaRef>
                          <c15:sqref>'Graphikdaten 2'!$K$9</c15:sqref>
                        </c15:formulaRef>
                      </c:ext>
                    </c:extLst>
                    <c:strCache>
                      <c:ptCount val="1"/>
                      <c:pt idx="0">
                        <c:v>§19.2-StromNEV-Umlage</c:v>
                      </c:pt>
                    </c:strCache>
                  </c:strRef>
                </c:tx>
                <c:spPr>
                  <a:solidFill>
                    <a:schemeClr val="accent5"/>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2'!$A$16:$B$17,'Graphikdaten 2'!$A$20:$B$21)</c15:sqref>
                        </c15:formulaRef>
                      </c:ext>
                    </c:extLst>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2'!$K$10:$K$21</c15:sqref>
                        </c15:fullRef>
                        <c15:formulaRef>
                          <c15:sqref>('Graphikdaten 2'!$K$12,'Graphikdaten 2'!$K$16:$K$17,'Graphikdaten 2'!$K$20:$K$21)</c15:sqref>
                        </c15:formulaRef>
                      </c:ext>
                    </c:extLst>
                    <c:numCache>
                      <c:formatCode>0.0</c:formatCode>
                      <c:ptCount val="5"/>
                      <c:pt idx="0">
                        <c:v>0.40471806950975447</c:v>
                      </c:pt>
                    </c:numCache>
                  </c:numRef>
                </c:val>
                <c:extLst xmlns:c15="http://schemas.microsoft.com/office/drawing/2012/chart">
                  <c:ext xmlns:c16="http://schemas.microsoft.com/office/drawing/2014/chart" uri="{C3380CC4-5D6E-409C-BE32-E72D297353CC}">
                    <c16:uniqueId val="{0000000D-5AD2-43BF-AB68-7C2C87980093}"/>
                  </c:ext>
                </c:extLst>
              </c15:ser>
            </c15:filteredBarSeries>
            <c15:filteredBarSeries>
              <c15:ser>
                <c:idx val="5"/>
                <c:order val="9"/>
                <c:tx>
                  <c:strRef>
                    <c:extLst xmlns:c15="http://schemas.microsoft.com/office/drawing/2012/chart">
                      <c:ext xmlns:c15="http://schemas.microsoft.com/office/drawing/2012/chart" uri="{02D57815-91ED-43cb-92C2-25804820EDAC}">
                        <c15:formulaRef>
                          <c15:sqref>'Graphikdaten 2'!$M$9</c15:sqref>
                        </c15:formulaRef>
                      </c:ext>
                    </c:extLst>
                    <c:strCache>
                      <c:ptCount val="1"/>
                      <c:pt idx="0">
                        <c:v>AblaV-Umlage</c:v>
                      </c:pt>
                    </c:strCache>
                  </c:strRef>
                </c:tx>
                <c:spPr>
                  <a:solidFill>
                    <a:schemeClr val="accent6"/>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2'!$A$16:$B$17,'Graphikdaten 2'!$A$20:$B$21)</c15:sqref>
                        </c15:formulaRef>
                      </c:ext>
                    </c:extLst>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2'!$M$10:$M$21</c15:sqref>
                        </c15:fullRef>
                        <c15:formulaRef>
                          <c15:sqref>('Graphikdaten 2'!$M$12,'Graphikdaten 2'!$M$16:$M$17,'Graphikdaten 2'!$M$20:$M$21)</c15:sqref>
                        </c15:formulaRef>
                      </c:ext>
                    </c:extLst>
                    <c:numCache>
                      <c:formatCode>0.0</c:formatCode>
                      <c:ptCount val="5"/>
                      <c:pt idx="0">
                        <c:v>8.0612580505828625E-3</c:v>
                      </c:pt>
                    </c:numCache>
                  </c:numRef>
                </c:val>
                <c:extLst xmlns:c15="http://schemas.microsoft.com/office/drawing/2012/chart">
                  <c:ext xmlns:c16="http://schemas.microsoft.com/office/drawing/2014/chart" uri="{C3380CC4-5D6E-409C-BE32-E72D297353CC}">
                    <c16:uniqueId val="{0000000E-5AD2-43BF-AB68-7C2C87980093}"/>
                  </c:ext>
                </c:extLst>
              </c15:ser>
            </c15:filteredBarSeries>
            <c15:filteredBarSeries>
              <c15:ser>
                <c:idx val="13"/>
                <c:order val="14"/>
                <c:tx>
                  <c:strRef>
                    <c:extLst xmlns:c15="http://schemas.microsoft.com/office/drawing/2012/chart">
                      <c:ext xmlns:c15="http://schemas.microsoft.com/office/drawing/2012/chart" uri="{02D57815-91ED-43cb-92C2-25804820EDAC}">
                        <c15:formulaRef>
                          <c15:sqref>'Graphikdaten 2'!$G$9</c15:sqref>
                        </c15:formulaRef>
                      </c:ext>
                    </c:extLst>
                    <c:strCache>
                      <c:ptCount val="1"/>
                      <c:pt idx="0">
                        <c:v>EEG-Umlagen-
Senkung</c:v>
                      </c:pt>
                    </c:strCache>
                  </c:strRef>
                </c:tx>
                <c:spPr>
                  <a:noFill/>
                  <a:ln w="19050">
                    <a:solidFill>
                      <a:schemeClr val="accent2">
                        <a:lumMod val="60000"/>
                        <a:lumOff val="40000"/>
                      </a:schemeClr>
                    </a:solidFill>
                    <a:prstDash val="sysDash"/>
                  </a:ln>
                  <a:effectLst/>
                </c:spPr>
                <c:invertIfNegative val="0"/>
                <c:val>
                  <c:numRef>
                    <c:extLst>
                      <c:ext xmlns:c15="http://schemas.microsoft.com/office/drawing/2012/chart" uri="{02D57815-91ED-43cb-92C2-25804820EDAC}">
                        <c15:fullRef>
                          <c15:sqref>'Graphikdaten 2'!$G$10:$G$21</c15:sqref>
                        </c15:fullRef>
                        <c15:formulaRef>
                          <c15:sqref>('Graphikdaten 2'!$G$12,'Graphikdaten 2'!$G$16:$G$17,'Graphikdaten 2'!$G$20:$G$21)</c15:sqref>
                        </c15:formulaRef>
                      </c:ext>
                    </c:extLst>
                    <c:numCache>
                      <c:formatCode>0.0</c:formatCode>
                      <c:ptCount val="5"/>
                    </c:numCache>
                  </c:numRef>
                </c:val>
                <c:extLst xmlns:c15="http://schemas.microsoft.com/office/drawing/2012/chart">
                  <c:ext xmlns:c16="http://schemas.microsoft.com/office/drawing/2014/chart" uri="{C3380CC4-5D6E-409C-BE32-E72D297353CC}">
                    <c16:uniqueId val="{0000000F-5AD2-43BF-AB68-7C2C87980093}"/>
                  </c:ext>
                </c:extLst>
              </c15:ser>
            </c15:filteredBarSeries>
          </c:ext>
        </c:extLst>
      </c:barChart>
      <c:lineChart>
        <c:grouping val="standard"/>
        <c:varyColors val="0"/>
        <c:ser>
          <c:idx val="11"/>
          <c:order val="13"/>
          <c:tx>
            <c:strRef>
              <c:f>'Graphikdaten 2'!$U$9</c:f>
              <c:strCache>
                <c:ptCount val="1"/>
                <c:pt idx="0">
                  <c:v>Summe ohne Beschaffung etc. mit MWSt.</c:v>
                </c:pt>
              </c:strCache>
            </c:strRef>
          </c:tx>
          <c:spPr>
            <a:ln w="25400" cap="rnd">
              <a:noFill/>
              <a:round/>
            </a:ln>
            <a:effectLst/>
          </c:spPr>
          <c:marker>
            <c:symbol val="none"/>
          </c:marker>
          <c:dLbls>
            <c:dLbl>
              <c:idx val="0"/>
              <c:layout>
                <c:manualLayout>
                  <c:x val="-3.7866206443129519E-2"/>
                  <c:y val="-2.5994152046783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D2-43BF-AB68-7C2C8798009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2'!$U$10:$U$21</c15:sqref>
                  </c15:fullRef>
                </c:ext>
              </c:extLst>
              <c:f>('Graphikdaten 2'!$U$12,'Graphikdaten 2'!$U$16:$U$17,'Graphikdaten 2'!$U$20:$U$21)</c:f>
              <c:numCache>
                <c:formatCode>0.00</c:formatCode>
                <c:ptCount val="5"/>
                <c:pt idx="0">
                  <c:v>21.889092303730859</c:v>
                </c:pt>
                <c:pt idx="1">
                  <c:v>9.677439277768439</c:v>
                </c:pt>
                <c:pt idx="2">
                  <c:v>6.6123423333156088</c:v>
                </c:pt>
                <c:pt idx="3">
                  <c:v>3.3362769618273322</c:v>
                </c:pt>
                <c:pt idx="4">
                  <c:v>1.6819691845985707</c:v>
                </c:pt>
              </c:numCache>
            </c:numRef>
          </c:val>
          <c:smooth val="0"/>
          <c:extLst>
            <c:ext xmlns:c15="http://schemas.microsoft.com/office/drawing/2012/chart" uri="{02D57815-91ED-43cb-92C2-25804820EDAC}">
              <c15:categoryFilterExceptions>
                <c15:categoryFilterException>
                  <c15:sqref>'Graphikdaten 2'!$U$15</c15:sqref>
                  <c15:dLbl>
                    <c:idx val="0"/>
                    <c:layout>
                      <c:manualLayout>
                        <c:x val="-3.5533530571992107E-2"/>
                        <c:y val="-3.71345029239766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62D3-4A73-B42A-B53A13B6A2A3}"/>
                      </c:ext>
                    </c:extLst>
                  </c15:dLbl>
                </c15:categoryFilterException>
                <c15:categoryFilterException>
                  <c15:sqref>'Graphikdaten 2'!$U$19</c15:sqref>
                  <c15:dLbl>
                    <c:idx val="2"/>
                    <c:layout>
                      <c:manualLayout>
                        <c:x val="-3.553353057199219E-2"/>
                        <c:y val="-3.71345029239766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62D3-4A73-B42A-B53A13B6A2A3}"/>
                      </c:ext>
                    </c:extLst>
                  </c15:dLbl>
                </c15:categoryFilterException>
              </c15:categoryFilterExceptions>
            </c:ext>
            <c:ext xmlns:c16="http://schemas.microsoft.com/office/drawing/2014/chart" uri="{C3380CC4-5D6E-409C-BE32-E72D297353CC}">
              <c16:uniqueId val="{0000000A-5AD2-43BF-AB68-7C2C87980093}"/>
            </c:ext>
          </c:extLst>
        </c:ser>
        <c:dLbls>
          <c:showLegendKey val="0"/>
          <c:showVal val="0"/>
          <c:showCatName val="0"/>
          <c:showSerName val="0"/>
          <c:showPercent val="0"/>
          <c:showBubbleSize val="0"/>
        </c:dLbls>
        <c:marker val="1"/>
        <c:smooth val="0"/>
        <c:axId val="415006976"/>
        <c:axId val="415007368"/>
        <c:extLst/>
      </c:lineChart>
      <c:catAx>
        <c:axId val="415006976"/>
        <c:scaling>
          <c:orientation val="minMax"/>
        </c:scaling>
        <c:delete val="0"/>
        <c:axPos val="b"/>
        <c:majorGridlines>
          <c:spPr>
            <a:ln w="12700"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7368"/>
        <c:crosses val="autoZero"/>
        <c:auto val="1"/>
        <c:lblAlgn val="ctr"/>
        <c:lblOffset val="100"/>
        <c:noMultiLvlLbl val="0"/>
      </c:catAx>
      <c:valAx>
        <c:axId val="415007368"/>
        <c:scaling>
          <c:orientation val="minMax"/>
          <c:min val="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r>
                  <a:rPr lang="de-DE" b="0"/>
                  <a:t>ct/kWh</a:t>
                </a:r>
              </a:p>
            </c:rich>
          </c:tx>
          <c:layout>
            <c:manualLayout>
              <c:xMode val="edge"/>
              <c:yMode val="edge"/>
              <c:x val="8.4497671324018624E-3"/>
              <c:y val="0.270297220501112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6976"/>
        <c:crosses val="autoZero"/>
        <c:crossBetween val="between"/>
        <c:majorUnit val="5"/>
      </c:valAx>
      <c:spPr>
        <a:noFill/>
        <a:ln>
          <a:noFill/>
        </a:ln>
        <a:effectLst/>
      </c:spPr>
    </c:plotArea>
    <c:legend>
      <c:legendPos val="r"/>
      <c:legendEntry>
        <c:idx val="6"/>
        <c:delete val="1"/>
      </c:legendEntry>
      <c:legendEntry>
        <c:idx val="9"/>
        <c:delete val="1"/>
      </c:legendEntry>
      <c:layout>
        <c:manualLayout>
          <c:xMode val="edge"/>
          <c:yMode val="edge"/>
          <c:x val="0.73471972721224221"/>
          <c:y val="3.0772167597542619E-2"/>
          <c:w val="0.26528027278775784"/>
          <c:h val="0.6729344444444443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sz="1000" b="0" i="0">
          <a:solidFill>
            <a:sysClr val="windowText" lastClr="000000"/>
          </a:solidFill>
          <a:latin typeface="Flexo" pitchFamily="50"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3499822883455"/>
          <c:y val="4.4713888888888886E-2"/>
          <c:w val="0.83147862793718252"/>
          <c:h val="0.59748479532163745"/>
        </c:manualLayout>
      </c:layout>
      <c:barChart>
        <c:barDir val="col"/>
        <c:grouping val="stacked"/>
        <c:varyColors val="0"/>
        <c:ser>
          <c:idx val="0"/>
          <c:order val="1"/>
          <c:tx>
            <c:strRef>
              <c:f>'Graphikdaten 2'!$D$9</c:f>
              <c:strCache>
                <c:ptCount val="1"/>
                <c:pt idx="0">
                  <c:v>Stromsteuer</c:v>
                </c:pt>
              </c:strCache>
            </c:strRef>
          </c:tx>
          <c:spPr>
            <a:solidFill>
              <a:schemeClr val="accent3">
                <a:lumMod val="5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2'!$D$10:$D$21</c15:sqref>
                  </c15:fullRef>
                </c:ext>
              </c:extLst>
              <c:f>('Graphikdaten 2'!$D$12,'Graphikdaten 2'!$D$16:$D$17,'Graphikdaten 2'!$D$20:$D$21)</c:f>
              <c:numCache>
                <c:formatCode>0.0</c:formatCode>
                <c:ptCount val="5"/>
                <c:pt idx="0">
                  <c:v>2.0499999999999998</c:v>
                </c:pt>
              </c:numCache>
            </c:numRef>
          </c:val>
          <c:extLst>
            <c:ext xmlns:c16="http://schemas.microsoft.com/office/drawing/2014/chart" uri="{C3380CC4-5D6E-409C-BE32-E72D297353CC}">
              <c16:uniqueId val="{00000000-A07A-43F7-BD96-952AFFBF4811}"/>
            </c:ext>
          </c:extLst>
        </c:ser>
        <c:ser>
          <c:idx val="6"/>
          <c:order val="2"/>
          <c:tx>
            <c:strRef>
              <c:f>'Graphikdaten 2'!$N$9</c:f>
              <c:strCache>
                <c:ptCount val="1"/>
                <c:pt idx="0">
                  <c:v>Energiesteuer</c:v>
                </c:pt>
              </c:strCache>
            </c:strRef>
          </c:tx>
          <c:spPr>
            <a:solidFill>
              <a:schemeClr val="accent4"/>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2'!$N$10:$N$21</c15:sqref>
                  </c15:fullRef>
                </c:ext>
              </c:extLst>
              <c:f>('Graphikdaten 2'!$N$12,'Graphikdaten 2'!$N$16:$N$17,'Graphikdaten 2'!$N$20:$N$21)</c:f>
              <c:numCache>
                <c:formatCode>0.0</c:formatCode>
                <c:ptCount val="5"/>
                <c:pt idx="1">
                  <c:v>7.3427706333865901</c:v>
                </c:pt>
                <c:pt idx="2">
                  <c:v>4.757103666808467</c:v>
                </c:pt>
                <c:pt idx="3">
                  <c:v>0.60948581560283699</c:v>
                </c:pt>
                <c:pt idx="4">
                  <c:v>0.61400348285594186</c:v>
                </c:pt>
              </c:numCache>
            </c:numRef>
          </c:val>
          <c:extLst>
            <c:ext xmlns:c16="http://schemas.microsoft.com/office/drawing/2014/chart" uri="{C3380CC4-5D6E-409C-BE32-E72D297353CC}">
              <c16:uniqueId val="{00000001-A07A-43F7-BD96-952AFFBF4811}"/>
            </c:ext>
          </c:extLst>
        </c:ser>
        <c:ser>
          <c:idx val="7"/>
          <c:order val="3"/>
          <c:tx>
            <c:strRef>
              <c:f>'Graphikdaten 2'!$O$9</c:f>
              <c:strCache>
                <c:ptCount val="1"/>
                <c:pt idx="0">
                  <c:v>Energiesteuer-
Erhöhung</c:v>
                </c:pt>
              </c:strCache>
            </c:strRef>
          </c:tx>
          <c:spPr>
            <a:solidFill>
              <a:schemeClr val="accent4"/>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2'!$O$10:$O$21</c15:sqref>
                  </c15:fullRef>
                </c:ext>
              </c:extLst>
              <c:f>('Graphikdaten 2'!$O$12,'Graphikdaten 2'!$O$16:$O$17,'Graphikdaten 2'!$O$20:$O$21)</c:f>
              <c:numCache>
                <c:formatCode>0.0</c:formatCode>
                <c:ptCount val="5"/>
              </c:numCache>
            </c:numRef>
          </c:val>
          <c:extLst xmlns:c15="http://schemas.microsoft.com/office/drawing/2012/chart">
            <c:ext xmlns:c16="http://schemas.microsoft.com/office/drawing/2014/chart" uri="{C3380CC4-5D6E-409C-BE32-E72D297353CC}">
              <c16:uniqueId val="{00000002-A07A-43F7-BD96-952AFFBF4811}"/>
            </c:ext>
          </c:extLst>
        </c:ser>
        <c:ser>
          <c:idx val="8"/>
          <c:order val="4"/>
          <c:tx>
            <c:strRef>
              <c:f>'Graphikdaten 2'!$P$9</c:f>
              <c:strCache>
                <c:ptCount val="1"/>
                <c:pt idx="0">
                  <c:v>Netzentgelte</c:v>
                </c:pt>
              </c:strCache>
            </c:strRef>
          </c:tx>
          <c:spPr>
            <a:solidFill>
              <a:schemeClr val="accent3">
                <a:lumMod val="60000"/>
                <a:lumOff val="4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2'!$P$10:$P$21</c15:sqref>
                  </c15:fullRef>
                </c:ext>
              </c:extLst>
              <c:f>('Graphikdaten 2'!$P$12,'Graphikdaten 2'!$P$16:$P$17,'Graphikdaten 2'!$P$20:$P$21)</c:f>
              <c:numCache>
                <c:formatCode>0.0</c:formatCode>
                <c:ptCount val="5"/>
                <c:pt idx="0">
                  <c:v>7.8</c:v>
                </c:pt>
                <c:pt idx="3">
                  <c:v>1.56</c:v>
                </c:pt>
              </c:numCache>
            </c:numRef>
          </c:val>
          <c:extLst xmlns:c15="http://schemas.microsoft.com/office/drawing/2012/chart">
            <c:ext xmlns:c16="http://schemas.microsoft.com/office/drawing/2014/chart" uri="{C3380CC4-5D6E-409C-BE32-E72D297353CC}">
              <c16:uniqueId val="{00000003-A07A-43F7-BD96-952AFFBF4811}"/>
            </c:ext>
          </c:extLst>
        </c:ser>
        <c:ser>
          <c:idx val="9"/>
          <c:order val="5"/>
          <c:tx>
            <c:strRef>
              <c:f>'Graphikdaten 2'!$Q$9</c:f>
              <c:strCache>
                <c:ptCount val="1"/>
                <c:pt idx="0">
                  <c:v>Konzessions-
abgabe</c:v>
                </c:pt>
              </c:strCache>
            </c:strRef>
          </c:tx>
          <c:spPr>
            <a:solidFill>
              <a:schemeClr val="accent4">
                <a:lumMod val="20000"/>
                <a:lumOff val="80000"/>
              </a:schemeClr>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2'!$Q$10:$Q$21</c15:sqref>
                  </c15:fullRef>
                </c:ext>
              </c:extLst>
              <c:f>('Graphikdaten 2'!$Q$12,'Graphikdaten 2'!$Q$16:$Q$17,'Graphikdaten 2'!$Q$20:$Q$21)</c:f>
              <c:numCache>
                <c:formatCode>0.0</c:formatCode>
                <c:ptCount val="5"/>
                <c:pt idx="0">
                  <c:v>1.7</c:v>
                </c:pt>
                <c:pt idx="3">
                  <c:v>0.03</c:v>
                </c:pt>
              </c:numCache>
            </c:numRef>
          </c:val>
          <c:extLst>
            <c:ext xmlns:c16="http://schemas.microsoft.com/office/drawing/2014/chart" uri="{C3380CC4-5D6E-409C-BE32-E72D297353CC}">
              <c16:uniqueId val="{00000004-A07A-43F7-BD96-952AFFBF4811}"/>
            </c:ext>
          </c:extLst>
        </c:ser>
        <c:ser>
          <c:idx val="3"/>
          <c:order val="6"/>
          <c:tx>
            <c:strRef>
              <c:f>'Graphikdaten 2'!$I$9</c:f>
              <c:strCache>
                <c:ptCount val="1"/>
                <c:pt idx="0">
                  <c:v>CO2-Zertifikate EU-ETS 
(≙ 51 €/EUA)</c:v>
                </c:pt>
              </c:strCache>
            </c:strRef>
          </c:tx>
          <c:spPr>
            <a:solidFill>
              <a:schemeClr val="tx1"/>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2'!$I$10:$I$21</c15:sqref>
                  </c15:fullRef>
                </c:ext>
              </c:extLst>
              <c:f>('Graphikdaten 2'!$I$12,'Graphikdaten 2'!$I$16:$I$17,'Graphikdaten 2'!$I$20:$I$21)</c:f>
              <c:numCache>
                <c:formatCode>0.0</c:formatCode>
                <c:ptCount val="5"/>
                <c:pt idx="0">
                  <c:v>2.0451000000000001</c:v>
                </c:pt>
              </c:numCache>
            </c:numRef>
          </c:val>
          <c:extLst xmlns:c15="http://schemas.microsoft.com/office/drawing/2012/chart">
            <c:ext xmlns:c16="http://schemas.microsoft.com/office/drawing/2014/chart" uri="{C3380CC4-5D6E-409C-BE32-E72D297353CC}">
              <c16:uniqueId val="{00000005-A07A-43F7-BD96-952AFFBF4811}"/>
            </c:ext>
          </c:extLst>
        </c:ser>
        <c:ser>
          <c:idx val="15"/>
          <c:order val="7"/>
          <c:tx>
            <c:strRef>
              <c:f>'Graphikdaten 2'!$J$9</c:f>
              <c:strCache>
                <c:ptCount val="1"/>
                <c:pt idx="0">
                  <c:v>CO2-Zertifikate BEHG 
(≙ 30 €/t_CO2)</c:v>
                </c:pt>
              </c:strCache>
            </c:strRef>
          </c:tx>
          <c:spPr>
            <a:solidFill>
              <a:schemeClr val="tx1">
                <a:lumMod val="75000"/>
                <a:lumOff val="25000"/>
              </a:schemeClr>
            </a:solidFill>
            <a:ln w="25400">
              <a:noFill/>
            </a:ln>
            <a:effectLst/>
          </c:spPr>
          <c:invertIfNegative val="0"/>
          <c:cat>
            <c:strLit>
              <c:ptCount val="5"/>
              <c:pt idx="0">
                <c:v>Strom Haushalte</c:v>
              </c:pt>
              <c:pt idx="1">
                <c:v>Verkehr Benzin</c:v>
              </c:pt>
              <c:pt idx="2">
                <c:v>Verkehr Diesel</c:v>
              </c:pt>
              <c:pt idx="3">
                <c:v>Wärme Erdgas</c:v>
              </c:pt>
              <c:pt idx="4">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2'!$J$10:$J$21</c15:sqref>
                  </c15:fullRef>
                </c:ext>
              </c:extLst>
              <c:f>('Graphikdaten 2'!$J$12,'Graphikdaten 2'!$J$16:$J$17,'Graphikdaten 2'!$J$20:$J$21)</c:f>
              <c:numCache>
                <c:formatCode>0.0</c:formatCode>
                <c:ptCount val="5"/>
                <c:pt idx="1">
                  <c:v>0.78953128070453527</c:v>
                </c:pt>
                <c:pt idx="2">
                  <c:v>0.7994865292550698</c:v>
                </c:pt>
                <c:pt idx="3">
                  <c:v>0.60410826996635003</c:v>
                </c:pt>
                <c:pt idx="4">
                  <c:v>0.79941600000000002</c:v>
                </c:pt>
              </c:numCache>
            </c:numRef>
          </c:val>
          <c:extLst>
            <c:ext xmlns:c16="http://schemas.microsoft.com/office/drawing/2014/chart" uri="{C3380CC4-5D6E-409C-BE32-E72D297353CC}">
              <c16:uniqueId val="{00000006-A07A-43F7-BD96-952AFFBF4811}"/>
            </c:ext>
          </c:extLst>
        </c:ser>
        <c:ser>
          <c:idx val="12"/>
          <c:order val="11"/>
          <c:tx>
            <c:strRef>
              <c:f>'Graphikdaten 2'!$R$9</c:f>
              <c:strCache>
                <c:ptCount val="1"/>
                <c:pt idx="0">
                  <c:v>Sonstige Umlagen</c:v>
                </c:pt>
              </c:strCache>
            </c:strRef>
          </c:tx>
          <c:spPr>
            <a:solidFill>
              <a:schemeClr val="accent1"/>
            </a:solidFill>
            <a:ln w="25400">
              <a:noFill/>
            </a:ln>
            <a:effectLst/>
          </c:spPr>
          <c:invertIfNegative val="0"/>
          <c:cat>
            <c:strLit>
              <c:ptCount val="5"/>
              <c:pt idx="0">
                <c:v>Strom Haushalte</c:v>
              </c:pt>
              <c:pt idx="1">
                <c:v>Verkehr Benzin</c:v>
              </c:pt>
              <c:pt idx="2">
                <c:v>Verkehr Diesel</c:v>
              </c:pt>
              <c:pt idx="3">
                <c:v>Wärme Erdgas</c:v>
              </c:pt>
              <c:pt idx="4">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2'!$R$10:$R$21</c15:sqref>
                  </c15:fullRef>
                </c:ext>
              </c:extLst>
              <c:f>('Graphikdaten 2'!$R$12,'Graphikdaten 2'!$R$16:$R$17,'Graphikdaten 2'!$R$20:$R$21)</c:f>
              <c:numCache>
                <c:formatCode>0.0</c:formatCode>
                <c:ptCount val="5"/>
                <c:pt idx="0">
                  <c:v>0.82192812073396038</c:v>
                </c:pt>
                <c:pt idx="1">
                  <c:v>0</c:v>
                </c:pt>
                <c:pt idx="2">
                  <c:v>0</c:v>
                </c:pt>
                <c:pt idx="3">
                  <c:v>0</c:v>
                </c:pt>
                <c:pt idx="4">
                  <c:v>0</c:v>
                </c:pt>
              </c:numCache>
            </c:numRef>
          </c:val>
          <c:extLst>
            <c:ext xmlns:c16="http://schemas.microsoft.com/office/drawing/2014/chart" uri="{C3380CC4-5D6E-409C-BE32-E72D297353CC}">
              <c16:uniqueId val="{00000007-A07A-43F7-BD96-952AFFBF4811}"/>
            </c:ext>
          </c:extLst>
        </c:ser>
        <c:ser>
          <c:idx val="1"/>
          <c:order val="12"/>
          <c:tx>
            <c:strRef>
              <c:f>'Graphikdaten 2'!$F$9</c:f>
              <c:strCache>
                <c:ptCount val="1"/>
                <c:pt idx="0">
                  <c:v>EEG-Umlage</c:v>
                </c:pt>
              </c:strCache>
            </c:strRef>
          </c:tx>
          <c:spPr>
            <a:solidFill>
              <a:schemeClr val="accent2"/>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2'!$F$10:$F$21</c15:sqref>
                  </c15:fullRef>
                </c:ext>
              </c:extLst>
              <c:f>('Graphikdaten 2'!$F$12,'Graphikdaten 2'!$F$16:$F$17,'Graphikdaten 2'!$F$20:$F$21)</c:f>
              <c:numCache>
                <c:formatCode>0.0</c:formatCode>
                <c:ptCount val="5"/>
                <c:pt idx="0">
                  <c:v>3.7231670924852511</c:v>
                </c:pt>
              </c:numCache>
            </c:numRef>
          </c:val>
          <c:extLst>
            <c:ext xmlns:c16="http://schemas.microsoft.com/office/drawing/2014/chart" uri="{C3380CC4-5D6E-409C-BE32-E72D297353CC}">
              <c16:uniqueId val="{00000008-A07A-43F7-BD96-952AFFBF4811}"/>
            </c:ext>
          </c:extLst>
        </c:ser>
        <c:ser>
          <c:idx val="14"/>
          <c:order val="13"/>
          <c:tx>
            <c:strRef>
              <c:f>'Graphikdaten 2'!$S$9</c:f>
              <c:strCache>
                <c:ptCount val="1"/>
                <c:pt idx="0">
                  <c:v>Mehrwertsteuer</c:v>
                </c:pt>
              </c:strCache>
            </c:strRef>
          </c:tx>
          <c:spPr>
            <a:solidFill>
              <a:schemeClr val="bg1">
                <a:lumMod val="75000"/>
              </a:schemeClr>
            </a:solidFill>
            <a:ln w="25400">
              <a:noFill/>
            </a:ln>
            <a:effectLst/>
          </c:spPr>
          <c:invertIfNegative val="0"/>
          <c:cat>
            <c:strLit>
              <c:ptCount val="5"/>
              <c:pt idx="0">
                <c:v>Strom Haushalte</c:v>
              </c:pt>
              <c:pt idx="1">
                <c:v>Verkehr Benzin</c:v>
              </c:pt>
              <c:pt idx="2">
                <c:v>Verkehr Diesel</c:v>
              </c:pt>
              <c:pt idx="3">
                <c:v>Wärme Erdgas</c:v>
              </c:pt>
              <c:pt idx="4">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2'!$S$10:$S$21</c15:sqref>
                  </c15:fullRef>
                </c:ext>
              </c:extLst>
              <c:f>('Graphikdaten 2'!$S$12,'Graphikdaten 2'!$S$16:$S$17,'Graphikdaten 2'!$S$20:$S$21)</c:f>
              <c:numCache>
                <c:formatCode>0.0</c:formatCode>
                <c:ptCount val="5"/>
                <c:pt idx="0">
                  <c:v>3.4948970905116497</c:v>
                </c:pt>
                <c:pt idx="1">
                  <c:v>1.5451373636773136</c:v>
                </c:pt>
                <c:pt idx="2">
                  <c:v>1.055752137252072</c:v>
                </c:pt>
                <c:pt idx="3">
                  <c:v>0.53268287625814548</c:v>
                </c:pt>
                <c:pt idx="4">
                  <c:v>0.26854970174262893</c:v>
                </c:pt>
              </c:numCache>
            </c:numRef>
          </c:val>
          <c:extLst xmlns:c15="http://schemas.microsoft.com/office/drawing/2012/chart">
            <c:ext xmlns:c16="http://schemas.microsoft.com/office/drawing/2014/chart" uri="{C3380CC4-5D6E-409C-BE32-E72D297353CC}">
              <c16:uniqueId val="{00000009-A07A-43F7-BD96-952AFFBF4811}"/>
            </c:ext>
          </c:extLst>
        </c:ser>
        <c:dLbls>
          <c:showLegendKey val="0"/>
          <c:showVal val="0"/>
          <c:showCatName val="0"/>
          <c:showSerName val="0"/>
          <c:showPercent val="0"/>
          <c:showBubbleSize val="0"/>
        </c:dLbls>
        <c:gapWidth val="150"/>
        <c:overlap val="100"/>
        <c:axId val="415006976"/>
        <c:axId val="415007368"/>
        <c:extLst>
          <c:ext xmlns:c15="http://schemas.microsoft.com/office/drawing/2012/chart" uri="{02D57815-91ED-43cb-92C2-25804820EDAC}">
            <c15:filteredBarSeries>
              <c15:ser>
                <c:idx val="10"/>
                <c:order val="0"/>
                <c:tx>
                  <c:strRef>
                    <c:extLst>
                      <c:ext uri="{02D57815-91ED-43cb-92C2-25804820EDAC}">
                        <c15:formulaRef>
                          <c15:sqref>'Graphikdaten 2'!$C$9</c15:sqref>
                        </c15:formulaRef>
                      </c:ext>
                    </c:extLst>
                    <c:strCache>
                      <c:ptCount val="1"/>
                      <c:pt idx="0">
                        <c:v>Beschaffung,
Vertrieb und Marge (ohne EUA-Kosten)</c:v>
                      </c:pt>
                    </c:strCache>
                  </c:strRef>
                </c:tx>
                <c:spPr>
                  <a:solidFill>
                    <a:schemeClr val="accent3"/>
                  </a:solidFill>
                  <a:ln w="25400">
                    <a:noFill/>
                  </a:ln>
                  <a:effectLst/>
                </c:spPr>
                <c:invertIfNegative val="0"/>
                <c:val>
                  <c:numRef>
                    <c:extLst>
                      <c:ext uri="{02D57815-91ED-43cb-92C2-25804820EDAC}">
                        <c15:fullRef>
                          <c15:sqref>'Graphikdaten 2'!$C$10:$C$21</c15:sqref>
                        </c15:fullRef>
                        <c15:formulaRef>
                          <c15:sqref>('Graphikdaten 2'!$C$12,'Graphikdaten 2'!$C$16:$C$17,'Graphikdaten 2'!$C$20:$C$21)</c15:sqref>
                        </c15:formulaRef>
                      </c:ext>
                    </c:extLst>
                    <c:numCache>
                      <c:formatCode>0.0</c:formatCode>
                      <c:ptCount val="5"/>
                      <c:pt idx="0">
                        <c:v>8.7949000000000002</c:v>
                      </c:pt>
                      <c:pt idx="1">
                        <c:v>6.1002488313134098</c:v>
                      </c:pt>
                      <c:pt idx="2">
                        <c:v>5.7733143548220589</c:v>
                      </c:pt>
                      <c:pt idx="3">
                        <c:v>2.1806368320778731</c:v>
                      </c:pt>
                      <c:pt idx="4">
                        <c:v>4.7610524427761032</c:v>
                      </c:pt>
                    </c:numCache>
                  </c:numRef>
                </c:val>
                <c:extLst>
                  <c:ext xmlns:c16="http://schemas.microsoft.com/office/drawing/2014/chart" uri="{C3380CC4-5D6E-409C-BE32-E72D297353CC}">
                    <c16:uniqueId val="{0000000B-A07A-43F7-BD96-952AFFBF4811}"/>
                  </c:ext>
                </c:extLst>
              </c15:ser>
            </c15:filteredBarSeries>
            <c15:filteredBarSeries>
              <c15:ser>
                <c:idx val="2"/>
                <c:order val="8"/>
                <c:tx>
                  <c:strRef>
                    <c:extLst xmlns:c15="http://schemas.microsoft.com/office/drawing/2012/chart">
                      <c:ext xmlns:c15="http://schemas.microsoft.com/office/drawing/2012/chart" uri="{02D57815-91ED-43cb-92C2-25804820EDAC}">
                        <c15:formulaRef>
                          <c15:sqref>'Graphikdaten 2'!$H$9</c15:sqref>
                        </c15:formulaRef>
                      </c:ext>
                    </c:extLst>
                    <c:strCache>
                      <c:ptCount val="1"/>
                      <c:pt idx="0">
                        <c:v>KWK-Umlage</c:v>
                      </c:pt>
                    </c:strCache>
                  </c:strRef>
                </c:tx>
                <c:spPr>
                  <a:solidFill>
                    <a:schemeClr val="accent5">
                      <a:lumMod val="75000"/>
                    </a:schemeClr>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2'!$A$16:$B$17,'Graphikdaten 2'!$A$20:$B$21)</c15:sqref>
                        </c15:formulaRef>
                      </c:ext>
                    </c:extLst>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2'!$H$10:$H$21</c15:sqref>
                        </c15:fullRef>
                        <c15:formulaRef>
                          <c15:sqref>('Graphikdaten 2'!$H$12,'Graphikdaten 2'!$H$16:$H$17,'Graphikdaten 2'!$H$20:$H$21)</c15:sqref>
                        </c15:formulaRef>
                      </c:ext>
                    </c:extLst>
                    <c:numCache>
                      <c:formatCode>0.0</c:formatCode>
                      <c:ptCount val="5"/>
                      <c:pt idx="0">
                        <c:v>0.254</c:v>
                      </c:pt>
                    </c:numCache>
                  </c:numRef>
                </c:val>
                <c:extLst xmlns:c15="http://schemas.microsoft.com/office/drawing/2012/chart">
                  <c:ext xmlns:c16="http://schemas.microsoft.com/office/drawing/2014/chart" uri="{C3380CC4-5D6E-409C-BE32-E72D297353CC}">
                    <c16:uniqueId val="{0000000C-A07A-43F7-BD96-952AFFBF4811}"/>
                  </c:ext>
                </c:extLst>
              </c15:ser>
            </c15:filteredBarSeries>
            <c15:filteredBarSeries>
              <c15:ser>
                <c:idx val="4"/>
                <c:order val="9"/>
                <c:tx>
                  <c:strRef>
                    <c:extLst xmlns:c15="http://schemas.microsoft.com/office/drawing/2012/chart">
                      <c:ext xmlns:c15="http://schemas.microsoft.com/office/drawing/2012/chart" uri="{02D57815-91ED-43cb-92C2-25804820EDAC}">
                        <c15:formulaRef>
                          <c15:sqref>'Graphikdaten 2'!$K$9</c15:sqref>
                        </c15:formulaRef>
                      </c:ext>
                    </c:extLst>
                    <c:strCache>
                      <c:ptCount val="1"/>
                      <c:pt idx="0">
                        <c:v>§19.2-StromNEV-Umlage</c:v>
                      </c:pt>
                    </c:strCache>
                  </c:strRef>
                </c:tx>
                <c:spPr>
                  <a:solidFill>
                    <a:schemeClr val="accent5"/>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2'!$A$16:$B$17,'Graphikdaten 2'!$A$20:$B$21)</c15:sqref>
                        </c15:formulaRef>
                      </c:ext>
                    </c:extLst>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2'!$K$10:$K$21</c15:sqref>
                        </c15:fullRef>
                        <c15:formulaRef>
                          <c15:sqref>('Graphikdaten 2'!$K$12,'Graphikdaten 2'!$K$16:$K$17,'Graphikdaten 2'!$K$20:$K$21)</c15:sqref>
                        </c15:formulaRef>
                      </c:ext>
                    </c:extLst>
                    <c:numCache>
                      <c:formatCode>0.0</c:formatCode>
                      <c:ptCount val="5"/>
                      <c:pt idx="0">
                        <c:v>0.40471806950975447</c:v>
                      </c:pt>
                    </c:numCache>
                  </c:numRef>
                </c:val>
                <c:extLst xmlns:c15="http://schemas.microsoft.com/office/drawing/2012/chart">
                  <c:ext xmlns:c16="http://schemas.microsoft.com/office/drawing/2014/chart" uri="{C3380CC4-5D6E-409C-BE32-E72D297353CC}">
                    <c16:uniqueId val="{0000000D-A07A-43F7-BD96-952AFFBF4811}"/>
                  </c:ext>
                </c:extLst>
              </c15:ser>
            </c15:filteredBarSeries>
            <c15:filteredBarSeries>
              <c15:ser>
                <c:idx val="5"/>
                <c:order val="10"/>
                <c:tx>
                  <c:strRef>
                    <c:extLst xmlns:c15="http://schemas.microsoft.com/office/drawing/2012/chart">
                      <c:ext xmlns:c15="http://schemas.microsoft.com/office/drawing/2012/chart" uri="{02D57815-91ED-43cb-92C2-25804820EDAC}">
                        <c15:formulaRef>
                          <c15:sqref>'Graphikdaten 2'!$M$9</c15:sqref>
                        </c15:formulaRef>
                      </c:ext>
                    </c:extLst>
                    <c:strCache>
                      <c:ptCount val="1"/>
                      <c:pt idx="0">
                        <c:v>AblaV-Umlage</c:v>
                      </c:pt>
                    </c:strCache>
                  </c:strRef>
                </c:tx>
                <c:spPr>
                  <a:solidFill>
                    <a:schemeClr val="accent6"/>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2'!$A$16:$B$17,'Graphikdaten 2'!$A$20:$B$21)</c15:sqref>
                        </c15:formulaRef>
                      </c:ext>
                    </c:extLst>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2'!$M$10:$M$21</c15:sqref>
                        </c15:fullRef>
                        <c15:formulaRef>
                          <c15:sqref>('Graphikdaten 2'!$M$12,'Graphikdaten 2'!$M$16:$M$17,'Graphikdaten 2'!$M$20:$M$21)</c15:sqref>
                        </c15:formulaRef>
                      </c:ext>
                    </c:extLst>
                    <c:numCache>
                      <c:formatCode>0.0</c:formatCode>
                      <c:ptCount val="5"/>
                      <c:pt idx="0">
                        <c:v>8.0612580505828625E-3</c:v>
                      </c:pt>
                    </c:numCache>
                  </c:numRef>
                </c:val>
                <c:extLst xmlns:c15="http://schemas.microsoft.com/office/drawing/2012/chart">
                  <c:ext xmlns:c16="http://schemas.microsoft.com/office/drawing/2014/chart" uri="{C3380CC4-5D6E-409C-BE32-E72D297353CC}">
                    <c16:uniqueId val="{0000000E-A07A-43F7-BD96-952AFFBF4811}"/>
                  </c:ext>
                </c:extLst>
              </c15:ser>
            </c15:filteredBarSeries>
            <c15:filteredBarSeries>
              <c15:ser>
                <c:idx val="13"/>
                <c:order val="15"/>
                <c:tx>
                  <c:strRef>
                    <c:extLst xmlns:c15="http://schemas.microsoft.com/office/drawing/2012/chart">
                      <c:ext xmlns:c15="http://schemas.microsoft.com/office/drawing/2012/chart" uri="{02D57815-91ED-43cb-92C2-25804820EDAC}">
                        <c15:formulaRef>
                          <c15:sqref>'Graphikdaten 2'!$G$9</c15:sqref>
                        </c15:formulaRef>
                      </c:ext>
                    </c:extLst>
                    <c:strCache>
                      <c:ptCount val="1"/>
                      <c:pt idx="0">
                        <c:v>EEG-Umlagen-
Senkung</c:v>
                      </c:pt>
                    </c:strCache>
                  </c:strRef>
                </c:tx>
                <c:spPr>
                  <a:noFill/>
                  <a:ln w="19050">
                    <a:solidFill>
                      <a:schemeClr val="accent2">
                        <a:lumMod val="60000"/>
                        <a:lumOff val="40000"/>
                      </a:schemeClr>
                    </a:solidFill>
                    <a:prstDash val="sysDash"/>
                  </a:ln>
                  <a:effectLst/>
                </c:spPr>
                <c:invertIfNegative val="0"/>
                <c:val>
                  <c:numRef>
                    <c:extLst>
                      <c:ext xmlns:c15="http://schemas.microsoft.com/office/drawing/2012/chart" uri="{02D57815-91ED-43cb-92C2-25804820EDAC}">
                        <c15:fullRef>
                          <c15:sqref>'Graphikdaten 2'!$G$10:$G$21</c15:sqref>
                        </c15:fullRef>
                        <c15:formulaRef>
                          <c15:sqref>('Graphikdaten 2'!$G$12,'Graphikdaten 2'!$G$16:$G$17,'Graphikdaten 2'!$G$20:$G$21)</c15:sqref>
                        </c15:formulaRef>
                      </c:ext>
                    </c:extLst>
                    <c:numCache>
                      <c:formatCode>0.0</c:formatCode>
                      <c:ptCount val="5"/>
                    </c:numCache>
                  </c:numRef>
                </c:val>
                <c:extLst xmlns:c15="http://schemas.microsoft.com/office/drawing/2012/chart">
                  <c:ext xmlns:c16="http://schemas.microsoft.com/office/drawing/2014/chart" uri="{C3380CC4-5D6E-409C-BE32-E72D297353CC}">
                    <c16:uniqueId val="{0000000F-A07A-43F7-BD96-952AFFBF4811}"/>
                  </c:ext>
                </c:extLst>
              </c15:ser>
            </c15:filteredBarSeries>
          </c:ext>
        </c:extLst>
      </c:barChart>
      <c:lineChart>
        <c:grouping val="standard"/>
        <c:varyColors val="0"/>
        <c:ser>
          <c:idx val="11"/>
          <c:order val="14"/>
          <c:tx>
            <c:strRef>
              <c:f>'Graphikdaten 2'!$U$9</c:f>
              <c:strCache>
                <c:ptCount val="1"/>
                <c:pt idx="0">
                  <c:v>Summe ohne Beschaffung etc. mit MWSt.</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'Graphikdaten 2'!$A$10:$B$21</c15:sqref>
                  </c15:fullRef>
                </c:ext>
              </c:extLst>
              <c:f>('Graphikdaten 2'!$A$12:$B$12,'Graphikdaten 2'!$A$16:$B$17,'Graphikdaten 2'!$A$20:$B$21)</c:f>
              <c:multiLvlStrCache>
                <c:ptCount val="5"/>
                <c:lvl>
                  <c:pt idx="0">
                    <c:v>Haushalte</c:v>
                  </c:pt>
                  <c:pt idx="1">
                    <c:v>Benzin</c:v>
                  </c:pt>
                  <c:pt idx="2">
                    <c:v>Diesel</c:v>
                  </c:pt>
                  <c:pt idx="3">
                    <c:v>Erdgas</c:v>
                  </c:pt>
                  <c:pt idx="4">
                    <c:v>Leichtes Heizöl</c:v>
                  </c:pt>
                </c:lvl>
                <c:lvl/>
              </c:multiLvlStrCache>
            </c:multiLvlStrRef>
          </c:cat>
          <c:val>
            <c:numRef>
              <c:extLst>
                <c:ext xmlns:c15="http://schemas.microsoft.com/office/drawing/2012/chart" uri="{02D57815-91ED-43cb-92C2-25804820EDAC}">
                  <c15:fullRef>
                    <c15:sqref>'Graphikdaten 2'!$U$10:$U$21</c15:sqref>
                  </c15:fullRef>
                </c:ext>
              </c:extLst>
              <c:f>('Graphikdaten 2'!$U$12,'Graphikdaten 2'!$U$16:$U$17,'Graphikdaten 2'!$U$20:$U$21)</c:f>
              <c:numCache>
                <c:formatCode>0.00</c:formatCode>
                <c:ptCount val="5"/>
                <c:pt idx="0">
                  <c:v>21.889092303730859</c:v>
                </c:pt>
                <c:pt idx="1">
                  <c:v>9.677439277768439</c:v>
                </c:pt>
                <c:pt idx="2">
                  <c:v>6.6123423333156088</c:v>
                </c:pt>
                <c:pt idx="3">
                  <c:v>3.3362769618273322</c:v>
                </c:pt>
                <c:pt idx="4">
                  <c:v>1.6819691845985707</c:v>
                </c:pt>
              </c:numCache>
            </c:numRef>
          </c:val>
          <c:smooth val="0"/>
          <c:extLst>
            <c:ext xmlns:c16="http://schemas.microsoft.com/office/drawing/2014/chart" uri="{C3380CC4-5D6E-409C-BE32-E72D297353CC}">
              <c16:uniqueId val="{0000000A-A07A-43F7-BD96-952AFFBF4811}"/>
            </c:ext>
          </c:extLst>
        </c:ser>
        <c:dLbls>
          <c:showLegendKey val="0"/>
          <c:showVal val="0"/>
          <c:showCatName val="0"/>
          <c:showSerName val="0"/>
          <c:showPercent val="0"/>
          <c:showBubbleSize val="0"/>
        </c:dLbls>
        <c:marker val="1"/>
        <c:smooth val="0"/>
        <c:axId val="415006976"/>
        <c:axId val="415007368"/>
        <c:extLst/>
      </c:lineChart>
      <c:catAx>
        <c:axId val="415006976"/>
        <c:scaling>
          <c:orientation val="minMax"/>
        </c:scaling>
        <c:delete val="0"/>
        <c:axPos val="b"/>
        <c:majorGridlines>
          <c:spPr>
            <a:ln w="12700"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7368"/>
        <c:crosses val="autoZero"/>
        <c:auto val="1"/>
        <c:lblAlgn val="ctr"/>
        <c:lblOffset val="100"/>
        <c:noMultiLvlLbl val="0"/>
      </c:catAx>
      <c:valAx>
        <c:axId val="415007368"/>
        <c:scaling>
          <c:orientation val="minMax"/>
          <c:min val="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r>
                  <a:rPr lang="de-DE" b="0"/>
                  <a:t>ct/kWh</a:t>
                </a:r>
              </a:p>
            </c:rich>
          </c:tx>
          <c:layout>
            <c:manualLayout>
              <c:xMode val="edge"/>
              <c:yMode val="edge"/>
              <c:x val="8.4497671324018624E-3"/>
              <c:y val="0.270297220501112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6976"/>
        <c:crosses val="autoZero"/>
        <c:crossBetween val="between"/>
        <c:majorUnit val="5"/>
      </c:valAx>
      <c:spPr>
        <a:noFill/>
        <a:ln>
          <a:noFill/>
        </a:ln>
        <a:effectLst/>
      </c:spPr>
    </c:plotArea>
    <c:plotVisOnly val="1"/>
    <c:dispBlanksAs val="gap"/>
    <c:showDLblsOverMax val="0"/>
  </c:chart>
  <c:spPr>
    <a:noFill/>
    <a:ln w="9525" cap="flat" cmpd="sng" algn="ctr">
      <a:noFill/>
      <a:round/>
    </a:ln>
    <a:effectLst/>
  </c:spPr>
  <c:txPr>
    <a:bodyPr/>
    <a:lstStyle/>
    <a:p>
      <a:pPr>
        <a:defRPr sz="1000" b="0" i="0">
          <a:solidFill>
            <a:sysClr val="windowText" lastClr="000000"/>
          </a:solidFill>
          <a:latin typeface="Flexo" pitchFamily="50"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00" b="1" i="0" u="none" strike="noStrike" kern="1200" spc="0" baseline="0">
                <a:solidFill>
                  <a:sysClr val="windowText" lastClr="000000"/>
                </a:solidFill>
                <a:latin typeface="+mn-lt"/>
                <a:ea typeface="+mn-ea"/>
                <a:cs typeface="+mn-cs"/>
              </a:defRPr>
            </a:pPr>
            <a:r>
              <a:rPr lang="de-DE" b="1"/>
              <a:t>Prozentuale Energiepreisentwicklung für Haushaltskunden</a:t>
            </a:r>
          </a:p>
        </c:rich>
      </c:tx>
      <c:layout>
        <c:manualLayout>
          <c:xMode val="edge"/>
          <c:yMode val="edge"/>
          <c:x val="0.17271797063813529"/>
          <c:y val="1.5431972190857042E-2"/>
        </c:manualLayout>
      </c:layout>
      <c:overlay val="0"/>
      <c:spPr>
        <a:noFill/>
        <a:ln>
          <a:noFill/>
        </a:ln>
        <a:effectLst/>
      </c:spPr>
      <c:txPr>
        <a:bodyPr rot="0" spcFirstLastPara="1" vertOverflow="ellipsis" vert="horz" wrap="square" anchor="ctr" anchorCtr="1"/>
        <a:lstStyle/>
        <a:p>
          <a:pPr algn="ctr" rtl="0">
            <a:defRPr sz="12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0.1090731092897588"/>
          <c:y val="0.11081188881567816"/>
          <c:w val="0.8146926106087673"/>
          <c:h val="0.68574550551404412"/>
        </c:manualLayout>
      </c:layout>
      <c:lineChart>
        <c:grouping val="standard"/>
        <c:varyColors val="0"/>
        <c:ser>
          <c:idx val="0"/>
          <c:order val="0"/>
          <c:tx>
            <c:strRef>
              <c:f>Endverbraucherpreise!$A$18</c:f>
              <c:strCache>
                <c:ptCount val="1"/>
                <c:pt idx="0">
                  <c:v>Benzin</c:v>
                </c:pt>
              </c:strCache>
            </c:strRef>
          </c:tx>
          <c:spPr>
            <a:ln w="28575" cap="rnd">
              <a:solidFill>
                <a:srgbClr val="18658C"/>
              </a:solidFill>
              <a:round/>
            </a:ln>
            <a:effectLst/>
          </c:spPr>
          <c:marker>
            <c:symbol val="none"/>
          </c:marker>
          <c:cat>
            <c:numRef>
              <c:f>Endverbraucherpreise!$B$17:$T$17</c:f>
              <c:numCache>
                <c:formatCode>General</c:formatCode>
                <c:ptCount val="19"/>
                <c:pt idx="0">
                  <c:v>2012</c:v>
                </c:pt>
                <c:pt idx="3">
                  <c:v>2015</c:v>
                </c:pt>
                <c:pt idx="7">
                  <c:v>2019</c:v>
                </c:pt>
                <c:pt idx="9">
                  <c:v>2021</c:v>
                </c:pt>
                <c:pt idx="13">
                  <c:v>2025</c:v>
                </c:pt>
                <c:pt idx="18">
                  <c:v>2030</c:v>
                </c:pt>
              </c:numCache>
            </c:numRef>
          </c:cat>
          <c:val>
            <c:numRef>
              <c:f>Endverbraucherpreise!$B$18:$T$18</c:f>
              <c:numCache>
                <c:formatCode>0</c:formatCode>
                <c:ptCount val="19"/>
                <c:pt idx="0">
                  <c:v>113.76054718538448</c:v>
                </c:pt>
                <c:pt idx="1">
                  <c:v>110.09449557187277</c:v>
                </c:pt>
                <c:pt idx="2">
                  <c:v>105.83761692284676</c:v>
                </c:pt>
                <c:pt idx="3">
                  <c:v>96.511493579799577</c:v>
                </c:pt>
                <c:pt idx="4">
                  <c:v>89.749645831951042</c:v>
                </c:pt>
                <c:pt idx="5">
                  <c:v>94.077449405553523</c:v>
                </c:pt>
                <c:pt idx="6">
                  <c:v>100.34196855934709</c:v>
                </c:pt>
                <c:pt idx="7">
                  <c:v>100</c:v>
                </c:pt>
                <c:pt idx="8">
                  <c:v>86.879590786889921</c:v>
                </c:pt>
                <c:pt idx="9">
                  <c:v>107.12296030716146</c:v>
                </c:pt>
                <c:pt idx="10">
                  <c:v>108.67247496733816</c:v>
                </c:pt>
                <c:pt idx="11">
                  <c:v>110.23046963219916</c:v>
                </c:pt>
                <c:pt idx="12">
                  <c:v>112.7812525163687</c:v>
                </c:pt>
                <c:pt idx="13">
                  <c:v>115.34077171336416</c:v>
                </c:pt>
                <c:pt idx="14">
                  <c:v>116.924977253324</c:v>
                </c:pt>
                <c:pt idx="15">
                  <c:v>117.53400214661104</c:v>
                </c:pt>
                <c:pt idx="16">
                  <c:v>118.15216241329738</c:v>
                </c:pt>
                <c:pt idx="17">
                  <c:v>118.77959508398402</c:v>
                </c:pt>
                <c:pt idx="18">
                  <c:v>119.41643924473095</c:v>
                </c:pt>
              </c:numCache>
            </c:numRef>
          </c:val>
          <c:smooth val="0"/>
          <c:extLst>
            <c:ext xmlns:c16="http://schemas.microsoft.com/office/drawing/2014/chart" uri="{C3380CC4-5D6E-409C-BE32-E72D297353CC}">
              <c16:uniqueId val="{00000000-491A-4240-8D35-CD28E179629D}"/>
            </c:ext>
          </c:extLst>
        </c:ser>
        <c:ser>
          <c:idx val="1"/>
          <c:order val="1"/>
          <c:tx>
            <c:strRef>
              <c:f>Endverbraucherpreise!$A$19</c:f>
              <c:strCache>
                <c:ptCount val="1"/>
                <c:pt idx="0">
                  <c:v>Diesel</c:v>
                </c:pt>
              </c:strCache>
            </c:strRef>
          </c:tx>
          <c:spPr>
            <a:ln w="28575" cap="rnd">
              <a:solidFill>
                <a:srgbClr val="2497D2"/>
              </a:solidFill>
              <a:round/>
            </a:ln>
            <a:effectLst/>
          </c:spPr>
          <c:marker>
            <c:symbol val="none"/>
          </c:marker>
          <c:cat>
            <c:numRef>
              <c:f>Endverbraucherpreise!$B$17:$T$17</c:f>
              <c:numCache>
                <c:formatCode>General</c:formatCode>
                <c:ptCount val="19"/>
                <c:pt idx="0">
                  <c:v>2012</c:v>
                </c:pt>
                <c:pt idx="3">
                  <c:v>2015</c:v>
                </c:pt>
                <c:pt idx="7">
                  <c:v>2019</c:v>
                </c:pt>
                <c:pt idx="9">
                  <c:v>2021</c:v>
                </c:pt>
                <c:pt idx="13">
                  <c:v>2025</c:v>
                </c:pt>
                <c:pt idx="18">
                  <c:v>2030</c:v>
                </c:pt>
              </c:numCache>
            </c:numRef>
          </c:cat>
          <c:val>
            <c:numRef>
              <c:f>Endverbraucherpreise!$B$19:$T$19</c:f>
              <c:numCache>
                <c:formatCode>0</c:formatCode>
                <c:ptCount val="19"/>
                <c:pt idx="0">
                  <c:v>117.01810761399062</c:v>
                </c:pt>
                <c:pt idx="1">
                  <c:v>112.24858473118431</c:v>
                </c:pt>
                <c:pt idx="2">
                  <c:v>107.0305600149112</c:v>
                </c:pt>
                <c:pt idx="3">
                  <c:v>93.34561038366725</c:v>
                </c:pt>
                <c:pt idx="4">
                  <c:v>86.344723624521009</c:v>
                </c:pt>
                <c:pt idx="5">
                  <c:v>90.766387100697571</c:v>
                </c:pt>
                <c:pt idx="6">
                  <c:v>101.19998967863062</c:v>
                </c:pt>
                <c:pt idx="7">
                  <c:v>100</c:v>
                </c:pt>
                <c:pt idx="8">
                  <c:v>84.650170375275351</c:v>
                </c:pt>
                <c:pt idx="9">
                  <c:v>108.86865449161081</c:v>
                </c:pt>
                <c:pt idx="10">
                  <c:v>110.79079089104833</c:v>
                </c:pt>
                <c:pt idx="11">
                  <c:v>112.72300136320999</c:v>
                </c:pt>
                <c:pt idx="12">
                  <c:v>115.91596857034772</c:v>
                </c:pt>
                <c:pt idx="13">
                  <c:v>119.11931433905765</c:v>
                </c:pt>
                <c:pt idx="14">
                  <c:v>121.08266279660238</c:v>
                </c:pt>
                <c:pt idx="15">
                  <c:v>121.80617195658185</c:v>
                </c:pt>
                <c:pt idx="16">
                  <c:v>122.54053375396101</c:v>
                </c:pt>
                <c:pt idx="17">
                  <c:v>123.28591097830086</c:v>
                </c:pt>
                <c:pt idx="18">
                  <c:v>124.0424688610058</c:v>
                </c:pt>
              </c:numCache>
            </c:numRef>
          </c:val>
          <c:smooth val="0"/>
          <c:extLst>
            <c:ext xmlns:c16="http://schemas.microsoft.com/office/drawing/2014/chart" uri="{C3380CC4-5D6E-409C-BE32-E72D297353CC}">
              <c16:uniqueId val="{00000001-491A-4240-8D35-CD28E179629D}"/>
            </c:ext>
          </c:extLst>
        </c:ser>
        <c:ser>
          <c:idx val="2"/>
          <c:order val="2"/>
          <c:tx>
            <c:strRef>
              <c:f>Endverbraucherpreise!$A$20</c:f>
              <c:strCache>
                <c:ptCount val="1"/>
                <c:pt idx="0">
                  <c:v>Heizöl</c:v>
                </c:pt>
              </c:strCache>
            </c:strRef>
          </c:tx>
          <c:spPr>
            <a:ln w="28575" cap="rnd">
              <a:solidFill>
                <a:srgbClr val="1D565C"/>
              </a:solidFill>
              <a:round/>
            </a:ln>
            <a:effectLst/>
          </c:spPr>
          <c:marker>
            <c:symbol val="none"/>
          </c:marker>
          <c:cat>
            <c:numRef>
              <c:f>Endverbraucherpreise!$B$17:$T$17</c:f>
              <c:numCache>
                <c:formatCode>General</c:formatCode>
                <c:ptCount val="19"/>
                <c:pt idx="0">
                  <c:v>2012</c:v>
                </c:pt>
                <c:pt idx="3">
                  <c:v>2015</c:v>
                </c:pt>
                <c:pt idx="7">
                  <c:v>2019</c:v>
                </c:pt>
                <c:pt idx="9">
                  <c:v>2021</c:v>
                </c:pt>
                <c:pt idx="13">
                  <c:v>2025</c:v>
                </c:pt>
                <c:pt idx="18">
                  <c:v>2030</c:v>
                </c:pt>
              </c:numCache>
            </c:numRef>
          </c:cat>
          <c:val>
            <c:numRef>
              <c:f>Endverbraucherpreise!$B$20:$T$20</c:f>
              <c:numCache>
                <c:formatCode>0</c:formatCode>
                <c:ptCount val="19"/>
                <c:pt idx="0">
                  <c:v>133.46787169449738</c:v>
                </c:pt>
                <c:pt idx="1">
                  <c:v>125.40839488031288</c:v>
                </c:pt>
                <c:pt idx="2">
                  <c:v>115.56231510968755</c:v>
                </c:pt>
                <c:pt idx="3">
                  <c:v>88.934449085548408</c:v>
                </c:pt>
                <c:pt idx="4">
                  <c:v>73.923481508516716</c:v>
                </c:pt>
                <c:pt idx="5">
                  <c:v>85.04191782354529</c:v>
                </c:pt>
                <c:pt idx="6">
                  <c:v>103.493039377005</c:v>
                </c:pt>
                <c:pt idx="7">
                  <c:v>100</c:v>
                </c:pt>
                <c:pt idx="8">
                  <c:v>71.686999095762843</c:v>
                </c:pt>
                <c:pt idx="9">
                  <c:v>116.98436999738024</c:v>
                </c:pt>
                <c:pt idx="10">
                  <c:v>120.66619300676409</c:v>
                </c:pt>
                <c:pt idx="11">
                  <c:v>124.36735894499429</c:v>
                </c:pt>
                <c:pt idx="12">
                  <c:v>130.48045237562923</c:v>
                </c:pt>
                <c:pt idx="13">
                  <c:v>136.61347337513493</c:v>
                </c:pt>
                <c:pt idx="14">
                  <c:v>140.37442643741872</c:v>
                </c:pt>
                <c:pt idx="15">
                  <c:v>141.76361495971676</c:v>
                </c:pt>
                <c:pt idx="16">
                  <c:v>143.17364130984922</c:v>
                </c:pt>
                <c:pt idx="17">
                  <c:v>144.60481805523361</c:v>
                </c:pt>
                <c:pt idx="18">
                  <c:v>146.05746245179887</c:v>
                </c:pt>
              </c:numCache>
            </c:numRef>
          </c:val>
          <c:smooth val="0"/>
          <c:extLst>
            <c:ext xmlns:c16="http://schemas.microsoft.com/office/drawing/2014/chart" uri="{C3380CC4-5D6E-409C-BE32-E72D297353CC}">
              <c16:uniqueId val="{00000002-491A-4240-8D35-CD28E179629D}"/>
            </c:ext>
          </c:extLst>
        </c:ser>
        <c:ser>
          <c:idx val="3"/>
          <c:order val="3"/>
          <c:tx>
            <c:strRef>
              <c:f>Endverbraucherpreise!$A$21</c:f>
              <c:strCache>
                <c:ptCount val="1"/>
                <c:pt idx="0">
                  <c:v>Erdgas</c:v>
                </c:pt>
              </c:strCache>
            </c:strRef>
          </c:tx>
          <c:spPr>
            <a:ln w="28575" cap="rnd">
              <a:solidFill>
                <a:srgbClr val="9ABBCA"/>
              </a:solidFill>
              <a:round/>
            </a:ln>
            <a:effectLst/>
          </c:spPr>
          <c:marker>
            <c:symbol val="none"/>
          </c:marker>
          <c:cat>
            <c:numRef>
              <c:f>Endverbraucherpreise!$B$17:$T$17</c:f>
              <c:numCache>
                <c:formatCode>General</c:formatCode>
                <c:ptCount val="19"/>
                <c:pt idx="0">
                  <c:v>2012</c:v>
                </c:pt>
                <c:pt idx="3">
                  <c:v>2015</c:v>
                </c:pt>
                <c:pt idx="7">
                  <c:v>2019</c:v>
                </c:pt>
                <c:pt idx="9">
                  <c:v>2021</c:v>
                </c:pt>
                <c:pt idx="13">
                  <c:v>2025</c:v>
                </c:pt>
                <c:pt idx="18">
                  <c:v>2030</c:v>
                </c:pt>
              </c:numCache>
            </c:numRef>
          </c:cat>
          <c:val>
            <c:numRef>
              <c:f>Endverbraucherpreise!$B$21:$T$21</c:f>
              <c:numCache>
                <c:formatCode>0</c:formatCode>
                <c:ptCount val="19"/>
                <c:pt idx="0">
                  <c:v>113.84242821917712</c:v>
                </c:pt>
                <c:pt idx="1">
                  <c:v>115.45833350197728</c:v>
                </c:pt>
                <c:pt idx="2">
                  <c:v>115.60474493488293</c:v>
                </c:pt>
                <c:pt idx="3">
                  <c:v>114.43345347163742</c:v>
                </c:pt>
                <c:pt idx="4">
                  <c:v>111.19517707325282</c:v>
                </c:pt>
                <c:pt idx="5">
                  <c:v>107.53489125061067</c:v>
                </c:pt>
                <c:pt idx="6">
                  <c:v>105.81240380466149</c:v>
                </c:pt>
                <c:pt idx="7">
                  <c:v>100</c:v>
                </c:pt>
                <c:pt idx="8">
                  <c:v>96.759756534192618</c:v>
                </c:pt>
                <c:pt idx="9">
                  <c:v>99.096047811837281</c:v>
                </c:pt>
                <c:pt idx="10">
                  <c:v>103.71861191440136</c:v>
                </c:pt>
                <c:pt idx="11">
                  <c:v>106.41327935222674</c:v>
                </c:pt>
                <c:pt idx="12">
                  <c:v>110.86276460381723</c:v>
                </c:pt>
                <c:pt idx="13">
                  <c:v>115.31224985540777</c:v>
                </c:pt>
                <c:pt idx="14">
                  <c:v>117.4526470021207</c:v>
                </c:pt>
                <c:pt idx="15">
                  <c:v>117.83822633506847</c:v>
                </c:pt>
                <c:pt idx="16">
                  <c:v>118.2238056680162</c:v>
                </c:pt>
                <c:pt idx="17">
                  <c:v>118.60938500096394</c:v>
                </c:pt>
                <c:pt idx="18">
                  <c:v>118.9949643339117</c:v>
                </c:pt>
              </c:numCache>
            </c:numRef>
          </c:val>
          <c:smooth val="0"/>
          <c:extLst>
            <c:ext xmlns:c16="http://schemas.microsoft.com/office/drawing/2014/chart" uri="{C3380CC4-5D6E-409C-BE32-E72D297353CC}">
              <c16:uniqueId val="{00000003-491A-4240-8D35-CD28E179629D}"/>
            </c:ext>
          </c:extLst>
        </c:ser>
        <c:ser>
          <c:idx val="4"/>
          <c:order val="4"/>
          <c:tx>
            <c:strRef>
              <c:f>Endverbraucherpreise!$A$22</c:f>
              <c:strCache>
                <c:ptCount val="1"/>
                <c:pt idx="0">
                  <c:v>Strom     </c:v>
                </c:pt>
              </c:strCache>
            </c:strRef>
          </c:tx>
          <c:spPr>
            <a:ln w="28575" cap="rnd">
              <a:solidFill>
                <a:srgbClr val="D05094"/>
              </a:solidFill>
              <a:round/>
            </a:ln>
            <a:effectLst/>
          </c:spPr>
          <c:marker>
            <c:symbol val="none"/>
          </c:marker>
          <c:cat>
            <c:numRef>
              <c:f>Endverbraucherpreise!$B$17:$T$17</c:f>
              <c:numCache>
                <c:formatCode>General</c:formatCode>
                <c:ptCount val="19"/>
                <c:pt idx="0">
                  <c:v>2012</c:v>
                </c:pt>
                <c:pt idx="3">
                  <c:v>2015</c:v>
                </c:pt>
                <c:pt idx="7">
                  <c:v>2019</c:v>
                </c:pt>
                <c:pt idx="9">
                  <c:v>2021</c:v>
                </c:pt>
                <c:pt idx="13">
                  <c:v>2025</c:v>
                </c:pt>
                <c:pt idx="18">
                  <c:v>2030</c:v>
                </c:pt>
              </c:numCache>
            </c:numRef>
          </c:cat>
          <c:val>
            <c:numRef>
              <c:f>Endverbraucherpreise!$B$22:$T$22</c:f>
              <c:numCache>
                <c:formatCode>0</c:formatCode>
                <c:ptCount val="19"/>
                <c:pt idx="0">
                  <c:v>84.581540108307323</c:v>
                </c:pt>
                <c:pt idx="1">
                  <c:v>94.646761805920804</c:v>
                </c:pt>
                <c:pt idx="2">
                  <c:v>96.435925545163244</c:v>
                </c:pt>
                <c:pt idx="3">
                  <c:v>95.726649919963592</c:v>
                </c:pt>
                <c:pt idx="4">
                  <c:v>96.301738264720058</c:v>
                </c:pt>
                <c:pt idx="5">
                  <c:v>97.918375500535461</c:v>
                </c:pt>
                <c:pt idx="6">
                  <c:v>99.126061024524105</c:v>
                </c:pt>
                <c:pt idx="7">
                  <c:v>100</c:v>
                </c:pt>
                <c:pt idx="8">
                  <c:v>103.15105522520314</c:v>
                </c:pt>
                <c:pt idx="9">
                  <c:v>104.72378703311327</c:v>
                </c:pt>
                <c:pt idx="10">
                  <c:v>106.22988645727831</c:v>
                </c:pt>
                <c:pt idx="11">
                  <c:v>95.248537274966111</c:v>
                </c:pt>
                <c:pt idx="12">
                  <c:v>89.392079735615781</c:v>
                </c:pt>
                <c:pt idx="13">
                  <c:v>89.027851559425059</c:v>
                </c:pt>
                <c:pt idx="14">
                  <c:v>88.645453834046918</c:v>
                </c:pt>
                <c:pt idx="15">
                  <c:v>88.539921523540329</c:v>
                </c:pt>
                <c:pt idx="16">
                  <c:v>88.250659850133843</c:v>
                </c:pt>
                <c:pt idx="17">
                  <c:v>87.985084332374484</c:v>
                </c:pt>
                <c:pt idx="18">
                  <c:v>87.848312137902383</c:v>
                </c:pt>
              </c:numCache>
            </c:numRef>
          </c:val>
          <c:smooth val="0"/>
          <c:extLst>
            <c:ext xmlns:c16="http://schemas.microsoft.com/office/drawing/2014/chart" uri="{C3380CC4-5D6E-409C-BE32-E72D297353CC}">
              <c16:uniqueId val="{00000004-491A-4240-8D35-CD28E179629D}"/>
            </c:ext>
          </c:extLst>
        </c:ser>
        <c:dLbls>
          <c:showLegendKey val="0"/>
          <c:showVal val="0"/>
          <c:showCatName val="0"/>
          <c:showSerName val="0"/>
          <c:showPercent val="0"/>
          <c:showBubbleSize val="0"/>
        </c:dLbls>
        <c:smooth val="0"/>
        <c:axId val="411143576"/>
        <c:axId val="411143968"/>
      </c:lineChart>
      <c:catAx>
        <c:axId val="411143576"/>
        <c:scaling>
          <c:orientation val="minMax"/>
        </c:scaling>
        <c:delete val="0"/>
        <c:axPos val="b"/>
        <c:majorGridlines>
          <c:spPr>
            <a:ln w="9525" cap="flat" cmpd="sng" algn="ctr">
              <a:solidFill>
                <a:schemeClr val="bg1"/>
              </a:solidFill>
              <a:round/>
            </a:ln>
            <a:effectLst/>
          </c:spPr>
        </c:majorGridlines>
        <c:numFmt formatCode="0" sourceLinked="0"/>
        <c:majorTickMark val="none"/>
        <c:minorTickMark val="none"/>
        <c:tickLblPos val="nextTo"/>
        <c:spPr>
          <a:noFill/>
          <a:ln w="19050" cap="flat" cmpd="sng" algn="ctr">
            <a:solidFill>
              <a:schemeClr val="bg2"/>
            </a:solidFill>
            <a:round/>
          </a:ln>
          <a:effectLst/>
        </c:spPr>
        <c:txPr>
          <a:bodyPr rot="0" spcFirstLastPara="1" vertOverflow="ellipsis" wrap="square" anchor="ctr" anchorCtr="1"/>
          <a:lstStyle/>
          <a:p>
            <a:pPr algn="ctr">
              <a:defRPr sz="1000" b="0" i="0" u="none" strike="noStrike" kern="1200" baseline="0">
                <a:solidFill>
                  <a:sysClr val="windowText" lastClr="000000"/>
                </a:solidFill>
                <a:latin typeface="+mn-lt"/>
                <a:ea typeface="+mn-ea"/>
                <a:cs typeface="+mn-cs"/>
              </a:defRPr>
            </a:pPr>
            <a:endParaRPr lang="de-DE"/>
          </a:p>
        </c:txPr>
        <c:crossAx val="411143968"/>
        <c:crosses val="autoZero"/>
        <c:auto val="1"/>
        <c:lblAlgn val="ctr"/>
        <c:lblOffset val="100"/>
        <c:tickLblSkip val="1"/>
        <c:noMultiLvlLbl val="1"/>
      </c:catAx>
      <c:valAx>
        <c:axId val="411143968"/>
        <c:scaling>
          <c:orientation val="minMax"/>
          <c:min val="6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de-DE"/>
                  <a:t>Indiziert 2019=100</a:t>
                </a:r>
              </a:p>
            </c:rich>
          </c:tx>
          <c:layout>
            <c:manualLayout>
              <c:xMode val="edge"/>
              <c:yMode val="edge"/>
              <c:x val="1.4104826811320878E-2"/>
              <c:y val="0.30249946307065267"/>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lgn="ctr">
              <a:defRPr sz="1000" b="0" i="0" u="none" strike="noStrike" kern="1200" baseline="0">
                <a:solidFill>
                  <a:sysClr val="windowText" lastClr="000000"/>
                </a:solidFill>
                <a:latin typeface="+mn-lt"/>
                <a:ea typeface="+mn-ea"/>
                <a:cs typeface="+mn-cs"/>
              </a:defRPr>
            </a:pPr>
            <a:endParaRPr lang="de-DE"/>
          </a:p>
        </c:txPr>
        <c:crossAx val="411143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3E4EA"/>
    </a:solidFill>
    <a:ln w="19050" cap="flat" cmpd="sng" algn="ctr">
      <a:solidFill>
        <a:schemeClr val="bg1"/>
      </a:solidFill>
      <a:round/>
    </a:ln>
    <a:effectLst/>
  </c:spPr>
  <c:txPr>
    <a:bodyPr/>
    <a:lstStyle/>
    <a:p>
      <a:pPr>
        <a:defRPr sz="1000">
          <a:solidFill>
            <a:sysClr val="windowText" lastClr="000000"/>
          </a:solidFill>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00532724505324E-2"/>
          <c:y val="4.4713888888888886E-2"/>
          <c:w val="0.7004393074581432"/>
          <c:h val="0.77670202364108132"/>
        </c:manualLayout>
      </c:layout>
      <c:barChart>
        <c:barDir val="col"/>
        <c:grouping val="stacked"/>
        <c:varyColors val="0"/>
        <c:ser>
          <c:idx val="1"/>
          <c:order val="0"/>
          <c:tx>
            <c:strRef>
              <c:f>'Graphikdaten 3'!$B$21</c:f>
              <c:strCache>
                <c:ptCount val="1"/>
                <c:pt idx="0">
                  <c:v>Benzin</c:v>
                </c:pt>
              </c:strCache>
            </c:strRef>
          </c:tx>
          <c:spPr>
            <a:solidFill>
              <a:srgbClr val="18658C"/>
            </a:solidFill>
            <a:ln>
              <a:noFill/>
            </a:ln>
            <a:effectLst/>
          </c:spPr>
          <c:invertIfNegative val="0"/>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3'!$C$21:$P$21</c15:sqref>
                  </c15:fullRef>
                </c:ext>
              </c:extLst>
              <c:f>'Graphikdaten 3'!$E$21:$P$21</c:f>
              <c:numCache>
                <c:formatCode>#,##0.00_ ;[Red]\-#,##0.00\ </c:formatCode>
                <c:ptCount val="12"/>
                <c:pt idx="0">
                  <c:v>15.574424785430462</c:v>
                </c:pt>
                <c:pt idx="1">
                  <c:v>14.059084774834439</c:v>
                </c:pt>
                <c:pt idx="2">
                  <c:v>14.049554692852251</c:v>
                </c:pt>
                <c:pt idx="3">
                  <c:v>15.574424785430462</c:v>
                </c:pt>
                <c:pt idx="4">
                  <c:v>15.574424785430462</c:v>
                </c:pt>
                <c:pt idx="5">
                  <c:v>15.574424785430462</c:v>
                </c:pt>
                <c:pt idx="6">
                  <c:v>15.574424785430462</c:v>
                </c:pt>
                <c:pt idx="7">
                  <c:v>15.574424785430462</c:v>
                </c:pt>
                <c:pt idx="8">
                  <c:v>15.574424785430462</c:v>
                </c:pt>
                <c:pt idx="9">
                  <c:v>15.574424785430462</c:v>
                </c:pt>
                <c:pt idx="10">
                  <c:v>15.574424785430462</c:v>
                </c:pt>
                <c:pt idx="11">
                  <c:v>15.574424785430462</c:v>
                </c:pt>
              </c:numCache>
            </c:numRef>
          </c:val>
          <c:extLst>
            <c:ext xmlns:c16="http://schemas.microsoft.com/office/drawing/2014/chart" uri="{C3380CC4-5D6E-409C-BE32-E72D297353CC}">
              <c16:uniqueId val="{00000000-FC19-440B-B2D6-BDF019FAC37F}"/>
            </c:ext>
          </c:extLst>
        </c:ser>
        <c:ser>
          <c:idx val="2"/>
          <c:order val="1"/>
          <c:tx>
            <c:strRef>
              <c:f>'Graphikdaten 3'!$B$22</c:f>
              <c:strCache>
                <c:ptCount val="1"/>
                <c:pt idx="0">
                  <c:v>Diesel</c:v>
                </c:pt>
              </c:strCache>
            </c:strRef>
          </c:tx>
          <c:spPr>
            <a:solidFill>
              <a:srgbClr val="2497D2"/>
            </a:solidFill>
            <a:ln>
              <a:noFill/>
            </a:ln>
            <a:effectLst/>
          </c:spPr>
          <c:invertIfNegative val="0"/>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3'!$C$22:$P$22</c15:sqref>
                  </c15:fullRef>
                </c:ext>
              </c:extLst>
              <c:f>'Graphikdaten 3'!$E$22:$P$22</c:f>
              <c:numCache>
                <c:formatCode>#,##0.00_ ;[Red]\-#,##0.00\ </c:formatCode>
                <c:ptCount val="12"/>
                <c:pt idx="0">
                  <c:v>21.069562258934916</c:v>
                </c:pt>
                <c:pt idx="1">
                  <c:v>19.574924432662723</c:v>
                </c:pt>
                <c:pt idx="2">
                  <c:v>19.562063816844553</c:v>
                </c:pt>
                <c:pt idx="3">
                  <c:v>21.069562258934916</c:v>
                </c:pt>
                <c:pt idx="4">
                  <c:v>21.069562258934916</c:v>
                </c:pt>
                <c:pt idx="5">
                  <c:v>21.069562258934916</c:v>
                </c:pt>
                <c:pt idx="6">
                  <c:v>21.069562258934916</c:v>
                </c:pt>
                <c:pt idx="7">
                  <c:v>21.069562258934916</c:v>
                </c:pt>
                <c:pt idx="8">
                  <c:v>21.069562258934916</c:v>
                </c:pt>
                <c:pt idx="9">
                  <c:v>21.069562258934916</c:v>
                </c:pt>
                <c:pt idx="10">
                  <c:v>21.069562258934916</c:v>
                </c:pt>
                <c:pt idx="11">
                  <c:v>21.069562258934916</c:v>
                </c:pt>
              </c:numCache>
            </c:numRef>
          </c:val>
          <c:extLst>
            <c:ext xmlns:c16="http://schemas.microsoft.com/office/drawing/2014/chart" uri="{C3380CC4-5D6E-409C-BE32-E72D297353CC}">
              <c16:uniqueId val="{00000001-FC19-440B-B2D6-BDF019FAC37F}"/>
            </c:ext>
          </c:extLst>
        </c:ser>
        <c:ser>
          <c:idx val="3"/>
          <c:order val="2"/>
          <c:tx>
            <c:strRef>
              <c:f>'Graphikdaten 3'!$B$23</c:f>
              <c:strCache>
                <c:ptCount val="1"/>
                <c:pt idx="0">
                  <c:v>Heizöl</c:v>
                </c:pt>
              </c:strCache>
            </c:strRef>
          </c:tx>
          <c:spPr>
            <a:solidFill>
              <a:srgbClr val="1D565C"/>
            </a:solidFill>
            <a:ln>
              <a:noFill/>
            </a:ln>
            <a:effectLst/>
          </c:spPr>
          <c:invertIfNegative val="0"/>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3'!$C$23:$P$23</c15:sqref>
                  </c15:fullRef>
                </c:ext>
              </c:extLst>
              <c:f>'Graphikdaten 3'!$E$23:$P$23</c:f>
              <c:numCache>
                <c:formatCode>#,##0.00_ ;[Red]\-#,##0.00\ </c:formatCode>
                <c:ptCount val="12"/>
                <c:pt idx="0">
                  <c:v>1.119338996972929</c:v>
                </c:pt>
                <c:pt idx="1">
                  <c:v>1.1465650834840238</c:v>
                </c:pt>
                <c:pt idx="2">
                  <c:v>0.86952182849751591</c:v>
                </c:pt>
                <c:pt idx="3">
                  <c:v>1.119338996972929</c:v>
                </c:pt>
                <c:pt idx="4">
                  <c:v>1.119338996972929</c:v>
                </c:pt>
                <c:pt idx="5">
                  <c:v>1.119338996972929</c:v>
                </c:pt>
                <c:pt idx="6">
                  <c:v>1.119338996972929</c:v>
                </c:pt>
                <c:pt idx="7">
                  <c:v>1.119338996972929</c:v>
                </c:pt>
                <c:pt idx="8">
                  <c:v>1.119338996972929</c:v>
                </c:pt>
                <c:pt idx="9">
                  <c:v>1.119338996972929</c:v>
                </c:pt>
                <c:pt idx="10">
                  <c:v>1.119338996972929</c:v>
                </c:pt>
                <c:pt idx="11">
                  <c:v>1.119338996972929</c:v>
                </c:pt>
              </c:numCache>
            </c:numRef>
          </c:val>
          <c:extLst>
            <c:ext xmlns:c16="http://schemas.microsoft.com/office/drawing/2014/chart" uri="{C3380CC4-5D6E-409C-BE32-E72D297353CC}">
              <c16:uniqueId val="{00000002-FC19-440B-B2D6-BDF019FAC37F}"/>
            </c:ext>
          </c:extLst>
        </c:ser>
        <c:ser>
          <c:idx val="4"/>
          <c:order val="3"/>
          <c:tx>
            <c:strRef>
              <c:f>'Graphikdaten 3'!$B$24</c:f>
              <c:strCache>
                <c:ptCount val="1"/>
                <c:pt idx="0">
                  <c:v>Erdgas</c:v>
                </c:pt>
              </c:strCache>
            </c:strRef>
          </c:tx>
          <c:spPr>
            <a:solidFill>
              <a:srgbClr val="9ABBCA"/>
            </a:solidFill>
            <a:ln>
              <a:noFill/>
            </a:ln>
            <a:effectLst/>
          </c:spPr>
          <c:invertIfNegative val="0"/>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3'!$C$24:$P$24</c15:sqref>
                  </c15:fullRef>
                </c:ext>
              </c:extLst>
              <c:f>'Graphikdaten 3'!$E$24:$P$24</c:f>
              <c:numCache>
                <c:formatCode>#,##0.00_ ;[Red]\-#,##0.00\ </c:formatCode>
                <c:ptCount val="12"/>
                <c:pt idx="0">
                  <c:v>2.9578897201179335</c:v>
                </c:pt>
                <c:pt idx="1">
                  <c:v>2.8648312015322484</c:v>
                </c:pt>
                <c:pt idx="2">
                  <c:v>2.9968158592569587</c:v>
                </c:pt>
                <c:pt idx="3">
                  <c:v>3.0172124745960582</c:v>
                </c:pt>
                <c:pt idx="4">
                  <c:v>3.0172124745960582</c:v>
                </c:pt>
                <c:pt idx="5">
                  <c:v>3.0172124745960582</c:v>
                </c:pt>
                <c:pt idx="6">
                  <c:v>3.0172124745960582</c:v>
                </c:pt>
                <c:pt idx="7">
                  <c:v>3.0172124745960582</c:v>
                </c:pt>
                <c:pt idx="8">
                  <c:v>3.0172124745960582</c:v>
                </c:pt>
                <c:pt idx="9">
                  <c:v>3.0172124745960582</c:v>
                </c:pt>
                <c:pt idx="10">
                  <c:v>3.0172124745960582</c:v>
                </c:pt>
                <c:pt idx="11">
                  <c:v>3.0172124745960582</c:v>
                </c:pt>
              </c:numCache>
            </c:numRef>
          </c:val>
          <c:extLst>
            <c:ext xmlns:c16="http://schemas.microsoft.com/office/drawing/2014/chart" uri="{C3380CC4-5D6E-409C-BE32-E72D297353CC}">
              <c16:uniqueId val="{00000003-FC19-440B-B2D6-BDF019FAC37F}"/>
            </c:ext>
          </c:extLst>
        </c:ser>
        <c:ser>
          <c:idx val="0"/>
          <c:order val="4"/>
          <c:tx>
            <c:strRef>
              <c:f>'Graphikdaten 3'!$B$20</c:f>
              <c:strCache>
                <c:ptCount val="1"/>
                <c:pt idx="0">
                  <c:v>Stromsteuer</c:v>
                </c:pt>
              </c:strCache>
            </c:strRef>
          </c:tx>
          <c:spPr>
            <a:solidFill>
              <a:srgbClr val="D05094"/>
            </a:solidFill>
            <a:ln>
              <a:noFill/>
            </a:ln>
            <a:effectLst/>
          </c:spPr>
          <c:invertIfNegative val="0"/>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3'!$C$20:$P$20</c15:sqref>
                  </c15:fullRef>
                </c:ext>
              </c:extLst>
              <c:f>'Graphikdaten 3'!$E$20:$P$20</c:f>
              <c:numCache>
                <c:formatCode>#,##0.00_ ;[Red]\-#,##0.00\ </c:formatCode>
                <c:ptCount val="12"/>
                <c:pt idx="0">
                  <c:v>6.6887819409999993</c:v>
                </c:pt>
                <c:pt idx="1">
                  <c:v>6.4485186030857991</c:v>
                </c:pt>
                <c:pt idx="2">
                  <c:v>6.6725984001042251</c:v>
                </c:pt>
                <c:pt idx="3">
                  <c:v>6.6725984001042251</c:v>
                </c:pt>
                <c:pt idx="4">
                  <c:v>6.6725984001042251</c:v>
                </c:pt>
                <c:pt idx="5">
                  <c:v>6.6725984001042251</c:v>
                </c:pt>
                <c:pt idx="6">
                  <c:v>6.6725984001042251</c:v>
                </c:pt>
                <c:pt idx="7">
                  <c:v>6.6725984001042251</c:v>
                </c:pt>
                <c:pt idx="8">
                  <c:v>6.6725984001042251</c:v>
                </c:pt>
                <c:pt idx="9">
                  <c:v>6.6725984001042251</c:v>
                </c:pt>
                <c:pt idx="10">
                  <c:v>6.6725984001042251</c:v>
                </c:pt>
                <c:pt idx="11">
                  <c:v>6.6725984001042251</c:v>
                </c:pt>
              </c:numCache>
            </c:numRef>
          </c:val>
          <c:extLst>
            <c:ext xmlns:c16="http://schemas.microsoft.com/office/drawing/2014/chart" uri="{C3380CC4-5D6E-409C-BE32-E72D297353CC}">
              <c16:uniqueId val="{00000004-FC19-440B-B2D6-BDF019FAC37F}"/>
            </c:ext>
          </c:extLst>
        </c:ser>
        <c:dLbls>
          <c:showLegendKey val="0"/>
          <c:showVal val="0"/>
          <c:showCatName val="0"/>
          <c:showSerName val="0"/>
          <c:showPercent val="0"/>
          <c:showBubbleSize val="0"/>
        </c:dLbls>
        <c:gapWidth val="100"/>
        <c:overlap val="100"/>
        <c:axId val="415006976"/>
        <c:axId val="415007368"/>
        <c:extLst/>
      </c:barChart>
      <c:lineChart>
        <c:grouping val="standard"/>
        <c:varyColors val="0"/>
        <c:ser>
          <c:idx val="5"/>
          <c:order val="5"/>
          <c:tx>
            <c:strRef>
              <c:f>'Graphikdaten 3'!$B$25</c:f>
              <c:strCache>
                <c:ptCount val="1"/>
                <c:pt idx="0">
                  <c:v>Strom- und Energiesteuern</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8000" anchor="ctr" anchorCtr="1">
                <a:spAutoFit/>
              </a:bodyPr>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3'!$C$25:$P$25</c15:sqref>
                  </c15:fullRef>
                </c:ext>
              </c:extLst>
              <c:f>'Graphikdaten 3'!$E$25:$P$25</c:f>
              <c:numCache>
                <c:formatCode>#,##0.0_ ;[Red]\-#,##0.0\ </c:formatCode>
                <c:ptCount val="12"/>
                <c:pt idx="0">
                  <c:v>47.409997702456238</c:v>
                </c:pt>
                <c:pt idx="1">
                  <c:v>44.093924095599228</c:v>
                </c:pt>
                <c:pt idx="2">
                  <c:v>44.150554597555512</c:v>
                </c:pt>
                <c:pt idx="3">
                  <c:v>47.453136916038588</c:v>
                </c:pt>
                <c:pt idx="4">
                  <c:v>47.453136916038588</c:v>
                </c:pt>
                <c:pt idx="5">
                  <c:v>47.453136916038588</c:v>
                </c:pt>
                <c:pt idx="6">
                  <c:v>47.453136916038588</c:v>
                </c:pt>
                <c:pt idx="7">
                  <c:v>47.453136916038588</c:v>
                </c:pt>
                <c:pt idx="8">
                  <c:v>47.453136916038588</c:v>
                </c:pt>
                <c:pt idx="9">
                  <c:v>47.453136916038588</c:v>
                </c:pt>
                <c:pt idx="10">
                  <c:v>47.453136916038588</c:v>
                </c:pt>
                <c:pt idx="11">
                  <c:v>47.453136916038588</c:v>
                </c:pt>
              </c:numCache>
            </c:numRef>
          </c:val>
          <c:smooth val="0"/>
          <c:extLst>
            <c:ext xmlns:c16="http://schemas.microsoft.com/office/drawing/2014/chart" uri="{C3380CC4-5D6E-409C-BE32-E72D297353CC}">
              <c16:uniqueId val="{00000005-FC19-440B-B2D6-BDF019FAC37F}"/>
            </c:ext>
          </c:extLst>
        </c:ser>
        <c:dLbls>
          <c:showLegendKey val="0"/>
          <c:showVal val="0"/>
          <c:showCatName val="0"/>
          <c:showSerName val="0"/>
          <c:showPercent val="0"/>
          <c:showBubbleSize val="0"/>
        </c:dLbls>
        <c:marker val="1"/>
        <c:smooth val="0"/>
        <c:axId val="415006976"/>
        <c:axId val="415007368"/>
      </c:lineChart>
      <c:catAx>
        <c:axId val="415006976"/>
        <c:scaling>
          <c:orientation val="minMax"/>
        </c:scaling>
        <c:delete val="0"/>
        <c:axPos val="b"/>
        <c:majorGridlines>
          <c:spPr>
            <a:ln w="12700"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7368"/>
        <c:crosses val="autoZero"/>
        <c:auto val="1"/>
        <c:lblAlgn val="ctr"/>
        <c:lblOffset val="100"/>
        <c:noMultiLvlLbl val="0"/>
      </c:catAx>
      <c:valAx>
        <c:axId val="415007368"/>
        <c:scaling>
          <c:orientation val="minMax"/>
          <c:min val="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r>
                  <a:rPr lang="de-DE" b="0"/>
                  <a:t>Mrd. €</a:t>
                </a:r>
              </a:p>
            </c:rich>
          </c:tx>
          <c:layout>
            <c:manualLayout>
              <c:xMode val="edge"/>
              <c:yMode val="edge"/>
              <c:x val="8.4497671324018624E-3"/>
              <c:y val="0.27029722050111243"/>
            </c:manualLayout>
          </c:layout>
          <c:overlay val="0"/>
          <c:spPr>
            <a:noFill/>
            <a:ln>
              <a:noFill/>
            </a:ln>
            <a:effectLst/>
          </c:sp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6976"/>
        <c:crosses val="autoZero"/>
        <c:crossBetween val="between"/>
        <c:majorUnit val="5"/>
      </c:valAx>
      <c:spPr>
        <a:noFill/>
        <a:ln>
          <a:noFill/>
        </a:ln>
        <a:effectLst/>
      </c:spPr>
    </c:plotArea>
    <c:legend>
      <c:legendPos val="r"/>
      <c:legendEntry>
        <c:idx val="5"/>
        <c:delete val="1"/>
      </c:legendEntry>
      <c:layout>
        <c:manualLayout>
          <c:xMode val="edge"/>
          <c:yMode val="edge"/>
          <c:x val="0.80820681126331806"/>
          <c:y val="0.25168592153417363"/>
          <c:w val="0.17729547184170472"/>
          <c:h val="0.3231334191129071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sz="1000" b="0" i="0">
          <a:solidFill>
            <a:sysClr val="windowText" lastClr="000000"/>
          </a:solidFill>
          <a:latin typeface="Flexo" pitchFamily="50"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00532724505324E-2"/>
          <c:y val="4.4713888888888886E-2"/>
          <c:w val="0.73426731354642316"/>
          <c:h val="0.7466617984862387"/>
        </c:manualLayout>
      </c:layout>
      <c:barChart>
        <c:barDir val="col"/>
        <c:grouping val="stacked"/>
        <c:varyColors val="0"/>
        <c:ser>
          <c:idx val="1"/>
          <c:order val="0"/>
          <c:tx>
            <c:strRef>
              <c:f>'Graphikdaten 3'!$B$27</c:f>
              <c:strCache>
                <c:ptCount val="1"/>
                <c:pt idx="0">
                  <c:v>Benzin</c:v>
                </c:pt>
              </c:strCache>
            </c:strRef>
          </c:tx>
          <c:spPr>
            <a:solidFill>
              <a:srgbClr val="18658C"/>
            </a:solidFill>
            <a:ln>
              <a:noFill/>
            </a:ln>
            <a:effectLst/>
          </c:spPr>
          <c:invertIfNegative val="0"/>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3'!$C$27:$P$27</c15:sqref>
                  </c15:fullRef>
                </c:ext>
              </c:extLst>
              <c:f>'Graphikdaten 3'!$E$27:$P$27</c:f>
              <c:numCache>
                <c:formatCode>#,##0.00_ ;[Red]\-#,##0.00\ </c:formatCode>
                <c:ptCount val="12"/>
                <c:pt idx="0">
                  <c:v>0</c:v>
                </c:pt>
                <c:pt idx="1">
                  <c:v>0</c:v>
                </c:pt>
                <c:pt idx="2">
                  <c:v>1.2883875</c:v>
                </c:pt>
                <c:pt idx="3">
                  <c:v>1.713867348987</c:v>
                </c:pt>
                <c:pt idx="4">
                  <c:v>1.9995119071515</c:v>
                </c:pt>
                <c:pt idx="5">
                  <c:v>2.5708010234805001</c:v>
                </c:pt>
                <c:pt idx="6">
                  <c:v>3.1420901398094996</c:v>
                </c:pt>
                <c:pt idx="7">
                  <c:v>3.427734697974</c:v>
                </c:pt>
                <c:pt idx="8">
                  <c:v>3.427734697974</c:v>
                </c:pt>
                <c:pt idx="9">
                  <c:v>3.427734697974</c:v>
                </c:pt>
                <c:pt idx="10">
                  <c:v>3.427734697974</c:v>
                </c:pt>
                <c:pt idx="11">
                  <c:v>3.427734697974</c:v>
                </c:pt>
              </c:numCache>
            </c:numRef>
          </c:val>
          <c:extLst>
            <c:ext xmlns:c16="http://schemas.microsoft.com/office/drawing/2014/chart" uri="{C3380CC4-5D6E-409C-BE32-E72D297353CC}">
              <c16:uniqueId val="{00000000-8527-4C50-912B-C031CB0547CC}"/>
            </c:ext>
          </c:extLst>
        </c:ser>
        <c:ser>
          <c:idx val="2"/>
          <c:order val="1"/>
          <c:tx>
            <c:strRef>
              <c:f>'Graphikdaten 3'!$B$28</c:f>
              <c:strCache>
                <c:ptCount val="1"/>
                <c:pt idx="0">
                  <c:v>Diesel</c:v>
                </c:pt>
              </c:strCache>
            </c:strRef>
          </c:tx>
          <c:spPr>
            <a:solidFill>
              <a:srgbClr val="2497D2"/>
            </a:solidFill>
            <a:ln>
              <a:noFill/>
            </a:ln>
            <a:effectLst/>
          </c:spPr>
          <c:invertIfNegative val="0"/>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3'!$C$28:$P$28</c15:sqref>
                  </c15:fullRef>
                </c:ext>
              </c:extLst>
              <c:f>'Graphikdaten 3'!$E$28:$P$28</c:f>
              <c:numCache>
                <c:formatCode>#,##0.00_ ;[Red]\-#,##0.00\ </c:formatCode>
                <c:ptCount val="12"/>
                <c:pt idx="0">
                  <c:v>0</c:v>
                </c:pt>
                <c:pt idx="1">
                  <c:v>0</c:v>
                </c:pt>
                <c:pt idx="2">
                  <c:v>2.7824</c:v>
                </c:pt>
                <c:pt idx="3">
                  <c:v>3.5961819107520001</c:v>
                </c:pt>
                <c:pt idx="4">
                  <c:v>4.195545562543999</c:v>
                </c:pt>
                <c:pt idx="5">
                  <c:v>5.3942728661279995</c:v>
                </c:pt>
                <c:pt idx="6">
                  <c:v>6.5930001697119991</c:v>
                </c:pt>
                <c:pt idx="7">
                  <c:v>7.1923638215040002</c:v>
                </c:pt>
                <c:pt idx="8">
                  <c:v>7.1923638215040002</c:v>
                </c:pt>
                <c:pt idx="9">
                  <c:v>7.1923638215040002</c:v>
                </c:pt>
                <c:pt idx="10">
                  <c:v>7.1923638215040002</c:v>
                </c:pt>
                <c:pt idx="11">
                  <c:v>7.1923638215040002</c:v>
                </c:pt>
              </c:numCache>
            </c:numRef>
          </c:val>
          <c:extLst>
            <c:ext xmlns:c16="http://schemas.microsoft.com/office/drawing/2014/chart" uri="{C3380CC4-5D6E-409C-BE32-E72D297353CC}">
              <c16:uniqueId val="{00000001-8527-4C50-912B-C031CB0547CC}"/>
            </c:ext>
          </c:extLst>
        </c:ser>
        <c:ser>
          <c:idx val="3"/>
          <c:order val="2"/>
          <c:tx>
            <c:strRef>
              <c:f>'Graphikdaten 3'!$B$29</c:f>
              <c:strCache>
                <c:ptCount val="1"/>
                <c:pt idx="0">
                  <c:v>Heizöl</c:v>
                </c:pt>
              </c:strCache>
            </c:strRef>
          </c:tx>
          <c:spPr>
            <a:solidFill>
              <a:srgbClr val="1D565C"/>
            </a:solidFill>
            <a:ln>
              <a:noFill/>
            </a:ln>
            <a:effectLst/>
          </c:spPr>
          <c:invertIfNegative val="0"/>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3'!$C$29:$P$29</c15:sqref>
                  </c15:fullRef>
                </c:ext>
              </c:extLst>
              <c:f>'Graphikdaten 3'!$E$29:$P$29</c:f>
              <c:numCache>
                <c:formatCode>#,##0.00_ ;[Red]\-#,##0.00\ </c:formatCode>
                <c:ptCount val="12"/>
                <c:pt idx="0">
                  <c:v>0</c:v>
                </c:pt>
                <c:pt idx="1">
                  <c:v>0</c:v>
                </c:pt>
                <c:pt idx="2">
                  <c:v>0.98653599223937505</c:v>
                </c:pt>
                <c:pt idx="3">
                  <c:v>1.5049250594152497</c:v>
                </c:pt>
                <c:pt idx="4">
                  <c:v>1.7557459026511244</c:v>
                </c:pt>
                <c:pt idx="5">
                  <c:v>2.257387589122875</c:v>
                </c:pt>
                <c:pt idx="6">
                  <c:v>2.759029275594624</c:v>
                </c:pt>
                <c:pt idx="7">
                  <c:v>3.0098501188304994</c:v>
                </c:pt>
                <c:pt idx="8">
                  <c:v>3.0098501188304994</c:v>
                </c:pt>
                <c:pt idx="9">
                  <c:v>3.0098501188304994</c:v>
                </c:pt>
                <c:pt idx="10">
                  <c:v>3.0098501188304994</c:v>
                </c:pt>
                <c:pt idx="11">
                  <c:v>3.0098501188304994</c:v>
                </c:pt>
              </c:numCache>
            </c:numRef>
          </c:val>
          <c:extLst>
            <c:ext xmlns:c16="http://schemas.microsoft.com/office/drawing/2014/chart" uri="{C3380CC4-5D6E-409C-BE32-E72D297353CC}">
              <c16:uniqueId val="{00000002-8527-4C50-912B-C031CB0547CC}"/>
            </c:ext>
          </c:extLst>
        </c:ser>
        <c:ser>
          <c:idx val="4"/>
          <c:order val="3"/>
          <c:tx>
            <c:strRef>
              <c:f>'Graphikdaten 3'!$B$30</c:f>
              <c:strCache>
                <c:ptCount val="1"/>
                <c:pt idx="0">
                  <c:v>Erdgas</c:v>
                </c:pt>
              </c:strCache>
            </c:strRef>
          </c:tx>
          <c:spPr>
            <a:solidFill>
              <a:srgbClr val="9ABBCA"/>
            </a:solidFill>
            <a:ln>
              <a:noFill/>
            </a:ln>
            <a:effectLst/>
          </c:spPr>
          <c:invertIfNegative val="0"/>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3'!$C$30:$P$30</c15:sqref>
                  </c15:fullRef>
                </c:ext>
              </c:extLst>
              <c:f>'Graphikdaten 3'!$E$30:$P$30</c:f>
              <c:numCache>
                <c:formatCode>#,##0.00_ ;[Red]\-#,##0.00\ </c:formatCode>
                <c:ptCount val="12"/>
                <c:pt idx="0">
                  <c:v>0</c:v>
                </c:pt>
                <c:pt idx="1">
                  <c:v>0</c:v>
                </c:pt>
                <c:pt idx="2">
                  <c:v>2.9575904789829113</c:v>
                </c:pt>
                <c:pt idx="3">
                  <c:v>3.5491085747794942</c:v>
                </c:pt>
                <c:pt idx="4">
                  <c:v>4.1406266705760766</c:v>
                </c:pt>
                <c:pt idx="5">
                  <c:v>5.3236628621692406</c:v>
                </c:pt>
                <c:pt idx="6">
                  <c:v>6.5066990537624054</c:v>
                </c:pt>
                <c:pt idx="7">
                  <c:v>7.0982171495589883</c:v>
                </c:pt>
                <c:pt idx="8">
                  <c:v>7.0982171495589883</c:v>
                </c:pt>
                <c:pt idx="9">
                  <c:v>7.0982171495589883</c:v>
                </c:pt>
                <c:pt idx="10">
                  <c:v>7.0982171495589883</c:v>
                </c:pt>
                <c:pt idx="11">
                  <c:v>7.0982171495589883</c:v>
                </c:pt>
              </c:numCache>
            </c:numRef>
          </c:val>
          <c:extLst>
            <c:ext xmlns:c16="http://schemas.microsoft.com/office/drawing/2014/chart" uri="{C3380CC4-5D6E-409C-BE32-E72D297353CC}">
              <c16:uniqueId val="{00000003-8527-4C50-912B-C031CB0547CC}"/>
            </c:ext>
          </c:extLst>
        </c:ser>
        <c:dLbls>
          <c:showLegendKey val="0"/>
          <c:showVal val="0"/>
          <c:showCatName val="0"/>
          <c:showSerName val="0"/>
          <c:showPercent val="0"/>
          <c:showBubbleSize val="0"/>
        </c:dLbls>
        <c:gapWidth val="100"/>
        <c:overlap val="100"/>
        <c:axId val="415006976"/>
        <c:axId val="415007368"/>
        <c:extLst>
          <c:ext xmlns:c15="http://schemas.microsoft.com/office/drawing/2012/chart" uri="{02D57815-91ED-43cb-92C2-25804820EDAC}">
            <c15:filteredBarSeries>
              <c15:ser>
                <c:idx val="0"/>
                <c:order val="4"/>
                <c:tx>
                  <c:strRef>
                    <c:extLst>
                      <c:ext uri="{02D57815-91ED-43cb-92C2-25804820EDAC}">
                        <c15:formulaRef>
                          <c15:sqref>'Graphikdaten 3'!$B$26</c15:sqref>
                        </c15:formulaRef>
                      </c:ext>
                    </c:extLst>
                    <c:strCache>
                      <c:ptCount val="1"/>
                      <c:pt idx="0">
                        <c:v>Strom</c:v>
                      </c:pt>
                    </c:strCache>
                  </c:strRef>
                </c:tx>
                <c:spPr>
                  <a:solidFill>
                    <a:srgbClr val="D05094"/>
                  </a:solidFill>
                  <a:ln>
                    <a:noFill/>
                  </a:ln>
                  <a:effectLst/>
                </c:spPr>
                <c:invertIfNegative val="0"/>
                <c:cat>
                  <c:numRef>
                    <c:extLst>
                      <c:ext uri="{02D57815-91ED-43cb-92C2-25804820EDAC}">
                        <c15:fullRef>
                          <c15:sqref>'Graphikdaten 3'!$C$12:$P$12</c15:sqref>
                        </c15:fullRef>
                        <c15:formulaRef>
                          <c15:sqref>'Graphikdaten 3'!$E$12:$P$12</c15:sqref>
                        </c15:formulaRef>
                      </c:ext>
                    </c:extLst>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uri="{02D57815-91ED-43cb-92C2-25804820EDAC}">
                        <c15:fullRef>
                          <c15:sqref>'Graphikdaten 3'!$C$26:$P$26</c15:sqref>
                        </c15:fullRef>
                        <c15:formulaRef>
                          <c15:sqref>'Graphikdaten 3'!$E$26:$P$26</c15:sqref>
                        </c15:formulaRef>
                      </c:ext>
                    </c:extLst>
                    <c:numCache>
                      <c:formatCode>#,##0.00_ ;[Red]\-#,##0.00\ </c:formatCode>
                      <c:ptCount val="12"/>
                      <c:pt idx="0">
                        <c:v>52.72741562712195</c:v>
                      </c:pt>
                      <c:pt idx="1">
                        <c:v>50.643430400620836</c:v>
                      </c:pt>
                      <c:pt idx="5">
                        <c:v>0</c:v>
                      </c:pt>
                      <c:pt idx="6">
                        <c:v>40.097073867494437</c:v>
                      </c:pt>
                      <c:pt idx="11">
                        <c:v>29.339999999999996</c:v>
                      </c:pt>
                    </c:numCache>
                  </c:numRef>
                </c:val>
                <c:extLst>
                  <c:ext xmlns:c16="http://schemas.microsoft.com/office/drawing/2014/chart" uri="{C3380CC4-5D6E-409C-BE32-E72D297353CC}">
                    <c16:uniqueId val="{00000004-8527-4C50-912B-C031CB0547CC}"/>
                  </c:ext>
                </c:extLst>
              </c15:ser>
            </c15:filteredBarSeries>
          </c:ext>
        </c:extLst>
      </c:barChart>
      <c:lineChart>
        <c:grouping val="standard"/>
        <c:varyColors val="0"/>
        <c:ser>
          <c:idx val="5"/>
          <c:order val="5"/>
          <c:tx>
            <c:strRef>
              <c:f>'Graphikdaten 3'!$B$32</c:f>
              <c:strCache>
                <c:ptCount val="1"/>
                <c:pt idx="0">
                  <c:v>Gesamt</c:v>
                </c:pt>
              </c:strCache>
            </c:strRef>
          </c:tx>
          <c:spPr>
            <a:ln w="25400" cap="rnd">
              <a:noFill/>
              <a:round/>
            </a:ln>
            <a:effectLst/>
          </c:spPr>
          <c:marker>
            <c:symbol val="none"/>
          </c:marker>
          <c:cat>
            <c:numRef>
              <c:extLst>
                <c:ext xmlns:c15="http://schemas.microsoft.com/office/drawing/2012/chart" uri="{02D57815-91ED-43cb-92C2-25804820EDAC}">
                  <c15:fullRef>
                    <c15:sqref>'Graphikdaten 3'!$C$12:$P$12</c15:sqref>
                  </c15:fullRef>
                </c:ext>
              </c:extLst>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3'!$C$31:$P$31</c15:sqref>
                  </c15:fullRef>
                </c:ext>
              </c:extLst>
              <c:f>'Graphikdaten 3'!$E$31:$P$31</c:f>
              <c:numCache>
                <c:formatCode>#,##0.00_ ;[Red]\-#,##0.00\ </c:formatCode>
                <c:ptCount val="12"/>
                <c:pt idx="0">
                  <c:v>0</c:v>
                </c:pt>
                <c:pt idx="1">
                  <c:v>0</c:v>
                </c:pt>
                <c:pt idx="2">
                  <c:v>8.0149139712222865</c:v>
                </c:pt>
                <c:pt idx="3">
                  <c:v>10.364082893933745</c:v>
                </c:pt>
                <c:pt idx="4">
                  <c:v>12.091430042922699</c:v>
                </c:pt>
                <c:pt idx="5">
                  <c:v>15.546124340900615</c:v>
                </c:pt>
                <c:pt idx="6">
                  <c:v>19.000818638878528</c:v>
                </c:pt>
                <c:pt idx="7">
                  <c:v>20.728165787867489</c:v>
                </c:pt>
                <c:pt idx="8">
                  <c:v>20.728165787867489</c:v>
                </c:pt>
                <c:pt idx="9">
                  <c:v>20.728165787867489</c:v>
                </c:pt>
                <c:pt idx="10">
                  <c:v>20.728165787867489</c:v>
                </c:pt>
                <c:pt idx="11">
                  <c:v>20.728165787867489</c:v>
                </c:pt>
              </c:numCache>
            </c:numRef>
          </c:val>
          <c:smooth val="0"/>
          <c:extLst>
            <c:ext xmlns:c16="http://schemas.microsoft.com/office/drawing/2014/chart" uri="{C3380CC4-5D6E-409C-BE32-E72D297353CC}">
              <c16:uniqueId val="{00000005-8527-4C50-912B-C031CB0547CC}"/>
            </c:ext>
          </c:extLst>
        </c:ser>
        <c:dLbls>
          <c:showLegendKey val="0"/>
          <c:showVal val="0"/>
          <c:showCatName val="0"/>
          <c:showSerName val="0"/>
          <c:showPercent val="0"/>
          <c:showBubbleSize val="0"/>
        </c:dLbls>
        <c:marker val="1"/>
        <c:smooth val="0"/>
        <c:axId val="415006976"/>
        <c:axId val="415007368"/>
      </c:lineChart>
      <c:catAx>
        <c:axId val="415006976"/>
        <c:scaling>
          <c:orientation val="minMax"/>
        </c:scaling>
        <c:delete val="0"/>
        <c:axPos val="b"/>
        <c:majorGridlines>
          <c:spPr>
            <a:ln w="12700"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7368"/>
        <c:crosses val="autoZero"/>
        <c:auto val="1"/>
        <c:lblAlgn val="ctr"/>
        <c:lblOffset val="100"/>
        <c:noMultiLvlLbl val="0"/>
      </c:catAx>
      <c:valAx>
        <c:axId val="4150073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r>
                  <a:rPr lang="de-DE" b="0"/>
                  <a:t>Mrd. €</a:t>
                </a:r>
              </a:p>
            </c:rich>
          </c:tx>
          <c:layout>
            <c:manualLayout>
              <c:xMode val="edge"/>
              <c:yMode val="edge"/>
              <c:x val="8.4497671324018624E-3"/>
              <c:y val="0.270297220501112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6976"/>
        <c:crosses val="autoZero"/>
        <c:crossBetween val="between"/>
      </c:valAx>
      <c:spPr>
        <a:noFill/>
        <a:ln>
          <a:noFill/>
        </a:ln>
        <a:effectLst/>
      </c:spPr>
    </c:plotArea>
    <c:legend>
      <c:legendPos val="r"/>
      <c:legendEntry>
        <c:idx val="4"/>
        <c:delete val="1"/>
      </c:legendEntry>
      <c:layout>
        <c:manualLayout>
          <c:xMode val="edge"/>
          <c:yMode val="edge"/>
          <c:x val="0.8682397260273973"/>
          <c:y val="0.25168592153417363"/>
          <c:w val="0.11726255707762558"/>
          <c:h val="0.3231334191129071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sz="1000" b="0" i="0">
          <a:solidFill>
            <a:sysClr val="windowText" lastClr="000000"/>
          </a:solidFill>
          <a:latin typeface="Flexo" pitchFamily="50"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03139433152251"/>
          <c:y val="9.2573412030647548E-2"/>
          <c:w val="0.73764853811878162"/>
          <c:h val="0.77670202364108132"/>
        </c:manualLayout>
      </c:layout>
      <c:barChart>
        <c:barDir val="col"/>
        <c:grouping val="stacked"/>
        <c:varyColors val="0"/>
        <c:ser>
          <c:idx val="1"/>
          <c:order val="0"/>
          <c:tx>
            <c:strRef>
              <c:f>'Graphikdaten 3'!$B$21</c:f>
              <c:strCache>
                <c:ptCount val="1"/>
                <c:pt idx="0">
                  <c:v>Benzin</c:v>
                </c:pt>
              </c:strCache>
            </c:strRef>
          </c:tx>
          <c:spPr>
            <a:solidFill>
              <a:srgbClr val="18658C"/>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3'!$C$21:$P$21</c:f>
              <c:numCache>
                <c:formatCode>#,##0.00_ ;[Red]\-#,##0.00\ </c:formatCode>
                <c:ptCount val="14"/>
                <c:pt idx="0">
                  <c:v>16.072055153000001</c:v>
                </c:pt>
                <c:pt idx="1">
                  <c:v>16.072055153000001</c:v>
                </c:pt>
                <c:pt idx="2">
                  <c:v>15.574424785430462</c:v>
                </c:pt>
                <c:pt idx="3">
                  <c:v>14.059084774834439</c:v>
                </c:pt>
                <c:pt idx="4">
                  <c:v>14.049554692852251</c:v>
                </c:pt>
                <c:pt idx="5">
                  <c:v>15.574424785430462</c:v>
                </c:pt>
                <c:pt idx="6">
                  <c:v>15.574424785430462</c:v>
                </c:pt>
                <c:pt idx="7">
                  <c:v>15.574424785430462</c:v>
                </c:pt>
                <c:pt idx="8">
                  <c:v>15.574424785430462</c:v>
                </c:pt>
                <c:pt idx="9">
                  <c:v>15.574424785430462</c:v>
                </c:pt>
                <c:pt idx="10">
                  <c:v>15.574424785430462</c:v>
                </c:pt>
                <c:pt idx="11">
                  <c:v>15.574424785430462</c:v>
                </c:pt>
                <c:pt idx="12">
                  <c:v>15.574424785430462</c:v>
                </c:pt>
                <c:pt idx="13">
                  <c:v>15.574424785430462</c:v>
                </c:pt>
              </c:numCache>
            </c:numRef>
          </c:val>
          <c:extLst>
            <c:ext xmlns:c16="http://schemas.microsoft.com/office/drawing/2014/chart" uri="{C3380CC4-5D6E-409C-BE32-E72D297353CC}">
              <c16:uniqueId val="{00000000-99BB-40A8-8898-25857EC51452}"/>
            </c:ext>
          </c:extLst>
        </c:ser>
        <c:ser>
          <c:idx val="2"/>
          <c:order val="1"/>
          <c:tx>
            <c:strRef>
              <c:f>'Graphikdaten 3'!$B$22</c:f>
              <c:strCache>
                <c:ptCount val="1"/>
                <c:pt idx="0">
                  <c:v>Diesel</c:v>
                </c:pt>
              </c:strCache>
            </c:strRef>
          </c:tx>
          <c:spPr>
            <a:solidFill>
              <a:srgbClr val="2497D2"/>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3'!$C$22:$P$22</c:f>
              <c:numCache>
                <c:formatCode>#,##0.00_ ;[Red]\-#,##0.00\ </c:formatCode>
                <c:ptCount val="14"/>
                <c:pt idx="0">
                  <c:v>20.358710198400004</c:v>
                </c:pt>
                <c:pt idx="1">
                  <c:v>20.358710198400004</c:v>
                </c:pt>
                <c:pt idx="2">
                  <c:v>21.069562258934916</c:v>
                </c:pt>
                <c:pt idx="3">
                  <c:v>19.574924432662723</c:v>
                </c:pt>
                <c:pt idx="4">
                  <c:v>19.562063816844553</c:v>
                </c:pt>
                <c:pt idx="5">
                  <c:v>21.069562258934916</c:v>
                </c:pt>
                <c:pt idx="6">
                  <c:v>21.069562258934916</c:v>
                </c:pt>
                <c:pt idx="7">
                  <c:v>21.069562258934916</c:v>
                </c:pt>
                <c:pt idx="8">
                  <c:v>21.069562258934916</c:v>
                </c:pt>
                <c:pt idx="9">
                  <c:v>21.069562258934916</c:v>
                </c:pt>
                <c:pt idx="10">
                  <c:v>21.069562258934916</c:v>
                </c:pt>
                <c:pt idx="11">
                  <c:v>21.069562258934916</c:v>
                </c:pt>
                <c:pt idx="12">
                  <c:v>21.069562258934916</c:v>
                </c:pt>
                <c:pt idx="13">
                  <c:v>21.069562258934916</c:v>
                </c:pt>
              </c:numCache>
            </c:numRef>
          </c:val>
          <c:extLst>
            <c:ext xmlns:c16="http://schemas.microsoft.com/office/drawing/2014/chart" uri="{C3380CC4-5D6E-409C-BE32-E72D297353CC}">
              <c16:uniqueId val="{00000001-99BB-40A8-8898-25857EC51452}"/>
            </c:ext>
          </c:extLst>
        </c:ser>
        <c:ser>
          <c:idx val="3"/>
          <c:order val="2"/>
          <c:tx>
            <c:strRef>
              <c:f>'Graphikdaten 3'!$B$23</c:f>
              <c:strCache>
                <c:ptCount val="1"/>
                <c:pt idx="0">
                  <c:v>Heizöl</c:v>
                </c:pt>
              </c:strCache>
            </c:strRef>
          </c:tx>
          <c:spPr>
            <a:solidFill>
              <a:srgbClr val="1D565C"/>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3'!$C$23:$P$23</c:f>
              <c:numCache>
                <c:formatCode>#,##0.00_ ;[Red]\-#,##0.00\ </c:formatCode>
                <c:ptCount val="14"/>
                <c:pt idx="0">
                  <c:v>1.2028776708</c:v>
                </c:pt>
                <c:pt idx="1">
                  <c:v>1.2028776708</c:v>
                </c:pt>
                <c:pt idx="2">
                  <c:v>1.119338996972929</c:v>
                </c:pt>
                <c:pt idx="3">
                  <c:v>1.1465650834840238</c:v>
                </c:pt>
                <c:pt idx="4">
                  <c:v>0.86952182849751591</c:v>
                </c:pt>
                <c:pt idx="5">
                  <c:v>1.119338996972929</c:v>
                </c:pt>
                <c:pt idx="6">
                  <c:v>1.119338996972929</c:v>
                </c:pt>
                <c:pt idx="7">
                  <c:v>1.119338996972929</c:v>
                </c:pt>
                <c:pt idx="8">
                  <c:v>1.119338996972929</c:v>
                </c:pt>
                <c:pt idx="9">
                  <c:v>1.119338996972929</c:v>
                </c:pt>
                <c:pt idx="10">
                  <c:v>1.119338996972929</c:v>
                </c:pt>
                <c:pt idx="11">
                  <c:v>1.119338996972929</c:v>
                </c:pt>
                <c:pt idx="12">
                  <c:v>1.119338996972929</c:v>
                </c:pt>
                <c:pt idx="13">
                  <c:v>1.119338996972929</c:v>
                </c:pt>
              </c:numCache>
            </c:numRef>
          </c:val>
          <c:extLst>
            <c:ext xmlns:c16="http://schemas.microsoft.com/office/drawing/2014/chart" uri="{C3380CC4-5D6E-409C-BE32-E72D297353CC}">
              <c16:uniqueId val="{00000002-99BB-40A8-8898-25857EC51452}"/>
            </c:ext>
          </c:extLst>
        </c:ser>
        <c:ser>
          <c:idx val="4"/>
          <c:order val="3"/>
          <c:tx>
            <c:strRef>
              <c:f>'Graphikdaten 3'!$B$24</c:f>
              <c:strCache>
                <c:ptCount val="1"/>
                <c:pt idx="0">
                  <c:v>Erdgas</c:v>
                </c:pt>
              </c:strCache>
            </c:strRef>
          </c:tx>
          <c:spPr>
            <a:solidFill>
              <a:srgbClr val="9ABBCA"/>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3'!$C$24:$P$24</c:f>
              <c:numCache>
                <c:formatCode>#,##0.00_ ;[Red]\-#,##0.00\ </c:formatCode>
                <c:ptCount val="14"/>
                <c:pt idx="0">
                  <c:v>2.8036347517730498</c:v>
                </c:pt>
                <c:pt idx="1">
                  <c:v>2.8036347517730498</c:v>
                </c:pt>
                <c:pt idx="2">
                  <c:v>2.9578897201179335</c:v>
                </c:pt>
                <c:pt idx="3">
                  <c:v>2.8648312015322484</c:v>
                </c:pt>
                <c:pt idx="4">
                  <c:v>2.9968158592569587</c:v>
                </c:pt>
                <c:pt idx="5">
                  <c:v>3.0172124745960582</c:v>
                </c:pt>
                <c:pt idx="6">
                  <c:v>3.0172124745960582</c:v>
                </c:pt>
                <c:pt idx="7">
                  <c:v>3.0172124745960582</c:v>
                </c:pt>
                <c:pt idx="8">
                  <c:v>3.0172124745960582</c:v>
                </c:pt>
                <c:pt idx="9">
                  <c:v>3.0172124745960582</c:v>
                </c:pt>
                <c:pt idx="10">
                  <c:v>3.0172124745960582</c:v>
                </c:pt>
                <c:pt idx="11">
                  <c:v>3.0172124745960582</c:v>
                </c:pt>
                <c:pt idx="12">
                  <c:v>3.0172124745960582</c:v>
                </c:pt>
                <c:pt idx="13">
                  <c:v>3.0172124745960582</c:v>
                </c:pt>
              </c:numCache>
            </c:numRef>
          </c:val>
          <c:extLst>
            <c:ext xmlns:c16="http://schemas.microsoft.com/office/drawing/2014/chart" uri="{C3380CC4-5D6E-409C-BE32-E72D297353CC}">
              <c16:uniqueId val="{00000003-99BB-40A8-8898-25857EC51452}"/>
            </c:ext>
          </c:extLst>
        </c:ser>
        <c:ser>
          <c:idx val="0"/>
          <c:order val="4"/>
          <c:tx>
            <c:strRef>
              <c:f>'Graphikdaten 3'!$B$20</c:f>
              <c:strCache>
                <c:ptCount val="1"/>
                <c:pt idx="0">
                  <c:v>Stromsteuer</c:v>
                </c:pt>
              </c:strCache>
            </c:strRef>
          </c:tx>
          <c:spPr>
            <a:solidFill>
              <a:srgbClr val="D05094"/>
            </a:solidFill>
            <a:ln>
              <a:noFill/>
            </a:ln>
            <a:effectLst/>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3'!$C$20:$P$20</c:f>
              <c:numCache>
                <c:formatCode>#,##0.00_ ;[Red]\-#,##0.00\ </c:formatCode>
                <c:ptCount val="14"/>
                <c:pt idx="0">
                  <c:v>6.6</c:v>
                </c:pt>
                <c:pt idx="1">
                  <c:v>6.6</c:v>
                </c:pt>
                <c:pt idx="2">
                  <c:v>6.6887819409999993</c:v>
                </c:pt>
                <c:pt idx="3">
                  <c:v>6.4485186030857991</c:v>
                </c:pt>
                <c:pt idx="4">
                  <c:v>6.6725984001042251</c:v>
                </c:pt>
                <c:pt idx="5">
                  <c:v>6.6725984001042251</c:v>
                </c:pt>
                <c:pt idx="6">
                  <c:v>6.6725984001042251</c:v>
                </c:pt>
                <c:pt idx="7">
                  <c:v>6.6725984001042251</c:v>
                </c:pt>
                <c:pt idx="8">
                  <c:v>6.6725984001042251</c:v>
                </c:pt>
                <c:pt idx="9">
                  <c:v>6.6725984001042251</c:v>
                </c:pt>
                <c:pt idx="10">
                  <c:v>6.6725984001042251</c:v>
                </c:pt>
                <c:pt idx="11">
                  <c:v>6.6725984001042251</c:v>
                </c:pt>
                <c:pt idx="12">
                  <c:v>6.6725984001042251</c:v>
                </c:pt>
                <c:pt idx="13">
                  <c:v>6.6725984001042251</c:v>
                </c:pt>
              </c:numCache>
            </c:numRef>
          </c:val>
          <c:extLst>
            <c:ext xmlns:c16="http://schemas.microsoft.com/office/drawing/2014/chart" uri="{C3380CC4-5D6E-409C-BE32-E72D297353CC}">
              <c16:uniqueId val="{00000004-99BB-40A8-8898-25857EC51452}"/>
            </c:ext>
          </c:extLst>
        </c:ser>
        <c:ser>
          <c:idx val="6"/>
          <c:order val="6"/>
          <c:tx>
            <c:v>BEHG</c:v>
          </c:tx>
          <c:spPr>
            <a:solidFill>
              <a:schemeClr val="tx1"/>
            </a:solidFill>
            <a:ln w="19050">
              <a:noFill/>
            </a:ln>
          </c:spPr>
          <c:invertIfNegative val="0"/>
          <c:cat>
            <c:numRef>
              <c:f>'Graphikdaten 3'!$C$12:$P$12</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'Graphikdaten 3'!$C$31:$P$31</c:f>
              <c:numCache>
                <c:formatCode>#,##0.00_ ;[Red]\-#,##0.00\ </c:formatCode>
                <c:ptCount val="14"/>
                <c:pt idx="0">
                  <c:v>0</c:v>
                </c:pt>
                <c:pt idx="1">
                  <c:v>0</c:v>
                </c:pt>
                <c:pt idx="2">
                  <c:v>0</c:v>
                </c:pt>
                <c:pt idx="3">
                  <c:v>0</c:v>
                </c:pt>
                <c:pt idx="4">
                  <c:v>8.0149139712222865</c:v>
                </c:pt>
                <c:pt idx="5">
                  <c:v>10.364082893933745</c:v>
                </c:pt>
                <c:pt idx="6">
                  <c:v>12.091430042922699</c:v>
                </c:pt>
                <c:pt idx="7">
                  <c:v>15.546124340900615</c:v>
                </c:pt>
                <c:pt idx="8">
                  <c:v>19.000818638878528</c:v>
                </c:pt>
                <c:pt idx="9">
                  <c:v>20.728165787867489</c:v>
                </c:pt>
                <c:pt idx="10">
                  <c:v>20.728165787867489</c:v>
                </c:pt>
                <c:pt idx="11">
                  <c:v>20.728165787867489</c:v>
                </c:pt>
                <c:pt idx="12">
                  <c:v>20.728165787867489</c:v>
                </c:pt>
                <c:pt idx="13">
                  <c:v>20.728165787867489</c:v>
                </c:pt>
              </c:numCache>
            </c:numRef>
          </c:val>
          <c:extLst>
            <c:ext xmlns:c16="http://schemas.microsoft.com/office/drawing/2014/chart" uri="{C3380CC4-5D6E-409C-BE32-E72D297353CC}">
              <c16:uniqueId val="{00000009-99BB-40A8-8898-25857EC51452}"/>
            </c:ext>
          </c:extLst>
        </c:ser>
        <c:dLbls>
          <c:showLegendKey val="0"/>
          <c:showVal val="0"/>
          <c:showCatName val="0"/>
          <c:showSerName val="0"/>
          <c:showPercent val="0"/>
          <c:showBubbleSize val="0"/>
        </c:dLbls>
        <c:gapWidth val="150"/>
        <c:overlap val="100"/>
        <c:axId val="415006976"/>
        <c:axId val="415007368"/>
      </c:barChart>
      <c:lineChart>
        <c:grouping val="standard"/>
        <c:varyColors val="0"/>
        <c:ser>
          <c:idx val="5"/>
          <c:order val="5"/>
          <c:tx>
            <c:strRef>
              <c:f>'Graphikdaten 3'!$B$32</c:f>
              <c:strCache>
                <c:ptCount val="1"/>
                <c:pt idx="0">
                  <c:v>Gesamt</c:v>
                </c:pt>
              </c:strCache>
            </c:strRef>
          </c:tx>
          <c:spPr>
            <a:ln>
              <a:solidFill>
                <a:srgbClr val="FFFFFF">
                  <a:alpha val="0"/>
                </a:srgbClr>
              </a:solidFill>
            </a:ln>
          </c:spPr>
          <c:marker>
            <c:symbol val="none"/>
          </c:marker>
          <c:dLbls>
            <c:spPr>
              <a:noFill/>
              <a:ln>
                <a:noFill/>
              </a:ln>
              <a:effectLst/>
            </c:spPr>
            <c:txPr>
              <a:bodyPr rot="0" vert="horz" wrap="square" lIns="38100" tIns="19050" rIns="38100" bIns="19050" anchor="ctr" anchorCtr="0">
                <a:spAutoFit/>
              </a:bodyPr>
              <a:lstStyle/>
              <a:p>
                <a:pPr>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'Graphikdaten 3'!$E$12:$P$12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'Graphikdaten 3'!$C$32:$P$32</c:f>
              <c:numCache>
                <c:formatCode>#,##0.0_ ;[Red]\-#,##0.0\ </c:formatCode>
                <c:ptCount val="14"/>
                <c:pt idx="0">
                  <c:v>47.037277773973059</c:v>
                </c:pt>
                <c:pt idx="1">
                  <c:v>47.037277773973059</c:v>
                </c:pt>
                <c:pt idx="2">
                  <c:v>47.409997702456238</c:v>
                </c:pt>
                <c:pt idx="3">
                  <c:v>44.093924095599228</c:v>
                </c:pt>
                <c:pt idx="4">
                  <c:v>52.165468568777797</c:v>
                </c:pt>
                <c:pt idx="5">
                  <c:v>57.817219809972329</c:v>
                </c:pt>
                <c:pt idx="6">
                  <c:v>59.544566958961283</c:v>
                </c:pt>
                <c:pt idx="7">
                  <c:v>62.999261256939207</c:v>
                </c:pt>
                <c:pt idx="8">
                  <c:v>66.453955554917115</c:v>
                </c:pt>
                <c:pt idx="9">
                  <c:v>68.181302703906084</c:v>
                </c:pt>
                <c:pt idx="10">
                  <c:v>68.181302703906084</c:v>
                </c:pt>
                <c:pt idx="11">
                  <c:v>68.181302703906084</c:v>
                </c:pt>
                <c:pt idx="12">
                  <c:v>68.181302703906084</c:v>
                </c:pt>
                <c:pt idx="13">
                  <c:v>68.181302703906084</c:v>
                </c:pt>
              </c:numCache>
            </c:numRef>
          </c:val>
          <c:smooth val="0"/>
          <c:extLst>
            <c:ext xmlns:c16="http://schemas.microsoft.com/office/drawing/2014/chart" uri="{C3380CC4-5D6E-409C-BE32-E72D297353CC}">
              <c16:uniqueId val="{00000005-99BB-40A8-8898-25857EC51452}"/>
            </c:ext>
          </c:extLst>
        </c:ser>
        <c:dLbls>
          <c:showLegendKey val="0"/>
          <c:showVal val="0"/>
          <c:showCatName val="0"/>
          <c:showSerName val="0"/>
          <c:showPercent val="0"/>
          <c:showBubbleSize val="0"/>
        </c:dLbls>
        <c:marker val="1"/>
        <c:smooth val="0"/>
        <c:axId val="415006976"/>
        <c:axId val="415007368"/>
      </c:lineChart>
      <c:catAx>
        <c:axId val="415006976"/>
        <c:scaling>
          <c:orientation val="minMax"/>
        </c:scaling>
        <c:delete val="0"/>
        <c:axPos val="b"/>
        <c:majorGridlines>
          <c:spPr>
            <a:ln w="12700"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7368"/>
        <c:crosses val="autoZero"/>
        <c:auto val="1"/>
        <c:lblAlgn val="ctr"/>
        <c:lblOffset val="100"/>
        <c:noMultiLvlLbl val="0"/>
      </c:catAx>
      <c:valAx>
        <c:axId val="415007368"/>
        <c:scaling>
          <c:orientation val="minMax"/>
          <c:min val="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r>
                  <a:rPr lang="de-DE" b="0"/>
                  <a:t>Mrd. €</a:t>
                </a:r>
              </a:p>
            </c:rich>
          </c:tx>
          <c:layout>
            <c:manualLayout>
              <c:xMode val="edge"/>
              <c:yMode val="edge"/>
              <c:x val="3.945748641884881E-2"/>
              <c:y val="0.38442397293888436"/>
            </c:manualLayout>
          </c:layout>
          <c:overlay val="0"/>
          <c:spPr>
            <a:noFill/>
            <a:ln>
              <a:noFill/>
            </a:ln>
            <a:effectLst/>
          </c:sp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crossAx val="415006976"/>
        <c:crosses val="autoZero"/>
        <c:crossBetween val="between"/>
        <c:majorUnit val="5"/>
      </c:valAx>
      <c:spPr>
        <a:noFill/>
        <a:ln>
          <a:noFill/>
        </a:ln>
        <a:effectLst/>
      </c:spPr>
    </c:plotArea>
    <c:legend>
      <c:legendPos val="r"/>
      <c:legendEntry>
        <c:idx val="6"/>
        <c:delete val="1"/>
      </c:legendEntry>
      <c:layout>
        <c:manualLayout>
          <c:xMode val="edge"/>
          <c:yMode val="edge"/>
          <c:x val="0.84947844310158904"/>
          <c:y val="6.0247449540869524E-2"/>
          <c:w val="0.13980312926000532"/>
          <c:h val="0.3994343811717806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Flexo" pitchFamily="50"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sz="1000" b="0" i="0">
          <a:solidFill>
            <a:sysClr val="windowText" lastClr="000000"/>
          </a:solidFill>
          <a:latin typeface="Flexo" pitchFamily="50"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de-DE" sz="1000"/>
              <a:t>Strompreis und EEG-Umlage</a:t>
            </a:r>
          </a:p>
        </c:rich>
      </c:tx>
      <c:layout>
        <c:manualLayout>
          <c:xMode val="edge"/>
          <c:yMode val="edge"/>
          <c:x val="0.37096937490370813"/>
          <c:y val="3.9521891958053834E-2"/>
        </c:manualLayout>
      </c:layout>
      <c:overlay val="1"/>
    </c:title>
    <c:autoTitleDeleted val="0"/>
    <c:plotArea>
      <c:layout>
        <c:manualLayout>
          <c:layoutTarget val="inner"/>
          <c:xMode val="edge"/>
          <c:yMode val="edge"/>
          <c:x val="0.10441327587709681"/>
          <c:y val="0.12014720747375437"/>
          <c:w val="0.8865694883881281"/>
          <c:h val="0.70877739789004179"/>
        </c:manualLayout>
      </c:layout>
      <c:barChart>
        <c:barDir val="col"/>
        <c:grouping val="stacked"/>
        <c:varyColors val="0"/>
        <c:ser>
          <c:idx val="0"/>
          <c:order val="1"/>
          <c:tx>
            <c:strRef>
              <c:f>'Graphikdaten 1'!$A$3</c:f>
              <c:strCache>
                <c:ptCount val="1"/>
                <c:pt idx="0">
                  <c:v>Strompreis</c:v>
                </c:pt>
              </c:strCache>
            </c:strRef>
          </c:tx>
          <c:spPr>
            <a:solidFill>
              <a:srgbClr val="D05094"/>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1'!$B$3:$V$3</c15:sqref>
                  </c15:fullRef>
                </c:ext>
              </c:extLst>
              <c:f>'Graphikdaten 1'!$K$3:$V$3</c:f>
              <c:numCache>
                <c:formatCode>General</c:formatCode>
                <c:ptCount val="12"/>
                <c:pt idx="0">
                  <c:v>4.6280000000000001</c:v>
                </c:pt>
                <c:pt idx="1">
                  <c:v>4.9340000000000002</c:v>
                </c:pt>
                <c:pt idx="2">
                  <c:v>4.0739999999999998</c:v>
                </c:pt>
                <c:pt idx="3">
                  <c:v>7.8400000000000007</c:v>
                </c:pt>
                <c:pt idx="4">
                  <c:v>8.7519999999999989</c:v>
                </c:pt>
                <c:pt idx="5">
                  <c:v>7.2530000000000001</c:v>
                </c:pt>
                <c:pt idx="6">
                  <c:v>7.1599999999999993</c:v>
                </c:pt>
                <c:pt idx="7">
                  <c:v>7.0620000000000003</c:v>
                </c:pt>
                <c:pt idx="8">
                  <c:v>7.035000000000001</c:v>
                </c:pt>
                <c:pt idx="9">
                  <c:v>6.9610000000000003</c:v>
                </c:pt>
                <c:pt idx="10">
                  <c:v>6.8930000000000007</c:v>
                </c:pt>
                <c:pt idx="11">
                  <c:v>6.8579999999999997</c:v>
                </c:pt>
              </c:numCache>
            </c:numRef>
          </c:val>
          <c:extLst>
            <c:ext xmlns:c16="http://schemas.microsoft.com/office/drawing/2014/chart" uri="{C3380CC4-5D6E-409C-BE32-E72D297353CC}">
              <c16:uniqueId val="{00000000-55B9-4FC7-A91C-23C8503D1262}"/>
            </c:ext>
          </c:extLst>
        </c:ser>
        <c:ser>
          <c:idx val="2"/>
          <c:order val="2"/>
          <c:tx>
            <c:strRef>
              <c:f>'Graphikdaten 1'!$A$4</c:f>
              <c:strCache>
                <c:ptCount val="1"/>
                <c:pt idx="0">
                  <c:v>EEG-Umlage</c:v>
                </c:pt>
              </c:strCache>
            </c:strRef>
          </c:tx>
          <c:spPr>
            <a:solidFill>
              <a:srgbClr val="64B9E4"/>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1'!$B$4:$V$4</c15:sqref>
                  </c15:fullRef>
                </c:ext>
              </c:extLst>
              <c:f>'Graphikdaten 1'!$K$4:$V$4</c:f>
              <c:numCache>
                <c:formatCode>0.00</c:formatCode>
                <c:ptCount val="12"/>
                <c:pt idx="0" formatCode="#,##0.00">
                  <c:v>6.406581826229905</c:v>
                </c:pt>
                <c:pt idx="1" formatCode="#,##0.00">
                  <c:v>6.7581163138201807</c:v>
                </c:pt>
                <c:pt idx="2" formatCode="#,##0.00">
                  <c:v>6.5036153637169196</c:v>
                </c:pt>
                <c:pt idx="3" formatCode="#,##0.00">
                  <c:v>3.7231670924852511</c:v>
                </c:pt>
                <c:pt idx="4" formatCode="#,##0.00">
                  <c:v>0</c:v>
                </c:pt>
                <c:pt idx="5" formatCode="#,##0.00">
                  <c:v>0</c:v>
                </c:pt>
                <c:pt idx="6" formatCode="#,##0.00">
                  <c:v>0</c:v>
                </c:pt>
                <c:pt idx="7" formatCode="#,##0.00">
                  <c:v>0</c:v>
                </c:pt>
                <c:pt idx="8" formatCode="#,##0.00">
                  <c:v>0</c:v>
                </c:pt>
                <c:pt idx="9" formatCode="#,##0.00">
                  <c:v>0</c:v>
                </c:pt>
                <c:pt idx="10" formatCode="#,##0.00">
                  <c:v>0</c:v>
                </c:pt>
                <c:pt idx="11" formatCode="#,##0.00">
                  <c:v>0</c:v>
                </c:pt>
              </c:numCache>
            </c:numRef>
          </c:val>
          <c:extLst>
            <c:ext xmlns:c16="http://schemas.microsoft.com/office/drawing/2014/chart" uri="{C3380CC4-5D6E-409C-BE32-E72D297353CC}">
              <c16:uniqueId val="{00000001-55B9-4FC7-A91C-23C8503D1262}"/>
            </c:ext>
          </c:extLst>
        </c:ser>
        <c:dLbls>
          <c:showLegendKey val="0"/>
          <c:showVal val="0"/>
          <c:showCatName val="0"/>
          <c:showSerName val="0"/>
          <c:showPercent val="0"/>
          <c:showBubbleSize val="0"/>
        </c:dLbls>
        <c:gapWidth val="10"/>
        <c:overlap val="100"/>
        <c:axId val="365263104"/>
        <c:axId val="365294336"/>
      </c:barChart>
      <c:lineChart>
        <c:grouping val="standard"/>
        <c:varyColors val="0"/>
        <c:ser>
          <c:idx val="1"/>
          <c:order val="0"/>
          <c:tx>
            <c:strRef>
              <c:f>'Graphikdaten 1'!$A$5</c:f>
              <c:strCache>
                <c:ptCount val="1"/>
                <c:pt idx="0">
                  <c:v>Summe Strompreis und Umlage</c:v>
                </c:pt>
              </c:strCache>
            </c:strRef>
          </c:tx>
          <c:spPr>
            <a:ln>
              <a:noFill/>
            </a:ln>
          </c:spPr>
          <c:marker>
            <c:symbol val="none"/>
          </c:marker>
          <c:dLbls>
            <c:numFmt formatCode="#,##0.0" sourceLinked="0"/>
            <c:spPr>
              <a:noFill/>
              <a:ln>
                <a:noFill/>
              </a:ln>
              <a:effectLst/>
            </c:spPr>
            <c:txPr>
              <a:bodyPr rot="0" vert="horz"/>
              <a:lstStyle/>
              <a:p>
                <a:pPr>
                  <a:defRPr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numRef>
              <c:extLst>
                <c:ext xmlns:c15="http://schemas.microsoft.com/office/drawing/2012/chart" uri="{02D57815-91ED-43cb-92C2-25804820EDAC}">
                  <c15:fullRef>
                    <c15:sqref>'Graphikdaten 1'!$B$2:$V$2</c15:sqref>
                  </c15:fullRef>
                </c:ext>
              </c:extLst>
              <c:f>'Graphikdaten 1'!$K$2:$V$2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extLst>
                <c:ext xmlns:c15="http://schemas.microsoft.com/office/drawing/2012/chart" uri="{02D57815-91ED-43cb-92C2-25804820EDAC}">
                  <c15:fullRef>
                    <c15:sqref>'Graphikdaten 1'!$B$5:$V$5</c15:sqref>
                  </c15:fullRef>
                </c:ext>
              </c:extLst>
              <c:f>'Graphikdaten 1'!$K$5:$V$5</c:f>
              <c:numCache>
                <c:formatCode>0.00</c:formatCode>
                <c:ptCount val="12"/>
                <c:pt idx="0">
                  <c:v>11.034581826229905</c:v>
                </c:pt>
                <c:pt idx="1">
                  <c:v>11.692116313820181</c:v>
                </c:pt>
                <c:pt idx="2">
                  <c:v>10.577615363716919</c:v>
                </c:pt>
                <c:pt idx="3">
                  <c:v>11.563167092485251</c:v>
                </c:pt>
                <c:pt idx="4">
                  <c:v>8.7519999999999989</c:v>
                </c:pt>
                <c:pt idx="5">
                  <c:v>7.2530000000000001</c:v>
                </c:pt>
                <c:pt idx="6">
                  <c:v>7.1599999999999993</c:v>
                </c:pt>
                <c:pt idx="7">
                  <c:v>7.0620000000000003</c:v>
                </c:pt>
                <c:pt idx="8">
                  <c:v>7.035000000000001</c:v>
                </c:pt>
                <c:pt idx="9">
                  <c:v>6.9610000000000003</c:v>
                </c:pt>
                <c:pt idx="10">
                  <c:v>6.8930000000000007</c:v>
                </c:pt>
                <c:pt idx="11">
                  <c:v>6.8579999999999997</c:v>
                </c:pt>
              </c:numCache>
            </c:numRef>
          </c:val>
          <c:smooth val="0"/>
          <c:extLst>
            <c:ext xmlns:c16="http://schemas.microsoft.com/office/drawing/2014/chart" uri="{C3380CC4-5D6E-409C-BE32-E72D297353CC}">
              <c16:uniqueId val="{00000002-55B9-4FC7-A91C-23C8503D1262}"/>
            </c:ext>
          </c:extLst>
        </c:ser>
        <c:dLbls>
          <c:showLegendKey val="0"/>
          <c:showVal val="0"/>
          <c:showCatName val="0"/>
          <c:showSerName val="0"/>
          <c:showPercent val="0"/>
          <c:showBubbleSize val="0"/>
        </c:dLbls>
        <c:marker val="1"/>
        <c:smooth val="0"/>
        <c:axId val="365263104"/>
        <c:axId val="365294336"/>
      </c:lineChart>
      <c:catAx>
        <c:axId val="365263104"/>
        <c:scaling>
          <c:orientation val="minMax"/>
        </c:scaling>
        <c:delete val="0"/>
        <c:axPos val="b"/>
        <c:majorGridlines>
          <c:spPr>
            <a:ln w="6350">
              <a:solidFill>
                <a:sysClr val="window" lastClr="FFFFFF"/>
              </a:solidFill>
            </a:ln>
          </c:spPr>
        </c:majorGridlines>
        <c:numFmt formatCode="0" sourceLinked="1"/>
        <c:majorTickMark val="out"/>
        <c:minorTickMark val="none"/>
        <c:tickLblPos val="nextTo"/>
        <c:spPr>
          <a:ln w="19050">
            <a:solidFill>
              <a:sysClr val="window" lastClr="FFFFFF"/>
            </a:solidFill>
          </a:ln>
        </c:spPr>
        <c:crossAx val="365294336"/>
        <c:crosses val="autoZero"/>
        <c:auto val="1"/>
        <c:lblAlgn val="ctr"/>
        <c:lblOffset val="100"/>
        <c:noMultiLvlLbl val="0"/>
      </c:catAx>
      <c:valAx>
        <c:axId val="365294336"/>
        <c:scaling>
          <c:orientation val="minMax"/>
          <c:min val="0"/>
        </c:scaling>
        <c:delete val="0"/>
        <c:axPos val="l"/>
        <c:majorGridlines>
          <c:spPr>
            <a:ln w="6350">
              <a:solidFill>
                <a:sysClr val="window" lastClr="FFFFFF"/>
              </a:solidFill>
            </a:ln>
          </c:spPr>
        </c:majorGridlines>
        <c:title>
          <c:tx>
            <c:strRef>
              <c:f>[7]ControlPanel!$R$13</c:f>
              <c:strCache>
                <c:ptCount val="1"/>
                <c:pt idx="0">
                  <c:v>ct/kWh</c:v>
                </c:pt>
              </c:strCache>
            </c:strRef>
          </c:tx>
          <c:layout>
            <c:manualLayout>
              <c:xMode val="edge"/>
              <c:yMode val="edge"/>
              <c:x val="2.4058092226626852E-2"/>
              <c:y val="0.43242898188134621"/>
            </c:manualLayout>
          </c:layout>
          <c:overlay val="0"/>
          <c:txPr>
            <a:bodyPr rot="-5400000" vert="horz"/>
            <a:lstStyle/>
            <a:p>
              <a:pPr>
                <a:defRPr/>
              </a:pPr>
              <a:endParaRPr lang="de-DE"/>
            </a:p>
          </c:txPr>
        </c:title>
        <c:numFmt formatCode="0" sourceLinked="0"/>
        <c:majorTickMark val="out"/>
        <c:minorTickMark val="none"/>
        <c:tickLblPos val="nextTo"/>
        <c:spPr>
          <a:ln w="19050">
            <a:solidFill>
              <a:sysClr val="window" lastClr="FFFFFF"/>
            </a:solidFill>
          </a:ln>
        </c:spPr>
        <c:crossAx val="365263104"/>
        <c:crosses val="autoZero"/>
        <c:crossBetween val="between"/>
        <c:majorUnit val="2"/>
      </c:valAx>
      <c:spPr>
        <a:noFill/>
        <a:ln w="19050">
          <a:solidFill>
            <a:sysClr val="window" lastClr="FFFFFF"/>
          </a:solidFill>
        </a:ln>
      </c:spPr>
    </c:plotArea>
    <c:legend>
      <c:legendPos val="b"/>
      <c:legendEntry>
        <c:idx val="2"/>
        <c:delete val="1"/>
      </c:legendEntry>
      <c:overlay val="0"/>
    </c:legend>
    <c:plotVisOnly val="1"/>
    <c:dispBlanksAs val="gap"/>
    <c:showDLblsOverMax val="0"/>
  </c:chart>
  <c:spPr>
    <a:solidFill>
      <a:srgbClr val="E3E4EA"/>
    </a:solidFill>
    <a:ln w="19050">
      <a:solidFill>
        <a:sysClr val="window" lastClr="FFFFFF"/>
      </a:solidFill>
    </a:ln>
  </c:spPr>
  <c:txPr>
    <a:bodyPr/>
    <a:lstStyle/>
    <a:p>
      <a:pPr>
        <a:defRPr sz="1000">
          <a:latin typeface="+mn-lt"/>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mn-lt"/>
                <a:ea typeface="+mn-ea"/>
                <a:cs typeface="+mn-cs"/>
              </a:defRPr>
            </a:pPr>
            <a:r>
              <a:rPr lang="de-DE" sz="1000" b="1"/>
              <a:t>Preisentwicklung Benzin,</a:t>
            </a:r>
            <a:r>
              <a:rPr lang="de-DE" sz="1000" b="1" baseline="0"/>
              <a:t> </a:t>
            </a:r>
            <a:r>
              <a:rPr lang="de-DE" sz="1000" b="1"/>
              <a:t>Diesel und Heizöl </a:t>
            </a:r>
            <a:r>
              <a:rPr lang="de-DE" sz="1000" b="1" i="0" u="none" strike="noStrike" baseline="0">
                <a:effectLst/>
              </a:rPr>
              <a:t>für Haushaltskunden</a:t>
            </a:r>
            <a:endParaRPr lang="de-DE" sz="1000" b="1"/>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0.11747370020251652"/>
          <c:y val="0.10263427211710928"/>
          <c:w val="0.85988736530346865"/>
          <c:h val="0.69392309880614866"/>
        </c:manualLayout>
      </c:layout>
      <c:lineChart>
        <c:grouping val="standard"/>
        <c:varyColors val="0"/>
        <c:ser>
          <c:idx val="0"/>
          <c:order val="0"/>
          <c:tx>
            <c:v>Benzin</c:v>
          </c:tx>
          <c:spPr>
            <a:ln w="28575" cap="rnd">
              <a:solidFill>
                <a:srgbClr val="18658C"/>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Endverbraucherpreise!$I$2:$T$2</c:f>
              <c:numCache>
                <c:formatCode>0.00</c:formatCode>
                <c:ptCount val="12"/>
                <c:pt idx="0">
                  <c:v>1.4514282384297519</c:v>
                </c:pt>
                <c:pt idx="1">
                  <c:v>1.2609949141131334</c:v>
                </c:pt>
                <c:pt idx="2">
                  <c:v>1.554812895740036</c:v>
                </c:pt>
                <c:pt idx="3">
                  <c:v>1.5773029890764494</c:v>
                </c:pt>
                <c:pt idx="4">
                  <c:v>1.5999161635954708</c:v>
                </c:pt>
                <c:pt idx="5">
                  <c:v>1.6369389466773405</c:v>
                </c:pt>
                <c:pt idx="6">
                  <c:v>1.6740885310705631</c:v>
                </c:pt>
                <c:pt idx="7">
                  <c:v>1.6970821376323086</c:v>
                </c:pt>
                <c:pt idx="8">
                  <c:v>1.7059216969125435</c:v>
                </c:pt>
                <c:pt idx="9">
                  <c:v>1.7148938495819817</c:v>
                </c:pt>
                <c:pt idx="10">
                  <c:v>1.7240005845414614</c:v>
                </c:pt>
                <c:pt idx="11">
                  <c:v>1.7332439205253334</c:v>
                </c:pt>
              </c:numCache>
            </c:numRef>
          </c:val>
          <c:smooth val="0"/>
          <c:extLst>
            <c:ext xmlns:c16="http://schemas.microsoft.com/office/drawing/2014/chart" uri="{C3380CC4-5D6E-409C-BE32-E72D297353CC}">
              <c16:uniqueId val="{00000000-98CA-4249-9367-3C10E3F3DF35}"/>
            </c:ext>
          </c:extLst>
        </c:ser>
        <c:ser>
          <c:idx val="1"/>
          <c:order val="1"/>
          <c:tx>
            <c:v>Diesel</c:v>
          </c:tx>
          <c:spPr>
            <a:ln w="28575" cap="rnd">
              <a:solidFill>
                <a:srgbClr val="2497D2"/>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Endverbraucherpreise!$I$3:$T$3</c:f>
              <c:numCache>
                <c:formatCode>0.00</c:formatCode>
                <c:ptCount val="12"/>
                <c:pt idx="0">
                  <c:v>1.2733696950881324</c:v>
                </c:pt>
                <c:pt idx="1">
                  <c:v>1.0779096163992283</c:v>
                </c:pt>
                <c:pt idx="2">
                  <c:v>1.3863004537463768</c:v>
                </c:pt>
                <c:pt idx="3">
                  <c:v>1.4107763561550726</c:v>
                </c:pt>
                <c:pt idx="4">
                  <c:v>1.4353805387528984</c:v>
                </c:pt>
                <c:pt idx="5">
                  <c:v>1.476038815542692</c:v>
                </c:pt>
                <c:pt idx="6">
                  <c:v>1.5168292497903324</c:v>
                </c:pt>
                <c:pt idx="7">
                  <c:v>1.5418299340576871</c:v>
                </c:pt>
                <c:pt idx="8">
                  <c:v>1.5510428804420524</c:v>
                </c:pt>
                <c:pt idx="9">
                  <c:v>1.5603940210221834</c:v>
                </c:pt>
                <c:pt idx="10">
                  <c:v>1.569885428711016</c:v>
                </c:pt>
                <c:pt idx="11">
                  <c:v>1.5795192075151812</c:v>
                </c:pt>
              </c:numCache>
            </c:numRef>
          </c:val>
          <c:smooth val="0"/>
          <c:extLst>
            <c:ext xmlns:c16="http://schemas.microsoft.com/office/drawing/2014/chart" uri="{C3380CC4-5D6E-409C-BE32-E72D297353CC}">
              <c16:uniqueId val="{00000001-98CA-4249-9367-3C10E3F3DF35}"/>
            </c:ext>
          </c:extLst>
        </c:ser>
        <c:ser>
          <c:idx val="2"/>
          <c:order val="2"/>
          <c:tx>
            <c:v>Leichtes Heizöl</c:v>
          </c:tx>
          <c:spPr>
            <a:ln w="28575" cap="rnd">
              <a:solidFill>
                <a:srgbClr val="1D565C"/>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Endverbraucherpreise!$I$4:$T$4</c:f>
              <c:numCache>
                <c:formatCode>0.00</c:formatCode>
                <c:ptCount val="12"/>
                <c:pt idx="0">
                  <c:v>0.66563252705707621</c:v>
                </c:pt>
                <c:pt idx="1">
                  <c:v>0.47717198365250957</c:v>
                </c:pt>
                <c:pt idx="2">
                  <c:v>0.77868601827536221</c:v>
                </c:pt>
                <c:pt idx="3">
                  <c:v>0.80319342981449282</c:v>
                </c:pt>
                <c:pt idx="4">
                  <c:v>0.82782959417971014</c:v>
                </c:pt>
                <c:pt idx="5">
                  <c:v>0.86852033246340565</c:v>
                </c:pt>
                <c:pt idx="6">
                  <c:v>0.90934371512735668</c:v>
                </c:pt>
                <c:pt idx="7">
                  <c:v>0.93437784203726681</c:v>
                </c:pt>
                <c:pt idx="8">
                  <c:v>0.94362473270382596</c:v>
                </c:pt>
                <c:pt idx="9">
                  <c:v>0.95301032673038333</c:v>
                </c:pt>
                <c:pt idx="10">
                  <c:v>0.96253670466733876</c:v>
                </c:pt>
                <c:pt idx="11">
                  <c:v>0.97220597827334898</c:v>
                </c:pt>
              </c:numCache>
            </c:numRef>
          </c:val>
          <c:smooth val="0"/>
          <c:extLst>
            <c:ext xmlns:c16="http://schemas.microsoft.com/office/drawing/2014/chart" uri="{C3380CC4-5D6E-409C-BE32-E72D297353CC}">
              <c16:uniqueId val="{00000002-98CA-4249-9367-3C10E3F3DF35}"/>
            </c:ext>
          </c:extLst>
        </c:ser>
        <c:dLbls>
          <c:showLegendKey val="0"/>
          <c:showVal val="0"/>
          <c:showCatName val="0"/>
          <c:showSerName val="0"/>
          <c:showPercent val="0"/>
          <c:showBubbleSize val="0"/>
        </c:dLbls>
        <c:smooth val="0"/>
        <c:axId val="411143576"/>
        <c:axId val="411143968"/>
      </c:lineChart>
      <c:catAx>
        <c:axId val="411143576"/>
        <c:scaling>
          <c:orientation val="minMax"/>
        </c:scaling>
        <c:delete val="0"/>
        <c:axPos val="b"/>
        <c:majorGridlines>
          <c:spPr>
            <a:ln w="9525" cap="flat" cmpd="sng" algn="ctr">
              <a:solidFill>
                <a:schemeClr val="bg1"/>
              </a:solidFill>
              <a:round/>
            </a:ln>
            <a:effectLst/>
          </c:spPr>
        </c:majorGridlines>
        <c:numFmt formatCode="0" sourceLinked="0"/>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crossAx val="411143968"/>
        <c:crosses val="autoZero"/>
        <c:auto val="1"/>
        <c:lblAlgn val="ctr"/>
        <c:lblOffset val="100"/>
        <c:tickLblSkip val="1"/>
        <c:noMultiLvlLbl val="1"/>
      </c:catAx>
      <c:valAx>
        <c:axId val="4111439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DE"/>
                  <a:t>Euro/Liter</a:t>
                </a:r>
              </a:p>
            </c:rich>
          </c:tx>
          <c:layout>
            <c:manualLayout>
              <c:xMode val="edge"/>
              <c:yMode val="edge"/>
              <c:x val="6.5169742621807346E-3"/>
              <c:y val="0.36118352792797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title>
        <c:numFmt formatCode="0.0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crossAx val="411143576"/>
        <c:crosses val="autoZero"/>
        <c:crossBetween val="between"/>
      </c:valAx>
      <c:spPr>
        <a:noFill/>
        <a:ln w="19050">
          <a:solidFill>
            <a:schemeClr val="bg1"/>
          </a:solid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3E4EA"/>
    </a:solidFill>
    <a:ln w="19050" cap="flat" cmpd="sng" algn="ctr">
      <a:solidFill>
        <a:schemeClr val="bg1"/>
      </a:solidFill>
      <a:round/>
    </a:ln>
    <a:effectLst/>
  </c:spPr>
  <c:txPr>
    <a:bodyPr/>
    <a:lstStyle/>
    <a:p>
      <a:pPr>
        <a:defRPr sz="1000">
          <a:solidFill>
            <a:sysClr val="windowText" lastClr="000000"/>
          </a:solidFill>
          <a:latin typeface="+mn-lt"/>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de-DE" sz="1000" b="1">
                <a:solidFill>
                  <a:sysClr val="windowText" lastClr="000000"/>
                </a:solidFill>
              </a:rPr>
              <a:t>Preisentwicklung Strom</a:t>
            </a:r>
            <a:r>
              <a:rPr lang="de-DE" sz="1000" b="1" baseline="0">
                <a:solidFill>
                  <a:sysClr val="windowText" lastClr="000000"/>
                </a:solidFill>
              </a:rPr>
              <a:t> und Erdgas für Haushaltskunden</a:t>
            </a:r>
            <a:endParaRPr lang="de-DE"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9.7665430285125268E-2"/>
          <c:y val="0.11411593039402881"/>
          <c:w val="0.84638573480833379"/>
          <c:h val="0.68244144052922906"/>
        </c:manualLayout>
      </c:layout>
      <c:lineChart>
        <c:grouping val="standard"/>
        <c:varyColors val="0"/>
        <c:ser>
          <c:idx val="0"/>
          <c:order val="0"/>
          <c:tx>
            <c:v>Strom</c:v>
          </c:tx>
          <c:spPr>
            <a:ln w="28575" cap="rnd">
              <a:solidFill>
                <a:srgbClr val="D05094"/>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Endverbraucherpreise!$I$6:$T$6</c:f>
              <c:numCache>
                <c:formatCode>0.00</c:formatCode>
                <c:ptCount val="12"/>
                <c:pt idx="0">
                  <c:v>30.457552373213588</c:v>
                </c:pt>
                <c:pt idx="1">
                  <c:v>31.417286668738715</c:v>
                </c:pt>
                <c:pt idx="2">
                  <c:v>31.896302282823132</c:v>
                </c:pt>
                <c:pt idx="3">
                  <c:v>32.355023303730867</c:v>
                </c:pt>
                <c:pt idx="4">
                  <c:v>29.010373125242673</c:v>
                </c:pt>
                <c:pt idx="5">
                  <c:v>27.226639502980028</c:v>
                </c:pt>
                <c:pt idx="6">
                  <c:v>27.115704515458738</c:v>
                </c:pt>
                <c:pt idx="7">
                  <c:v>26.999235527977714</c:v>
                </c:pt>
                <c:pt idx="8">
                  <c:v>26.967092969234507</c:v>
                </c:pt>
                <c:pt idx="9">
                  <c:v>26.878990943561092</c:v>
                </c:pt>
                <c:pt idx="10">
                  <c:v>26.798103141149102</c:v>
                </c:pt>
                <c:pt idx="11">
                  <c:v>26.756445678385766</c:v>
                </c:pt>
              </c:numCache>
            </c:numRef>
          </c:val>
          <c:smooth val="0"/>
          <c:extLst>
            <c:ext xmlns:c16="http://schemas.microsoft.com/office/drawing/2014/chart" uri="{C3380CC4-5D6E-409C-BE32-E72D297353CC}">
              <c16:uniqueId val="{00000000-616D-4C98-B247-60F22D5B1B7F}"/>
            </c:ext>
          </c:extLst>
        </c:ser>
        <c:ser>
          <c:idx val="1"/>
          <c:order val="1"/>
          <c:tx>
            <c:v>Erdgas</c:v>
          </c:tx>
          <c:spPr>
            <a:ln w="28575" cap="rnd">
              <a:solidFill>
                <a:srgbClr val="9ABBCA"/>
              </a:solidFill>
              <a:round/>
            </a:ln>
            <a:effectLst/>
          </c:spPr>
          <c:marker>
            <c:symbol val="none"/>
          </c:marker>
          <c:cat>
            <c:numRef>
              <c:f>Endverbraucherpreise!$I$1:$T$1</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Endverbraucherpreise!$I$5:$T$5</c:f>
              <c:numCache>
                <c:formatCode>0.00</c:formatCode>
                <c:ptCount val="12"/>
                <c:pt idx="0">
                  <c:v>6.1725300000000001</c:v>
                </c:pt>
                <c:pt idx="1">
                  <c:v>5.9725250000000001</c:v>
                </c:pt>
                <c:pt idx="2">
                  <c:v>6.1167332799999992</c:v>
                </c:pt>
                <c:pt idx="3">
                  <c:v>6.4020624359999996</c:v>
                </c:pt>
                <c:pt idx="4">
                  <c:v>6.5683915920000002</c:v>
                </c:pt>
                <c:pt idx="5">
                  <c:v>6.8430374040000004</c:v>
                </c:pt>
                <c:pt idx="6">
                  <c:v>7.1176832160000014</c:v>
                </c:pt>
                <c:pt idx="7">
                  <c:v>7.2497998720000005</c:v>
                </c:pt>
                <c:pt idx="8">
                  <c:v>7.273599872000001</c:v>
                </c:pt>
                <c:pt idx="9">
                  <c:v>7.2973998720000006</c:v>
                </c:pt>
                <c:pt idx="10">
                  <c:v>7.3211998719999993</c:v>
                </c:pt>
                <c:pt idx="11">
                  <c:v>7.3449998720000007</c:v>
                </c:pt>
              </c:numCache>
            </c:numRef>
          </c:val>
          <c:smooth val="0"/>
          <c:extLst>
            <c:ext xmlns:c16="http://schemas.microsoft.com/office/drawing/2014/chart" uri="{C3380CC4-5D6E-409C-BE32-E72D297353CC}">
              <c16:uniqueId val="{00000001-616D-4C98-B247-60F22D5B1B7F}"/>
            </c:ext>
          </c:extLst>
        </c:ser>
        <c:dLbls>
          <c:showLegendKey val="0"/>
          <c:showVal val="0"/>
          <c:showCatName val="0"/>
          <c:showSerName val="0"/>
          <c:showPercent val="0"/>
          <c:showBubbleSize val="0"/>
        </c:dLbls>
        <c:smooth val="0"/>
        <c:axId val="411143576"/>
        <c:axId val="411143968"/>
      </c:lineChart>
      <c:catAx>
        <c:axId val="411143576"/>
        <c:scaling>
          <c:orientation val="minMax"/>
        </c:scaling>
        <c:delete val="0"/>
        <c:axPos val="b"/>
        <c:majorGridlines>
          <c:spPr>
            <a:ln w="9525" cap="flat" cmpd="sng" algn="ctr">
              <a:solidFill>
                <a:schemeClr val="bg1"/>
              </a:solidFill>
              <a:round/>
            </a:ln>
            <a:effectLst/>
          </c:spPr>
        </c:majorGridlines>
        <c:numFmt formatCode="0" sourceLinked="0"/>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lgn="ctr">
              <a:defRPr sz="1000" b="0" i="0" u="none" strike="noStrike" kern="1200" baseline="0">
                <a:solidFill>
                  <a:sysClr val="windowText" lastClr="000000"/>
                </a:solidFill>
                <a:latin typeface="+mn-lt"/>
                <a:ea typeface="+mn-ea"/>
                <a:cs typeface="+mn-cs"/>
              </a:defRPr>
            </a:pPr>
            <a:endParaRPr lang="de-DE"/>
          </a:p>
        </c:txPr>
        <c:crossAx val="411143968"/>
        <c:crosses val="autoZero"/>
        <c:auto val="1"/>
        <c:lblAlgn val="ctr"/>
        <c:lblOffset val="100"/>
        <c:tickLblSkip val="1"/>
        <c:noMultiLvlLbl val="1"/>
      </c:catAx>
      <c:valAx>
        <c:axId val="4111439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de-DE"/>
                  <a:t>ct/kWh</a:t>
                </a:r>
              </a:p>
            </c:rich>
          </c:tx>
          <c:layout>
            <c:manualLayout>
              <c:xMode val="edge"/>
              <c:yMode val="edge"/>
              <c:x val="1.242912247820817E-2"/>
              <c:y val="0.3372569866342649"/>
            </c:manualLayout>
          </c:layout>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lgn="ctr">
              <a:defRPr sz="1000" b="0" i="0" u="none" strike="noStrike" kern="1200" baseline="0">
                <a:solidFill>
                  <a:sysClr val="windowText" lastClr="000000"/>
                </a:solidFill>
                <a:latin typeface="+mn-lt"/>
                <a:ea typeface="+mn-ea"/>
                <a:cs typeface="+mn-cs"/>
              </a:defRPr>
            </a:pPr>
            <a:endParaRPr lang="de-DE"/>
          </a:p>
        </c:txPr>
        <c:crossAx val="411143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rgbClr val="E3E4EA"/>
    </a:solidFill>
    <a:ln w="19050" cap="flat" cmpd="sng" algn="ctr">
      <a:solidFill>
        <a:schemeClr val="bg1"/>
      </a:solidFill>
      <a:round/>
    </a:ln>
    <a:effectLst/>
  </c:spPr>
  <c:txPr>
    <a:bodyPr/>
    <a:lstStyle/>
    <a:p>
      <a:pPr>
        <a:defRPr sz="1000">
          <a:solidFill>
            <a:sysClr val="windowText" lastClr="000000"/>
          </a:solidFill>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de-DE" sz="1000"/>
              <a:t>Einnahmen und zusätzliche Ausgaben</a:t>
            </a:r>
          </a:p>
        </c:rich>
      </c:tx>
      <c:layout>
        <c:manualLayout>
          <c:xMode val="edge"/>
          <c:yMode val="edge"/>
          <c:x val="0.30109971158804472"/>
          <c:y val="2.3116967898427869E-2"/>
        </c:manualLayout>
      </c:layout>
      <c:overlay val="1"/>
    </c:title>
    <c:autoTitleDeleted val="0"/>
    <c:plotArea>
      <c:layout>
        <c:manualLayout>
          <c:layoutTarget val="inner"/>
          <c:xMode val="edge"/>
          <c:yMode val="edge"/>
          <c:x val="9.8400964440362171E-2"/>
          <c:y val="0.11571246670867792"/>
          <c:w val="0.67342704369505302"/>
          <c:h val="0.76716979316230893"/>
        </c:manualLayout>
      </c:layout>
      <c:barChart>
        <c:barDir val="col"/>
        <c:grouping val="stacked"/>
        <c:varyColors val="0"/>
        <c:ser>
          <c:idx val="0"/>
          <c:order val="1"/>
          <c:tx>
            <c:strRef>
              <c:f>'Graphikdaten 1'!$A$8</c:f>
              <c:strCache>
                <c:ptCount val="1"/>
                <c:pt idx="0">
                  <c:v>Zusätzliche Ausgaben</c:v>
                </c:pt>
              </c:strCache>
            </c:strRef>
          </c:tx>
          <c:spPr>
            <a:solidFill>
              <a:srgbClr val="1E83B3"/>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'Graphikdaten 1'!$K$2:$V$2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'Graphikdaten 1'!$K$8:$V$8</c:f>
              <c:numCache>
                <c:formatCode>#,##0</c:formatCode>
                <c:ptCount val="12"/>
                <c:pt idx="0">
                  <c:v>0</c:v>
                </c:pt>
                <c:pt idx="1">
                  <c:v>0</c:v>
                </c:pt>
                <c:pt idx="2">
                  <c:v>-11080</c:v>
                </c:pt>
                <c:pt idx="3">
                  <c:v>-3729</c:v>
                </c:pt>
                <c:pt idx="4">
                  <c:v>-8316.8783583680779</c:v>
                </c:pt>
                <c:pt idx="5">
                  <c:v>-14448.392564570979</c:v>
                </c:pt>
                <c:pt idx="6">
                  <c:v>-12749.588914179392</c:v>
                </c:pt>
                <c:pt idx="7">
                  <c:v>-11554.398355351845</c:v>
                </c:pt>
                <c:pt idx="8">
                  <c:v>-10191.724349610675</c:v>
                </c:pt>
                <c:pt idx="9">
                  <c:v>-9505.5221016662217</c:v>
                </c:pt>
                <c:pt idx="10">
                  <c:v>-8721.4538544018305</c:v>
                </c:pt>
                <c:pt idx="11">
                  <c:v>-7509.8551702974128</c:v>
                </c:pt>
              </c:numCache>
            </c:numRef>
          </c:val>
          <c:extLst>
            <c:ext xmlns:c16="http://schemas.microsoft.com/office/drawing/2014/chart" uri="{C3380CC4-5D6E-409C-BE32-E72D297353CC}">
              <c16:uniqueId val="{00000000-41F2-4007-B324-9ABC6755C180}"/>
            </c:ext>
          </c:extLst>
        </c:ser>
        <c:ser>
          <c:idx val="2"/>
          <c:order val="2"/>
          <c:tx>
            <c:strRef>
              <c:f>'Graphikdaten 1'!$A$7</c:f>
              <c:strCache>
                <c:ptCount val="1"/>
                <c:pt idx="0">
                  <c:v>Summe Energiesteuern und CO2-Preis</c:v>
                </c:pt>
              </c:strCache>
            </c:strRef>
          </c:tx>
          <c:spPr>
            <a:solidFill>
              <a:srgbClr val="64B9E4"/>
            </a:solidFill>
            <a:ln w="19050">
              <a:noFill/>
            </a:ln>
          </c:spPr>
          <c:invertIfNegative val="0"/>
          <c:dLbls>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'Graphikdaten 1'!$K$2:$V$2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'Graphikdaten 1'!$K$7:$V$7</c:f>
              <c:numCache>
                <c:formatCode>#,##0</c:formatCode>
                <c:ptCount val="12"/>
                <c:pt idx="0">
                  <c:v>47317.282100257238</c:v>
                </c:pt>
                <c:pt idx="1">
                  <c:v>44010.068107793035</c:v>
                </c:pt>
                <c:pt idx="2">
                  <c:v>52072.752966578795</c:v>
                </c:pt>
                <c:pt idx="3">
                  <c:v>57724.504207773331</c:v>
                </c:pt>
                <c:pt idx="4">
                  <c:v>59451.851356762287</c:v>
                </c:pt>
                <c:pt idx="5">
                  <c:v>62906.545654740199</c:v>
                </c:pt>
                <c:pt idx="6">
                  <c:v>66361.239952718111</c:v>
                </c:pt>
                <c:pt idx="7">
                  <c:v>68088.587101707075</c:v>
                </c:pt>
                <c:pt idx="8">
                  <c:v>68088.587101707075</c:v>
                </c:pt>
                <c:pt idx="9">
                  <c:v>68088.587101707075</c:v>
                </c:pt>
                <c:pt idx="10">
                  <c:v>68088.587101707075</c:v>
                </c:pt>
                <c:pt idx="11">
                  <c:v>68088.587101707075</c:v>
                </c:pt>
              </c:numCache>
            </c:numRef>
          </c:val>
          <c:extLst>
            <c:ext xmlns:c16="http://schemas.microsoft.com/office/drawing/2014/chart" uri="{C3380CC4-5D6E-409C-BE32-E72D297353CC}">
              <c16:uniqueId val="{00000001-41F2-4007-B324-9ABC6755C180}"/>
            </c:ext>
          </c:extLst>
        </c:ser>
        <c:dLbls>
          <c:showLegendKey val="0"/>
          <c:showVal val="0"/>
          <c:showCatName val="0"/>
          <c:showSerName val="0"/>
          <c:showPercent val="0"/>
          <c:showBubbleSize val="0"/>
        </c:dLbls>
        <c:gapWidth val="10"/>
        <c:overlap val="100"/>
        <c:axId val="365263104"/>
        <c:axId val="365294336"/>
      </c:barChart>
      <c:lineChart>
        <c:grouping val="standard"/>
        <c:varyColors val="0"/>
        <c:ser>
          <c:idx val="1"/>
          <c:order val="0"/>
          <c:tx>
            <c:strRef>
              <c:f>'Graphikdaten 1'!$A$9</c:f>
              <c:strCache>
                <c:ptCount val="1"/>
                <c:pt idx="0">
                  <c:v>Saldo</c:v>
                </c:pt>
              </c:strCache>
            </c:strRef>
          </c:tx>
          <c:marker>
            <c:symbol val="none"/>
          </c:marker>
          <c:dLbls>
            <c:numFmt formatCode="#,##0.0" sourceLinked="0"/>
            <c:spPr>
              <a:noFill/>
              <a:ln>
                <a:noFill/>
              </a:ln>
              <a:effectLst/>
            </c:spPr>
            <c:txPr>
              <a:bodyPr/>
              <a:lstStyle/>
              <a:p>
                <a:pPr>
                  <a:defRPr>
                    <a:solidFill>
                      <a:schemeClr val="accent2"/>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'Graphikdaten 1'!$K$2:$V$2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'Graphikdaten 1'!$K$9:$V$9</c:f>
              <c:numCache>
                <c:formatCode>#,##0</c:formatCode>
                <c:ptCount val="12"/>
                <c:pt idx="0">
                  <c:v>47317.282100257238</c:v>
                </c:pt>
                <c:pt idx="1">
                  <c:v>44010.068107793035</c:v>
                </c:pt>
                <c:pt idx="2">
                  <c:v>40992.752966578795</c:v>
                </c:pt>
                <c:pt idx="3">
                  <c:v>53995.504207773331</c:v>
                </c:pt>
                <c:pt idx="4">
                  <c:v>51134.972998394209</c:v>
                </c:pt>
                <c:pt idx="5">
                  <c:v>48458.153090169217</c:v>
                </c:pt>
                <c:pt idx="6">
                  <c:v>53611.651038538723</c:v>
                </c:pt>
                <c:pt idx="7">
                  <c:v>56534.188746355227</c:v>
                </c:pt>
                <c:pt idx="8">
                  <c:v>57896.8627520964</c:v>
                </c:pt>
                <c:pt idx="9">
                  <c:v>58583.06500004085</c:v>
                </c:pt>
                <c:pt idx="10">
                  <c:v>59367.133247305246</c:v>
                </c:pt>
                <c:pt idx="11">
                  <c:v>60578.73193140966</c:v>
                </c:pt>
              </c:numCache>
            </c:numRef>
          </c:val>
          <c:smooth val="0"/>
          <c:extLst>
            <c:ext xmlns:c16="http://schemas.microsoft.com/office/drawing/2014/chart" uri="{C3380CC4-5D6E-409C-BE32-E72D297353CC}">
              <c16:uniqueId val="{00000002-41F2-4007-B324-9ABC6755C180}"/>
            </c:ext>
          </c:extLst>
        </c:ser>
        <c:dLbls>
          <c:showLegendKey val="0"/>
          <c:showVal val="0"/>
          <c:showCatName val="0"/>
          <c:showSerName val="0"/>
          <c:showPercent val="0"/>
          <c:showBubbleSize val="0"/>
        </c:dLbls>
        <c:marker val="1"/>
        <c:smooth val="0"/>
        <c:axId val="365263104"/>
        <c:axId val="365294336"/>
      </c:lineChart>
      <c:catAx>
        <c:axId val="365263104"/>
        <c:scaling>
          <c:orientation val="minMax"/>
        </c:scaling>
        <c:delete val="0"/>
        <c:axPos val="b"/>
        <c:majorGridlines>
          <c:spPr>
            <a:ln w="6350">
              <a:solidFill>
                <a:sysClr val="window" lastClr="FFFFFF"/>
              </a:solidFill>
            </a:ln>
          </c:spPr>
        </c:majorGridlines>
        <c:numFmt formatCode="General" sourceLinked="1"/>
        <c:majorTickMark val="out"/>
        <c:minorTickMark val="none"/>
        <c:tickLblPos val="low"/>
        <c:spPr>
          <a:ln w="19050">
            <a:solidFill>
              <a:sysClr val="window" lastClr="FFFFFF"/>
            </a:solidFill>
          </a:ln>
        </c:spPr>
        <c:crossAx val="365294336"/>
        <c:crosses val="autoZero"/>
        <c:auto val="1"/>
        <c:lblAlgn val="ctr"/>
        <c:lblOffset val="100"/>
        <c:noMultiLvlLbl val="0"/>
      </c:catAx>
      <c:valAx>
        <c:axId val="365294336"/>
        <c:scaling>
          <c:orientation val="minMax"/>
        </c:scaling>
        <c:delete val="0"/>
        <c:axPos val="l"/>
        <c:majorGridlines>
          <c:spPr>
            <a:ln w="6350">
              <a:solidFill>
                <a:sysClr val="window" lastClr="FFFFFF"/>
              </a:solidFill>
            </a:ln>
          </c:spPr>
        </c:majorGridlines>
        <c:title>
          <c:tx>
            <c:rich>
              <a:bodyPr rot="-5400000" vert="horz"/>
              <a:lstStyle/>
              <a:p>
                <a:pPr algn="ctr" rtl="0">
                  <a:defRPr b="0"/>
                </a:pPr>
                <a:r>
                  <a:rPr lang="en-US" b="0"/>
                  <a:t>Milliarden Euro</a:t>
                </a:r>
              </a:p>
            </c:rich>
          </c:tx>
          <c:layout>
            <c:manualLayout>
              <c:xMode val="edge"/>
              <c:yMode val="edge"/>
              <c:x val="1.4944725101692691E-2"/>
              <c:y val="0.37578905135265539"/>
            </c:manualLayout>
          </c:layout>
          <c:overlay val="0"/>
        </c:title>
        <c:numFmt formatCode="#,##0" sourceLinked="0"/>
        <c:majorTickMark val="out"/>
        <c:minorTickMark val="none"/>
        <c:tickLblPos val="nextTo"/>
        <c:spPr>
          <a:ln w="19050">
            <a:solidFill>
              <a:sysClr val="window" lastClr="FFFFFF"/>
            </a:solidFill>
          </a:ln>
        </c:spPr>
        <c:crossAx val="365263104"/>
        <c:crosses val="autoZero"/>
        <c:crossBetween val="between"/>
        <c:dispUnits>
          <c:builtInUnit val="thousands"/>
        </c:dispUnits>
      </c:valAx>
      <c:spPr>
        <a:noFill/>
      </c:spPr>
    </c:plotArea>
    <c:legend>
      <c:legendPos val="r"/>
      <c:layout>
        <c:manualLayout>
          <c:xMode val="edge"/>
          <c:yMode val="edge"/>
          <c:x val="0.79138077162943465"/>
          <c:y val="0.20458391812865498"/>
          <c:w val="0.20328589200874023"/>
          <c:h val="0.56855116959064322"/>
        </c:manualLayout>
      </c:layout>
      <c:overlay val="0"/>
    </c:legend>
    <c:plotVisOnly val="1"/>
    <c:dispBlanksAs val="gap"/>
    <c:showDLblsOverMax val="0"/>
  </c:chart>
  <c:spPr>
    <a:solidFill>
      <a:srgbClr val="E3E4EA"/>
    </a:solidFill>
    <a:ln w="19050">
      <a:solidFill>
        <a:sysClr val="window" lastClr="FFFFFF"/>
      </a:solidFill>
    </a:ln>
  </c:spPr>
  <c:txPr>
    <a:bodyPr/>
    <a:lstStyle/>
    <a:p>
      <a:pPr>
        <a:defRPr sz="1000">
          <a:latin typeface="+mn-lt"/>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'Start - Ergebnisse'!$AJ$4</c:f>
          <c:strCache>
            <c:ptCount val="1"/>
            <c:pt idx="0">
              <c:v>Staatlich regulierte Energiepreisbestandteile im Jahr 2022</c:v>
            </c:pt>
          </c:strCache>
        </c:strRef>
      </c:tx>
      <c:layout>
        <c:manualLayout>
          <c:xMode val="edge"/>
          <c:yMode val="edge"/>
          <c:x val="0.16714896758167982"/>
          <c:y val="2.231690473317533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Arial" panose="020B0604020202020204" pitchFamily="34" charset="0"/>
            </a:defRPr>
          </a:pPr>
          <a:endParaRPr lang="de-DE"/>
        </a:p>
      </c:txPr>
    </c:title>
    <c:autoTitleDeleted val="0"/>
    <c:plotArea>
      <c:layout>
        <c:manualLayout>
          <c:layoutTarget val="inner"/>
          <c:xMode val="edge"/>
          <c:yMode val="edge"/>
          <c:x val="7.5253031399983336E-2"/>
          <c:y val="0.10925561196774693"/>
          <c:w val="0.65573090953185176"/>
          <c:h val="0.39764323149803199"/>
        </c:manualLayout>
      </c:layout>
      <c:barChart>
        <c:barDir val="col"/>
        <c:grouping val="stacked"/>
        <c:varyColors val="0"/>
        <c:ser>
          <c:idx val="0"/>
          <c:order val="1"/>
          <c:tx>
            <c:strRef>
              <c:f>'Graphikdaten 2'!$D$9</c:f>
              <c:strCache>
                <c:ptCount val="1"/>
                <c:pt idx="0">
                  <c:v>Stromsteuer</c:v>
                </c:pt>
              </c:strCache>
            </c:strRef>
          </c:tx>
          <c:spPr>
            <a:solidFill>
              <a:schemeClr val="accent3">
                <a:lumMod val="50000"/>
              </a:schemeClr>
            </a:solidFill>
            <a:ln>
              <a:noFill/>
            </a:ln>
            <a:effectLst/>
          </c:spPr>
          <c:invertIfNegative val="0"/>
          <c:dPt>
            <c:idx val="0"/>
            <c:invertIfNegative val="0"/>
            <c:bubble3D val="0"/>
            <c:spPr>
              <a:solidFill>
                <a:srgbClr val="18658C"/>
              </a:solidFill>
              <a:ln>
                <a:noFill/>
              </a:ln>
              <a:effectLst/>
            </c:spPr>
            <c:extLst>
              <c:ext xmlns:c16="http://schemas.microsoft.com/office/drawing/2014/chart" uri="{C3380CC4-5D6E-409C-BE32-E72D297353CC}">
                <c16:uniqueId val="{00000001-3370-4941-9577-87B5432CCA53}"/>
              </c:ext>
            </c:extLst>
          </c:dPt>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2'!$D$10:$D$21</c15:sqref>
                  </c15:fullRef>
                </c:ext>
              </c:extLst>
              <c:f>('Graphikdaten 2'!$D$12,'Graphikdaten 2'!$D$15:$D$17,'Graphikdaten 2'!$D$19:$D$21)</c:f>
              <c:numCache>
                <c:formatCode>0.0</c:formatCode>
                <c:ptCount val="7"/>
                <c:pt idx="0">
                  <c:v>2.0499999999999998</c:v>
                </c:pt>
                <c:pt idx="1">
                  <c:v>2.0499999999999998</c:v>
                </c:pt>
                <c:pt idx="4">
                  <c:v>2.0499999999999998</c:v>
                </c:pt>
              </c:numCache>
            </c:numRef>
          </c:val>
          <c:extLst>
            <c:ext xmlns:c16="http://schemas.microsoft.com/office/drawing/2014/chart" uri="{C3380CC4-5D6E-409C-BE32-E72D297353CC}">
              <c16:uniqueId val="{00000002-3370-4941-9577-87B5432CCA53}"/>
            </c:ext>
          </c:extLst>
        </c:ser>
        <c:ser>
          <c:idx val="6"/>
          <c:order val="2"/>
          <c:tx>
            <c:strRef>
              <c:f>'Graphikdaten 2'!$N$9</c:f>
              <c:strCache>
                <c:ptCount val="1"/>
                <c:pt idx="0">
                  <c:v>Energiesteuer</c:v>
                </c:pt>
              </c:strCache>
            </c:strRef>
          </c:tx>
          <c:spPr>
            <a:solidFill>
              <a:srgbClr val="1E83B3"/>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2'!$N$10:$N$21</c15:sqref>
                  </c15:fullRef>
                </c:ext>
              </c:extLst>
              <c:f>('Graphikdaten 2'!$N$12,'Graphikdaten 2'!$N$15:$N$17,'Graphikdaten 2'!$N$19:$N$21)</c:f>
              <c:numCache>
                <c:formatCode>0.0</c:formatCode>
                <c:ptCount val="7"/>
                <c:pt idx="2">
                  <c:v>7.3427706333865901</c:v>
                </c:pt>
                <c:pt idx="3">
                  <c:v>4.757103666808467</c:v>
                </c:pt>
                <c:pt idx="5">
                  <c:v>0.60948581560283699</c:v>
                </c:pt>
                <c:pt idx="6">
                  <c:v>0.61400348285594186</c:v>
                </c:pt>
              </c:numCache>
            </c:numRef>
          </c:val>
          <c:extLst>
            <c:ext xmlns:c16="http://schemas.microsoft.com/office/drawing/2014/chart" uri="{C3380CC4-5D6E-409C-BE32-E72D297353CC}">
              <c16:uniqueId val="{00000003-3370-4941-9577-87B5432CCA53}"/>
            </c:ext>
          </c:extLst>
        </c:ser>
        <c:ser>
          <c:idx val="8"/>
          <c:order val="4"/>
          <c:tx>
            <c:strRef>
              <c:f>'Graphikdaten 2'!$P$9</c:f>
              <c:strCache>
                <c:ptCount val="1"/>
                <c:pt idx="0">
                  <c:v>Netzentgelte</c:v>
                </c:pt>
              </c:strCache>
            </c:strRef>
          </c:tx>
          <c:spPr>
            <a:solidFill>
              <a:srgbClr val="A2D5EF"/>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2'!$P$10:$P$21</c15:sqref>
                  </c15:fullRef>
                </c:ext>
              </c:extLst>
              <c:f>('Graphikdaten 2'!$P$12,'Graphikdaten 2'!$P$15:$P$17,'Graphikdaten 2'!$P$19:$P$21)</c:f>
              <c:numCache>
                <c:formatCode>0.0</c:formatCode>
                <c:ptCount val="7"/>
                <c:pt idx="0">
                  <c:v>7.8</c:v>
                </c:pt>
                <c:pt idx="1">
                  <c:v>3.9</c:v>
                </c:pt>
                <c:pt idx="4">
                  <c:v>3.9</c:v>
                </c:pt>
                <c:pt idx="5">
                  <c:v>1.56</c:v>
                </c:pt>
              </c:numCache>
            </c:numRef>
          </c:val>
          <c:extLst>
            <c:ext xmlns:c16="http://schemas.microsoft.com/office/drawing/2014/chart" uri="{C3380CC4-5D6E-409C-BE32-E72D297353CC}">
              <c16:uniqueId val="{00000004-3370-4941-9577-87B5432CCA53}"/>
            </c:ext>
          </c:extLst>
        </c:ser>
        <c:ser>
          <c:idx val="9"/>
          <c:order val="5"/>
          <c:tx>
            <c:strRef>
              <c:f>'Graphikdaten 2'!$Q$9</c:f>
              <c:strCache>
                <c:ptCount val="1"/>
                <c:pt idx="0">
                  <c:v>Konzessions-
abgabe</c:v>
                </c:pt>
              </c:strCache>
            </c:strRef>
          </c:tx>
          <c:spPr>
            <a:solidFill>
              <a:srgbClr val="CBE9F6"/>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2'!$Q$10:$Q$21</c15:sqref>
                  </c15:fullRef>
                </c:ext>
              </c:extLst>
              <c:f>('Graphikdaten 2'!$Q$12,'Graphikdaten 2'!$Q$15:$Q$17,'Graphikdaten 2'!$Q$19:$Q$21)</c:f>
              <c:numCache>
                <c:formatCode>0.0</c:formatCode>
                <c:ptCount val="7"/>
                <c:pt idx="0">
                  <c:v>1.7</c:v>
                </c:pt>
                <c:pt idx="1">
                  <c:v>0.51</c:v>
                </c:pt>
                <c:pt idx="4">
                  <c:v>0.51</c:v>
                </c:pt>
                <c:pt idx="5">
                  <c:v>0.03</c:v>
                </c:pt>
              </c:numCache>
            </c:numRef>
          </c:val>
          <c:extLst>
            <c:ext xmlns:c16="http://schemas.microsoft.com/office/drawing/2014/chart" uri="{C3380CC4-5D6E-409C-BE32-E72D297353CC}">
              <c16:uniqueId val="{00000005-3370-4941-9577-87B5432CCA53}"/>
            </c:ext>
          </c:extLst>
        </c:ser>
        <c:ser>
          <c:idx val="3"/>
          <c:order val="6"/>
          <c:tx>
            <c:strRef>
              <c:f>'Graphikdaten 2'!$I$9</c:f>
              <c:strCache>
                <c:ptCount val="1"/>
                <c:pt idx="0">
                  <c:v>CO2-Zertifikate EU-ETS 
(≙ 51 €/EUA)</c:v>
                </c:pt>
              </c:strCache>
            </c:strRef>
          </c:tx>
          <c:spPr>
            <a:solidFill>
              <a:schemeClr val="tx1"/>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2'!$I$10:$I$21</c15:sqref>
                  </c15:fullRef>
                </c:ext>
              </c:extLst>
              <c:f>('Graphikdaten 2'!$I$12,'Graphikdaten 2'!$I$15:$I$17,'Graphikdaten 2'!$I$19:$I$21)</c:f>
              <c:numCache>
                <c:formatCode>0.0</c:formatCode>
                <c:ptCount val="7"/>
                <c:pt idx="0">
                  <c:v>2.0451000000000001</c:v>
                </c:pt>
                <c:pt idx="1">
                  <c:v>2.0451000000000001</c:v>
                </c:pt>
                <c:pt idx="4">
                  <c:v>2.0451000000000001</c:v>
                </c:pt>
              </c:numCache>
            </c:numRef>
          </c:val>
          <c:extLst xmlns:c15="http://schemas.microsoft.com/office/drawing/2012/chart">
            <c:ext xmlns:c16="http://schemas.microsoft.com/office/drawing/2014/chart" uri="{C3380CC4-5D6E-409C-BE32-E72D297353CC}">
              <c16:uniqueId val="{00000006-3370-4941-9577-87B5432CCA53}"/>
            </c:ext>
          </c:extLst>
        </c:ser>
        <c:ser>
          <c:idx val="15"/>
          <c:order val="7"/>
          <c:tx>
            <c:strRef>
              <c:f>'Graphikdaten 2'!$J$9</c:f>
              <c:strCache>
                <c:ptCount val="1"/>
                <c:pt idx="0">
                  <c:v>CO2-Zertifikate BEHG 
(≙ 30 €/t_CO2)</c:v>
                </c:pt>
              </c:strCache>
            </c:strRef>
          </c:tx>
          <c:spPr>
            <a:solidFill>
              <a:sysClr val="windowText" lastClr="000000"/>
            </a:solidFill>
            <a:ln w="25400">
              <a:noFill/>
            </a:ln>
            <a:effectLst/>
          </c:spPr>
          <c:invertIfNegative val="0"/>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2'!$J$10:$J$21</c15:sqref>
                  </c15:fullRef>
                </c:ext>
              </c:extLst>
              <c:f>('Graphikdaten 2'!$J$12,'Graphikdaten 2'!$J$15:$J$17,'Graphikdaten 2'!$J$19:$J$21)</c:f>
              <c:numCache>
                <c:formatCode>0.0</c:formatCode>
                <c:ptCount val="7"/>
                <c:pt idx="2">
                  <c:v>0.78953128070453527</c:v>
                </c:pt>
                <c:pt idx="3">
                  <c:v>0.7994865292550698</c:v>
                </c:pt>
                <c:pt idx="5">
                  <c:v>0.60410826996635003</c:v>
                </c:pt>
                <c:pt idx="6">
                  <c:v>0.79941600000000002</c:v>
                </c:pt>
              </c:numCache>
            </c:numRef>
          </c:val>
          <c:extLst>
            <c:ext xmlns:c16="http://schemas.microsoft.com/office/drawing/2014/chart" uri="{C3380CC4-5D6E-409C-BE32-E72D297353CC}">
              <c16:uniqueId val="{00000007-3370-4941-9577-87B5432CCA53}"/>
            </c:ext>
          </c:extLst>
        </c:ser>
        <c:ser>
          <c:idx val="12"/>
          <c:order val="11"/>
          <c:tx>
            <c:strRef>
              <c:f>'Graphikdaten 2'!$R$9</c:f>
              <c:strCache>
                <c:ptCount val="1"/>
                <c:pt idx="0">
                  <c:v>Sonstige Umlagen</c:v>
                </c:pt>
              </c:strCache>
            </c:strRef>
          </c:tx>
          <c:spPr>
            <a:solidFill>
              <a:schemeClr val="accent1"/>
            </a:solidFill>
            <a:ln w="25400">
              <a:noFill/>
            </a:ln>
            <a:effectLst/>
          </c:spPr>
          <c:invertIfNegative val="0"/>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2'!$R$10:$R$21</c15:sqref>
                  </c15:fullRef>
                </c:ext>
              </c:extLst>
              <c:f>('Graphikdaten 2'!$R$12,'Graphikdaten 2'!$R$15:$R$17,'Graphikdaten 2'!$R$19:$R$21)</c:f>
              <c:numCache>
                <c:formatCode>0.0</c:formatCode>
                <c:ptCount val="7"/>
                <c:pt idx="0">
                  <c:v>0.82192812073396038</c:v>
                </c:pt>
                <c:pt idx="1">
                  <c:v>0.82192812073396038</c:v>
                </c:pt>
                <c:pt idx="2">
                  <c:v>0</c:v>
                </c:pt>
                <c:pt idx="3">
                  <c:v>0</c:v>
                </c:pt>
                <c:pt idx="4">
                  <c:v>0.82192812073396038</c:v>
                </c:pt>
                <c:pt idx="5">
                  <c:v>0</c:v>
                </c:pt>
                <c:pt idx="6">
                  <c:v>0</c:v>
                </c:pt>
              </c:numCache>
            </c:numRef>
          </c:val>
          <c:extLst>
            <c:ext xmlns:c16="http://schemas.microsoft.com/office/drawing/2014/chart" uri="{C3380CC4-5D6E-409C-BE32-E72D297353CC}">
              <c16:uniqueId val="{00000008-3370-4941-9577-87B5432CCA53}"/>
            </c:ext>
          </c:extLst>
        </c:ser>
        <c:ser>
          <c:idx val="1"/>
          <c:order val="13"/>
          <c:tx>
            <c:strRef>
              <c:f>'Graphikdaten 2'!$F$9</c:f>
              <c:strCache>
                <c:ptCount val="1"/>
                <c:pt idx="0">
                  <c:v>EEG-Umlage</c:v>
                </c:pt>
              </c:strCache>
            </c:strRef>
          </c:tx>
          <c:spPr>
            <a:solidFill>
              <a:srgbClr val="D05094"/>
            </a:solidFill>
            <a:ln>
              <a:noFill/>
            </a:ln>
            <a:effectLst/>
          </c:spPr>
          <c:invertIfNegative val="0"/>
          <c:cat>
            <c:multiLvlStrRef>
              <c:extLst>
                <c:ext xmlns:c15="http://schemas.microsoft.com/office/drawing/2012/chart" uri="{02D57815-91ED-43cb-92C2-25804820EDAC}">
                  <c15:fullRef>
                    <c15:sqref>'Graphikdaten 2'!$A$10:$B$21</c15:sqref>
                  </c15:fullRef>
                </c:ext>
              </c:extLst>
              <c:f>('Graphikdaten 2'!$A$12:$B$12,'Graphikdaten 2'!$A$15:$B$17,'Graphikdaten 2'!$A$19:$B$21)</c:f>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2'!$F$10:$F$21</c15:sqref>
                  </c15:fullRef>
                </c:ext>
              </c:extLst>
              <c:f>('Graphikdaten 2'!$F$12,'Graphikdaten 2'!$F$15:$F$17,'Graphikdaten 2'!$F$19:$F$21)</c:f>
              <c:numCache>
                <c:formatCode>0.0</c:formatCode>
                <c:ptCount val="7"/>
                <c:pt idx="0">
                  <c:v>3.7231670924852511</c:v>
                </c:pt>
                <c:pt idx="1">
                  <c:v>3.7231670924852511</c:v>
                </c:pt>
                <c:pt idx="4">
                  <c:v>3.7231670924852511</c:v>
                </c:pt>
              </c:numCache>
            </c:numRef>
          </c:val>
          <c:extLst>
            <c:ext xmlns:c16="http://schemas.microsoft.com/office/drawing/2014/chart" uri="{C3380CC4-5D6E-409C-BE32-E72D297353CC}">
              <c16:uniqueId val="{00000009-3370-4941-9577-87B5432CCA53}"/>
            </c:ext>
          </c:extLst>
        </c:ser>
        <c:ser>
          <c:idx val="14"/>
          <c:order val="14"/>
          <c:tx>
            <c:strRef>
              <c:f>'Graphikdaten 2'!$S$9</c:f>
              <c:strCache>
                <c:ptCount val="1"/>
                <c:pt idx="0">
                  <c:v>Mehrwertsteuer</c:v>
                </c:pt>
              </c:strCache>
            </c:strRef>
          </c:tx>
          <c:spPr>
            <a:solidFill>
              <a:srgbClr val="ECB9D4"/>
            </a:solidFill>
            <a:ln w="25400">
              <a:noFill/>
            </a:ln>
            <a:effectLst/>
          </c:spPr>
          <c:invertIfNegative val="0"/>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2'!$S$10:$S$21</c15:sqref>
                  </c15:fullRef>
                </c:ext>
              </c:extLst>
              <c:f>('Graphikdaten 2'!$S$12,'Graphikdaten 2'!$S$15:$S$17,'Graphikdaten 2'!$S$19:$S$21)</c:f>
              <c:numCache>
                <c:formatCode>0.0</c:formatCode>
                <c:ptCount val="7"/>
                <c:pt idx="0">
                  <c:v>3.4948970905116497</c:v>
                </c:pt>
                <c:pt idx="1">
                  <c:v>2.5277970905116502</c:v>
                </c:pt>
                <c:pt idx="2">
                  <c:v>1.5451373636773136</c:v>
                </c:pt>
                <c:pt idx="3">
                  <c:v>1.055752137252072</c:v>
                </c:pt>
                <c:pt idx="4">
                  <c:v>2.5277970905116502</c:v>
                </c:pt>
                <c:pt idx="5">
                  <c:v>0.53268287625814548</c:v>
                </c:pt>
                <c:pt idx="6">
                  <c:v>0.26854970174262893</c:v>
                </c:pt>
              </c:numCache>
            </c:numRef>
          </c:val>
          <c:extLst>
            <c:ext xmlns:c16="http://schemas.microsoft.com/office/drawing/2014/chart" uri="{C3380CC4-5D6E-409C-BE32-E72D297353CC}">
              <c16:uniqueId val="{0000000A-3370-4941-9577-87B5432CCA53}"/>
            </c:ext>
          </c:extLst>
        </c:ser>
        <c:dLbls>
          <c:showLegendKey val="0"/>
          <c:showVal val="0"/>
          <c:showCatName val="0"/>
          <c:showSerName val="0"/>
          <c:showPercent val="0"/>
          <c:showBubbleSize val="0"/>
        </c:dLbls>
        <c:gapWidth val="150"/>
        <c:overlap val="100"/>
        <c:axId val="415006976"/>
        <c:axId val="415007368"/>
        <c:extLst>
          <c:ext xmlns:c15="http://schemas.microsoft.com/office/drawing/2012/chart" uri="{02D57815-91ED-43cb-92C2-25804820EDAC}">
            <c15:filteredBarSeries>
              <c15:ser>
                <c:idx val="10"/>
                <c:order val="0"/>
                <c:tx>
                  <c:strRef>
                    <c:extLst>
                      <c:ext uri="{02D57815-91ED-43cb-92C2-25804820EDAC}">
                        <c15:formulaRef>
                          <c15:sqref>'Graphikdaten 2'!$C$9</c15:sqref>
                        </c15:formulaRef>
                      </c:ext>
                    </c:extLst>
                    <c:strCache>
                      <c:ptCount val="1"/>
                      <c:pt idx="0">
                        <c:v>Beschaffung,
Vertrieb und Marge (ohne EUA-Kosten)</c:v>
                      </c:pt>
                    </c:strCache>
                  </c:strRef>
                </c:tx>
                <c:spPr>
                  <a:solidFill>
                    <a:schemeClr val="accent3"/>
                  </a:solidFill>
                  <a:ln w="25400">
                    <a:noFill/>
                  </a:ln>
                  <a:effectLst/>
                </c:spPr>
                <c:invertIfNegative val="0"/>
                <c:val>
                  <c:numRef>
                    <c:extLst>
                      <c:ext uri="{02D57815-91ED-43cb-92C2-25804820EDAC}">
                        <c15:fullRef>
                          <c15:sqref>'Graphikdaten 2'!$C$10:$C$21</c15:sqref>
                        </c15:fullRef>
                        <c15:formulaRef>
                          <c15:sqref>('Graphikdaten 2'!$C$12,'Graphikdaten 2'!$C$15:$C$17,'Graphikdaten 2'!$C$19:$C$21)</c15:sqref>
                        </c15:formulaRef>
                      </c:ext>
                    </c:extLst>
                    <c:numCache>
                      <c:formatCode>0.0</c:formatCode>
                      <c:ptCount val="7"/>
                      <c:pt idx="0">
                        <c:v>8.7949000000000002</c:v>
                      </c:pt>
                      <c:pt idx="1">
                        <c:v>8.3047387094097722</c:v>
                      </c:pt>
                      <c:pt idx="2">
                        <c:v>6.1002488313134098</c:v>
                      </c:pt>
                      <c:pt idx="3">
                        <c:v>5.7733143548220589</c:v>
                      </c:pt>
                      <c:pt idx="4">
                        <c:v>4.8099999999999996</c:v>
                      </c:pt>
                      <c:pt idx="5">
                        <c:v>2.1806368320778731</c:v>
                      </c:pt>
                      <c:pt idx="6">
                        <c:v>4.7610524427761032</c:v>
                      </c:pt>
                    </c:numCache>
                  </c:numRef>
                </c:val>
                <c:extLst>
                  <c:ext xmlns:c16="http://schemas.microsoft.com/office/drawing/2014/chart" uri="{C3380CC4-5D6E-409C-BE32-E72D297353CC}">
                    <c16:uniqueId val="{0000000C-3370-4941-9577-87B5432CCA53}"/>
                  </c:ext>
                </c:extLst>
              </c15:ser>
            </c15:filteredBarSeries>
            <c15:filteredBarSeries>
              <c15:ser>
                <c:idx val="7"/>
                <c:order val="3"/>
                <c:tx>
                  <c:strRef>
                    <c:extLst xmlns:c15="http://schemas.microsoft.com/office/drawing/2012/chart">
                      <c:ext xmlns:c15="http://schemas.microsoft.com/office/drawing/2012/chart" uri="{02D57815-91ED-43cb-92C2-25804820EDAC}">
                        <c15:formulaRef>
                          <c15:sqref>'Graphikdaten 2'!$O$9</c15:sqref>
                        </c15:formulaRef>
                      </c:ext>
                    </c:extLst>
                    <c:strCache>
                      <c:ptCount val="1"/>
                      <c:pt idx="0">
                        <c:v>Energiesteuer-
Erhöhung</c:v>
                      </c:pt>
                    </c:strCache>
                  </c:strRef>
                </c:tx>
                <c:spPr>
                  <a:solidFill>
                    <a:schemeClr val="accent2">
                      <a:lumMod val="60000"/>
                      <a:lumOff val="40000"/>
                    </a:schemeClr>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2'!$O$10:$O$21</c15:sqref>
                        </c15:fullRef>
                        <c15:formulaRef>
                          <c15:sqref>('Graphikdaten 2'!$O$12,'Graphikdaten 2'!$O$15:$O$17,'Graphikdaten 2'!$O$19:$O$21)</c15:sqref>
                        </c15:formulaRef>
                      </c:ext>
                    </c:extLst>
                    <c:numCache>
                      <c:formatCode>0.0</c:formatCode>
                      <c:ptCount val="7"/>
                    </c:numCache>
                  </c:numRef>
                </c:val>
                <c:extLst xmlns:c15="http://schemas.microsoft.com/office/drawing/2012/chart">
                  <c:ext xmlns:c16="http://schemas.microsoft.com/office/drawing/2014/chart" uri="{C3380CC4-5D6E-409C-BE32-E72D297353CC}">
                    <c16:uniqueId val="{0000000D-3370-4941-9577-87B5432CCA53}"/>
                  </c:ext>
                </c:extLst>
              </c15:ser>
            </c15:filteredBarSeries>
            <c15:filteredBarSeries>
              <c15:ser>
                <c:idx val="2"/>
                <c:order val="8"/>
                <c:tx>
                  <c:strRef>
                    <c:extLst xmlns:c15="http://schemas.microsoft.com/office/drawing/2012/chart">
                      <c:ext xmlns:c15="http://schemas.microsoft.com/office/drawing/2012/chart" uri="{02D57815-91ED-43cb-92C2-25804820EDAC}">
                        <c15:formulaRef>
                          <c15:sqref>'Graphikdaten 2'!$H$9</c15:sqref>
                        </c15:formulaRef>
                      </c:ext>
                    </c:extLst>
                    <c:strCache>
                      <c:ptCount val="1"/>
                      <c:pt idx="0">
                        <c:v>KWK-Umlage</c:v>
                      </c:pt>
                    </c:strCache>
                  </c:strRef>
                </c:tx>
                <c:spPr>
                  <a:solidFill>
                    <a:schemeClr val="accent5">
                      <a:lumMod val="75000"/>
                    </a:schemeClr>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2'!$H$10:$H$21</c15:sqref>
                        </c15:fullRef>
                        <c15:formulaRef>
                          <c15:sqref>('Graphikdaten 2'!$H$12,'Graphikdaten 2'!$H$15:$H$17,'Graphikdaten 2'!$H$19:$H$21)</c15:sqref>
                        </c15:formulaRef>
                      </c:ext>
                    </c:extLst>
                    <c:numCache>
                      <c:formatCode>0.0</c:formatCode>
                      <c:ptCount val="7"/>
                      <c:pt idx="0">
                        <c:v>0.254</c:v>
                      </c:pt>
                      <c:pt idx="1">
                        <c:v>0.254</c:v>
                      </c:pt>
                      <c:pt idx="4">
                        <c:v>0.254</c:v>
                      </c:pt>
                    </c:numCache>
                  </c:numRef>
                </c:val>
                <c:extLst xmlns:c15="http://schemas.microsoft.com/office/drawing/2012/chart">
                  <c:ext xmlns:c16="http://schemas.microsoft.com/office/drawing/2014/chart" uri="{C3380CC4-5D6E-409C-BE32-E72D297353CC}">
                    <c16:uniqueId val="{0000000E-3370-4941-9577-87B5432CCA53}"/>
                  </c:ext>
                </c:extLst>
              </c15:ser>
            </c15:filteredBarSeries>
            <c15:filteredBarSeries>
              <c15:ser>
                <c:idx val="4"/>
                <c:order val="9"/>
                <c:tx>
                  <c:strRef>
                    <c:extLst xmlns:c15="http://schemas.microsoft.com/office/drawing/2012/chart">
                      <c:ext xmlns:c15="http://schemas.microsoft.com/office/drawing/2012/chart" uri="{02D57815-91ED-43cb-92C2-25804820EDAC}">
                        <c15:formulaRef>
                          <c15:sqref>'Graphikdaten 2'!$K$9</c15:sqref>
                        </c15:formulaRef>
                      </c:ext>
                    </c:extLst>
                    <c:strCache>
                      <c:ptCount val="1"/>
                      <c:pt idx="0">
                        <c:v>§19.2-StromNEV-Umlage</c:v>
                      </c:pt>
                    </c:strCache>
                  </c:strRef>
                </c:tx>
                <c:spPr>
                  <a:solidFill>
                    <a:schemeClr val="accent5"/>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2'!$K$10:$K$21</c15:sqref>
                        </c15:fullRef>
                        <c15:formulaRef>
                          <c15:sqref>('Graphikdaten 2'!$K$12,'Graphikdaten 2'!$K$15:$K$17,'Graphikdaten 2'!$K$19:$K$21)</c15:sqref>
                        </c15:formulaRef>
                      </c:ext>
                    </c:extLst>
                    <c:numCache>
                      <c:formatCode>0.0</c:formatCode>
                      <c:ptCount val="7"/>
                      <c:pt idx="0">
                        <c:v>0.40471806950975447</c:v>
                      </c:pt>
                      <c:pt idx="1">
                        <c:v>0.40471806950975447</c:v>
                      </c:pt>
                      <c:pt idx="4">
                        <c:v>0.40471806950975447</c:v>
                      </c:pt>
                    </c:numCache>
                  </c:numRef>
                </c:val>
                <c:extLst xmlns:c15="http://schemas.microsoft.com/office/drawing/2012/chart">
                  <c:ext xmlns:c16="http://schemas.microsoft.com/office/drawing/2014/chart" uri="{C3380CC4-5D6E-409C-BE32-E72D297353CC}">
                    <c16:uniqueId val="{0000000F-3370-4941-9577-87B5432CCA53}"/>
                  </c:ext>
                </c:extLst>
              </c15:ser>
            </c15:filteredBarSeries>
            <c15:filteredBarSeries>
              <c15:ser>
                <c:idx val="5"/>
                <c:order val="10"/>
                <c:tx>
                  <c:strRef>
                    <c:extLst xmlns:c15="http://schemas.microsoft.com/office/drawing/2012/chart">
                      <c:ext xmlns:c15="http://schemas.microsoft.com/office/drawing/2012/chart" uri="{02D57815-91ED-43cb-92C2-25804820EDAC}">
                        <c15:formulaRef>
                          <c15:sqref>'Graphikdaten 2'!$M$9</c15:sqref>
                        </c15:formulaRef>
                      </c:ext>
                    </c:extLst>
                    <c:strCache>
                      <c:ptCount val="1"/>
                      <c:pt idx="0">
                        <c:v>AblaV-Umlage</c:v>
                      </c:pt>
                    </c:strCache>
                  </c:strRef>
                </c:tx>
                <c:spPr>
                  <a:solidFill>
                    <a:schemeClr val="accent6"/>
                  </a:solidFill>
                  <a:ln>
                    <a:noFill/>
                  </a:ln>
                  <a:effectLst/>
                </c:spPr>
                <c:invertIfNegative val="0"/>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2'!$M$10:$M$21</c15:sqref>
                        </c15:fullRef>
                        <c15:formulaRef>
                          <c15:sqref>('Graphikdaten 2'!$M$12,'Graphikdaten 2'!$M$15:$M$17,'Graphikdaten 2'!$M$19:$M$21)</c15:sqref>
                        </c15:formulaRef>
                      </c:ext>
                    </c:extLst>
                    <c:numCache>
                      <c:formatCode>0.0</c:formatCode>
                      <c:ptCount val="7"/>
                      <c:pt idx="0">
                        <c:v>8.0612580505828625E-3</c:v>
                      </c:pt>
                      <c:pt idx="1">
                        <c:v>8.0612580505828625E-3</c:v>
                      </c:pt>
                      <c:pt idx="4">
                        <c:v>8.0612580505828625E-3</c:v>
                      </c:pt>
                    </c:numCache>
                  </c:numRef>
                </c:val>
                <c:extLst xmlns:c15="http://schemas.microsoft.com/office/drawing/2012/chart">
                  <c:ext xmlns:c16="http://schemas.microsoft.com/office/drawing/2014/chart" uri="{C3380CC4-5D6E-409C-BE32-E72D297353CC}">
                    <c16:uniqueId val="{00000010-3370-4941-9577-87B5432CCA53}"/>
                  </c:ext>
                </c:extLst>
              </c15:ser>
            </c15:filteredBarSeries>
          </c:ext>
        </c:extLst>
      </c:barChart>
      <c:lineChart>
        <c:grouping val="standard"/>
        <c:varyColors val="0"/>
        <c:ser>
          <c:idx val="16"/>
          <c:order val="16"/>
          <c:tx>
            <c:strRef>
              <c:f>'Graphikdaten 2'!$U$9</c:f>
              <c:strCache>
                <c:ptCount val="1"/>
                <c:pt idx="0">
                  <c:v>Summe ohne Beschaffung etc. mit MWSt.</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Strom Haushalte</c:v>
              </c:pt>
              <c:pt idx="1">
                <c:v>Verkehr E-Pkw, PtX</c:v>
              </c:pt>
              <c:pt idx="2">
                <c:v>Verkehr Benzin</c:v>
              </c:pt>
              <c:pt idx="3">
                <c:v>Verkehr Diesel</c:v>
              </c:pt>
              <c:pt idx="4">
                <c:v>Wärme Wärmepumpe, PtX</c:v>
              </c:pt>
              <c:pt idx="5">
                <c:v>Wärme Erdgas</c:v>
              </c:pt>
              <c:pt idx="6">
                <c:v>Wärme Leichtes Heizöl</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'Graphikdaten 2'!$U$10:$U$21</c15:sqref>
                  </c15:fullRef>
                </c:ext>
              </c:extLst>
              <c:f>('Graphikdaten 2'!$U$12,'Graphikdaten 2'!$U$15:$U$17,'Graphikdaten 2'!$U$19:$U$21)</c:f>
              <c:numCache>
                <c:formatCode>0.00</c:formatCode>
                <c:ptCount val="7"/>
                <c:pt idx="0">
                  <c:v>21.889092303730859</c:v>
                </c:pt>
                <c:pt idx="1">
                  <c:v>15.831992303730861</c:v>
                </c:pt>
                <c:pt idx="2">
                  <c:v>9.677439277768439</c:v>
                </c:pt>
                <c:pt idx="3">
                  <c:v>6.6123423333156088</c:v>
                </c:pt>
                <c:pt idx="4">
                  <c:v>15.831992303730861</c:v>
                </c:pt>
                <c:pt idx="5">
                  <c:v>3.3362769618273322</c:v>
                </c:pt>
                <c:pt idx="6">
                  <c:v>1.6819691845985707</c:v>
                </c:pt>
              </c:numCache>
            </c:numRef>
          </c:val>
          <c:smooth val="0"/>
          <c:extLst>
            <c:ext xmlns:c16="http://schemas.microsoft.com/office/drawing/2014/chart" uri="{C3380CC4-5D6E-409C-BE32-E72D297353CC}">
              <c16:uniqueId val="{0000000B-3370-4941-9577-87B5432CCA53}"/>
            </c:ext>
          </c:extLst>
        </c:ser>
        <c:dLbls>
          <c:showLegendKey val="0"/>
          <c:showVal val="0"/>
          <c:showCatName val="0"/>
          <c:showSerName val="0"/>
          <c:showPercent val="0"/>
          <c:showBubbleSize val="0"/>
        </c:dLbls>
        <c:marker val="1"/>
        <c:smooth val="0"/>
        <c:axId val="415006976"/>
        <c:axId val="415007368"/>
        <c:extLst>
          <c:ext xmlns:c15="http://schemas.microsoft.com/office/drawing/2012/chart" uri="{02D57815-91ED-43cb-92C2-25804820EDAC}">
            <c15:filteredLineSeries>
              <c15:ser>
                <c:idx val="13"/>
                <c:order val="12"/>
                <c:tx>
                  <c:strRef>
                    <c:extLst>
                      <c:ext uri="{02D57815-91ED-43cb-92C2-25804820EDAC}">
                        <c15:formulaRef>
                          <c15:sqref>'Graphikdaten 2'!$G$9</c15:sqref>
                        </c15:formulaRef>
                      </c:ext>
                    </c:extLst>
                    <c:strCache>
                      <c:ptCount val="1"/>
                      <c:pt idx="0">
                        <c:v>EEG-Umlagen-
Senkung</c:v>
                      </c:pt>
                    </c:strCache>
                  </c:strRef>
                </c:tx>
                <c:spPr>
                  <a:ln w="25400" cap="rnd">
                    <a:noFill/>
                    <a:round/>
                  </a:ln>
                  <a:effectLst/>
                </c:spPr>
                <c:marker>
                  <c:symbol val="none"/>
                </c:marker>
                <c:val>
                  <c:numRef>
                    <c:extLst>
                      <c:ext uri="{02D57815-91ED-43cb-92C2-25804820EDAC}">
                        <c15:fullRef>
                          <c15:sqref>'Graphikdaten 2'!$G$10:$G$21</c15:sqref>
                        </c15:fullRef>
                        <c15:formulaRef>
                          <c15:sqref>('Graphikdaten 2'!$G$12,'Graphikdaten 2'!$G$15:$G$17,'Graphikdaten 2'!$G$19:$G$21)</c15:sqref>
                        </c15:formulaRef>
                      </c:ext>
                    </c:extLst>
                    <c:numCache>
                      <c:formatCode>0.0</c:formatCode>
                      <c:ptCount val="7"/>
                      <c:pt idx="1">
                        <c:v>0</c:v>
                      </c:pt>
                      <c:pt idx="4">
                        <c:v>0</c:v>
                      </c:pt>
                    </c:numCache>
                  </c:numRef>
                </c:val>
                <c:smooth val="0"/>
                <c:extLst>
                  <c:ext xmlns:c16="http://schemas.microsoft.com/office/drawing/2014/chart" uri="{C3380CC4-5D6E-409C-BE32-E72D297353CC}">
                    <c16:uniqueId val="{00000011-3370-4941-9577-87B5432CCA53}"/>
                  </c:ext>
                </c:extLst>
              </c15:ser>
            </c15:filteredLineSeries>
            <c15:filteredLineSeries>
              <c15:ser>
                <c:idx val="11"/>
                <c:order val="15"/>
                <c:tx>
                  <c:strRef>
                    <c:extLst xmlns:c15="http://schemas.microsoft.com/office/drawing/2012/chart">
                      <c:ext xmlns:c15="http://schemas.microsoft.com/office/drawing/2012/chart" uri="{02D57815-91ED-43cb-92C2-25804820EDAC}">
                        <c15:formulaRef>
                          <c15:sqref>'Graphikdaten 2'!$T$9</c15:sqref>
                        </c15:formulaRef>
                      </c:ext>
                    </c:extLst>
                    <c:strCache>
                      <c:ptCount val="1"/>
                      <c:pt idx="0">
                        <c:v>Summe ohne Beschaffung etc. ohne MWSt.</c:v>
                      </c:pt>
                    </c:strCache>
                  </c:strRef>
                </c:tx>
                <c:spPr>
                  <a:ln w="28575" cap="rnd">
                    <a:noFill/>
                    <a:round/>
                  </a:ln>
                  <a:effectLst/>
                </c:spPr>
                <c:marker>
                  <c:symbol val="none"/>
                </c:marker>
                <c:dLbls>
                  <c:numFmt formatCode="#,##0.0" sourceLinked="0"/>
                  <c:spPr>
                    <a:solidFill>
                      <a:srgbClr val="E3E4EA"/>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'Graphikdaten 2'!$A$10:$B$21</c15:sqref>
                        </c15:fullRef>
                        <c15:formulaRef>
                          <c15:sqref>('Graphikdaten 2'!$A$12:$B$12,'Graphikdaten 2'!$A$15:$B$17,'Graphikdaten 2'!$A$19:$B$21)</c15:sqref>
                        </c15:formulaRef>
                      </c:ext>
                    </c:extLst>
                    <c:multiLvlStrCache>
                      <c:ptCount val="7"/>
                      <c:lvl>
                        <c:pt idx="0">
                          <c:v>Haushalte</c:v>
                        </c:pt>
                        <c:pt idx="1">
                          <c:v>E-Pkw, PtX</c:v>
                        </c:pt>
                        <c:pt idx="2">
                          <c:v>Benzin</c:v>
                        </c:pt>
                        <c:pt idx="3">
                          <c:v>Diesel</c:v>
                        </c:pt>
                        <c:pt idx="4">
                          <c:v>Wärmepumpe, PtX</c:v>
                        </c:pt>
                        <c:pt idx="5">
                          <c:v>Erdgas</c:v>
                        </c:pt>
                        <c:pt idx="6">
                          <c:v>Leichtes Heizöl</c:v>
                        </c:pt>
                      </c:lvl>
                      <c:lvl>
                        <c:pt idx="4">
                          <c:v>Wärme</c:v>
                        </c:pt>
                      </c:lvl>
                    </c:multiLvlStrCache>
                  </c:multiLvlStrRef>
                </c:cat>
                <c:val>
                  <c:numRef>
                    <c:extLst>
                      <c:ext xmlns:c15="http://schemas.microsoft.com/office/drawing/2012/chart" uri="{02D57815-91ED-43cb-92C2-25804820EDAC}">
                        <c15:fullRef>
                          <c15:sqref>'Graphikdaten 2'!$T$10:$T$21</c15:sqref>
                        </c15:fullRef>
                        <c15:formulaRef>
                          <c15:sqref>('Graphikdaten 2'!$T$12,'Graphikdaten 2'!$T$15:$T$17,'Graphikdaten 2'!$T$19:$T$21)</c15:sqref>
                        </c15:formulaRef>
                      </c:ext>
                    </c:extLst>
                    <c:numCache>
                      <c:formatCode>0.00</c:formatCode>
                      <c:ptCount val="7"/>
                      <c:pt idx="0">
                        <c:v>18.394195213219209</c:v>
                      </c:pt>
                      <c:pt idx="1">
                        <c:v>13.304195213219211</c:v>
                      </c:pt>
                      <c:pt idx="2">
                        <c:v>8.1323019140911246</c:v>
                      </c:pt>
                      <c:pt idx="3">
                        <c:v>5.5565901960635369</c:v>
                      </c:pt>
                      <c:pt idx="4">
                        <c:v>13.304195213219211</c:v>
                      </c:pt>
                      <c:pt idx="5">
                        <c:v>2.8035940855691868</c:v>
                      </c:pt>
                      <c:pt idx="6">
                        <c:v>1.4134194828559419</c:v>
                      </c:pt>
                    </c:numCache>
                  </c:numRef>
                </c:val>
                <c:smooth val="0"/>
                <c:extLst xmlns:c15="http://schemas.microsoft.com/office/drawing/2012/chart">
                  <c:ext xmlns:c16="http://schemas.microsoft.com/office/drawing/2014/chart" uri="{C3380CC4-5D6E-409C-BE32-E72D297353CC}">
                    <c16:uniqueId val="{00000012-3370-4941-9577-87B5432CCA53}"/>
                  </c:ext>
                </c:extLst>
              </c15:ser>
            </c15:filteredLineSeries>
          </c:ext>
        </c:extLst>
      </c:lineChart>
      <c:catAx>
        <c:axId val="415006976"/>
        <c:scaling>
          <c:orientation val="minMax"/>
        </c:scaling>
        <c:delete val="0"/>
        <c:axPos val="b"/>
        <c:majorGridlines>
          <c:spPr>
            <a:ln w="6350" cap="flat" cmpd="sng" algn="ctr">
              <a:solidFill>
                <a:sysClr val="window" lastClr="FFFFFF"/>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endParaRPr lang="de-DE"/>
          </a:p>
        </c:txPr>
        <c:crossAx val="415007368"/>
        <c:crosses val="autoZero"/>
        <c:auto val="1"/>
        <c:lblAlgn val="ctr"/>
        <c:lblOffset val="100"/>
        <c:noMultiLvlLbl val="0"/>
      </c:catAx>
      <c:valAx>
        <c:axId val="415007368"/>
        <c:scaling>
          <c:orientation val="minMax"/>
          <c:max val="30"/>
          <c:min val="0"/>
        </c:scaling>
        <c:delete val="0"/>
        <c:axPos val="l"/>
        <c:majorGridlines>
          <c:spPr>
            <a:ln w="6350" cap="flat" cmpd="sng" algn="ctr">
              <a:solidFill>
                <a:sysClr val="window" lastClr="FFFFFF"/>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r>
                  <a:rPr lang="de-DE"/>
                  <a:t>ct/kWh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endParaRPr lang="de-DE"/>
            </a:p>
          </c:txPr>
        </c:title>
        <c:numFmt formatCode="0" sourceLinked="0"/>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endParaRPr lang="de-DE"/>
          </a:p>
        </c:txPr>
        <c:crossAx val="415006976"/>
        <c:crosses val="autoZero"/>
        <c:crossBetween val="between"/>
        <c:majorUnit val="10"/>
      </c:valAx>
      <c:spPr>
        <a:noFill/>
        <a:ln>
          <a:noFill/>
        </a:ln>
        <a:effectLst/>
      </c:spPr>
    </c:plotArea>
    <c:legend>
      <c:legendPos val="r"/>
      <c:legendEntry>
        <c:idx val="9"/>
        <c:delete val="1"/>
      </c:legendEntry>
      <c:layout>
        <c:manualLayout>
          <c:xMode val="edge"/>
          <c:yMode val="edge"/>
          <c:x val="0.75584419289816396"/>
          <c:y val="2.0275917321914669E-2"/>
          <c:w val="0.2441558538404176"/>
          <c:h val="0.96879512258777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Arial" panose="020B0604020202020204" pitchFamily="34" charset="0"/>
            </a:defRPr>
          </a:pPr>
          <a:endParaRPr lang="de-DE"/>
        </a:p>
      </c:txPr>
    </c:legend>
    <c:plotVisOnly val="1"/>
    <c:dispBlanksAs val="gap"/>
    <c:showDLblsOverMax val="0"/>
  </c:chart>
  <c:spPr>
    <a:solidFill>
      <a:srgbClr val="E3E4EA"/>
    </a:solidFill>
    <a:ln w="19050" cap="flat" cmpd="sng" algn="ctr">
      <a:solidFill>
        <a:sysClr val="window" lastClr="FFFFFF"/>
      </a:solidFill>
      <a:round/>
    </a:ln>
    <a:effectLst/>
  </c:spPr>
  <c:txPr>
    <a:bodyPr/>
    <a:lstStyle/>
    <a:p>
      <a:pPr>
        <a:defRPr sz="1000" b="0" i="0">
          <a:solidFill>
            <a:sysClr val="windowText" lastClr="000000"/>
          </a:solidFill>
          <a:latin typeface="+mn-lt"/>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de-DE" sz="1000"/>
              <a:t>Rückverteilung pro Kopf und Jahr</a:t>
            </a:r>
          </a:p>
        </c:rich>
      </c:tx>
      <c:layout>
        <c:manualLayout>
          <c:xMode val="edge"/>
          <c:yMode val="edge"/>
          <c:x val="0.30109971158804472"/>
          <c:y val="2.3116967898427869E-2"/>
        </c:manualLayout>
      </c:layout>
      <c:overlay val="1"/>
    </c:title>
    <c:autoTitleDeleted val="0"/>
    <c:plotArea>
      <c:layout>
        <c:manualLayout>
          <c:layoutTarget val="inner"/>
          <c:xMode val="edge"/>
          <c:yMode val="edge"/>
          <c:x val="0.133444030008213"/>
          <c:y val="0.11571246670867792"/>
          <c:w val="0.63838399085859721"/>
          <c:h val="0.76716979316230893"/>
        </c:manualLayout>
      </c:layout>
      <c:barChart>
        <c:barDir val="col"/>
        <c:grouping val="stacked"/>
        <c:varyColors val="0"/>
        <c:ser>
          <c:idx val="2"/>
          <c:order val="0"/>
          <c:tx>
            <c:strRef>
              <c:f>'Start - Ergebnisse'!$B$19</c:f>
              <c:strCache>
                <c:ptCount val="1"/>
                <c:pt idx="0">
                  <c:v>Rückverteilung pro Kopf [Euro/Person/Jahr] - gewähltes Szenario</c:v>
                </c:pt>
              </c:strCache>
            </c:strRef>
          </c:tx>
          <c:invertIfNegative val="0"/>
          <c:dLbls>
            <c:numFmt formatCode="#,##0\ &quot;€&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'Start - Ergebnisse'!$D$2:$O$2</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'Start - Ergebnisse'!$D$19:$O$19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00C-457E-B762-E74F1F1CF675}"/>
            </c:ext>
          </c:extLst>
        </c:ser>
        <c:dLbls>
          <c:showLegendKey val="0"/>
          <c:showVal val="0"/>
          <c:showCatName val="0"/>
          <c:showSerName val="0"/>
          <c:showPercent val="0"/>
          <c:showBubbleSize val="0"/>
        </c:dLbls>
        <c:gapWidth val="10"/>
        <c:overlap val="100"/>
        <c:axId val="365263104"/>
        <c:axId val="365294336"/>
      </c:barChart>
      <c:catAx>
        <c:axId val="365263104"/>
        <c:scaling>
          <c:orientation val="minMax"/>
        </c:scaling>
        <c:delete val="0"/>
        <c:axPos val="b"/>
        <c:majorGridlines>
          <c:spPr>
            <a:ln w="6350">
              <a:solidFill>
                <a:sysClr val="window" lastClr="FFFFFF"/>
              </a:solidFill>
            </a:ln>
          </c:spPr>
        </c:majorGridlines>
        <c:numFmt formatCode="General" sourceLinked="1"/>
        <c:majorTickMark val="out"/>
        <c:minorTickMark val="none"/>
        <c:tickLblPos val="low"/>
        <c:spPr>
          <a:ln w="19050">
            <a:solidFill>
              <a:sysClr val="window" lastClr="FFFFFF"/>
            </a:solidFill>
          </a:ln>
        </c:spPr>
        <c:crossAx val="365294336"/>
        <c:crosses val="autoZero"/>
        <c:auto val="1"/>
        <c:lblAlgn val="ctr"/>
        <c:lblOffset val="100"/>
        <c:noMultiLvlLbl val="0"/>
      </c:catAx>
      <c:valAx>
        <c:axId val="365294336"/>
        <c:scaling>
          <c:orientation val="minMax"/>
        </c:scaling>
        <c:delete val="0"/>
        <c:axPos val="l"/>
        <c:majorGridlines>
          <c:spPr>
            <a:ln w="6350">
              <a:solidFill>
                <a:sysClr val="window" lastClr="FFFFFF"/>
              </a:solidFill>
            </a:ln>
          </c:spPr>
        </c:majorGridlines>
        <c:title>
          <c:tx>
            <c:rich>
              <a:bodyPr rot="-5400000" vert="horz"/>
              <a:lstStyle/>
              <a:p>
                <a:pPr algn="ctr" rtl="0">
                  <a:defRPr b="0"/>
                </a:pPr>
                <a:r>
                  <a:rPr lang="en-US" b="0"/>
                  <a:t>[€/Person/a]</a:t>
                </a:r>
              </a:p>
            </c:rich>
          </c:tx>
          <c:layout>
            <c:manualLayout>
              <c:xMode val="edge"/>
              <c:yMode val="edge"/>
              <c:x val="1.4944725101692691E-2"/>
              <c:y val="0.37578905135265539"/>
            </c:manualLayout>
          </c:layout>
          <c:overlay val="0"/>
        </c:title>
        <c:numFmt formatCode="#,##0\ &quot;€&quot;" sourceLinked="0"/>
        <c:majorTickMark val="out"/>
        <c:minorTickMark val="none"/>
        <c:tickLblPos val="nextTo"/>
        <c:spPr>
          <a:ln w="19050">
            <a:solidFill>
              <a:sysClr val="window" lastClr="FFFFFF"/>
            </a:solidFill>
          </a:ln>
        </c:spPr>
        <c:crossAx val="365263104"/>
        <c:crosses val="autoZero"/>
        <c:crossBetween val="between"/>
      </c:valAx>
      <c:spPr>
        <a:noFill/>
      </c:spPr>
    </c:plotArea>
    <c:legend>
      <c:legendPos val="r"/>
      <c:layout>
        <c:manualLayout>
          <c:xMode val="edge"/>
          <c:yMode val="edge"/>
          <c:x val="0.79138077162943465"/>
          <c:y val="0.20458391812865498"/>
          <c:w val="0.20328589200874023"/>
          <c:h val="0.56855116959064322"/>
        </c:manualLayout>
      </c:layout>
      <c:overlay val="0"/>
    </c:legend>
    <c:plotVisOnly val="0"/>
    <c:dispBlanksAs val="gap"/>
    <c:showDLblsOverMax val="0"/>
  </c:chart>
  <c:spPr>
    <a:solidFill>
      <a:srgbClr val="E3E4EA"/>
    </a:solidFill>
    <a:ln w="19050">
      <a:solidFill>
        <a:sysClr val="window" lastClr="FFFFFF"/>
      </a:solidFill>
    </a:ln>
  </c:spPr>
  <c:txPr>
    <a:bodyPr/>
    <a:lstStyle/>
    <a:p>
      <a:pPr>
        <a:defRPr sz="1000">
          <a:latin typeface="+mn-lt"/>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'Start - Ergebnisse'!$AH$75</c:f>
          <c:strCache>
            <c:ptCount val="1"/>
            <c:pt idx="0">
              <c:v>Verwendung der BEHG-Einnahmen 2022 [Millionen €]</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34114977257959717"/>
          <c:y val="0.11389590643274854"/>
          <c:w val="0.35483495776478241"/>
          <c:h val="0.6387029239766083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50E-4280-AECD-6B8D9F6B685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50E-4280-AECD-6B8D9F6B685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50E-4280-AECD-6B8D9F6B685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50E-4280-AECD-6B8D9F6B685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'Graphikdaten 1'!$A$12:$A$15</c:f>
              <c:strCache>
                <c:ptCount val="4"/>
                <c:pt idx="0">
                  <c:v>Senkung EEG-Umlage</c:v>
                </c:pt>
                <c:pt idx="1">
                  <c:v>Rückverteilung</c:v>
                </c:pt>
                <c:pt idx="2">
                  <c:v>Sonstige Klimaschutzausgaben</c:v>
                </c:pt>
                <c:pt idx="3">
                  <c:v>Überschüssige Mittel</c:v>
                </c:pt>
              </c:strCache>
            </c:strRef>
          </c:cat>
          <c:val>
            <c:numRef>
              <c:f>'Graphikdaten 1'!$B$12:$B$15</c:f>
              <c:numCache>
                <c:formatCode>0</c:formatCode>
                <c:ptCount val="4"/>
                <c:pt idx="0">
                  <c:v>3250</c:v>
                </c:pt>
                <c:pt idx="1">
                  <c:v>0</c:v>
                </c:pt>
                <c:pt idx="2" formatCode="General">
                  <c:v>479</c:v>
                </c:pt>
                <c:pt idx="3">
                  <c:v>0</c:v>
                </c:pt>
              </c:numCache>
            </c:numRef>
          </c:val>
          <c:extLst>
            <c:ext xmlns:c16="http://schemas.microsoft.com/office/drawing/2014/chart" uri="{C3380CC4-5D6E-409C-BE32-E72D297353CC}">
              <c16:uniqueId val="{00000008-350E-4280-AECD-6B8D9F6B685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E3E4EA"/>
    </a:solidFill>
    <a:ln w="19050" cap="flat" cmpd="sng" algn="ctr">
      <a:solidFill>
        <a:schemeClr val="bg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2" fmlaLink="$AI$3" horiz="1" max="2030" min="2019" page="5" val="2022"/>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agora-energiewende.de" TargetMode="Externa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16.xml"/><Relationship Id="rId7" Type="http://schemas.openxmlformats.org/officeDocument/2006/relationships/chart" Target="../charts/chart19.xml"/><Relationship Id="rId12" Type="http://schemas.openxmlformats.org/officeDocument/2006/relationships/image" Target="../media/image11.png"/><Relationship Id="rId2" Type="http://schemas.openxmlformats.org/officeDocument/2006/relationships/image" Target="../media/image5.png"/><Relationship Id="rId1" Type="http://schemas.openxmlformats.org/officeDocument/2006/relationships/chart" Target="../charts/chart15.xml"/><Relationship Id="rId6" Type="http://schemas.openxmlformats.org/officeDocument/2006/relationships/chart" Target="../charts/chart18.xml"/><Relationship Id="rId11" Type="http://schemas.openxmlformats.org/officeDocument/2006/relationships/image" Target="../media/image10.png"/><Relationship Id="rId5" Type="http://schemas.openxmlformats.org/officeDocument/2006/relationships/chart" Target="../charts/chart17.xml"/><Relationship Id="rId10" Type="http://schemas.openxmlformats.org/officeDocument/2006/relationships/image" Target="../media/image9.png"/><Relationship Id="rId4" Type="http://schemas.openxmlformats.org/officeDocument/2006/relationships/image" Target="../media/image6.png"/><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oneCellAnchor>
    <xdr:from>
      <xdr:col>2</xdr:col>
      <xdr:colOff>0</xdr:colOff>
      <xdr:row>5</xdr:row>
      <xdr:rowOff>71536</xdr:rowOff>
    </xdr:from>
    <xdr:ext cx="4284000" cy="2471639"/>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361950" y="1052611"/>
          <a:ext cx="4284000" cy="2471639"/>
        </a:xfrm>
        <a:prstGeom prst="rect">
          <a:avLst/>
        </a:prstGeom>
        <a:solidFill>
          <a:schemeClr val="bg1"/>
        </a:solidFill>
      </xdr:spPr>
      <xdr:txBody>
        <a:bodyPr vertOverflow="clip" horzOverflow="clip" wrap="square" lIns="36000" tIns="0" rIns="0" bIns="0" rtlCol="0" anchor="t">
          <a:spAutoFit/>
        </a:bodyPr>
        <a:lstStyle/>
        <a:p>
          <a:pPr marL="0" indent="0">
            <a:lnSpc>
              <a:spcPct val="130000"/>
            </a:lnSpc>
          </a:pPr>
          <a:r>
            <a:rPr lang="de-DE" sz="1000" b="0" kern="1200">
              <a:solidFill>
                <a:schemeClr val="tx1"/>
              </a:solidFill>
              <a:effectLst/>
              <a:latin typeface="+mn-lt"/>
              <a:ea typeface="+mn-ea"/>
              <a:cs typeface="+mn-cs"/>
            </a:rPr>
            <a:t>mit der Einführung des Brennstoffemissionshandelsgesetzes (BEHG) im Jahr 2021 wurde in Deutschland eine nationale CO</a:t>
          </a:r>
          <a:r>
            <a:rPr lang="de-DE" sz="1000" b="0" kern="1200" baseline="-25000">
              <a:solidFill>
                <a:schemeClr val="tx1"/>
              </a:solidFill>
              <a:effectLst/>
              <a:latin typeface="+mn-lt"/>
              <a:ea typeface="+mn-ea"/>
              <a:cs typeface="+mn-cs"/>
            </a:rPr>
            <a:t>2</a:t>
          </a:r>
          <a:r>
            <a:rPr lang="de-DE" sz="1000" b="0" kern="1200">
              <a:solidFill>
                <a:schemeClr val="tx1"/>
              </a:solidFill>
              <a:effectLst/>
              <a:latin typeface="+mn-lt"/>
              <a:ea typeface="+mn-ea"/>
              <a:cs typeface="+mn-cs"/>
            </a:rPr>
            <a:t>-Bepreisung auch für die Sektoren Verkehr und Gebäude eingeführt. Dieser CO</a:t>
          </a:r>
          <a:r>
            <a:rPr lang="de-DE" sz="1000" b="0" kern="1200" baseline="-25000">
              <a:solidFill>
                <a:schemeClr val="tx1"/>
              </a:solidFill>
              <a:effectLst/>
              <a:latin typeface="+mn-lt"/>
              <a:ea typeface="+mn-ea"/>
              <a:cs typeface="+mn-cs"/>
            </a:rPr>
            <a:t>2</a:t>
          </a:r>
          <a:r>
            <a:rPr lang="de-DE" sz="1000" b="0" kern="1200">
              <a:solidFill>
                <a:schemeClr val="tx1"/>
              </a:solidFill>
              <a:effectLst/>
              <a:latin typeface="+mn-lt"/>
              <a:ea typeface="+mn-ea"/>
              <a:cs typeface="+mn-cs"/>
            </a:rPr>
            <a:t>-Preis wird</a:t>
          </a:r>
          <a:br>
            <a:rPr lang="de-DE" sz="1000" b="0" kern="1200">
              <a:solidFill>
                <a:schemeClr val="tx1"/>
              </a:solidFill>
              <a:effectLst/>
              <a:latin typeface="+mn-lt"/>
              <a:ea typeface="+mn-ea"/>
              <a:cs typeface="+mn-cs"/>
            </a:rPr>
          </a:br>
          <a:r>
            <a:rPr lang="de-DE" sz="1000" b="0" kern="1200">
              <a:solidFill>
                <a:schemeClr val="tx1"/>
              </a:solidFill>
              <a:effectLst/>
              <a:latin typeface="+mn-lt"/>
              <a:ea typeface="+mn-ea"/>
              <a:cs typeface="+mn-cs"/>
            </a:rPr>
            <a:t>nach geltender Rechtslage in Jahresschritten angehoben und ist regel-mäßig Gegenstand öffentlicher und politischer Kontroversen. </a:t>
          </a:r>
        </a:p>
        <a:p>
          <a:pPr marL="0" indent="0">
            <a:lnSpc>
              <a:spcPct val="130000"/>
            </a:lnSpc>
          </a:pPr>
          <a:endParaRPr lang="de-DE" sz="1000" b="0" kern="1200">
            <a:solidFill>
              <a:schemeClr val="tx1"/>
            </a:solidFill>
            <a:effectLst/>
            <a:latin typeface="+mn-lt"/>
            <a:ea typeface="+mn-ea"/>
            <a:cs typeface="+mn-cs"/>
          </a:endParaRPr>
        </a:p>
        <a:p>
          <a:pPr marL="0" marR="0" lvl="0" indent="0" defTabSz="914400" eaLnBrk="1" fontAlgn="auto" latinLnBrk="0" hangingPunct="1">
            <a:lnSpc>
              <a:spcPct val="130000"/>
            </a:lnSpc>
            <a:spcBef>
              <a:spcPts val="0"/>
            </a:spcBef>
            <a:spcAft>
              <a:spcPts val="0"/>
            </a:spcAft>
            <a:buClrTx/>
            <a:buSzTx/>
            <a:buFontTx/>
            <a:buNone/>
            <a:tabLst/>
            <a:defRPr/>
          </a:pPr>
          <a:r>
            <a:rPr lang="de-DE" sz="1000" b="0" kern="1200">
              <a:solidFill>
                <a:schemeClr val="tx1"/>
              </a:solidFill>
              <a:effectLst/>
              <a:latin typeface="+mn-lt"/>
              <a:ea typeface="+mn-ea"/>
              <a:cs typeface="+mn-cs"/>
            </a:rPr>
            <a:t>Diskutiert wird insbesondere, in welcher Höhe und in welchen Schritten dieser CO</a:t>
          </a:r>
          <a:r>
            <a:rPr lang="de-DE" sz="1000" b="0" kern="1200" baseline="-25000">
              <a:solidFill>
                <a:schemeClr val="tx1"/>
              </a:solidFill>
              <a:effectLst/>
              <a:latin typeface="+mn-lt"/>
              <a:ea typeface="+mn-ea"/>
              <a:cs typeface="+mn-cs"/>
            </a:rPr>
            <a:t>2</a:t>
          </a:r>
          <a:r>
            <a:rPr lang="de-DE" sz="1000" b="0" kern="1200">
              <a:solidFill>
                <a:schemeClr val="tx1"/>
              </a:solidFill>
              <a:effectLst/>
              <a:latin typeface="+mn-lt"/>
              <a:ea typeface="+mn-ea"/>
              <a:cs typeface="+mn-cs"/>
            </a:rPr>
            <a:t>-Preis steigen soll, und wie die Einnahmen bestmöglich ver-wendet werden sollten. Um eine fundierte sachliche Grundlage für diese Diskussionen und die erforderlichen politischen Abwägungen zu schaffen, haben wir ein Excel-Tool entwickelt, welches in der Lage ist, die Einnah-men aus dem BEHG und aus den Energiesteuern zu ermitteln und unter Vorgabe von Verbrauchsszenarien berechnen zu lassen.</a:t>
          </a:r>
          <a:endParaRPr lang="de-DE" sz="1100">
            <a:effectLst/>
            <a:latin typeface="+mn-lt"/>
            <a:ea typeface="+mn-ea"/>
            <a:cs typeface="+mn-cs"/>
          </a:endParaRPr>
        </a:p>
      </xdr:txBody>
    </xdr:sp>
    <xdr:clientData/>
  </xdr:oneCellAnchor>
  <xdr:twoCellAnchor editAs="oneCell">
    <xdr:from>
      <xdr:col>8</xdr:col>
      <xdr:colOff>0</xdr:colOff>
      <xdr:row>5</xdr:row>
      <xdr:rowOff>71536</xdr:rowOff>
    </xdr:from>
    <xdr:to>
      <xdr:col>12</xdr:col>
      <xdr:colOff>885825</xdr:colOff>
      <xdr:row>14</xdr:row>
      <xdr:rowOff>104775</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5391150" y="1224061"/>
          <a:ext cx="4238625" cy="1662014"/>
        </a:xfrm>
        <a:prstGeom prst="rect">
          <a:avLst/>
        </a:prstGeom>
        <a:solidFill>
          <a:schemeClr val="bg1"/>
        </a:solidFill>
      </xdr:spPr>
      <xdr:txBody>
        <a:bodyPr vertOverflow="clip" horzOverflow="clip" wrap="square" lIns="36000" tIns="0" rIns="0" bIns="0" rtlCol="0" anchor="t">
          <a:noAutofit/>
        </a:bodyPr>
        <a:lstStyle/>
        <a:p>
          <a:pPr marL="0" marR="0" lvl="0" indent="0" defTabSz="914400" eaLnBrk="1" fontAlgn="auto" latinLnBrk="0" hangingPunct="1">
            <a:lnSpc>
              <a:spcPct val="130000"/>
            </a:lnSpc>
            <a:spcBef>
              <a:spcPts val="0"/>
            </a:spcBef>
            <a:spcAft>
              <a:spcPts val="0"/>
            </a:spcAft>
            <a:buClrTx/>
            <a:buSzTx/>
            <a:buFontTx/>
            <a:buNone/>
            <a:tabLst/>
            <a:defRPr/>
          </a:pPr>
          <a:r>
            <a:rPr lang="de-DE" sz="1000" b="0" kern="1200">
              <a:solidFill>
                <a:schemeClr val="tx1"/>
              </a:solidFill>
              <a:effectLst/>
              <a:latin typeface="+mn-lt"/>
              <a:ea typeface="+mn-ea"/>
              <a:cs typeface="+mn-cs"/>
            </a:rPr>
            <a:t>Ferner</a:t>
          </a:r>
          <a:r>
            <a:rPr lang="de-DE" sz="1000" b="0" kern="1200" baseline="0">
              <a:solidFill>
                <a:schemeClr val="tx1"/>
              </a:solidFill>
              <a:effectLst/>
              <a:latin typeface="+mn-lt"/>
              <a:ea typeface="+mn-ea"/>
              <a:cs typeface="+mn-cs"/>
            </a:rPr>
            <a:t> können die Nutzerinnen und Nutzer </a:t>
          </a:r>
          <a:r>
            <a:rPr lang="de-DE" sz="1000" b="0" kern="1200">
              <a:solidFill>
                <a:schemeClr val="tx1"/>
              </a:solidFill>
              <a:effectLst/>
              <a:latin typeface="+mn-lt"/>
              <a:ea typeface="+mn-ea"/>
              <a:cs typeface="+mn-cs"/>
            </a:rPr>
            <a:t>unterschiedliche Einnahmever-</a:t>
          </a:r>
          <a:br>
            <a:rPr lang="de-DE" sz="1000" b="0" kern="1200">
              <a:solidFill>
                <a:schemeClr val="tx1"/>
              </a:solidFill>
              <a:effectLst/>
              <a:latin typeface="+mn-lt"/>
              <a:ea typeface="+mn-ea"/>
              <a:cs typeface="+mn-cs"/>
            </a:rPr>
          </a:br>
          <a:r>
            <a:rPr lang="de-DE" sz="1000" b="0" kern="1200">
              <a:solidFill>
                <a:schemeClr val="tx1"/>
              </a:solidFill>
              <a:effectLst/>
              <a:latin typeface="+mn-lt"/>
              <a:ea typeface="+mn-ea"/>
              <a:cs typeface="+mn-cs"/>
            </a:rPr>
            <a:t>wendungen annehmen sowie deren genaue Mittelbedarfe und Folgewir-kungen berechnen. Ein zentraler Aspekt der Berechnungen ist dabei, wie sich die verschiedenen Varianten auf die Höhe der EEG-Umlage aus-wirken. Zu diesem Zweck ist der </a:t>
          </a:r>
          <a:r>
            <a:rPr lang="de-DE" sz="1000" b="0" i="1" kern="1200">
              <a:solidFill>
                <a:schemeClr val="tx1"/>
              </a:solidFill>
              <a:effectLst/>
              <a:latin typeface="+mn-lt"/>
              <a:ea typeface="+mn-ea"/>
              <a:cs typeface="+mn-cs"/>
            </a:rPr>
            <a:t>CO</a:t>
          </a:r>
          <a:r>
            <a:rPr lang="de-DE" sz="1000" b="0" i="1" kern="1200" baseline="-25000">
              <a:solidFill>
                <a:schemeClr val="tx1"/>
              </a:solidFill>
              <a:effectLst/>
              <a:latin typeface="+mn-lt"/>
              <a:ea typeface="+mn-ea"/>
              <a:cs typeface="+mn-cs"/>
            </a:rPr>
            <a:t>2</a:t>
          </a:r>
          <a:r>
            <a:rPr lang="de-DE" sz="1000" b="0" i="1" kern="1200">
              <a:solidFill>
                <a:schemeClr val="tx1"/>
              </a:solidFill>
              <a:effectLst/>
              <a:latin typeface="+mn-lt"/>
              <a:ea typeface="+mn-ea"/>
              <a:cs typeface="+mn-cs"/>
            </a:rPr>
            <a:t>-Preis-Rechner</a:t>
          </a:r>
          <a:r>
            <a:rPr lang="de-DE" sz="1000" b="0" kern="1200">
              <a:solidFill>
                <a:schemeClr val="tx1"/>
              </a:solidFill>
              <a:effectLst/>
              <a:latin typeface="+mn-lt"/>
              <a:ea typeface="+mn-ea"/>
              <a:cs typeface="+mn-cs"/>
            </a:rPr>
            <a:t> mit den </a:t>
          </a:r>
          <a:r>
            <a:rPr lang="de-DE" sz="1000" b="0" i="1" kern="1200">
              <a:solidFill>
                <a:schemeClr val="accent4"/>
              </a:solidFill>
              <a:effectLst/>
              <a:latin typeface="+mn-lt"/>
              <a:ea typeface="+mn-ea"/>
              <a:cs typeface="+mn-cs"/>
            </a:rPr>
            <a:t>EEG-Rechner</a:t>
          </a:r>
          <a:r>
            <a:rPr lang="de-DE" sz="1000" b="0" i="1" kern="1200">
              <a:solidFill>
                <a:schemeClr val="tx1"/>
              </a:solidFill>
              <a:effectLst/>
              <a:latin typeface="+mn-lt"/>
              <a:ea typeface="+mn-ea"/>
              <a:cs typeface="+mn-cs"/>
            </a:rPr>
            <a:t> </a:t>
          </a:r>
          <a:r>
            <a:rPr lang="de-DE" sz="1000" b="0" kern="1200">
              <a:solidFill>
                <a:schemeClr val="tx1"/>
              </a:solidFill>
              <a:effectLst/>
              <a:latin typeface="+mn-lt"/>
              <a:ea typeface="+mn-ea"/>
              <a:cs typeface="+mn-cs"/>
            </a:rPr>
            <a:t>verknüpft.</a:t>
          </a:r>
        </a:p>
        <a:p>
          <a:pPr marL="0" marR="0" lvl="0" indent="0" defTabSz="914400" eaLnBrk="1" fontAlgn="auto" latinLnBrk="0" hangingPunct="1">
            <a:lnSpc>
              <a:spcPct val="130000"/>
            </a:lnSpc>
            <a:spcBef>
              <a:spcPts val="0"/>
            </a:spcBef>
            <a:spcAft>
              <a:spcPts val="0"/>
            </a:spcAft>
            <a:buClrTx/>
            <a:buSzTx/>
            <a:buFontTx/>
            <a:buNone/>
            <a:tabLst/>
            <a:defRPr/>
          </a:pPr>
          <a:endParaRPr lang="de-DE" sz="1000" b="0" kern="1200">
            <a:solidFill>
              <a:schemeClr val="tx1"/>
            </a:solidFill>
            <a:effectLst/>
            <a:latin typeface="+mn-lt"/>
            <a:ea typeface="+mn-ea"/>
            <a:cs typeface="+mn-cs"/>
          </a:endParaRPr>
        </a:p>
        <a:p>
          <a:pPr marL="0" marR="0" lvl="0" indent="0" defTabSz="914400" eaLnBrk="1" fontAlgn="auto" latinLnBrk="0" hangingPunct="1">
            <a:lnSpc>
              <a:spcPct val="130000"/>
            </a:lnSpc>
            <a:spcBef>
              <a:spcPts val="0"/>
            </a:spcBef>
            <a:spcAft>
              <a:spcPts val="0"/>
            </a:spcAft>
            <a:buClrTx/>
            <a:buSzTx/>
            <a:buFontTx/>
            <a:buNone/>
            <a:tabLst/>
            <a:defRPr/>
          </a:pPr>
          <a:endParaRPr lang="de-DE" sz="1000" b="0" kern="1200">
            <a:solidFill>
              <a:schemeClr val="tx1"/>
            </a:solidFill>
            <a:effectLst/>
            <a:latin typeface="+mn-lt"/>
            <a:ea typeface="+mn-ea"/>
            <a:cs typeface="+mn-cs"/>
          </a:endParaRPr>
        </a:p>
      </xdr:txBody>
    </xdr:sp>
    <xdr:clientData/>
  </xdr:twoCellAnchor>
  <xdr:twoCellAnchor editAs="oneCell">
    <xdr:from>
      <xdr:col>11</xdr:col>
      <xdr:colOff>523879</xdr:colOff>
      <xdr:row>1</xdr:row>
      <xdr:rowOff>218054</xdr:rowOff>
    </xdr:from>
    <xdr:to>
      <xdr:col>13</xdr:col>
      <xdr:colOff>0</xdr:colOff>
      <xdr:row>3</xdr:row>
      <xdr:rowOff>200025</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6474" t="10772" b="7926"/>
        <a:stretch/>
      </xdr:blipFill>
      <xdr:spPr>
        <a:xfrm>
          <a:off x="8429629" y="399029"/>
          <a:ext cx="1371596" cy="5344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24</xdr:col>
      <xdr:colOff>262028</xdr:colOff>
      <xdr:row>122</xdr:row>
      <xdr:rowOff>99286</xdr:rowOff>
    </xdr:from>
    <xdr:to>
      <xdr:col>31</xdr:col>
      <xdr:colOff>539391</xdr:colOff>
      <xdr:row>143</xdr:row>
      <xdr:rowOff>23374</xdr:rowOff>
    </xdr:to>
    <xdr:graphicFrame macro="">
      <xdr:nvGraphicFramePr>
        <xdr:cNvPr id="5" name="Diagramm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31</xdr:col>
      <xdr:colOff>726442</xdr:colOff>
      <xdr:row>99</xdr:row>
      <xdr:rowOff>82698</xdr:rowOff>
    </xdr:from>
    <xdr:to>
      <xdr:col>39</xdr:col>
      <xdr:colOff>668906</xdr:colOff>
      <xdr:row>121</xdr:row>
      <xdr:rowOff>129918</xdr:rowOff>
    </xdr:to>
    <xdr:graphicFrame macro="">
      <xdr:nvGraphicFramePr>
        <xdr:cNvPr id="6" name="Diagramm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15</xdr:col>
      <xdr:colOff>198583</xdr:colOff>
      <xdr:row>63</xdr:row>
      <xdr:rowOff>113243</xdr:rowOff>
    </xdr:from>
    <xdr:to>
      <xdr:col>24</xdr:col>
      <xdr:colOff>73062</xdr:colOff>
      <xdr:row>98</xdr:row>
      <xdr:rowOff>72921</xdr:rowOff>
    </xdr:to>
    <xdr:graphicFrame macro="">
      <xdr:nvGraphicFramePr>
        <xdr:cNvPr id="7" name="Diagramm 5">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15</xdr:col>
      <xdr:colOff>198583</xdr:colOff>
      <xdr:row>99</xdr:row>
      <xdr:rowOff>47083</xdr:rowOff>
    </xdr:from>
    <xdr:to>
      <xdr:col>24</xdr:col>
      <xdr:colOff>73062</xdr:colOff>
      <xdr:row>121</xdr:row>
      <xdr:rowOff>129547</xdr:rowOff>
    </xdr:to>
    <xdr:graphicFrame macro="">
      <xdr:nvGraphicFramePr>
        <xdr:cNvPr id="8" name="Diagramm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24</xdr:col>
      <xdr:colOff>262028</xdr:colOff>
      <xdr:row>99</xdr:row>
      <xdr:rowOff>59460</xdr:rowOff>
    </xdr:from>
    <xdr:to>
      <xdr:col>31</xdr:col>
      <xdr:colOff>539391</xdr:colOff>
      <xdr:row>121</xdr:row>
      <xdr:rowOff>129918</xdr:rowOff>
    </xdr:to>
    <xdr:graphicFrame macro="">
      <xdr:nvGraphicFramePr>
        <xdr:cNvPr id="9" name="Diagramm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15</xdr:col>
      <xdr:colOff>198583</xdr:colOff>
      <xdr:row>122</xdr:row>
      <xdr:rowOff>77916</xdr:rowOff>
    </xdr:from>
    <xdr:to>
      <xdr:col>24</xdr:col>
      <xdr:colOff>73062</xdr:colOff>
      <xdr:row>143</xdr:row>
      <xdr:rowOff>27831</xdr:rowOff>
    </xdr:to>
    <xdr:graphicFrame macro="">
      <xdr:nvGraphicFramePr>
        <xdr:cNvPr id="10" name="Diagramm 5">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262028</xdr:colOff>
      <xdr:row>63</xdr:row>
      <xdr:rowOff>117700</xdr:rowOff>
    </xdr:from>
    <xdr:to>
      <xdr:col>31</xdr:col>
      <xdr:colOff>539391</xdr:colOff>
      <xdr:row>98</xdr:row>
      <xdr:rowOff>72921</xdr:rowOff>
    </xdr:to>
    <xdr:graphicFrame macro="">
      <xdr:nvGraphicFramePr>
        <xdr:cNvPr id="11" name="Diagramm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33</xdr:col>
          <xdr:colOff>9525</xdr:colOff>
          <xdr:row>3</xdr:row>
          <xdr:rowOff>19050</xdr:rowOff>
        </xdr:from>
        <xdr:to>
          <xdr:col>34</xdr:col>
          <xdr:colOff>819150</xdr:colOff>
          <xdr:row>3</xdr:row>
          <xdr:rowOff>180975</xdr:rowOff>
        </xdr:to>
        <xdr:sp macro="" textlink="">
          <xdr:nvSpPr>
            <xdr:cNvPr id="2052" name="Scroll Bar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absolute">
    <xdr:from>
      <xdr:col>15</xdr:col>
      <xdr:colOff>198583</xdr:colOff>
      <xdr:row>143</xdr:row>
      <xdr:rowOff>147994</xdr:rowOff>
    </xdr:from>
    <xdr:to>
      <xdr:col>24</xdr:col>
      <xdr:colOff>75423</xdr:colOff>
      <xdr:row>164</xdr:row>
      <xdr:rowOff>154079</xdr:rowOff>
    </xdr:to>
    <xdr:graphicFrame macro="">
      <xdr:nvGraphicFramePr>
        <xdr:cNvPr id="12" name="Diagramm 5">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24</xdr:col>
      <xdr:colOff>262028</xdr:colOff>
      <xdr:row>143</xdr:row>
      <xdr:rowOff>147994</xdr:rowOff>
    </xdr:from>
    <xdr:to>
      <xdr:col>31</xdr:col>
      <xdr:colOff>531860</xdr:colOff>
      <xdr:row>164</xdr:row>
      <xdr:rowOff>154079</xdr:rowOff>
    </xdr:to>
    <xdr:graphicFrame macro="">
      <xdr:nvGraphicFramePr>
        <xdr:cNvPr id="14" name="Diagramm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24</xdr:col>
      <xdr:colOff>262028</xdr:colOff>
      <xdr:row>2</xdr:row>
      <xdr:rowOff>46937</xdr:rowOff>
    </xdr:from>
    <xdr:to>
      <xdr:col>31</xdr:col>
      <xdr:colOff>549089</xdr:colOff>
      <xdr:row>62</xdr:row>
      <xdr:rowOff>138314</xdr:rowOff>
    </xdr:to>
    <xdr:graphicFrame macro="">
      <xdr:nvGraphicFramePr>
        <xdr:cNvPr id="24" name="Diagramm 5">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15</xdr:col>
      <xdr:colOff>198583</xdr:colOff>
      <xdr:row>2</xdr:row>
      <xdr:rowOff>46937</xdr:rowOff>
    </xdr:from>
    <xdr:to>
      <xdr:col>24</xdr:col>
      <xdr:colOff>73062</xdr:colOff>
      <xdr:row>62</xdr:row>
      <xdr:rowOff>138314</xdr:rowOff>
    </xdr:to>
    <xdr:graphicFrame macro="">
      <xdr:nvGraphicFramePr>
        <xdr:cNvPr id="25" name="Diagramm 5">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135592</xdr:colOff>
      <xdr:row>11</xdr:row>
      <xdr:rowOff>152400</xdr:rowOff>
    </xdr:from>
    <xdr:to>
      <xdr:col>24</xdr:col>
      <xdr:colOff>592437</xdr:colOff>
      <xdr:row>29</xdr:row>
      <xdr:rowOff>144780</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15375592" y="1781175"/>
          <a:ext cx="3721063" cy="3133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742950</xdr:colOff>
      <xdr:row>27</xdr:row>
      <xdr:rowOff>133350</xdr:rowOff>
    </xdr:from>
    <xdr:to>
      <xdr:col>22</xdr:col>
      <xdr:colOff>403157</xdr:colOff>
      <xdr:row>47</xdr:row>
      <xdr:rowOff>146169</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114300</xdr:colOff>
      <xdr:row>27</xdr:row>
      <xdr:rowOff>152400</xdr:rowOff>
    </xdr:from>
    <xdr:to>
      <xdr:col>14</xdr:col>
      <xdr:colOff>547711</xdr:colOff>
      <xdr:row>47</xdr:row>
      <xdr:rowOff>146169</xdr:rowOff>
    </xdr:to>
    <xdr:graphicFrame macro="">
      <xdr:nvGraphicFramePr>
        <xdr:cNvPr id="3" name="Diagram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27</xdr:row>
      <xdr:rowOff>123825</xdr:rowOff>
    </xdr:from>
    <xdr:to>
      <xdr:col>6</xdr:col>
      <xdr:colOff>738211</xdr:colOff>
      <xdr:row>47</xdr:row>
      <xdr:rowOff>117594</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438149</xdr:colOff>
      <xdr:row>1</xdr:row>
      <xdr:rowOff>42863</xdr:rowOff>
    </xdr:from>
    <xdr:to>
      <xdr:col>18</xdr:col>
      <xdr:colOff>575726</xdr:colOff>
      <xdr:row>29</xdr:row>
      <xdr:rowOff>10688</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7296149" y="223838"/>
          <a:ext cx="7513737" cy="4820813"/>
        </a:xfrm>
        <a:prstGeom prst="rect">
          <a:avLst/>
        </a:prstGeom>
      </xdr:spPr>
    </xdr:pic>
    <xdr:clientData/>
  </xdr:twoCellAnchor>
  <xdr:twoCellAnchor editAs="oneCell">
    <xdr:from>
      <xdr:col>9</xdr:col>
      <xdr:colOff>504825</xdr:colOff>
      <xdr:row>27</xdr:row>
      <xdr:rowOff>9525</xdr:rowOff>
    </xdr:from>
    <xdr:to>
      <xdr:col>20</xdr:col>
      <xdr:colOff>33217</xdr:colOff>
      <xdr:row>64</xdr:row>
      <xdr:rowOff>117294</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7362825" y="4895850"/>
          <a:ext cx="8580952" cy="65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30</xdr:col>
      <xdr:colOff>628650</xdr:colOff>
      <xdr:row>4</xdr:row>
      <xdr:rowOff>111579</xdr:rowOff>
    </xdr:from>
    <xdr:to>
      <xdr:col>38</xdr:col>
      <xdr:colOff>544650</xdr:colOff>
      <xdr:row>17</xdr:row>
      <xdr:rowOff>89879</xdr:rowOff>
    </xdr:to>
    <xdr:sp macro="" textlink="">
      <xdr:nvSpPr>
        <xdr:cNvPr id="2" name="Rechteck 1">
          <a:extLst>
            <a:ext uri="{FF2B5EF4-FFF2-40B4-BE49-F238E27FC236}">
              <a16:creationId xmlns:a16="http://schemas.microsoft.com/office/drawing/2014/main" id="{00000000-0008-0000-1400-000002000000}"/>
            </a:ext>
          </a:extLst>
        </xdr:cNvPr>
        <xdr:cNvSpPr/>
      </xdr:nvSpPr>
      <xdr:spPr>
        <a:xfrm>
          <a:off x="18691860" y="748801"/>
          <a:ext cx="6006285" cy="3853070"/>
        </a:xfrm>
        <a:prstGeom prst="rect">
          <a:avLst/>
        </a:prstGeom>
        <a:solidFill>
          <a:srgbClr val="E3E4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22</xdr:col>
      <xdr:colOff>761998</xdr:colOff>
      <xdr:row>6</xdr:row>
      <xdr:rowOff>154026</xdr:rowOff>
    </xdr:from>
    <xdr:to>
      <xdr:col>29</xdr:col>
      <xdr:colOff>293551</xdr:colOff>
      <xdr:row>18</xdr:row>
      <xdr:rowOff>201567</xdr:rowOff>
    </xdr:to>
    <xdr:graphicFrame macro="">
      <xdr:nvGraphicFramePr>
        <xdr:cNvPr id="3" name="Diagram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761998</xdr:colOff>
      <xdr:row>4</xdr:row>
      <xdr:rowOff>123825</xdr:rowOff>
    </xdr:from>
    <xdr:to>
      <xdr:col>30</xdr:col>
      <xdr:colOff>29998</xdr:colOff>
      <xdr:row>6</xdr:row>
      <xdr:rowOff>113740</xdr:rowOff>
    </xdr:to>
    <xdr:sp macro="" textlink="">
      <xdr:nvSpPr>
        <xdr:cNvPr id="4" name="Rechteck 3">
          <a:extLst>
            <a:ext uri="{FF2B5EF4-FFF2-40B4-BE49-F238E27FC236}">
              <a16:creationId xmlns:a16="http://schemas.microsoft.com/office/drawing/2014/main" id="{00000000-0008-0000-1400-000004000000}"/>
            </a:ext>
          </a:extLst>
        </xdr:cNvPr>
        <xdr:cNvSpPr/>
      </xdr:nvSpPr>
      <xdr:spPr>
        <a:xfrm>
          <a:off x="12725398" y="762000"/>
          <a:ext cx="5365905" cy="311860"/>
        </a:xfrm>
        <a:prstGeom prst="rect">
          <a:avLst/>
        </a:prstGeom>
        <a:solidFill>
          <a:srgbClr val="E3E4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de-DE" sz="1200">
              <a:solidFill>
                <a:sysClr val="windowText" lastClr="000000"/>
              </a:solidFill>
              <a:latin typeface="Arial" panose="020B0604020202020204" pitchFamily="34" charset="0"/>
              <a:cs typeface="Arial" panose="020B0604020202020204" pitchFamily="34" charset="0"/>
            </a:rPr>
            <a:t>Kostenbestandteile für Energie in Strom,</a:t>
          </a:r>
          <a:r>
            <a:rPr lang="de-DE" sz="1200" baseline="0">
              <a:solidFill>
                <a:sysClr val="windowText" lastClr="000000"/>
              </a:solidFill>
              <a:latin typeface="Arial" panose="020B0604020202020204" pitchFamily="34" charset="0"/>
              <a:cs typeface="Arial" panose="020B0604020202020204" pitchFamily="34" charset="0"/>
            </a:rPr>
            <a:t> Wärme und Verkehr </a:t>
          </a:r>
          <a:r>
            <a:rPr lang="de-DE" sz="1200">
              <a:solidFill>
                <a:sysClr val="windowText" lastClr="000000"/>
              </a:solidFill>
              <a:latin typeface="Arial" panose="020B0604020202020204" pitchFamily="34" charset="0"/>
              <a:cs typeface="Arial" panose="020B0604020202020204" pitchFamily="34" charset="0"/>
            </a:rPr>
            <a:t>für Haushalte</a:t>
          </a:r>
        </a:p>
      </xdr:txBody>
    </xdr:sp>
    <xdr:clientData/>
  </xdr:twoCellAnchor>
  <xdr:twoCellAnchor>
    <xdr:from>
      <xdr:col>23</xdr:col>
      <xdr:colOff>761998</xdr:colOff>
      <xdr:row>20</xdr:row>
      <xdr:rowOff>70037</xdr:rowOff>
    </xdr:from>
    <xdr:to>
      <xdr:col>31</xdr:col>
      <xdr:colOff>29998</xdr:colOff>
      <xdr:row>22</xdr:row>
      <xdr:rowOff>59952</xdr:rowOff>
    </xdr:to>
    <xdr:sp macro="" textlink="">
      <xdr:nvSpPr>
        <xdr:cNvPr id="5" name="Rechteck 4">
          <a:extLst>
            <a:ext uri="{FF2B5EF4-FFF2-40B4-BE49-F238E27FC236}">
              <a16:creationId xmlns:a16="http://schemas.microsoft.com/office/drawing/2014/main" id="{00000000-0008-0000-1400-000005000000}"/>
            </a:ext>
          </a:extLst>
        </xdr:cNvPr>
        <xdr:cNvSpPr/>
      </xdr:nvSpPr>
      <xdr:spPr>
        <a:xfrm>
          <a:off x="13487398" y="5225919"/>
          <a:ext cx="5365905" cy="479500"/>
        </a:xfrm>
        <a:prstGeom prst="rect">
          <a:avLst/>
        </a:prstGeom>
        <a:solidFill>
          <a:srgbClr val="E3E4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de-DE" sz="1200">
              <a:solidFill>
                <a:sysClr val="windowText" lastClr="000000"/>
              </a:solidFill>
              <a:latin typeface="Arial" panose="020B0604020202020204" pitchFamily="34" charset="0"/>
              <a:cs typeface="Arial" panose="020B0604020202020204" pitchFamily="34" charset="0"/>
            </a:rPr>
            <a:t>BDEW,</a:t>
          </a:r>
          <a:r>
            <a:rPr lang="de-DE" sz="1200" baseline="0">
              <a:solidFill>
                <a:sysClr val="windowText" lastClr="000000"/>
              </a:solidFill>
              <a:latin typeface="Arial" panose="020B0604020202020204" pitchFamily="34" charset="0"/>
              <a:cs typeface="Arial" panose="020B0604020202020204" pitchFamily="34" charset="0"/>
            </a:rPr>
            <a:t> </a:t>
          </a:r>
          <a:r>
            <a:rPr lang="de-DE" sz="1200">
              <a:solidFill>
                <a:sysClr val="windowText" lastClr="000000"/>
              </a:solidFill>
              <a:latin typeface="Arial" panose="020B0604020202020204" pitchFamily="34" charset="0"/>
              <a:cs typeface="Arial" panose="020B0604020202020204" pitchFamily="34" charset="0"/>
            </a:rPr>
            <a:t>BMWi, BNetzA, ÜNB, UBA, Agora Energiewende</a:t>
          </a:r>
        </a:p>
      </xdr:txBody>
    </xdr:sp>
    <xdr:clientData/>
  </xdr:twoCellAnchor>
  <xdr:twoCellAnchor editAs="oneCell">
    <xdr:from>
      <xdr:col>28</xdr:col>
      <xdr:colOff>0</xdr:colOff>
      <xdr:row>29</xdr:row>
      <xdr:rowOff>258855</xdr:rowOff>
    </xdr:from>
    <xdr:to>
      <xdr:col>38</xdr:col>
      <xdr:colOff>354861</xdr:colOff>
      <xdr:row>32</xdr:row>
      <xdr:rowOff>784059</xdr:rowOff>
    </xdr:to>
    <xdr:pic>
      <xdr:nvPicPr>
        <xdr:cNvPr id="6" name="Grafik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stretch>
          <a:fillRect/>
        </a:stretch>
      </xdr:blipFill>
      <xdr:spPr>
        <a:xfrm>
          <a:off x="16535400" y="7050180"/>
          <a:ext cx="8716083" cy="4538108"/>
        </a:xfrm>
        <a:prstGeom prst="rect">
          <a:avLst/>
        </a:prstGeom>
      </xdr:spPr>
    </xdr:pic>
    <xdr:clientData/>
  </xdr:twoCellAnchor>
  <xdr:twoCellAnchor editAs="oneCell">
    <xdr:from>
      <xdr:col>30</xdr:col>
      <xdr:colOff>533400</xdr:colOff>
      <xdr:row>4</xdr:row>
      <xdr:rowOff>85271</xdr:rowOff>
    </xdr:from>
    <xdr:to>
      <xdr:col>37</xdr:col>
      <xdr:colOff>759234</xdr:colOff>
      <xdr:row>15</xdr:row>
      <xdr:rowOff>95222</xdr:rowOff>
    </xdr:to>
    <xdr:graphicFrame macro="">
      <xdr:nvGraphicFramePr>
        <xdr:cNvPr id="7" name="Diagramm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46</xdr:col>
      <xdr:colOff>0</xdr:colOff>
      <xdr:row>29</xdr:row>
      <xdr:rowOff>0</xdr:rowOff>
    </xdr:from>
    <xdr:to>
      <xdr:col>54</xdr:col>
      <xdr:colOff>336678</xdr:colOff>
      <xdr:row>43</xdr:row>
      <xdr:rowOff>151930</xdr:rowOff>
    </xdr:to>
    <xdr:pic>
      <xdr:nvPicPr>
        <xdr:cNvPr id="8" name="Grafik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4"/>
        <a:stretch>
          <a:fillRect/>
        </a:stretch>
      </xdr:blipFill>
      <xdr:spPr>
        <a:xfrm>
          <a:off x="30251400" y="6789420"/>
          <a:ext cx="7032381" cy="7080820"/>
        </a:xfrm>
        <a:prstGeom prst="rect">
          <a:avLst/>
        </a:prstGeom>
      </xdr:spPr>
    </xdr:pic>
    <xdr:clientData/>
  </xdr:twoCellAnchor>
  <xdr:twoCellAnchor>
    <xdr:from>
      <xdr:col>39</xdr:col>
      <xdr:colOff>732559</xdr:colOff>
      <xdr:row>4</xdr:row>
      <xdr:rowOff>111579</xdr:rowOff>
    </xdr:from>
    <xdr:to>
      <xdr:col>47</xdr:col>
      <xdr:colOff>648559</xdr:colOff>
      <xdr:row>17</xdr:row>
      <xdr:rowOff>89879</xdr:rowOff>
    </xdr:to>
    <xdr:sp macro="" textlink="">
      <xdr:nvSpPr>
        <xdr:cNvPr id="9" name="Rechteck 8">
          <a:extLst>
            <a:ext uri="{FF2B5EF4-FFF2-40B4-BE49-F238E27FC236}">
              <a16:creationId xmlns:a16="http://schemas.microsoft.com/office/drawing/2014/main" id="{00000000-0008-0000-1400-000009000000}"/>
            </a:ext>
          </a:extLst>
        </xdr:cNvPr>
        <xdr:cNvSpPr/>
      </xdr:nvSpPr>
      <xdr:spPr>
        <a:xfrm>
          <a:off x="25648054" y="748801"/>
          <a:ext cx="6013905" cy="3853070"/>
        </a:xfrm>
        <a:prstGeom prst="rect">
          <a:avLst/>
        </a:prstGeom>
        <a:solidFill>
          <a:srgbClr val="E3E4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40</xdr:col>
      <xdr:colOff>155456</xdr:colOff>
      <xdr:row>4</xdr:row>
      <xdr:rowOff>85270</xdr:rowOff>
    </xdr:from>
    <xdr:to>
      <xdr:col>46</xdr:col>
      <xdr:colOff>265140</xdr:colOff>
      <xdr:row>15</xdr:row>
      <xdr:rowOff>116850</xdr:rowOff>
    </xdr:to>
    <xdr:graphicFrame macro="">
      <xdr:nvGraphicFramePr>
        <xdr:cNvPr id="10" name="Diagramm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283524</xdr:colOff>
      <xdr:row>4</xdr:row>
      <xdr:rowOff>111579</xdr:rowOff>
    </xdr:from>
    <xdr:to>
      <xdr:col>56</xdr:col>
      <xdr:colOff>199524</xdr:colOff>
      <xdr:row>17</xdr:row>
      <xdr:rowOff>89879</xdr:rowOff>
    </xdr:to>
    <xdr:sp macro="" textlink="">
      <xdr:nvSpPr>
        <xdr:cNvPr id="11" name="Rechteck 10">
          <a:extLst>
            <a:ext uri="{FF2B5EF4-FFF2-40B4-BE49-F238E27FC236}">
              <a16:creationId xmlns:a16="http://schemas.microsoft.com/office/drawing/2014/main" id="{00000000-0008-0000-1400-00000B000000}"/>
            </a:ext>
          </a:extLst>
        </xdr:cNvPr>
        <xdr:cNvSpPr/>
      </xdr:nvSpPr>
      <xdr:spPr>
        <a:xfrm>
          <a:off x="32062734" y="748801"/>
          <a:ext cx="6006285" cy="3853070"/>
        </a:xfrm>
        <a:prstGeom prst="rect">
          <a:avLst/>
        </a:prstGeom>
        <a:solidFill>
          <a:srgbClr val="E3E4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48</xdr:col>
      <xdr:colOff>468421</xdr:colOff>
      <xdr:row>4</xdr:row>
      <xdr:rowOff>85270</xdr:rowOff>
    </xdr:from>
    <xdr:to>
      <xdr:col>54</xdr:col>
      <xdr:colOff>555963</xdr:colOff>
      <xdr:row>15</xdr:row>
      <xdr:rowOff>116850</xdr:rowOff>
    </xdr:to>
    <xdr:graphicFrame macro="">
      <xdr:nvGraphicFramePr>
        <xdr:cNvPr id="12" name="Diagramm 11">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610095</xdr:colOff>
      <xdr:row>4</xdr:row>
      <xdr:rowOff>111579</xdr:rowOff>
    </xdr:from>
    <xdr:to>
      <xdr:col>64</xdr:col>
      <xdr:colOff>526095</xdr:colOff>
      <xdr:row>17</xdr:row>
      <xdr:rowOff>89879</xdr:rowOff>
    </xdr:to>
    <xdr:sp macro="" textlink="">
      <xdr:nvSpPr>
        <xdr:cNvPr id="13" name="Rechteck 12">
          <a:extLst>
            <a:ext uri="{FF2B5EF4-FFF2-40B4-BE49-F238E27FC236}">
              <a16:creationId xmlns:a16="http://schemas.microsoft.com/office/drawing/2014/main" id="{00000000-0008-0000-1400-00000D000000}"/>
            </a:ext>
          </a:extLst>
        </xdr:cNvPr>
        <xdr:cNvSpPr/>
      </xdr:nvSpPr>
      <xdr:spPr>
        <a:xfrm>
          <a:off x="38481495" y="748801"/>
          <a:ext cx="6013905" cy="3853070"/>
        </a:xfrm>
        <a:prstGeom prst="rect">
          <a:avLst/>
        </a:prstGeom>
        <a:solidFill>
          <a:srgbClr val="E3E4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57</xdr:col>
      <xdr:colOff>32992</xdr:colOff>
      <xdr:row>4</xdr:row>
      <xdr:rowOff>85270</xdr:rowOff>
    </xdr:from>
    <xdr:to>
      <xdr:col>61</xdr:col>
      <xdr:colOff>85711</xdr:colOff>
      <xdr:row>15</xdr:row>
      <xdr:rowOff>57428</xdr:rowOff>
    </xdr:to>
    <xdr:graphicFrame macro="">
      <xdr:nvGraphicFramePr>
        <xdr:cNvPr id="14" name="Diagramm 13">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23</xdr:col>
      <xdr:colOff>0</xdr:colOff>
      <xdr:row>35</xdr:row>
      <xdr:rowOff>0</xdr:rowOff>
    </xdr:from>
    <xdr:to>
      <xdr:col>34</xdr:col>
      <xdr:colOff>128478</xdr:colOff>
      <xdr:row>76</xdr:row>
      <xdr:rowOff>60636</xdr:rowOff>
    </xdr:to>
    <xdr:pic>
      <xdr:nvPicPr>
        <xdr:cNvPr id="15" name="Grafik 14">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8"/>
        <a:stretch>
          <a:fillRect/>
        </a:stretch>
      </xdr:blipFill>
      <xdr:spPr>
        <a:xfrm>
          <a:off x="12725400" y="12672060"/>
          <a:ext cx="9328182" cy="6730059"/>
        </a:xfrm>
        <a:prstGeom prst="rect">
          <a:avLst/>
        </a:prstGeom>
      </xdr:spPr>
    </xdr:pic>
    <xdr:clientData/>
  </xdr:twoCellAnchor>
  <xdr:twoCellAnchor editAs="oneCell">
    <xdr:from>
      <xdr:col>24</xdr:col>
      <xdr:colOff>0</xdr:colOff>
      <xdr:row>90</xdr:row>
      <xdr:rowOff>0</xdr:rowOff>
    </xdr:from>
    <xdr:to>
      <xdr:col>37</xdr:col>
      <xdr:colOff>228178</xdr:colOff>
      <xdr:row>140</xdr:row>
      <xdr:rowOff>120133</xdr:rowOff>
    </xdr:to>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9"/>
        <a:stretch>
          <a:fillRect/>
        </a:stretch>
      </xdr:blipFill>
      <xdr:spPr>
        <a:xfrm>
          <a:off x="13487400" y="21579840"/>
          <a:ext cx="11096269" cy="8124001"/>
        </a:xfrm>
        <a:prstGeom prst="rect">
          <a:avLst/>
        </a:prstGeom>
      </xdr:spPr>
    </xdr:pic>
    <xdr:clientData/>
  </xdr:twoCellAnchor>
  <xdr:twoCellAnchor editAs="oneCell">
    <xdr:from>
      <xdr:col>36</xdr:col>
      <xdr:colOff>0</xdr:colOff>
      <xdr:row>47</xdr:row>
      <xdr:rowOff>0</xdr:rowOff>
    </xdr:from>
    <xdr:to>
      <xdr:col>48</xdr:col>
      <xdr:colOff>147369</xdr:colOff>
      <xdr:row>84</xdr:row>
      <xdr:rowOff>38924</xdr:rowOff>
    </xdr:to>
    <xdr:pic>
      <xdr:nvPicPr>
        <xdr:cNvPr id="17" name="Grafik 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10"/>
        <a:stretch>
          <a:fillRect/>
        </a:stretch>
      </xdr:blipFill>
      <xdr:spPr>
        <a:xfrm>
          <a:off x="22631400" y="14698980"/>
          <a:ext cx="10181741" cy="5959665"/>
        </a:xfrm>
        <a:prstGeom prst="rect">
          <a:avLst/>
        </a:prstGeom>
      </xdr:spPr>
    </xdr:pic>
    <xdr:clientData/>
  </xdr:twoCellAnchor>
  <xdr:twoCellAnchor editAs="oneCell">
    <xdr:from>
      <xdr:col>36</xdr:col>
      <xdr:colOff>13605</xdr:colOff>
      <xdr:row>84</xdr:row>
      <xdr:rowOff>122463</xdr:rowOff>
    </xdr:from>
    <xdr:to>
      <xdr:col>48</xdr:col>
      <xdr:colOff>318146</xdr:colOff>
      <xdr:row>95</xdr:row>
      <xdr:rowOff>153469</xdr:rowOff>
    </xdr:to>
    <xdr:pic>
      <xdr:nvPicPr>
        <xdr:cNvPr id="18" name="Grafik 17">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11"/>
        <a:stretch>
          <a:fillRect/>
        </a:stretch>
      </xdr:blipFill>
      <xdr:spPr>
        <a:xfrm>
          <a:off x="22645957" y="20740278"/>
          <a:ext cx="10334161" cy="1790273"/>
        </a:xfrm>
        <a:prstGeom prst="rect">
          <a:avLst/>
        </a:prstGeom>
      </xdr:spPr>
    </xdr:pic>
    <xdr:clientData/>
  </xdr:twoCellAnchor>
  <xdr:twoCellAnchor editAs="oneCell">
    <xdr:from>
      <xdr:col>50</xdr:col>
      <xdr:colOff>0</xdr:colOff>
      <xdr:row>48</xdr:row>
      <xdr:rowOff>0</xdr:rowOff>
    </xdr:from>
    <xdr:to>
      <xdr:col>60</xdr:col>
      <xdr:colOff>748809</xdr:colOff>
      <xdr:row>77</xdr:row>
      <xdr:rowOff>24411</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2"/>
        <a:stretch>
          <a:fillRect/>
        </a:stretch>
      </xdr:blipFill>
      <xdr:spPr>
        <a:xfrm>
          <a:off x="33299400" y="14859000"/>
          <a:ext cx="9137655" cy="4664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17</xdr:col>
      <xdr:colOff>747346</xdr:colOff>
      <xdr:row>17</xdr:row>
      <xdr:rowOff>0</xdr:rowOff>
    </xdr:from>
    <xdr:to>
      <xdr:col>25</xdr:col>
      <xdr:colOff>663346</xdr:colOff>
      <xdr:row>39</xdr:row>
      <xdr:rowOff>93807</xdr:rowOff>
    </xdr:to>
    <xdr:sp macro="" textlink="">
      <xdr:nvSpPr>
        <xdr:cNvPr id="2" name="Rechteck 1">
          <a:extLst>
            <a:ext uri="{FF2B5EF4-FFF2-40B4-BE49-F238E27FC236}">
              <a16:creationId xmlns:a16="http://schemas.microsoft.com/office/drawing/2014/main" id="{00000000-0008-0000-1500-000002000000}"/>
            </a:ext>
          </a:extLst>
        </xdr:cNvPr>
        <xdr:cNvSpPr/>
      </xdr:nvSpPr>
      <xdr:spPr>
        <a:xfrm>
          <a:off x="12001133" y="2762250"/>
          <a:ext cx="6469200" cy="3665682"/>
        </a:xfrm>
        <a:prstGeom prst="rect">
          <a:avLst/>
        </a:prstGeom>
        <a:solidFill>
          <a:srgbClr val="E3E4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18</xdr:col>
      <xdr:colOff>512884</xdr:colOff>
      <xdr:row>17</xdr:row>
      <xdr:rowOff>65942</xdr:rowOff>
    </xdr:from>
    <xdr:to>
      <xdr:col>24</xdr:col>
      <xdr:colOff>721586</xdr:colOff>
      <xdr:row>38</xdr:row>
      <xdr:rowOff>105665</xdr:rowOff>
    </xdr:to>
    <xdr:graphicFrame macro="">
      <xdr:nvGraphicFramePr>
        <xdr:cNvPr id="3" name="Diagram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41</xdr:row>
      <xdr:rowOff>0</xdr:rowOff>
    </xdr:from>
    <xdr:to>
      <xdr:col>25</xdr:col>
      <xdr:colOff>678000</xdr:colOff>
      <xdr:row>61</xdr:row>
      <xdr:rowOff>93807</xdr:rowOff>
    </xdr:to>
    <xdr:sp macro="" textlink="">
      <xdr:nvSpPr>
        <xdr:cNvPr id="4" name="Rechteck 3">
          <a:extLst>
            <a:ext uri="{FF2B5EF4-FFF2-40B4-BE49-F238E27FC236}">
              <a16:creationId xmlns:a16="http://schemas.microsoft.com/office/drawing/2014/main" id="{00000000-0008-0000-1500-000004000000}"/>
            </a:ext>
          </a:extLst>
        </xdr:cNvPr>
        <xdr:cNvSpPr/>
      </xdr:nvSpPr>
      <xdr:spPr>
        <a:xfrm>
          <a:off x="12068175" y="6667500"/>
          <a:ext cx="6412050" cy="3351357"/>
        </a:xfrm>
        <a:prstGeom prst="rect">
          <a:avLst/>
        </a:prstGeom>
        <a:solidFill>
          <a:srgbClr val="E3E4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18</xdr:col>
      <xdr:colOff>527538</xdr:colOff>
      <xdr:row>41</xdr:row>
      <xdr:rowOff>65942</xdr:rowOff>
    </xdr:from>
    <xdr:to>
      <xdr:col>24</xdr:col>
      <xdr:colOff>731478</xdr:colOff>
      <xdr:row>62</xdr:row>
      <xdr:rowOff>105665</xdr:rowOff>
    </xdr:to>
    <xdr:graphicFrame macro="">
      <xdr:nvGraphicFramePr>
        <xdr:cNvPr id="5" name="Diagramm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64</xdr:row>
      <xdr:rowOff>0</xdr:rowOff>
    </xdr:from>
    <xdr:to>
      <xdr:col>25</xdr:col>
      <xdr:colOff>735150</xdr:colOff>
      <xdr:row>86</xdr:row>
      <xdr:rowOff>103332</xdr:rowOff>
    </xdr:to>
    <xdr:sp macro="" textlink="">
      <xdr:nvSpPr>
        <xdr:cNvPr id="7" name="Rechteck 6">
          <a:extLst>
            <a:ext uri="{FF2B5EF4-FFF2-40B4-BE49-F238E27FC236}">
              <a16:creationId xmlns:a16="http://schemas.microsoft.com/office/drawing/2014/main" id="{00000000-0008-0000-1500-000007000000}"/>
            </a:ext>
          </a:extLst>
        </xdr:cNvPr>
        <xdr:cNvSpPr/>
      </xdr:nvSpPr>
      <xdr:spPr>
        <a:xfrm>
          <a:off x="15306675" y="10429875"/>
          <a:ext cx="6469200" cy="3665682"/>
        </a:xfrm>
        <a:prstGeom prst="rect">
          <a:avLst/>
        </a:prstGeom>
        <a:solidFill>
          <a:srgbClr val="E3E4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18</xdr:col>
      <xdr:colOff>123824</xdr:colOff>
      <xdr:row>64</xdr:row>
      <xdr:rowOff>38100</xdr:rowOff>
    </xdr:from>
    <xdr:to>
      <xdr:col>24</xdr:col>
      <xdr:colOff>815339</xdr:colOff>
      <xdr:row>85</xdr:row>
      <xdr:rowOff>87348</xdr:rowOff>
    </xdr:to>
    <xdr:graphicFrame macro="">
      <xdr:nvGraphicFramePr>
        <xdr:cNvPr id="8" name="Diagramm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KUME~1\IWERNI~1\LOKALE~1\Temp\notes2402E6\EB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enz%20Energy/Kunden/Agora/Steuertool/abbildungen%20A&amp;U.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agrammvorlage_frei_130815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orherige%20Ordner%20bis%202003/Energiebilanzen/EB0506_06_03_2007xl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enz%20Energy/Kunden/Agora/Steuertool/Klimapraemien-Tool_v0-92_OHNE_KENNWORTSCHUTZ.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enz%20Energy/Kunden/Agora/Steuertool/Literatur/moel_amtliche_daten_2019_dezember%20BAF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1-10-19_AGORA-EEG-Rechner_v4_3_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Z2003 Zuordn. der EB"/>
      <sheetName val="Bil  TJ"/>
      <sheetName val="Bil  SKE"/>
      <sheetName val="Bil nat"/>
      <sheetName val="WZ2003_Zuordn__der_EB"/>
      <sheetName val="Bil__TJ"/>
      <sheetName val="Bil__SKE"/>
      <sheetName val="Bil_na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mp;U_mit BEHG 2021"/>
      <sheetName val="Emissionen&amp;Ziele"/>
      <sheetName val="EE-Anteile"/>
      <sheetName val="Energiepreise_HH"/>
      <sheetName val="Energiepreise_HH_klV"/>
      <sheetName val="Energiepreise_HH_klV_allesEEG"/>
      <sheetName val="Energiepreise_HH_grV"/>
      <sheetName val="Energiepreise_HH_grV(2)"/>
      <sheetName val="EU-Vergleich"/>
      <sheetName val="_Strom"/>
      <sheetName val="_Gas"/>
      <sheetName val="_Heizöl"/>
      <sheetName val="_Benzin"/>
      <sheetName val="_Diesel"/>
      <sheetName val="SektorenEnergiepreise"/>
      <sheetName val="Aufkommen_45€"/>
      <sheetName val="Aufkommen_180€"/>
      <sheetName val="Aufkommen_160"/>
      <sheetName val="Aufkommen_142-5€"/>
      <sheetName val="Aufkommen_125€"/>
      <sheetName val="Aufkommen_100€"/>
      <sheetName val="Aufkommen_95€_miV"/>
      <sheetName val="Aufkommen_86-2€_miV"/>
      <sheetName val="Aufkommen_45€_miV (2)"/>
      <sheetName val="Aufkommen_miV"/>
      <sheetName val="A&amp;U"/>
      <sheetName val="A&amp;U_mit BEHG"/>
      <sheetName val="A&amp;U_mit BEHG_E-Mob"/>
      <sheetName val="A&amp;U_mit BEHG-50EUR"/>
      <sheetName val="A&amp;U_mit BEHG-90EUR"/>
      <sheetName val="A&amp;U_KSP2030_10€"/>
      <sheetName val="A&amp;U_KSP2030_25€"/>
      <sheetName val="A&amp;U_KSP2030_55€"/>
      <sheetName val="A&amp;U_klV"/>
      <sheetName val="A&amp;U_miV_389g_86-2€_t"/>
      <sheetName val="A&amp;U_miV_389g_85€_t"/>
      <sheetName val="A&amp;U_miV_470g_45€_t"/>
      <sheetName val="A&amp;U_miV_470g_50€_t"/>
      <sheetName val="A&amp;U_grV_470g_125€_t"/>
      <sheetName val="A&amp;U_grV_369g_142-5€_t"/>
      <sheetName val="A&amp;U_grV_267g_160€_t"/>
      <sheetName val="A&amp;U_klV_alt"/>
      <sheetName val="Straßen-Infrastrukturbeitrag"/>
      <sheetName val="EUA"/>
      <sheetName val="ECarbix2012-2018"/>
      <sheetName val="EUA-Mindestpreis"/>
      <sheetName val="EE_Anteile"/>
      <sheetName val="CO2"/>
      <sheetName val="CO2_KSP-2030"/>
      <sheetName val="CO2_KSP-2030+"/>
      <sheetName val="CO2 in FR"/>
      <sheetName val="A&amp;U_DE"/>
      <sheetName val="A&amp;U_FR_2017"/>
      <sheetName val="A&amp;U_FR_2018"/>
      <sheetName val="A&amp;U_DE_FR_2018-2030"/>
      <sheetName val="Mineralölpreise in FR"/>
      <sheetName val="CO2 in DE"/>
      <sheetName val="Steuern_DE"/>
      <sheetName val="Steuern_DE_Aufkommen"/>
      <sheetName val="BesAR"/>
      <sheetName val="Inflation"/>
      <sheetName val="SpritpreisVola"/>
      <sheetName val="Agorameter"/>
      <sheetName val="CO2-Mindestpreis"/>
      <sheetName val="Titel"/>
      <sheetName val="Erläuterungen"/>
      <sheetName val="Farbzuordnung"/>
      <sheetName val="Seitenvorlage"/>
      <sheetName val="Diagrammvorlagen"/>
      <sheetName val="Blatt 3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AL2">
            <v>2.3555139405632675E-3</v>
          </cell>
        </row>
        <row r="3">
          <cell r="AL3">
            <v>2.6520122989266252E-3</v>
          </cell>
        </row>
        <row r="4">
          <cell r="AL4">
            <v>2.6625349295999997E-3</v>
          </cell>
        </row>
        <row r="5">
          <cell r="AL5">
            <v>2.0136942332211669E-4</v>
          </cell>
        </row>
      </sheetData>
      <sheetData sheetId="58"/>
      <sheetData sheetId="59">
        <row r="13">
          <cell r="E13">
            <v>50.14</v>
          </cell>
          <cell r="K13">
            <v>22594612234.970001</v>
          </cell>
        </row>
        <row r="17">
          <cell r="Q17">
            <v>22594612234.970001</v>
          </cell>
        </row>
      </sheetData>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berechnung"/>
      <sheetName val="Daten"/>
      <sheetName val="Balkendiagramm gestapelt"/>
      <sheetName val="Balkendiagramm gestapelt 100%"/>
      <sheetName val="Balkendiagramm Gruppe"/>
      <sheetName val="Flächendiagramm gestapelt"/>
      <sheetName val="Liniendiagramm"/>
      <sheetName val="Liniendiagramm gestapelt"/>
      <sheetName val="Punktliniendiagramm"/>
      <sheetName val="Punktliniendiagramm gestapelt"/>
      <sheetName val="Säulen gestapelt"/>
      <sheetName val="Säulen gestapelt 100%"/>
      <sheetName val="Säulendiagramm Gruppe"/>
      <sheetName val="Diagrammvorlage_frei_1308151"/>
    </sheetNames>
    <sheetDataSet>
      <sheetData sheetId="0"/>
      <sheetData sheetId="1">
        <row r="10">
          <cell r="B10">
            <v>2005</v>
          </cell>
          <cell r="C10">
            <v>5</v>
          </cell>
          <cell r="D10">
            <v>10</v>
          </cell>
          <cell r="E10">
            <v>15</v>
          </cell>
          <cell r="F10">
            <v>20</v>
          </cell>
          <cell r="G10">
            <v>25</v>
          </cell>
          <cell r="H10">
            <v>30</v>
          </cell>
          <cell r="I10">
            <v>35</v>
          </cell>
          <cell r="J10">
            <v>40</v>
          </cell>
          <cell r="K10">
            <v>45</v>
          </cell>
          <cell r="L10">
            <v>50</v>
          </cell>
        </row>
        <row r="11">
          <cell r="B11">
            <v>2010</v>
          </cell>
          <cell r="C11">
            <v>2</v>
          </cell>
          <cell r="D11">
            <v>4</v>
          </cell>
          <cell r="E11">
            <v>6</v>
          </cell>
          <cell r="F11">
            <v>8</v>
          </cell>
          <cell r="G11">
            <v>10</v>
          </cell>
          <cell r="H11">
            <v>12</v>
          </cell>
          <cell r="I11">
            <v>14</v>
          </cell>
          <cell r="J11">
            <v>16</v>
          </cell>
          <cell r="K11">
            <v>18</v>
          </cell>
          <cell r="L11">
            <v>20</v>
          </cell>
        </row>
        <row r="12">
          <cell r="B12">
            <v>2015</v>
          </cell>
          <cell r="C12">
            <v>3</v>
          </cell>
          <cell r="D12">
            <v>6</v>
          </cell>
          <cell r="E12">
            <v>9</v>
          </cell>
          <cell r="F12">
            <v>12</v>
          </cell>
          <cell r="G12">
            <v>15</v>
          </cell>
          <cell r="H12">
            <v>18</v>
          </cell>
          <cell r="I12">
            <v>21</v>
          </cell>
          <cell r="J12">
            <v>24</v>
          </cell>
          <cell r="K12">
            <v>27</v>
          </cell>
          <cell r="L12">
            <v>30</v>
          </cell>
        </row>
        <row r="13">
          <cell r="B13">
            <v>2020</v>
          </cell>
          <cell r="C13">
            <v>6</v>
          </cell>
          <cell r="D13">
            <v>12</v>
          </cell>
          <cell r="E13">
            <v>18</v>
          </cell>
          <cell r="F13">
            <v>24</v>
          </cell>
          <cell r="G13">
            <v>30</v>
          </cell>
          <cell r="H13">
            <v>36</v>
          </cell>
          <cell r="I13">
            <v>42</v>
          </cell>
          <cell r="J13">
            <v>48</v>
          </cell>
          <cell r="K13">
            <v>54</v>
          </cell>
          <cell r="L13">
            <v>60</v>
          </cell>
        </row>
        <row r="14">
          <cell r="B14">
            <v>2025</v>
          </cell>
          <cell r="C14">
            <v>10</v>
          </cell>
          <cell r="D14">
            <v>10</v>
          </cell>
          <cell r="E14">
            <v>18</v>
          </cell>
          <cell r="F14">
            <v>21.6666666666667</v>
          </cell>
          <cell r="G14">
            <v>25.6666666666667</v>
          </cell>
          <cell r="H14">
            <v>29.6666666666667</v>
          </cell>
          <cell r="I14">
            <v>33.6666666666667</v>
          </cell>
          <cell r="J14">
            <v>37.6666666666667</v>
          </cell>
          <cell r="K14">
            <v>41.6666666666667</v>
          </cell>
          <cell r="L14">
            <v>45.6666666666667</v>
          </cell>
        </row>
        <row r="15">
          <cell r="B15">
            <v>2030</v>
          </cell>
          <cell r="C15">
            <v>3</v>
          </cell>
          <cell r="D15">
            <v>9</v>
          </cell>
          <cell r="E15">
            <v>11</v>
          </cell>
          <cell r="F15">
            <v>15.6666666666667</v>
          </cell>
          <cell r="G15">
            <v>19.6666666666667</v>
          </cell>
          <cell r="H15">
            <v>23.6666666666667</v>
          </cell>
          <cell r="I15">
            <v>27.6666666666667</v>
          </cell>
          <cell r="J15">
            <v>31.6666666666667</v>
          </cell>
          <cell r="K15">
            <v>35.6666666666667</v>
          </cell>
          <cell r="L15">
            <v>39.6666666666667</v>
          </cell>
        </row>
        <row r="16">
          <cell r="B16">
            <v>2035</v>
          </cell>
          <cell r="C16">
            <v>6</v>
          </cell>
          <cell r="D16">
            <v>4</v>
          </cell>
          <cell r="E16">
            <v>6.6</v>
          </cell>
          <cell r="F16">
            <v>6.1333333333333302</v>
          </cell>
          <cell r="G16">
            <v>6.43333333333333</v>
          </cell>
          <cell r="H16">
            <v>6.7333333333333298</v>
          </cell>
          <cell r="I16">
            <v>7.0333333333333297</v>
          </cell>
          <cell r="J16">
            <v>7.3333333333333304</v>
          </cell>
          <cell r="K16">
            <v>7.6333333333333302</v>
          </cell>
          <cell r="L16">
            <v>7.93333333333333</v>
          </cell>
        </row>
        <row r="17">
          <cell r="B17">
            <v>2040</v>
          </cell>
          <cell r="C17">
            <v>4</v>
          </cell>
          <cell r="D17">
            <v>1</v>
          </cell>
          <cell r="E17">
            <v>7</v>
          </cell>
          <cell r="F17">
            <v>7</v>
          </cell>
          <cell r="G17">
            <v>8.5</v>
          </cell>
          <cell r="H17">
            <v>10</v>
          </cell>
          <cell r="I17">
            <v>11.5</v>
          </cell>
          <cell r="J17">
            <v>13</v>
          </cell>
          <cell r="K17">
            <v>14.5</v>
          </cell>
          <cell r="L17">
            <v>16</v>
          </cell>
        </row>
        <row r="18">
          <cell r="B18">
            <v>2045</v>
          </cell>
          <cell r="C18">
            <v>5.78571428571429</v>
          </cell>
          <cell r="D18">
            <v>4.5357142857142803</v>
          </cell>
          <cell r="E18">
            <v>8.1785714285714306</v>
          </cell>
          <cell r="F18">
            <v>8.5595238095238297</v>
          </cell>
          <cell r="G18">
            <v>9.7559523809523601</v>
          </cell>
          <cell r="H18">
            <v>10.952380952381001</v>
          </cell>
          <cell r="I18">
            <v>12.1488095238096</v>
          </cell>
          <cell r="J18">
            <v>13.3452380952381</v>
          </cell>
          <cell r="K18">
            <v>14.5416666666667</v>
          </cell>
          <cell r="L18">
            <v>15.738095238095299</v>
          </cell>
        </row>
        <row r="19">
          <cell r="B19">
            <v>2050</v>
          </cell>
          <cell r="C19">
            <v>5.9880952380952399</v>
          </cell>
          <cell r="D19">
            <v>3.9047619047619002</v>
          </cell>
          <cell r="E19">
            <v>7.5238095238095202</v>
          </cell>
          <cell r="F19">
            <v>7.3412698412698596</v>
          </cell>
          <cell r="G19">
            <v>8.1091269841269593</v>
          </cell>
          <cell r="H19">
            <v>8.8769841269841603</v>
          </cell>
          <cell r="I19">
            <v>9.64484126984126</v>
          </cell>
          <cell r="J19">
            <v>10.4126984126985</v>
          </cell>
          <cell r="K19">
            <v>11.1805555555556</v>
          </cell>
          <cell r="L19">
            <v>11.948412698412801</v>
          </cell>
        </row>
        <row r="20">
          <cell r="B20">
            <v>2055</v>
          </cell>
          <cell r="C20">
            <v>6.1904761904761996</v>
          </cell>
          <cell r="D20">
            <v>3.2738095238095202</v>
          </cell>
          <cell r="E20">
            <v>6.8690476190476204</v>
          </cell>
          <cell r="F20">
            <v>6.1230158730158601</v>
          </cell>
          <cell r="G20">
            <v>6.4623015873015603</v>
          </cell>
          <cell r="H20">
            <v>6.80158730158736</v>
          </cell>
          <cell r="I20">
            <v>7.1408730158730602</v>
          </cell>
          <cell r="J20">
            <v>7.4801587301587604</v>
          </cell>
          <cell r="K20">
            <v>7.81944444444445</v>
          </cell>
          <cell r="L20">
            <v>8.1587301587301599</v>
          </cell>
        </row>
        <row r="21">
          <cell r="B21">
            <v>2060</v>
          </cell>
          <cell r="C21">
            <v>6.3928571428571503</v>
          </cell>
          <cell r="D21">
            <v>2.6428571428571401</v>
          </cell>
          <cell r="E21">
            <v>6.21428571428571</v>
          </cell>
          <cell r="F21">
            <v>4.9047619047619602</v>
          </cell>
          <cell r="G21">
            <v>4.8154761904761596</v>
          </cell>
          <cell r="H21">
            <v>4.7261904761904603</v>
          </cell>
          <cell r="I21">
            <v>4.6369047619047601</v>
          </cell>
          <cell r="J21">
            <v>4.5476190476190599</v>
          </cell>
          <cell r="K21">
            <v>4.4583333333333499</v>
          </cell>
          <cell r="L21">
            <v>4.3690476190476604</v>
          </cell>
        </row>
        <row r="22">
          <cell r="B22">
            <v>2065</v>
          </cell>
          <cell r="C22">
            <v>6.5952380952381002</v>
          </cell>
          <cell r="D22">
            <v>8.5952380952381002</v>
          </cell>
          <cell r="E22">
            <v>10.5952380952381</v>
          </cell>
          <cell r="F22">
            <v>12.5952380952381</v>
          </cell>
          <cell r="G22">
            <v>14.5952380952381</v>
          </cell>
          <cell r="H22">
            <v>16.595238095238098</v>
          </cell>
          <cell r="I22">
            <v>18.595238095238098</v>
          </cell>
          <cell r="J22">
            <v>20.595238095238098</v>
          </cell>
          <cell r="K22">
            <v>22.595238095238098</v>
          </cell>
          <cell r="L22">
            <v>24.595238095238098</v>
          </cell>
        </row>
        <row r="23">
          <cell r="B23">
            <v>2070</v>
          </cell>
          <cell r="C23">
            <v>6.7976190476190501</v>
          </cell>
          <cell r="D23">
            <v>8.7976190476190492</v>
          </cell>
          <cell r="E23">
            <v>10.797619047619101</v>
          </cell>
          <cell r="F23">
            <v>12.797619047619101</v>
          </cell>
          <cell r="G23">
            <v>14.797619047619101</v>
          </cell>
          <cell r="H23">
            <v>16.797619047619101</v>
          </cell>
          <cell r="I23">
            <v>18.797619047619101</v>
          </cell>
          <cell r="J23">
            <v>20.797619047619101</v>
          </cell>
          <cell r="K23">
            <v>22.797619047619101</v>
          </cell>
          <cell r="L23">
            <v>24.797619047619101</v>
          </cell>
        </row>
        <row r="24">
          <cell r="B24">
            <v>2075</v>
          </cell>
          <cell r="C24">
            <v>7.0000000000000098</v>
          </cell>
          <cell r="D24">
            <v>8.0000000000000107</v>
          </cell>
          <cell r="E24">
            <v>9.0000000000000107</v>
          </cell>
          <cell r="F24">
            <v>10</v>
          </cell>
          <cell r="G24">
            <v>11</v>
          </cell>
          <cell r="H24">
            <v>12</v>
          </cell>
          <cell r="I24">
            <v>13</v>
          </cell>
          <cell r="J24">
            <v>14</v>
          </cell>
          <cell r="K24">
            <v>15</v>
          </cell>
          <cell r="L24">
            <v>16</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m1"/>
      <sheetName val="PEV2006engl."/>
      <sheetName val="PEV2006"/>
      <sheetName val="Diagramm4"/>
      <sheetName val="EB0304"/>
      <sheetName val="CO2"/>
      <sheetName val="CO2Grafik"/>
      <sheetName val="Grafik 2001_2002"/>
      <sheetName val="CO2neu+"/>
      <sheetName val="CO2neu+Grafik"/>
      <sheetName val="CO2neu+engl."/>
      <sheetName val="Diagramm2"/>
      <sheetName val="Tabelle3"/>
      <sheetName val="Co2neu"/>
      <sheetName val="Diagramm3"/>
      <sheetName val="Tabelle1"/>
      <sheetName val="Gas-Verbrauch"/>
      <sheetName val="Gasaufkommen"/>
      <sheetName val="Stromerzeugung"/>
      <sheetName val="EB97_Zahlen_für_Grafiken"/>
      <sheetName val="PEV-Anteile-Grafik"/>
      <sheetName val="PEV-Entwicklung"/>
      <sheetName val="PEV je Kopf"/>
      <sheetName val="Preise"/>
      <sheetName val="PEV pro BIP"/>
      <sheetName val="CO2-Emissionen"/>
      <sheetName val="PEV bereinigt"/>
      <sheetName val="Regwind"/>
      <sheetName val="PEV8097"/>
      <sheetName val="Tabelle5"/>
      <sheetName val="Tabelle6"/>
      <sheetName val="Tabelle7"/>
      <sheetName val="Tabelle8"/>
      <sheetName val="Tabelle9"/>
      <sheetName val="Tabelle10"/>
      <sheetName val="Tabelle11"/>
      <sheetName val="Tabelle12"/>
      <sheetName val="Tabelle13"/>
      <sheetName val="Tabelle14"/>
      <sheetName val="Tabelle15"/>
      <sheetName val="Tabelle16"/>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sheetData sheetId="13"/>
      <sheetData sheetId="14" refreshError="1"/>
      <sheetData sheetId="15"/>
      <sheetData sheetId="16" refreshError="1"/>
      <sheetData sheetId="17" refreshError="1"/>
      <sheetData sheetId="18" refreshError="1"/>
      <sheetData sheetId="19">
        <row r="11">
          <cell r="A11" t="str">
            <v>Entwicklung des PEV in Deutschland (in PJ) (EB97PEV1.DOC)</v>
          </cell>
        </row>
        <row r="12">
          <cell r="A12" t="str">
            <v>Wegen Berechnung nach Wirkungsgradmethode vgl. EBWMD.XLS</v>
          </cell>
        </row>
        <row r="13">
          <cell r="C13" t="str">
            <v>Görgen</v>
          </cell>
          <cell r="D13" t="str">
            <v>Diff</v>
          </cell>
        </row>
        <row r="14">
          <cell r="A14">
            <v>1989</v>
          </cell>
          <cell r="B14">
            <v>15.082000000000001</v>
          </cell>
          <cell r="H14">
            <v>15082</v>
          </cell>
        </row>
        <row r="15">
          <cell r="A15">
            <v>1990</v>
          </cell>
          <cell r="B15">
            <v>14.9119104</v>
          </cell>
          <cell r="C15">
            <v>14880</v>
          </cell>
          <cell r="D15">
            <v>14865.0880896</v>
          </cell>
          <cell r="H15">
            <v>14911.910400000001</v>
          </cell>
        </row>
        <row r="16">
          <cell r="A16">
            <v>1991</v>
          </cell>
          <cell r="B16">
            <v>14.610038000000001</v>
          </cell>
          <cell r="C16">
            <v>14572</v>
          </cell>
          <cell r="D16">
            <v>14557.389961999999</v>
          </cell>
          <cell r="H16">
            <v>14610.038</v>
          </cell>
        </row>
        <row r="17">
          <cell r="A17">
            <v>1992</v>
          </cell>
          <cell r="B17">
            <v>14.314027199999998</v>
          </cell>
          <cell r="C17">
            <v>14282</v>
          </cell>
          <cell r="D17">
            <v>14267.6859728</v>
          </cell>
          <cell r="H17">
            <v>14314.027199999999</v>
          </cell>
        </row>
        <row r="18">
          <cell r="A18">
            <v>1993</v>
          </cell>
          <cell r="B18">
            <v>14.305234800000001</v>
          </cell>
          <cell r="C18">
            <v>14273</v>
          </cell>
          <cell r="D18">
            <v>14258.6947652</v>
          </cell>
          <cell r="H18">
            <v>14305.2348</v>
          </cell>
        </row>
        <row r="19">
          <cell r="A19">
            <v>1994</v>
          </cell>
          <cell r="B19">
            <v>14.1528332</v>
          </cell>
          <cell r="C19">
            <v>14141</v>
          </cell>
          <cell r="D19">
            <v>14126.8471668</v>
          </cell>
          <cell r="H19">
            <v>14152.833199999999</v>
          </cell>
        </row>
        <row r="20">
          <cell r="A20" t="str">
            <v>1995*)</v>
          </cell>
          <cell r="B20">
            <v>14.2964424</v>
          </cell>
          <cell r="C20">
            <v>14228</v>
          </cell>
          <cell r="D20">
            <v>14213.7035576</v>
          </cell>
          <cell r="H20">
            <v>14296.4424</v>
          </cell>
        </row>
        <row r="21">
          <cell r="A21" t="str">
            <v>1996*)</v>
          </cell>
          <cell r="B21">
            <v>14.7683012</v>
          </cell>
          <cell r="C21">
            <v>14638</v>
          </cell>
          <cell r="D21">
            <v>14623.2316988</v>
          </cell>
          <cell r="H21">
            <v>14768.3012</v>
          </cell>
        </row>
        <row r="22">
          <cell r="A22" t="str">
            <v>1997*)</v>
          </cell>
          <cell r="B22">
            <v>14.489875199999998</v>
          </cell>
          <cell r="H22">
            <v>14489.875199999999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Wirkung CO2-Preis"/>
      <sheetName val="Tool"/>
      <sheetName val="daten"/>
      <sheetName val="Version"/>
    </sheetNames>
    <sheetDataSet>
      <sheetData sheetId="0"/>
      <sheetData sheetId="1">
        <row r="15">
          <cell r="D15" t="str">
            <v>Partnerschaftsstatus</v>
          </cell>
        </row>
        <row r="16">
          <cell r="D16" t="str">
            <v>Kreistyp nach BBSR</v>
          </cell>
        </row>
        <row r="17">
          <cell r="D17" t="str">
            <v>Einkommensgruppe</v>
          </cell>
        </row>
        <row r="18">
          <cell r="D18" t="str">
            <v>Wärmeenergiebedarf Wohnfläche</v>
          </cell>
        </row>
      </sheetData>
      <sheetData sheetId="2">
        <row r="9">
          <cell r="O9" t="str">
            <v>Tool!O2:P2</v>
          </cell>
        </row>
        <row r="10">
          <cell r="O10" t="str">
            <v>Tool!O3:P3</v>
          </cell>
        </row>
        <row r="11">
          <cell r="O11" t="str">
            <v>Tool!O4:Q4</v>
          </cell>
        </row>
        <row r="12">
          <cell r="O12" t="str">
            <v>Tool!O5:P5</v>
          </cell>
        </row>
        <row r="30">
          <cell r="K30" t="b">
            <v>1</v>
          </cell>
        </row>
        <row r="46">
          <cell r="J46" t="str">
            <v>Tool!J47:J53</v>
          </cell>
          <cell r="M46" t="str">
            <v>Tool!M47:M54</v>
          </cell>
          <cell r="P46" t="str">
            <v>Tool!P47:P53</v>
          </cell>
          <cell r="S46" t="str">
            <v>Tool!S47:S53</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Tab 1"/>
      <sheetName val="Tab 2"/>
      <sheetName val="Tab 3"/>
      <sheetName val="Tab 4"/>
      <sheetName val="Tab 5"/>
      <sheetName val="Tab 5a"/>
      <sheetName val="Tab 5b"/>
      <sheetName val="Tab 5c"/>
      <sheetName val="Tab 5j"/>
      <sheetName val="Tab 6"/>
      <sheetName val="Tab 6a"/>
      <sheetName val="Tab 6b"/>
      <sheetName val="Tab 6c"/>
      <sheetName val="Tab 6j"/>
      <sheetName val="Tab 7"/>
      <sheetName val="Tab 7j"/>
      <sheetName val="Tab 8"/>
      <sheetName val="Tab 9"/>
      <sheetName val="Tab 10"/>
      <sheetName val="Tab 10a"/>
      <sheetName val="Tab 10j"/>
      <sheetName val="Parameter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ow r="13">
          <cell r="K13" t="str">
            <v>Förderung und Zugang von deutschem Rohöl</v>
          </cell>
          <cell r="L13" t="str">
            <v>Inhaltsverzeichnis der "Amtlichen Mineralöldaten"</v>
          </cell>
          <cell r="M13" t="str">
            <v>http://www.bafa.de/DE/Energie/Rohstoffe/Mineraloel/mineraloel_node.html</v>
          </cell>
          <cell r="N13" t="str">
            <v>Aufgrund der abnehmenden Bedeutung der reinen Biokraftstoffe wird ab dem Jahr 2017 auf eine gesonderte Darstellung verzichtet.</v>
          </cell>
          <cell r="O13" t="str">
            <v>Amtliche Mineralöldaten</v>
          </cell>
        </row>
        <row r="14">
          <cell r="K14" t="str">
            <v>Primäraufkommen von Rohöl aus Einfuhr und deutscher Förderung</v>
          </cell>
          <cell r="L14" t="str">
            <v>Hinweis:</v>
          </cell>
          <cell r="O14" t="str">
            <v>für die</v>
          </cell>
        </row>
        <row r="15">
          <cell r="K15" t="str">
            <v>Grenzübergangspreise der Einfuhr von Rohöl nach Ursprungsländern</v>
          </cell>
          <cell r="O15" t="str">
            <v>Bundesrepublik Deutschland</v>
          </cell>
        </row>
        <row r="16">
          <cell r="K16" t="str">
            <v>Verarbeitung von Rohöl und anderen Wiedereinsatzstoffen in Raffinerien</v>
          </cell>
          <cell r="O16" t="str">
            <v>Monat: Dezember 2019</v>
          </cell>
        </row>
        <row r="17">
          <cell r="K17" t="str">
            <v>Gesamtaufkommen von Mineralölprodukten</v>
          </cell>
          <cell r="O17" t="str">
            <v>Die Mineralöldaten können als Excel-Datei im INTERNET abgerufen werden unter:</v>
          </cell>
        </row>
        <row r="18">
          <cell r="K18" t="str">
            <v>Entwicklung der Bruttoraffinerieerzeugung</v>
          </cell>
          <cell r="O18" t="str">
            <v>http://www.bafa.de/bafa/de/</v>
          </cell>
        </row>
        <row r="19">
          <cell r="K19" t="str">
            <v>Entwicklung der Einfuhr</v>
          </cell>
          <cell r="O19" t="str">
            <v>Energie</v>
          </cell>
        </row>
        <row r="20">
          <cell r="K20" t="str">
            <v>Entwicklung der Abgänge zum Wiedereinsatz</v>
          </cell>
          <cell r="O20" t="str">
            <v>Mineralöl</v>
          </cell>
        </row>
        <row r="21">
          <cell r="K21" t="str">
            <v>Gesamtaufkommen von Mineralölprodukten (Jahr)</v>
          </cell>
          <cell r="O21" t="str">
            <v>zum Thema</v>
          </cell>
        </row>
        <row r="22">
          <cell r="K22" t="str">
            <v>Abgänge und Inlandsablieferungen von Mineralölprodukten</v>
          </cell>
          <cell r="O22" t="str">
            <v>Amtliche Mineralöldaten</v>
          </cell>
        </row>
        <row r="23">
          <cell r="K23" t="str">
            <v>Entwicklung der Ausfuhr</v>
          </cell>
          <cell r="O23" t="str">
            <v>oder direkt:</v>
          </cell>
        </row>
        <row r="24">
          <cell r="K24" t="str">
            <v>Entwicklung der Bunkerungen für die internationale Schiffahrt</v>
          </cell>
        </row>
        <row r="25">
          <cell r="K25" t="str">
            <v>Entwicklung der Inlandsablieferungen</v>
          </cell>
        </row>
        <row r="26">
          <cell r="K26" t="str">
            <v>Abgänge und Inlandsablieferungen von Mineralölprodukten</v>
          </cell>
        </row>
        <row r="27">
          <cell r="K27" t="str">
            <v>Inlandsablieferungen nach ausgewählten Verwendungssektoren</v>
          </cell>
        </row>
        <row r="28">
          <cell r="K28" t="str">
            <v>Inlandsablieferungen nach ausgewählten Verwendungssektoren (Jahr)</v>
          </cell>
        </row>
        <row r="29">
          <cell r="K29" t="str">
            <v>Eigentumsendbestand im In- und Ausland</v>
          </cell>
        </row>
        <row r="30">
          <cell r="K30" t="str">
            <v>Aufkommen zum Inlandsverbrauch an Otto- und Dieselkraftstoffen</v>
          </cell>
        </row>
        <row r="31">
          <cell r="K31" t="str">
            <v>Raffinerieerzeugung, Einfuhr, Ausfuhr und Inlandsablieferungen von Schmierstoffen</v>
          </cell>
        </row>
        <row r="32">
          <cell r="K32" t="str">
            <v>Entwicklung der Inlandsablieferungen von Schmierstoffen</v>
          </cell>
        </row>
        <row r="33">
          <cell r="K33" t="str">
            <v>Raffinerieerzeugung, Einfuhr, Ausfuhr und Inlandsablieferungen von Schmierstoffen (Jahr)</v>
          </cell>
        </row>
        <row r="34">
          <cell r="K34" t="str">
            <v>zurück zum Inhaltsverzeichnis</v>
          </cell>
        </row>
        <row r="35">
          <cell r="K35" t="str">
            <v>Zum Inhaltsverzeichnis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Experte"/>
      <sheetName val="ControlPanel"/>
      <sheetName val="Parameter-Entscheider"/>
      <sheetName val="Start"/>
      <sheetName val="Ergebnisse"/>
      <sheetName val="Manual"/>
      <sheetName val="Impressum"/>
      <sheetName val="Interface EEG-CO2-Preis-Rechner"/>
      <sheetName val="Index"/>
      <sheetName val="IndexComplete"/>
      <sheetName val="MOD-Berechnungen"/>
      <sheetName val="MOD-Jahresgang"/>
      <sheetName val="GrD-Grafikdaten"/>
      <sheetName val="GrD-Grafikdaten (2)"/>
      <sheetName val="MOD_Absenkung_Wind_offshore"/>
      <sheetName val="D-Vergütungssatz Neuanlagen"/>
      <sheetName val="D-Bruttozubau"/>
      <sheetName val="D-Standardauslastung"/>
      <sheetName val="D-Dargebotsfaktor"/>
      <sheetName val="D-Spot-Skalierungsfaktor"/>
      <sheetName val="D-Profilfaktoren"/>
      <sheetName val="D-Dauer Goldenes Ende"/>
      <sheetName val="D-Future Strompreis"/>
      <sheetName val="D-Liquiditätspuffer"/>
      <sheetName val="D-Nettostromverbrauch"/>
      <sheetName val="D-Privilegierter Letztverbrauch"/>
      <sheetName val="D-Umlage priv. Letztverbrauch"/>
      <sheetName val="D-Faktor Zusatzprivilegierung"/>
      <sheetName val="D-Umlage EV Bestand"/>
      <sheetName val="D-Eigenverbrauch KWK Neue"/>
      <sheetName val="D-Umlage Eigenverbrauch PV+KWK"/>
      <sheetName val="D-vermiedene Netzentgelte"/>
      <sheetName val="D-Sonstige Kosten"/>
      <sheetName val="D-Inflationsrate"/>
      <sheetName val="D-Prognosefehler Kontostand"/>
      <sheetName val="D-Kontostand aktuelles Jahr"/>
      <sheetName val="D-Anteil Eigenverbrauch EE neu"/>
      <sheetName val="D-Zuschuss"/>
      <sheetName val="D-Strommenge ges."/>
      <sheetName val="D-Strommenge FV+DM"/>
      <sheetName val="D-Mittlerer Vergütungssatz"/>
      <sheetName val="D-Kontostand Vorjahr"/>
      <sheetName val="D-Bestand Kapazität"/>
      <sheetName val="D-Bestand Strommenge"/>
      <sheetName val="D-Bestand Zahlungen"/>
      <sheetName val="Nebenrechnung_Bestand Zahlungen"/>
      <sheetName val="D-Grünstromprivileg"/>
      <sheetName val="D-Eigenverbrauch fossil Bestand"/>
      <sheetName val="D-Eigenverbrauch fossile Neue"/>
      <sheetName val="D-Eigenverbrauch EE-Bestand"/>
      <sheetName val="D-Umlagereduktion Grünstrom"/>
      <sheetName val="D-Umlage Eigenverb fossile Neue"/>
      <sheetName val="D-Vergütung Eigenverbrauch"/>
      <sheetName val="D-Managementprämie_Bestand"/>
      <sheetName val="D-Netzverl. u. KW-Eigenverbr."/>
      <sheetName val="D-Kapazitäten 2009"/>
      <sheetName val="D-Rückbau vor 2015"/>
      <sheetName val="D-EE-Kapazitäten nicht EEG"/>
      <sheetName val="D-EE-Strommengen nicht EEG"/>
      <sheetName val="D-Profilfaktoren_Marktprämie"/>
    </sheetNames>
    <sheetDataSet>
      <sheetData sheetId="0"/>
      <sheetData sheetId="1">
        <row r="13">
          <cell r="R13" t="str">
            <v>ct/kWh</v>
          </cell>
        </row>
      </sheetData>
      <sheetData sheetId="2"/>
      <sheetData sheetId="3"/>
      <sheetData sheetId="4"/>
      <sheetData sheetId="5"/>
      <sheetData sheetId="6"/>
      <sheetData sheetId="7">
        <row r="2">
          <cell r="B2">
            <v>46.28</v>
          </cell>
          <cell r="C2">
            <v>49.34</v>
          </cell>
          <cell r="D2">
            <v>40.74</v>
          </cell>
          <cell r="E2">
            <v>78.400000000000006</v>
          </cell>
          <cell r="F2">
            <v>87.52</v>
          </cell>
          <cell r="G2">
            <v>72.53</v>
          </cell>
          <cell r="H2">
            <v>71.599999999999994</v>
          </cell>
          <cell r="I2">
            <v>70.62</v>
          </cell>
          <cell r="J2">
            <v>70.350000000000009</v>
          </cell>
          <cell r="K2">
            <v>69.61</v>
          </cell>
          <cell r="L2">
            <v>68.930000000000007</v>
          </cell>
          <cell r="M2">
            <v>68.58</v>
          </cell>
        </row>
        <row r="3">
          <cell r="B3">
            <v>33.464938749090436</v>
          </cell>
          <cell r="C3">
            <v>34.398569474325541</v>
          </cell>
          <cell r="D3">
            <v>34.61805086481364</v>
          </cell>
          <cell r="E3">
            <v>34.697183108450091</v>
          </cell>
          <cell r="F3">
            <v>35.455720496055164</v>
          </cell>
          <cell r="G3">
            <v>35.308451646295246</v>
          </cell>
          <cell r="H3">
            <v>35.15523805144317</v>
          </cell>
          <cell r="I3">
            <v>34.671839365519773</v>
          </cell>
          <cell r="J3">
            <v>34.167285981413627</v>
          </cell>
          <cell r="K3">
            <v>34.500041096335032</v>
          </cell>
          <cell r="L3">
            <v>35.065699405544883</v>
          </cell>
          <cell r="M3">
            <v>35.009676263274898</v>
          </cell>
        </row>
        <row r="4">
          <cell r="B4">
            <v>6.406581826229905</v>
          </cell>
          <cell r="C4">
            <v>6.7581163138201807</v>
          </cell>
          <cell r="D4">
            <v>6.5036153637169205</v>
          </cell>
          <cell r="E4">
            <v>3.7231670924852507</v>
          </cell>
          <cell r="F4">
            <v>2.095492877959245</v>
          </cell>
          <cell r="G4">
            <v>3.7592521867563322</v>
          </cell>
          <cell r="H4">
            <v>3.3143821163530625</v>
          </cell>
          <cell r="I4">
            <v>3.0619651489356081</v>
          </cell>
          <cell r="J4">
            <v>2.6407586810275125</v>
          </cell>
          <cell r="K4">
            <v>2.40952454582755</v>
          </cell>
          <cell r="L4">
            <v>2.1634759801156136</v>
          </cell>
          <cell r="M4">
            <v>1.8235293723054842</v>
          </cell>
        </row>
        <row r="5">
          <cell r="B5">
            <v>354.66726129538745</v>
          </cell>
          <cell r="C5">
            <v>355.83902681963139</v>
          </cell>
          <cell r="D5">
            <v>344.3843929356766</v>
          </cell>
          <cell r="E5">
            <v>350.42800896001148</v>
          </cell>
          <cell r="F5">
            <v>371.98305183262374</v>
          </cell>
          <cell r="G5">
            <v>370.45645976167816</v>
          </cell>
          <cell r="H5">
            <v>368.92514154746465</v>
          </cell>
          <cell r="I5">
            <v>377.35237970844804</v>
          </cell>
          <cell r="J5">
            <v>385.93925385280187</v>
          </cell>
          <cell r="K5">
            <v>394.49783228506408</v>
          </cell>
          <cell r="L5">
            <v>403.12228721558375</v>
          </cell>
          <cell r="M5">
            <v>411.83077631498293</v>
          </cell>
        </row>
        <row r="6">
          <cell r="B6">
            <v>24.881022321186435</v>
          </cell>
          <cell r="C6">
            <v>24.294834018302296</v>
          </cell>
          <cell r="D6">
            <v>26.470038192870835</v>
          </cell>
          <cell r="E6">
            <v>19.851403767705154</v>
          </cell>
          <cell r="F6">
            <v>15.884343384499422</v>
          </cell>
          <cell r="G6">
            <v>18.565521856265043</v>
          </cell>
          <cell r="H6">
            <v>18.718415307127632</v>
          </cell>
          <cell r="I6">
            <v>17.620286107339151</v>
          </cell>
          <cell r="J6">
            <v>16.272586335897191</v>
          </cell>
          <cell r="K6">
            <v>15.548940831905711</v>
          </cell>
          <cell r="L6">
            <v>14.768292739920918</v>
          </cell>
          <cell r="M6">
            <v>13.581087485559118</v>
          </cell>
        </row>
        <row r="7">
          <cell r="B7">
            <v>1.492861339271186</v>
          </cell>
          <cell r="C7">
            <v>1.9435867214641838</v>
          </cell>
          <cell r="D7">
            <v>2.6470038192870837</v>
          </cell>
          <cell r="E7">
            <v>0.99257018838525779</v>
          </cell>
          <cell r="F7">
            <v>0.95306060306996532</v>
          </cell>
          <cell r="G7">
            <v>1.1139313113759026</v>
          </cell>
          <cell r="H7">
            <v>1.1231049184276578</v>
          </cell>
          <cell r="I7">
            <v>1.0572171664403491</v>
          </cell>
          <cell r="J7">
            <v>0.97635518015383149</v>
          </cell>
          <cell r="K7">
            <v>0.93293644991434255</v>
          </cell>
          <cell r="L7">
            <v>0.886097564395255</v>
          </cell>
          <cell r="M7">
            <v>0.81486524913354708</v>
          </cell>
        </row>
        <row r="8">
          <cell r="B8">
            <v>3.6518353547200002</v>
          </cell>
          <cell r="C8">
            <v>2.19040541733</v>
          </cell>
          <cell r="D8">
            <v>-4.0803942770500008</v>
          </cell>
          <cell r="E8">
            <v>4.5469536436400002</v>
          </cell>
          <cell r="F8">
            <v>5.9425256292013113</v>
          </cell>
          <cell r="G8">
            <v>0.95306060306996665</v>
          </cell>
          <cell r="H8">
            <v>1.1139313113759015</v>
          </cell>
          <cell r="I8">
            <v>1.1231049184276589</v>
          </cell>
          <cell r="J8">
            <v>1.0572171664403509</v>
          </cell>
          <cell r="K8">
            <v>0.97635518015383305</v>
          </cell>
          <cell r="L8">
            <v>0.93293644991434377</v>
          </cell>
          <cell r="M8">
            <v>0.88609756439525533</v>
          </cell>
        </row>
        <row r="9">
          <cell r="B9">
            <v>0</v>
          </cell>
          <cell r="C9">
            <v>0</v>
          </cell>
          <cell r="D9">
            <v>10.8</v>
          </cell>
          <cell r="E9">
            <v>3.25</v>
          </cell>
          <cell r="F9">
            <v>3.1</v>
          </cell>
          <cell r="G9">
            <v>4.8</v>
          </cell>
          <cell r="H9">
            <v>6.5</v>
          </cell>
          <cell r="I9">
            <v>6</v>
          </cell>
          <cell r="J9">
            <v>6</v>
          </cell>
          <cell r="K9">
            <v>6</v>
          </cell>
          <cell r="L9">
            <v>6</v>
          </cell>
          <cell r="M9">
            <v>6</v>
          </cell>
        </row>
        <row r="10">
          <cell r="B10">
            <v>22.722048305737623</v>
          </cell>
          <cell r="C10">
            <v>24.048015322436477</v>
          </cell>
          <cell r="D10">
            <v>22.397436289207914</v>
          </cell>
          <cell r="E10">
            <v>13.047020312450414</v>
          </cell>
          <cell r="F10">
            <v>7.7948783583680772</v>
          </cell>
          <cell r="G10">
            <v>13.926392564570978</v>
          </cell>
          <cell r="H10">
            <v>12.227588914179389</v>
          </cell>
          <cell r="I10">
            <v>11.554398355351843</v>
          </cell>
          <cell r="J10">
            <v>10.191724349610674</v>
          </cell>
          <cell r="K10">
            <v>9.5055221016662212</v>
          </cell>
          <cell r="L10">
            <v>8.7214538544018296</v>
          </cell>
          <cell r="M10">
            <v>7.5098551702974099</v>
          </cell>
        </row>
        <row r="13">
          <cell r="B13">
            <v>6.406581826229905</v>
          </cell>
          <cell r="C13">
            <v>6.7581163138201807</v>
          </cell>
          <cell r="D13">
            <v>6.5036153637169205</v>
          </cell>
          <cell r="E13">
            <v>3.7231670924852507</v>
          </cell>
          <cell r="F13">
            <v>2.095492877959245</v>
          </cell>
          <cell r="G13">
            <v>3.7592521867563322</v>
          </cell>
          <cell r="H13">
            <v>3.3143821163530625</v>
          </cell>
          <cell r="I13">
            <v>3.0619651489356081</v>
          </cell>
          <cell r="J13">
            <v>2.6407586810275125</v>
          </cell>
          <cell r="K13">
            <v>2.40952454582755</v>
          </cell>
          <cell r="L13">
            <v>2.1634759801156136</v>
          </cell>
          <cell r="M13">
            <v>1.8235293723054842</v>
          </cell>
        </row>
        <row r="16">
          <cell r="B16" t="str">
            <v>KNDE 2045</v>
          </cell>
        </row>
        <row r="17">
          <cell r="B17" t="str">
            <v>Referenz</v>
          </cell>
        </row>
        <row r="18">
          <cell r="B18" t="str">
            <v>Referenz</v>
          </cell>
        </row>
      </sheetData>
      <sheetData sheetId="8"/>
      <sheetData sheetId="9"/>
      <sheetData sheetId="10">
        <row r="7">
          <cell r="F7">
            <v>53.650480000000002</v>
          </cell>
          <cell r="G7">
            <v>50.739089999999997</v>
          </cell>
          <cell r="H7">
            <v>55.22</v>
          </cell>
          <cell r="I7">
            <v>51.15</v>
          </cell>
          <cell r="J7">
            <v>41.45</v>
          </cell>
          <cell r="K7">
            <v>35.67</v>
          </cell>
          <cell r="L7">
            <v>31.26</v>
          </cell>
          <cell r="M7">
            <v>26.75</v>
          </cell>
          <cell r="N7">
            <v>32.22</v>
          </cell>
          <cell r="O7">
            <v>46.28</v>
          </cell>
          <cell r="P7">
            <v>49.34</v>
          </cell>
          <cell r="Q7">
            <v>40.74</v>
          </cell>
        </row>
      </sheetData>
      <sheetData sheetId="11"/>
      <sheetData sheetId="12">
        <row r="104">
          <cell r="F104">
            <v>2.0469999999999997</v>
          </cell>
          <cell r="G104">
            <v>3.5300000000000007</v>
          </cell>
          <cell r="H104">
            <v>3.5920000000000005</v>
          </cell>
          <cell r="I104">
            <v>5.2769999999999992</v>
          </cell>
          <cell r="J104">
            <v>6.2399999999999993</v>
          </cell>
          <cell r="K104">
            <v>6.1695706877643843</v>
          </cell>
          <cell r="L104">
            <v>6.3382686397238945</v>
          </cell>
          <cell r="M104">
            <v>6.8602264368703567</v>
          </cell>
          <cell r="N104">
            <v>6.7788048363237206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eDaten_1" connectionId="1" xr16:uid="{0E7720C8-08A9-4A65-8884-4A5B0A2DB57B}" autoFormatId="16" applyNumberFormats="0" applyBorderFormats="0" applyFontFormats="0" applyPatternFormats="0" applyAlignmentFormats="0" applyWidthHeightFormats="0">
  <queryTableRefresh nextId="2">
    <queryTableFields count="1">
      <queryTableField id="1" name="Spalte1"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eDaten_2" connectionId="2" xr16:uid="{3BD1F7B3-130F-4BB8-9774-EB7A66168C16}" autoFormatId="16" applyNumberFormats="0" applyBorderFormats="0" applyFontFormats="0" applyPatternFormats="0" applyAlignmentFormats="0" applyWidthHeightFormats="0">
  <queryTableRefresh nextId="2">
    <queryTableFields count="1">
      <queryTableField id="1" name="Spalte1"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1189F9-F527-40CD-BF13-B1440B51FE3F}" name="Tabelle5_2" displayName="Tabelle5_2" ref="A1:A17" tableType="queryTable" totalsRowShown="0">
  <autoFilter ref="A1:A17" xr:uid="{5A464116-6526-4443-8325-97B8FBBFBEDE}"/>
  <tableColumns count="1">
    <tableColumn id="1" xr3:uid="{39C1CD84-2C97-4D97-B219-DADFAA77C5B3}" uniqueName="1" name="Spalte1" queryTableFieldId="1" dataDxf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CD5983F-0A37-4A37-BF7D-C4291065A81B}" name="Tabelle5_22" displayName="Tabelle5_22" ref="C1:C8" tableType="queryTable" totalsRowShown="0">
  <autoFilter ref="C1:C8" xr:uid="{B791DAA8-C88B-4E73-B8E8-1F4842F4D298}"/>
  <tableColumns count="1">
    <tableColumn id="1" xr3:uid="{538C378E-C82A-46F9-879D-AFFBFB633CBB}" uniqueName="1" name="Spalte1" queryTableFieldId="1" dataDxfId="0"/>
  </tableColumns>
  <tableStyleInfo name="TableStyleMedium7" showFirstColumn="0" showLastColumn="0" showRowStripes="1" showColumnStripes="0"/>
</table>
</file>

<file path=xl/theme/theme1.xml><?xml version="1.0" encoding="utf-8"?>
<a:theme xmlns:a="http://schemas.openxmlformats.org/drawingml/2006/main" name="Agora-EW_Excel">
  <a:themeElements>
    <a:clrScheme name="Agora 1">
      <a:dk1>
        <a:sysClr val="windowText" lastClr="000000"/>
      </a:dk1>
      <a:lt1>
        <a:sysClr val="window" lastClr="FFFFFF"/>
      </a:lt1>
      <a:dk2>
        <a:srgbClr val="000000"/>
      </a:dk2>
      <a:lt2>
        <a:srgbClr val="FFFFFF"/>
      </a:lt2>
      <a:accent1>
        <a:srgbClr val="733E88"/>
      </a:accent1>
      <a:accent2>
        <a:srgbClr val="D05094"/>
      </a:accent2>
      <a:accent3>
        <a:srgbClr val="64B9E4"/>
      </a:accent3>
      <a:accent4>
        <a:srgbClr val="1E83B3"/>
      </a:accent4>
      <a:accent5>
        <a:srgbClr val="48A8AE"/>
      </a:accent5>
      <a:accent6>
        <a:srgbClr val="8393BE"/>
      </a:accent6>
      <a:hlink>
        <a:srgbClr val="000000"/>
      </a:hlink>
      <a:folHlink>
        <a:srgbClr val="000000"/>
      </a:folHlink>
    </a:clrScheme>
    <a:fontScheme name="Ago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hyperlink" Target="http://www.agora-energiewende.de/" TargetMode="External"/><Relationship Id="rId1" Type="http://schemas.openxmlformats.org/officeDocument/2006/relationships/hyperlink" Target="mailto:info@agora-energiewende.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hyperlink" Target="https://www.mwv.de/statistiken/mineraloelabsatz/" TargetMode="External"/></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1.bin"/><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2.bin"/><Relationship Id="rId1" Type="http://schemas.openxmlformats.org/officeDocument/2006/relationships/printerSettings" Target="../printerSettings/printerSettings3.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425DC-431C-4FB4-A68F-CF0DC315B978}">
  <sheetPr codeName="Tabelle1">
    <tabColor rgb="FFB5B8C7"/>
  </sheetPr>
  <dimension ref="B2:O36"/>
  <sheetViews>
    <sheetView tabSelected="1" workbookViewId="0"/>
  </sheetViews>
  <sheetFormatPr baseColWidth="10" defaultRowHeight="14.25"/>
  <cols>
    <col min="1" max="1" width="2.5" style="182" customWidth="1"/>
    <col min="2" max="2" width="2.25" style="182" customWidth="1"/>
    <col min="3" max="12" width="11" style="182"/>
    <col min="13" max="13" width="13.875" style="182" customWidth="1"/>
    <col min="14" max="14" width="2.25" style="182" customWidth="1"/>
    <col min="15" max="16384" width="11" style="182"/>
  </cols>
  <sheetData>
    <row r="2" spans="2:15" ht="21.75" customHeight="1">
      <c r="B2" s="236"/>
      <c r="C2" s="236"/>
      <c r="D2" s="236"/>
      <c r="E2" s="236"/>
      <c r="F2" s="236"/>
      <c r="G2" s="236"/>
      <c r="H2" s="236"/>
      <c r="I2" s="236"/>
      <c r="J2" s="236"/>
      <c r="K2" s="236"/>
      <c r="L2" s="236"/>
      <c r="M2" s="236"/>
      <c r="N2" s="236"/>
      <c r="O2" s="244"/>
    </row>
    <row r="3" spans="2:15" ht="21.75" customHeight="1">
      <c r="B3" s="236"/>
      <c r="C3" s="238"/>
      <c r="D3" s="236"/>
      <c r="E3" s="236"/>
      <c r="F3" s="236"/>
      <c r="G3" s="236"/>
      <c r="H3" s="236"/>
      <c r="I3" s="236"/>
      <c r="J3" s="236"/>
      <c r="K3" s="236"/>
      <c r="L3" s="236"/>
      <c r="M3" s="236"/>
      <c r="N3" s="236"/>
      <c r="O3" s="244"/>
    </row>
    <row r="4" spans="2:15" ht="18.75">
      <c r="B4" s="236"/>
      <c r="C4" s="241" t="s">
        <v>512</v>
      </c>
      <c r="D4" s="236"/>
      <c r="E4" s="236"/>
      <c r="F4" s="236"/>
      <c r="G4" s="236"/>
      <c r="H4" s="236"/>
      <c r="I4" s="236"/>
      <c r="J4" s="236"/>
      <c r="K4" s="236"/>
      <c r="L4" s="236"/>
      <c r="M4" s="236"/>
      <c r="N4" s="236"/>
      <c r="O4" s="244"/>
    </row>
    <row r="5" spans="2:15">
      <c r="B5" s="236"/>
      <c r="C5" s="236"/>
      <c r="D5" s="236"/>
      <c r="E5" s="236"/>
      <c r="F5" s="236"/>
      <c r="G5" s="236"/>
      <c r="H5" s="236"/>
      <c r="I5" s="236"/>
      <c r="J5" s="236"/>
      <c r="K5" s="236"/>
      <c r="L5" s="236"/>
      <c r="M5" s="236"/>
      <c r="N5" s="236"/>
      <c r="O5" s="244"/>
    </row>
    <row r="6" spans="2:15">
      <c r="B6" s="236"/>
      <c r="C6" s="236"/>
      <c r="D6" s="236"/>
      <c r="E6" s="236"/>
      <c r="F6" s="236"/>
      <c r="G6" s="236"/>
      <c r="H6" s="236"/>
      <c r="I6" s="236"/>
      <c r="J6" s="236"/>
      <c r="K6" s="236"/>
      <c r="L6" s="236"/>
      <c r="M6" s="236"/>
      <c r="N6" s="236"/>
      <c r="O6" s="244"/>
    </row>
    <row r="7" spans="2:15">
      <c r="B7" s="236"/>
      <c r="C7" s="236"/>
      <c r="D7" s="236"/>
      <c r="E7" s="236"/>
      <c r="F7" s="236"/>
      <c r="G7" s="236"/>
      <c r="H7" s="236"/>
      <c r="I7" s="236"/>
      <c r="J7" s="236"/>
      <c r="K7" s="236"/>
      <c r="L7" s="236"/>
      <c r="M7" s="236"/>
      <c r="N7" s="236"/>
      <c r="O7" s="244"/>
    </row>
    <row r="8" spans="2:15">
      <c r="B8" s="236"/>
      <c r="C8" s="236"/>
      <c r="D8" s="236"/>
      <c r="E8" s="236"/>
      <c r="F8" s="236"/>
      <c r="G8" s="236"/>
      <c r="H8" s="236"/>
      <c r="I8" s="236"/>
      <c r="J8" s="236"/>
      <c r="K8" s="236"/>
      <c r="L8" s="236"/>
      <c r="M8" s="236"/>
      <c r="N8" s="236"/>
      <c r="O8" s="244"/>
    </row>
    <row r="9" spans="2:15">
      <c r="B9" s="236"/>
      <c r="C9" s="236"/>
      <c r="D9" s="236"/>
      <c r="E9" s="236"/>
      <c r="F9" s="236"/>
      <c r="G9" s="236"/>
      <c r="H9" s="236"/>
      <c r="I9" s="236"/>
      <c r="J9" s="236"/>
      <c r="K9" s="236"/>
      <c r="L9" s="236"/>
      <c r="M9" s="236"/>
      <c r="N9" s="236"/>
      <c r="O9" s="244"/>
    </row>
    <row r="10" spans="2:15">
      <c r="B10" s="236"/>
      <c r="C10" s="236"/>
      <c r="D10" s="236"/>
      <c r="E10" s="236"/>
      <c r="F10" s="236"/>
      <c r="G10" s="236"/>
      <c r="H10" s="236"/>
      <c r="I10" s="236"/>
      <c r="J10" s="236"/>
      <c r="K10" s="236"/>
      <c r="L10" s="236"/>
      <c r="M10" s="236"/>
      <c r="N10" s="236"/>
      <c r="O10" s="244"/>
    </row>
    <row r="11" spans="2:15">
      <c r="B11" s="236"/>
      <c r="C11" s="236"/>
      <c r="D11" s="236"/>
      <c r="E11" s="236"/>
      <c r="F11" s="236"/>
      <c r="G11" s="236"/>
      <c r="H11" s="236"/>
      <c r="I11" s="236"/>
      <c r="J11" s="236"/>
      <c r="K11" s="236"/>
      <c r="L11" s="236"/>
      <c r="M11" s="236"/>
      <c r="N11" s="236"/>
      <c r="O11" s="244"/>
    </row>
    <row r="12" spans="2:15">
      <c r="B12" s="236"/>
      <c r="C12" s="236"/>
      <c r="D12" s="236"/>
      <c r="E12" s="236"/>
      <c r="F12" s="236"/>
      <c r="G12" s="236"/>
      <c r="H12" s="236"/>
      <c r="I12" s="236"/>
      <c r="J12" s="236"/>
      <c r="K12" s="236"/>
      <c r="L12" s="236"/>
      <c r="M12" s="236"/>
      <c r="N12" s="236"/>
      <c r="O12" s="244"/>
    </row>
    <row r="13" spans="2:15">
      <c r="B13" s="236"/>
      <c r="C13" s="236"/>
      <c r="D13" s="236"/>
      <c r="E13" s="236"/>
      <c r="F13" s="236"/>
      <c r="G13" s="236"/>
      <c r="H13" s="236"/>
      <c r="I13" s="236"/>
      <c r="J13" s="236"/>
      <c r="K13" s="236"/>
      <c r="L13" s="236"/>
      <c r="M13" s="236"/>
      <c r="N13" s="236"/>
      <c r="O13" s="244"/>
    </row>
    <row r="14" spans="2:15">
      <c r="B14" s="236"/>
      <c r="C14" s="236"/>
      <c r="D14" s="236"/>
      <c r="E14" s="236"/>
      <c r="F14" s="236"/>
      <c r="G14" s="236"/>
      <c r="H14" s="236"/>
      <c r="I14" s="236"/>
      <c r="J14" s="236"/>
      <c r="K14" s="236"/>
      <c r="L14" s="236"/>
      <c r="M14" s="236"/>
      <c r="N14" s="236"/>
      <c r="O14" s="244"/>
    </row>
    <row r="15" spans="2:15">
      <c r="B15" s="236"/>
      <c r="C15" s="236"/>
      <c r="D15" s="236"/>
      <c r="E15" s="236"/>
      <c r="F15" s="236"/>
      <c r="G15" s="236"/>
      <c r="H15" s="236"/>
      <c r="I15" s="236"/>
      <c r="J15" s="236"/>
      <c r="K15" s="236"/>
      <c r="L15" s="236"/>
      <c r="M15" s="236"/>
      <c r="N15" s="236"/>
      <c r="O15" s="244"/>
    </row>
    <row r="16" spans="2:15">
      <c r="B16" s="236"/>
      <c r="C16" s="236"/>
      <c r="D16" s="236"/>
      <c r="E16" s="236"/>
      <c r="F16" s="236"/>
      <c r="G16" s="236"/>
      <c r="H16" s="236"/>
      <c r="I16" s="236"/>
      <c r="J16" s="236"/>
      <c r="K16" s="236"/>
      <c r="L16" s="236"/>
      <c r="M16" s="236"/>
      <c r="N16" s="236"/>
      <c r="O16" s="244"/>
    </row>
    <row r="17" spans="2:15">
      <c r="B17" s="236"/>
      <c r="C17" s="236"/>
      <c r="D17" s="236"/>
      <c r="E17" s="236"/>
      <c r="F17" s="236"/>
      <c r="G17" s="236"/>
      <c r="H17" s="236"/>
      <c r="I17" s="236"/>
      <c r="J17" s="236"/>
      <c r="K17" s="236"/>
      <c r="L17" s="236"/>
      <c r="M17" s="236"/>
      <c r="N17" s="236"/>
      <c r="O17" s="244"/>
    </row>
    <row r="18" spans="2:15">
      <c r="B18" s="236"/>
      <c r="C18" s="236"/>
      <c r="D18" s="236"/>
      <c r="E18" s="236"/>
      <c r="F18" s="236"/>
      <c r="G18" s="236"/>
      <c r="H18" s="236"/>
      <c r="I18" s="236"/>
      <c r="J18" s="236"/>
      <c r="K18" s="236"/>
      <c r="L18" s="236"/>
      <c r="M18" s="236"/>
      <c r="N18" s="236"/>
      <c r="O18" s="244"/>
    </row>
    <row r="19" spans="2:15">
      <c r="B19" s="236"/>
      <c r="C19" s="236"/>
      <c r="D19" s="236"/>
      <c r="E19" s="236"/>
      <c r="F19" s="236"/>
      <c r="G19" s="236"/>
      <c r="H19" s="236"/>
      <c r="I19" s="236"/>
      <c r="J19" s="236"/>
      <c r="K19" s="236"/>
      <c r="L19" s="236"/>
      <c r="M19" s="236"/>
      <c r="N19" s="236"/>
      <c r="O19" s="244"/>
    </row>
    <row r="20" spans="2:15">
      <c r="B20" s="236"/>
      <c r="C20" s="236"/>
      <c r="D20" s="236"/>
      <c r="E20" s="236"/>
      <c r="F20" s="236"/>
      <c r="G20" s="236"/>
      <c r="H20" s="236"/>
      <c r="I20" s="236"/>
      <c r="J20" s="236"/>
      <c r="K20" s="236"/>
      <c r="L20" s="236"/>
      <c r="M20" s="236"/>
      <c r="N20" s="236"/>
      <c r="O20" s="244"/>
    </row>
    <row r="21" spans="2:15">
      <c r="B21" s="236"/>
      <c r="C21" s="242" t="s">
        <v>472</v>
      </c>
      <c r="D21" s="236"/>
      <c r="E21" s="239" t="s">
        <v>473</v>
      </c>
      <c r="F21" s="236"/>
      <c r="G21" s="236"/>
      <c r="H21" s="236"/>
      <c r="I21" s="236"/>
      <c r="J21" s="236"/>
      <c r="K21" s="236"/>
      <c r="L21" s="236"/>
      <c r="M21" s="236"/>
      <c r="N21" s="236"/>
      <c r="O21" s="244"/>
    </row>
    <row r="22" spans="2:15">
      <c r="B22" s="236"/>
      <c r="C22" s="242"/>
      <c r="D22" s="236"/>
      <c r="E22" s="239" t="s">
        <v>474</v>
      </c>
      <c r="F22" s="236"/>
      <c r="G22" s="236"/>
      <c r="H22" s="236"/>
      <c r="I22" s="236"/>
      <c r="J22" s="236"/>
      <c r="K22" s="236"/>
      <c r="L22" s="236"/>
      <c r="M22" s="236"/>
      <c r="N22" s="236"/>
      <c r="O22" s="244"/>
    </row>
    <row r="23" spans="2:15">
      <c r="B23" s="236"/>
      <c r="C23" s="242"/>
      <c r="D23" s="236"/>
      <c r="E23" s="239" t="s">
        <v>475</v>
      </c>
      <c r="F23" s="236"/>
      <c r="G23" s="236"/>
      <c r="H23" s="236"/>
      <c r="I23" s="236"/>
      <c r="J23" s="236"/>
      <c r="K23" s="236"/>
      <c r="L23" s="236"/>
      <c r="M23" s="236"/>
      <c r="N23" s="236"/>
      <c r="O23" s="244"/>
    </row>
    <row r="24" spans="2:15">
      <c r="B24" s="236"/>
      <c r="C24" s="242"/>
      <c r="D24" s="236"/>
      <c r="E24" s="243" t="s">
        <v>476</v>
      </c>
      <c r="F24" s="236"/>
      <c r="G24" s="236"/>
      <c r="H24" s="236"/>
      <c r="I24" s="236"/>
      <c r="J24" s="236"/>
      <c r="K24" s="236"/>
      <c r="L24" s="236"/>
      <c r="M24" s="236"/>
      <c r="N24" s="236"/>
      <c r="O24" s="244"/>
    </row>
    <row r="25" spans="2:15">
      <c r="B25" s="236"/>
      <c r="C25" s="242"/>
      <c r="D25" s="236"/>
      <c r="E25" s="239"/>
      <c r="F25" s="236"/>
      <c r="G25" s="236"/>
      <c r="H25" s="236"/>
      <c r="I25" s="236"/>
      <c r="J25" s="236"/>
      <c r="K25" s="236"/>
      <c r="L25" s="236"/>
      <c r="M25" s="236"/>
      <c r="N25" s="236"/>
      <c r="O25" s="244"/>
    </row>
    <row r="26" spans="2:15">
      <c r="B26" s="236"/>
      <c r="C26" s="242" t="s">
        <v>477</v>
      </c>
      <c r="D26" s="236"/>
      <c r="E26" s="239" t="s">
        <v>485</v>
      </c>
      <c r="F26" s="236"/>
      <c r="G26" s="236"/>
      <c r="H26" s="236"/>
      <c r="I26" s="236"/>
      <c r="J26" s="236"/>
      <c r="K26" s="236"/>
      <c r="L26" s="236"/>
      <c r="M26" s="236"/>
      <c r="N26" s="236"/>
      <c r="O26" s="244"/>
    </row>
    <row r="27" spans="2:15">
      <c r="B27" s="236"/>
      <c r="C27" s="242"/>
      <c r="D27" s="236"/>
      <c r="E27" s="239" t="s">
        <v>486</v>
      </c>
      <c r="F27" s="236"/>
      <c r="G27" s="236"/>
      <c r="H27" s="236"/>
      <c r="I27" s="236"/>
      <c r="J27" s="236"/>
      <c r="K27" s="236"/>
      <c r="L27" s="236"/>
      <c r="M27" s="236"/>
      <c r="N27" s="236"/>
      <c r="O27" s="244"/>
    </row>
    <row r="28" spans="2:15">
      <c r="B28" s="236"/>
      <c r="C28" s="242"/>
      <c r="D28" s="236"/>
      <c r="E28" s="239" t="s">
        <v>478</v>
      </c>
      <c r="F28" s="236"/>
      <c r="G28" s="236"/>
      <c r="H28" s="236"/>
      <c r="I28" s="236"/>
      <c r="J28" s="236"/>
      <c r="K28" s="236"/>
      <c r="L28" s="236"/>
      <c r="M28" s="236"/>
      <c r="N28" s="236"/>
      <c r="O28" s="244"/>
    </row>
    <row r="29" spans="2:15">
      <c r="B29" s="236"/>
      <c r="C29" s="242"/>
      <c r="D29" s="236"/>
      <c r="E29" s="239" t="s">
        <v>479</v>
      </c>
      <c r="F29" s="236"/>
      <c r="G29" s="236"/>
      <c r="H29" s="236"/>
      <c r="I29" s="236"/>
      <c r="J29" s="236"/>
      <c r="K29" s="236"/>
      <c r="L29" s="236"/>
      <c r="M29" s="236"/>
      <c r="N29" s="236"/>
      <c r="O29" s="244"/>
    </row>
    <row r="30" spans="2:15">
      <c r="B30" s="236"/>
      <c r="C30" s="242"/>
      <c r="D30" s="236"/>
      <c r="E30" s="239"/>
      <c r="F30" s="236"/>
      <c r="G30" s="236"/>
      <c r="H30" s="236"/>
      <c r="I30" s="236"/>
      <c r="J30" s="236"/>
      <c r="K30" s="236"/>
      <c r="L30" s="236"/>
      <c r="M30" s="236"/>
      <c r="N30" s="236"/>
      <c r="O30" s="244"/>
    </row>
    <row r="31" spans="2:15">
      <c r="B31" s="236"/>
      <c r="C31" s="242" t="s">
        <v>482</v>
      </c>
      <c r="D31" s="237"/>
      <c r="E31" s="240">
        <v>44474</v>
      </c>
      <c r="F31" s="237"/>
      <c r="G31" s="236"/>
      <c r="H31" s="236"/>
      <c r="I31" s="236" t="s">
        <v>487</v>
      </c>
      <c r="J31" s="236"/>
      <c r="K31" s="236"/>
      <c r="L31" s="236"/>
      <c r="M31" s="236"/>
      <c r="N31" s="236"/>
      <c r="O31" s="244"/>
    </row>
    <row r="32" spans="2:15">
      <c r="B32" s="236"/>
      <c r="C32" s="242" t="s">
        <v>483</v>
      </c>
      <c r="D32" s="236"/>
      <c r="E32" s="239" t="s">
        <v>480</v>
      </c>
      <c r="F32" s="236"/>
      <c r="G32" s="236"/>
      <c r="H32" s="236"/>
      <c r="I32" s="236" t="s">
        <v>488</v>
      </c>
      <c r="J32" s="236"/>
      <c r="K32" s="236"/>
      <c r="L32" s="236"/>
      <c r="M32" s="236"/>
      <c r="N32" s="236"/>
      <c r="O32" s="244"/>
    </row>
    <row r="33" spans="2:15">
      <c r="B33" s="236"/>
      <c r="C33" s="242"/>
      <c r="D33" s="236"/>
      <c r="E33" s="239"/>
      <c r="F33" s="236"/>
      <c r="G33" s="236"/>
      <c r="H33" s="236"/>
      <c r="I33" s="236" t="s">
        <v>489</v>
      </c>
      <c r="J33" s="236"/>
      <c r="K33" s="236"/>
      <c r="L33" s="236"/>
      <c r="M33" s="236"/>
      <c r="N33" s="236"/>
      <c r="O33" s="244"/>
    </row>
    <row r="34" spans="2:15">
      <c r="B34" s="236"/>
      <c r="C34" s="242"/>
      <c r="D34" s="236"/>
      <c r="E34" s="239"/>
      <c r="F34" s="236"/>
      <c r="G34" s="236"/>
      <c r="H34" s="236"/>
      <c r="I34" s="236"/>
      <c r="J34" s="236"/>
      <c r="K34" s="236"/>
      <c r="L34" s="236"/>
      <c r="M34" s="236"/>
      <c r="N34" s="236"/>
      <c r="O34" s="244"/>
    </row>
    <row r="35" spans="2:15" ht="15.75">
      <c r="B35" s="236"/>
      <c r="C35" s="242" t="s">
        <v>484</v>
      </c>
      <c r="D35" s="236"/>
      <c r="E35" s="243" t="s">
        <v>481</v>
      </c>
      <c r="F35" s="236"/>
      <c r="G35" s="236"/>
      <c r="H35" s="236"/>
      <c r="I35" s="236" t="s">
        <v>513</v>
      </c>
      <c r="J35" s="236"/>
      <c r="K35" s="236"/>
      <c r="L35" s="236"/>
      <c r="M35" s="236"/>
      <c r="N35" s="236"/>
      <c r="O35" s="244"/>
    </row>
    <row r="36" spans="2:15">
      <c r="B36" s="236"/>
      <c r="C36" s="236"/>
      <c r="D36" s="236"/>
      <c r="E36" s="236"/>
      <c r="F36" s="236"/>
      <c r="G36" s="236"/>
      <c r="H36" s="236"/>
      <c r="I36" s="236"/>
      <c r="J36" s="236"/>
      <c r="K36" s="236"/>
      <c r="L36" s="236"/>
      <c r="M36" s="236"/>
      <c r="N36" s="236"/>
      <c r="O36" s="244"/>
    </row>
  </sheetData>
  <sheetProtection algorithmName="SHA-512" hashValue="5BkH1Hnsgmf3JmrVvMJJEDoQgp1dBSkgelRq4b8RIA1E9fk+dNquEnwjT/TJcJD6c+xaOSNsoMv4pEjIPNsUww==" saltValue="L12lgOV4yzMW6AgC6PMKrg==" spinCount="100000" sheet="1" objects="1" scenarios="1" selectLockedCells="1"/>
  <hyperlinks>
    <hyperlink ref="E35" r:id="rId1" xr:uid="{D98C4A96-7734-4683-8964-0BC23A161194}"/>
    <hyperlink ref="E24" r:id="rId2" xr:uid="{3463AEBD-B990-46C0-8ED9-4001134CD83C}"/>
  </hyperlinks>
  <pageMargins left="0.7" right="0.7" top="0.78740157499999996" bottom="0.78740157499999996" header="0.3" footer="0.3"/>
  <customProperties>
    <customPr name="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718E7-0A09-47E0-97F9-DD3001411747}">
  <sheetPr codeName="Tabelle10">
    <tabColor rgb="FF733E88"/>
  </sheetPr>
  <dimension ref="A1:M29"/>
  <sheetViews>
    <sheetView workbookViewId="0"/>
  </sheetViews>
  <sheetFormatPr baseColWidth="10" defaultRowHeight="14.25"/>
  <cols>
    <col min="1" max="1" width="33.5" customWidth="1"/>
  </cols>
  <sheetData>
    <row r="1" spans="1:8">
      <c r="A1" t="s">
        <v>261</v>
      </c>
      <c r="B1" t="s">
        <v>262</v>
      </c>
    </row>
    <row r="2" spans="1:8">
      <c r="A2" t="s">
        <v>255</v>
      </c>
      <c r="B2">
        <v>2</v>
      </c>
      <c r="H2" t="s">
        <v>267</v>
      </c>
    </row>
    <row r="4" spans="1:8">
      <c r="B4" t="s">
        <v>263</v>
      </c>
      <c r="C4" t="s">
        <v>264</v>
      </c>
      <c r="H4" t="s">
        <v>287</v>
      </c>
    </row>
    <row r="5" spans="1:8">
      <c r="A5" t="s">
        <v>183</v>
      </c>
      <c r="B5" s="18">
        <v>9000</v>
      </c>
      <c r="C5">
        <v>6000</v>
      </c>
    </row>
    <row r="6" spans="1:8">
      <c r="A6" t="s">
        <v>189</v>
      </c>
      <c r="B6">
        <v>10</v>
      </c>
      <c r="C6">
        <v>10</v>
      </c>
    </row>
    <row r="7" spans="1:8">
      <c r="A7" t="s">
        <v>191</v>
      </c>
      <c r="B7" t="s">
        <v>192</v>
      </c>
      <c r="C7" t="s">
        <v>192</v>
      </c>
    </row>
    <row r="9" spans="1:8">
      <c r="A9" t="s">
        <v>184</v>
      </c>
    </row>
    <row r="10" spans="1:8">
      <c r="A10" t="s">
        <v>185</v>
      </c>
      <c r="B10">
        <v>16000</v>
      </c>
    </row>
    <row r="12" spans="1:8">
      <c r="A12" t="s">
        <v>186</v>
      </c>
    </row>
    <row r="13" spans="1:8">
      <c r="A13" t="s">
        <v>185</v>
      </c>
      <c r="B13">
        <v>2500</v>
      </c>
    </row>
    <row r="15" spans="1:8">
      <c r="A15" t="s">
        <v>187</v>
      </c>
    </row>
    <row r="16" spans="1:8">
      <c r="A16" t="s">
        <v>188</v>
      </c>
      <c r="B16">
        <v>0</v>
      </c>
    </row>
    <row r="20" spans="1:13" ht="15">
      <c r="B20" s="20">
        <v>2019</v>
      </c>
      <c r="C20" s="20">
        <v>2020</v>
      </c>
      <c r="D20" s="20">
        <v>2021</v>
      </c>
      <c r="E20" s="20">
        <v>2022</v>
      </c>
      <c r="F20" s="20">
        <v>2023</v>
      </c>
      <c r="G20" s="20">
        <f>F20+1</f>
        <v>2024</v>
      </c>
      <c r="H20" s="20">
        <f t="shared" ref="H20:M20" si="0">G20+1</f>
        <v>2025</v>
      </c>
      <c r="I20" s="20">
        <f t="shared" si="0"/>
        <v>2026</v>
      </c>
      <c r="J20" s="20">
        <f t="shared" si="0"/>
        <v>2027</v>
      </c>
      <c r="K20" s="20">
        <f t="shared" si="0"/>
        <v>2028</v>
      </c>
      <c r="L20" s="20">
        <f t="shared" si="0"/>
        <v>2029</v>
      </c>
      <c r="M20" s="20">
        <f t="shared" si="0"/>
        <v>2030</v>
      </c>
    </row>
    <row r="21" spans="1:13">
      <c r="A21" t="s">
        <v>182</v>
      </c>
      <c r="B21" s="3">
        <f>IF($B7="B",$B5*$B6/100*Endverbraucherpreise!I2,$B5*$B6/100*Endverbraucherpreise!I3)+IF($C7="B",$C5*$C6/100*Endverbraucherpreise!I2,$C5*$C6/100*Endverbraucherpreise!I3)</f>
        <v>2177.1423576446277</v>
      </c>
      <c r="C21" s="3">
        <f>IF($B7="B",$B5*$B6/100*Endverbraucherpreise!J2,$B5*$B6/100*Endverbraucherpreise!J3)+IF($C7="B",$C5*$C6/100*Endverbraucherpreise!J2,$C5*$C6/100*Endverbraucherpreise!J3)</f>
        <v>1891.4923711697002</v>
      </c>
      <c r="D21" s="3">
        <f>IF($B7="B",$B5*$B6/100*Endverbraucherpreise!K2,$B5*$B6/100*Endverbraucherpreise!K3)+IF($C7="B",$C5*$C6/100*Endverbraucherpreise!K2,$C5*$C6/100*Endverbraucherpreise!K3)</f>
        <v>2332.2193436100538</v>
      </c>
      <c r="E21" s="3">
        <f>IF($B7="B",$B5*$B6/100*Endverbraucherpreise!L2,$B5*$B6/100*Endverbraucherpreise!L3)+IF($C7="B",$C5*$C6/100*Endverbraucherpreise!L2,$C5*$C6/100*Endverbraucherpreise!L3)</f>
        <v>2365.9544836146742</v>
      </c>
      <c r="F21" s="3">
        <f>IF($B7="B",$B5*$B6/100*Endverbraucherpreise!M2,$B5*$B6/100*Endverbraucherpreise!M3)+IF($C7="B",$C5*$C6/100*Endverbraucherpreise!M2,$C5*$C6/100*Endverbraucherpreise!M3)</f>
        <v>2399.8742453932064</v>
      </c>
      <c r="G21" s="3">
        <f>IF($B7="B",$B5*$B6/100*Endverbraucherpreise!N2,$B5*$B6/100*Endverbraucherpreise!N3)+IF($C7="B",$C5*$C6/100*Endverbraucherpreise!N2,$C5*$C6/100*Endverbraucherpreise!N3)</f>
        <v>2455.408420016011</v>
      </c>
      <c r="H21" s="3">
        <f>IF($B7="B",$B5*$B6/100*Endverbraucherpreise!O2,$B5*$B6/100*Endverbraucherpreise!O3)+IF($C7="B",$C5*$C6/100*Endverbraucherpreise!O2,$C5*$C6/100*Endverbraucherpreise!O3)</f>
        <v>2511.1327966058443</v>
      </c>
      <c r="I21" s="3">
        <f>IF($B7="B",$B5*$B6/100*Endverbraucherpreise!P2,$B5*$B6/100*Endverbraucherpreise!P3)+IF($C7="B",$C5*$C6/100*Endverbraucherpreise!P2,$C5*$C6/100*Endverbraucherpreise!P3)</f>
        <v>2545.623206448463</v>
      </c>
      <c r="J21" s="3">
        <f>IF($B7="B",$B5*$B6/100*Endverbraucherpreise!Q2,$B5*$B6/100*Endverbraucherpreise!Q3)+IF($C7="B",$C5*$C6/100*Endverbraucherpreise!Q2,$C5*$C6/100*Endverbraucherpreise!Q3)</f>
        <v>2558.882545368815</v>
      </c>
      <c r="K21" s="3">
        <f>IF($B7="B",$B5*$B6/100*Endverbraucherpreise!R2,$B5*$B6/100*Endverbraucherpreise!R3)+IF($C7="B",$C5*$C6/100*Endverbraucherpreise!R2,$C5*$C6/100*Endverbraucherpreise!R3)</f>
        <v>2572.3407743729722</v>
      </c>
      <c r="L21" s="3">
        <f>IF($B7="B",$B5*$B6/100*Endverbraucherpreise!S2,$B5*$B6/100*Endverbraucherpreise!S3)+IF($C7="B",$C5*$C6/100*Endverbraucherpreise!S2,$C5*$C6/100*Endverbraucherpreise!S3)</f>
        <v>2586.0008768121925</v>
      </c>
      <c r="M21" s="3">
        <f>IF($B7="B",$B5*$B6/100*Endverbraucherpreise!T2,$B5*$B6/100*Endverbraucherpreise!T3)+IF($C7="B",$C5*$C6/100*Endverbraucherpreise!T2,$C5*$C6/100*Endverbraucherpreise!T3)</f>
        <v>2599.8658807880001</v>
      </c>
    </row>
    <row r="22" spans="1:13">
      <c r="A22" t="s">
        <v>190</v>
      </c>
      <c r="B22" s="3">
        <f>$B10*Endverbraucherpreise!I5/100</f>
        <v>987.60479999999995</v>
      </c>
      <c r="C22" s="3">
        <f>$B10*Endverbraucherpreise!J5/100</f>
        <v>955.60399999999993</v>
      </c>
      <c r="D22" s="3">
        <f>$B10*Endverbraucherpreise!K5/100</f>
        <v>978.67732479999995</v>
      </c>
      <c r="E22" s="3">
        <f>$B10*Endverbraucherpreise!L5/100</f>
        <v>1024.32998976</v>
      </c>
      <c r="F22" s="3">
        <f>$B10*Endverbraucherpreise!M5/100</f>
        <v>1050.9426547200001</v>
      </c>
      <c r="G22" s="3">
        <f>$B10*Endverbraucherpreise!N5/100</f>
        <v>1094.8859846400001</v>
      </c>
      <c r="H22" s="3">
        <f>$B10*Endverbraucherpreise!O5/100</f>
        <v>1138.8293145600003</v>
      </c>
      <c r="I22" s="3">
        <f>$B10*Endverbraucherpreise!P5/100</f>
        <v>1159.96797952</v>
      </c>
      <c r="J22" s="3">
        <f>$B10*Endverbraucherpreise!Q5/100</f>
        <v>1163.7759795200002</v>
      </c>
      <c r="K22" s="3">
        <f>$B10*Endverbraucherpreise!R5/100</f>
        <v>1167.5839795200002</v>
      </c>
      <c r="L22" s="3">
        <f>$B10*Endverbraucherpreise!S5/100</f>
        <v>1171.3919795199999</v>
      </c>
      <c r="M22" s="3">
        <f>$B10*Endverbraucherpreise!T5/100</f>
        <v>1175.1999795199999</v>
      </c>
    </row>
    <row r="23" spans="1:13">
      <c r="A23" t="s">
        <v>11</v>
      </c>
      <c r="B23" s="3">
        <f>$B$13*Endverbraucherpreise!I6/100</f>
        <v>761.43880933033972</v>
      </c>
      <c r="C23" s="3">
        <f>$B$13*Endverbraucherpreise!J6/100</f>
        <v>785.4321667184679</v>
      </c>
      <c r="D23" s="3">
        <f>$B$13*Endverbraucherpreise!K6/100</f>
        <v>797.40755707057838</v>
      </c>
      <c r="E23" s="3">
        <f>$B$13*Endverbraucherpreise!L6/100</f>
        <v>808.8755825932717</v>
      </c>
      <c r="F23" s="3">
        <f>$B$13*Endverbraucherpreise!M6/100</f>
        <v>725.25932813106692</v>
      </c>
      <c r="G23" s="3">
        <f>$B$13*Endverbraucherpreise!N6/100</f>
        <v>680.66598757450072</v>
      </c>
      <c r="H23" s="3">
        <f>$B$13*Endverbraucherpreise!O6/100</f>
        <v>677.89261288646844</v>
      </c>
      <c r="I23" s="3">
        <f>$B$13*Endverbraucherpreise!P6/100</f>
        <v>674.9808881994428</v>
      </c>
      <c r="J23" s="3">
        <f>$B$13*Endverbraucherpreise!Q6/100</f>
        <v>674.17732423086272</v>
      </c>
      <c r="K23" s="3">
        <f>$B$13*Endverbraucherpreise!R6/100</f>
        <v>671.97477358902734</v>
      </c>
      <c r="L23" s="3">
        <f>$B$13*Endverbraucherpreise!S6/100</f>
        <v>669.9525785287276</v>
      </c>
      <c r="M23" s="3">
        <f>$B$13*Endverbraucherpreise!T6/100</f>
        <v>668.91114195964417</v>
      </c>
    </row>
    <row r="24" spans="1:13">
      <c r="A24" t="s">
        <v>157</v>
      </c>
      <c r="B24" s="3">
        <f>$B$16*Endverbraucherpreise!I4</f>
        <v>0</v>
      </c>
      <c r="C24" s="3">
        <f>$B$16*Endverbraucherpreise!J4</f>
        <v>0</v>
      </c>
      <c r="D24" s="3">
        <f>$B$16*Endverbraucherpreise!K4</f>
        <v>0</v>
      </c>
      <c r="E24" s="3">
        <f>$B$16*Endverbraucherpreise!L4</f>
        <v>0</v>
      </c>
      <c r="F24" s="3">
        <f>$B$16*Endverbraucherpreise!M4</f>
        <v>0</v>
      </c>
      <c r="G24" s="3">
        <f>$B$16*Endverbraucherpreise!N4</f>
        <v>0</v>
      </c>
      <c r="H24" s="3">
        <f>$B$16*Endverbraucherpreise!O4</f>
        <v>0</v>
      </c>
      <c r="I24" s="3">
        <f>$B$16*Endverbraucherpreise!P4</f>
        <v>0</v>
      </c>
      <c r="J24" s="3">
        <f>$B$16*Endverbraucherpreise!Q4</f>
        <v>0</v>
      </c>
      <c r="K24" s="3">
        <f>$B$16*Endverbraucherpreise!R4</f>
        <v>0</v>
      </c>
      <c r="L24" s="3">
        <f>$B$16*Endverbraucherpreise!S4</f>
        <v>0</v>
      </c>
      <c r="M24" s="3">
        <f>$B$16*Endverbraucherpreise!T4</f>
        <v>0</v>
      </c>
    </row>
    <row r="25" spans="1:13">
      <c r="A25" t="s">
        <v>195</v>
      </c>
      <c r="B25" s="3">
        <f>-$B$2*'Start - Ergebnisse'!D19</f>
        <v>0</v>
      </c>
      <c r="C25" s="3">
        <f>-$B$2*'Start - Ergebnisse'!E19</f>
        <v>0</v>
      </c>
      <c r="D25" s="3">
        <f>-$B$2*'Start - Ergebnisse'!F19</f>
        <v>0</v>
      </c>
      <c r="E25" s="3">
        <f>-$B$2*'Start - Ergebnisse'!G19</f>
        <v>0</v>
      </c>
      <c r="F25" s="3">
        <f>-$B$2*'Start - Ergebnisse'!H19</f>
        <v>0</v>
      </c>
      <c r="G25" s="3">
        <f>-$B$2*'Start - Ergebnisse'!I19</f>
        <v>0</v>
      </c>
      <c r="H25" s="3">
        <f>-$B$2*'Start - Ergebnisse'!J19</f>
        <v>0</v>
      </c>
      <c r="I25" s="3">
        <f>-$B$2*'Start - Ergebnisse'!K19</f>
        <v>0</v>
      </c>
      <c r="J25" s="3">
        <f>-$B$2*'Start - Ergebnisse'!L19</f>
        <v>0</v>
      </c>
      <c r="K25" s="3">
        <f>-$B$2*'Start - Ergebnisse'!M19</f>
        <v>0</v>
      </c>
      <c r="L25" s="3">
        <f>-$B$2*'Start - Ergebnisse'!N19</f>
        <v>0</v>
      </c>
      <c r="M25" s="3">
        <f>-$B$2*'Start - Ergebnisse'!O19</f>
        <v>0</v>
      </c>
    </row>
    <row r="27" spans="1:13">
      <c r="A27" t="s">
        <v>42</v>
      </c>
      <c r="B27" s="3">
        <f>SUM(B21:B25)</f>
        <v>3926.1859669749674</v>
      </c>
      <c r="C27" s="3">
        <f t="shared" ref="C27:M27" si="1">SUM(C21:C25)</f>
        <v>3632.5285378881681</v>
      </c>
      <c r="D27" s="3">
        <f t="shared" si="1"/>
        <v>4108.3042254806323</v>
      </c>
      <c r="E27" s="3">
        <f t="shared" si="1"/>
        <v>4199.1600559679464</v>
      </c>
      <c r="F27" s="3">
        <f t="shared" si="1"/>
        <v>4176.0762282442738</v>
      </c>
      <c r="G27" s="3">
        <f t="shared" si="1"/>
        <v>4230.9603922305114</v>
      </c>
      <c r="H27" s="3">
        <f t="shared" si="1"/>
        <v>4327.854724052313</v>
      </c>
      <c r="I27" s="3">
        <f t="shared" si="1"/>
        <v>4380.5720741679061</v>
      </c>
      <c r="J27" s="3">
        <f t="shared" si="1"/>
        <v>4396.8358491196777</v>
      </c>
      <c r="K27" s="3">
        <f t="shared" si="1"/>
        <v>4411.899527481999</v>
      </c>
      <c r="L27" s="3">
        <f t="shared" si="1"/>
        <v>4427.3454348609202</v>
      </c>
      <c r="M27" s="3">
        <f t="shared" si="1"/>
        <v>4443.9770022676439</v>
      </c>
    </row>
    <row r="29" spans="1:13">
      <c r="A29" t="s">
        <v>193</v>
      </c>
      <c r="B29" s="3">
        <f>B27-$B$27</f>
        <v>0</v>
      </c>
      <c r="C29" s="3">
        <f>C27-$B$27</f>
        <v>-293.65742908679931</v>
      </c>
      <c r="D29" s="3">
        <f t="shared" ref="D29:M29" si="2">D27-$B$27</f>
        <v>182.11825850566493</v>
      </c>
      <c r="E29" s="3">
        <f t="shared" si="2"/>
        <v>272.97408899297898</v>
      </c>
      <c r="F29" s="3">
        <f t="shared" si="2"/>
        <v>249.89026126930639</v>
      </c>
      <c r="G29" s="3">
        <f t="shared" si="2"/>
        <v>304.77442525554397</v>
      </c>
      <c r="H29" s="3">
        <f t="shared" si="2"/>
        <v>401.66875707734562</v>
      </c>
      <c r="I29" s="3">
        <f t="shared" si="2"/>
        <v>454.38610719293865</v>
      </c>
      <c r="J29" s="3">
        <f t="shared" si="2"/>
        <v>470.64988214471032</v>
      </c>
      <c r="K29" s="3">
        <f t="shared" si="2"/>
        <v>485.71356050703162</v>
      </c>
      <c r="L29" s="3">
        <f t="shared" si="2"/>
        <v>501.15946788595284</v>
      </c>
      <c r="M29" s="3">
        <f t="shared" si="2"/>
        <v>517.7910352926765</v>
      </c>
    </row>
  </sheetData>
  <sheetProtection algorithmName="SHA-512" hashValue="RDOxuWQod8kRNJ7giS6U3mMvNHOlBXg8chv5NNuL8b/bJ1Hy+Qga/k5UUEsI10H/8i4qtt1yCTLUgXzOHkoxig==" saltValue="Df6NAHnzaCqgky8zVBCI9g==" spinCount="100000" sheet="1" objects="1" scenarios="1" formatRows="0"/>
  <pageMargins left="0.7" right="0.7" top="0.78740157499999996" bottom="0.78740157499999996" header="0.3" footer="0.3"/>
  <customProperties>
    <customPr name="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05806-AE65-46C5-8549-D719555C6E6F}">
  <sheetPr codeName="Tabelle11">
    <tabColor theme="7"/>
  </sheetPr>
  <dimension ref="A2:G24"/>
  <sheetViews>
    <sheetView workbookViewId="0"/>
  </sheetViews>
  <sheetFormatPr baseColWidth="10" defaultColWidth="11" defaultRowHeight="14.25"/>
  <cols>
    <col min="1" max="1" width="69.5" style="182" customWidth="1"/>
    <col min="2" max="16384" width="11" style="182"/>
  </cols>
  <sheetData>
    <row r="2" spans="1:7">
      <c r="A2" s="215" t="s">
        <v>507</v>
      </c>
      <c r="B2" s="222">
        <v>0.52</v>
      </c>
    </row>
    <row r="3" spans="1:7">
      <c r="A3" s="215" t="s">
        <v>434</v>
      </c>
      <c r="B3" s="222">
        <v>0.2</v>
      </c>
    </row>
    <row r="5" spans="1:7">
      <c r="A5" s="215" t="s">
        <v>110</v>
      </c>
      <c r="B5" s="222">
        <f>1-(114/187)</f>
        <v>0.39037433155080214</v>
      </c>
      <c r="G5" s="182" t="s">
        <v>503</v>
      </c>
    </row>
    <row r="6" spans="1:7">
      <c r="A6" s="215" t="s">
        <v>57</v>
      </c>
      <c r="B6" s="222">
        <v>0.15</v>
      </c>
      <c r="D6" s="182" t="s">
        <v>59</v>
      </c>
      <c r="G6" s="182" t="s">
        <v>504</v>
      </c>
    </row>
    <row r="7" spans="1:7">
      <c r="A7" s="215" t="s">
        <v>58</v>
      </c>
      <c r="B7" s="222">
        <v>0.2</v>
      </c>
      <c r="D7" s="182" t="s">
        <v>59</v>
      </c>
    </row>
    <row r="9" spans="1:7">
      <c r="A9" s="215" t="s">
        <v>87</v>
      </c>
      <c r="B9" s="222">
        <v>1</v>
      </c>
      <c r="D9" s="182" t="s">
        <v>433</v>
      </c>
    </row>
    <row r="10" spans="1:7">
      <c r="A10" s="215" t="s">
        <v>88</v>
      </c>
      <c r="B10" s="222">
        <v>1</v>
      </c>
      <c r="D10" s="182" t="s">
        <v>433</v>
      </c>
    </row>
    <row r="12" spans="1:7">
      <c r="A12" s="215" t="s">
        <v>89</v>
      </c>
      <c r="B12" s="222">
        <v>1</v>
      </c>
      <c r="D12" s="182" t="s">
        <v>433</v>
      </c>
    </row>
    <row r="14" spans="1:7">
      <c r="A14" s="215" t="s">
        <v>111</v>
      </c>
      <c r="B14" s="222">
        <v>0</v>
      </c>
    </row>
    <row r="15" spans="1:7">
      <c r="A15" s="215" t="s">
        <v>112</v>
      </c>
      <c r="B15" s="222">
        <v>0.5</v>
      </c>
    </row>
    <row r="16" spans="1:7">
      <c r="A16" s="215" t="s">
        <v>114</v>
      </c>
      <c r="B16" s="222">
        <v>0</v>
      </c>
    </row>
    <row r="19" spans="1:2">
      <c r="A19" s="215" t="s">
        <v>128</v>
      </c>
      <c r="B19" s="222">
        <v>0</v>
      </c>
    </row>
    <row r="21" spans="1:2">
      <c r="A21" s="215" t="s">
        <v>437</v>
      </c>
      <c r="B21" s="222">
        <v>0.01</v>
      </c>
    </row>
    <row r="22" spans="1:2">
      <c r="A22" s="215" t="s">
        <v>438</v>
      </c>
      <c r="B22" s="225">
        <f>1-B21</f>
        <v>0.99</v>
      </c>
    </row>
    <row r="24" spans="1:2">
      <c r="A24" s="215" t="s">
        <v>439</v>
      </c>
      <c r="B24" s="222">
        <v>0.5</v>
      </c>
    </row>
  </sheetData>
  <sheetProtection algorithmName="SHA-512" hashValue="LC4WTjnV9mrBNl214RoIcObHUXhOMYVM3t+rxzQdfz4Uj/O/6e/c4+e204vK+ssin0k85Pm9ZhZViTNLd5OFZg==" saltValue="gkAxdlbaY8kiL/1jL4ZlVQ==" spinCount="100000" sheet="1" objects="1" scenarios="1" formatRows="0"/>
  <pageMargins left="0.7" right="0.7" top="0.78740157499999996" bottom="0.78740157499999996" header="0.3" footer="0.3"/>
  <customProperties>
    <customPr name="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CF635-1579-499C-AC98-0B62CCEA6311}">
  <sheetPr codeName="Tabelle13">
    <tabColor rgb="FFF0C8DD"/>
  </sheetPr>
  <dimension ref="A2:A33"/>
  <sheetViews>
    <sheetView workbookViewId="0"/>
  </sheetViews>
  <sheetFormatPr baseColWidth="10" defaultRowHeight="14.25"/>
  <sheetData>
    <row r="2" spans="1:1">
      <c r="A2" t="s">
        <v>441</v>
      </c>
    </row>
    <row r="3" spans="1:1">
      <c r="A3" t="s">
        <v>442</v>
      </c>
    </row>
    <row r="4" spans="1:1">
      <c r="A4" t="s">
        <v>440</v>
      </c>
    </row>
    <row r="6" spans="1:1">
      <c r="A6" t="s">
        <v>458</v>
      </c>
    </row>
    <row r="7" spans="1:1">
      <c r="A7" t="s">
        <v>80</v>
      </c>
    </row>
    <row r="8" spans="1:1">
      <c r="A8" t="s">
        <v>443</v>
      </c>
    </row>
    <row r="10" spans="1:1">
      <c r="A10" t="s">
        <v>453</v>
      </c>
    </row>
    <row r="11" spans="1:1">
      <c r="A11" t="s">
        <v>81</v>
      </c>
    </row>
    <row r="13" spans="1:1">
      <c r="A13" t="s">
        <v>445</v>
      </c>
    </row>
    <row r="14" spans="1:1">
      <c r="A14" t="s">
        <v>444</v>
      </c>
    </row>
    <row r="16" spans="1:1">
      <c r="A16" t="s">
        <v>446</v>
      </c>
    </row>
    <row r="17" spans="1:1">
      <c r="A17" t="s">
        <v>447</v>
      </c>
    </row>
    <row r="18" spans="1:1">
      <c r="A18" t="s">
        <v>448</v>
      </c>
    </row>
    <row r="19" spans="1:1">
      <c r="A19" t="s">
        <v>449</v>
      </c>
    </row>
    <row r="21" spans="1:1">
      <c r="A21" t="s">
        <v>450</v>
      </c>
    </row>
    <row r="22" spans="1:1">
      <c r="A22" t="s">
        <v>79</v>
      </c>
    </row>
    <row r="24" spans="1:1">
      <c r="A24" t="s">
        <v>451</v>
      </c>
    </row>
    <row r="25" spans="1:1">
      <c r="A25" t="s">
        <v>452</v>
      </c>
    </row>
    <row r="27" spans="1:1">
      <c r="A27" t="s">
        <v>454</v>
      </c>
    </row>
    <row r="28" spans="1:1">
      <c r="A28" s="226" t="s">
        <v>455</v>
      </c>
    </row>
    <row r="30" spans="1:1">
      <c r="A30" t="s">
        <v>457</v>
      </c>
    </row>
    <row r="31" spans="1:1">
      <c r="A31" t="s">
        <v>456</v>
      </c>
    </row>
    <row r="33" spans="1:1">
      <c r="A33" t="s">
        <v>250</v>
      </c>
    </row>
  </sheetData>
  <sheetProtection algorithmName="SHA-512" hashValue="t79PsEMuzIQhNidKaR5f8IN5r5qTMD8RMLC0kmw9L5ydnMxquLSH8neMEkMp73CzM75SSWbu3SpFPiuRZ9xLGg==" saltValue="Pc/qIoUQKVvJSXxiyfG9oA==" spinCount="100000" sheet="1" objects="1" scenarios="1" formatRows="0"/>
  <pageMargins left="0.7" right="0.7" top="0.78740157499999996" bottom="0.78740157499999996" header="0.3" footer="0.3"/>
  <customProperties>
    <customPr name="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843D-F2B6-48A3-87BC-9479AFB1B18A}">
  <sheetPr codeName="Tabelle14">
    <tabColor rgb="FFF0C8DD"/>
  </sheetPr>
  <dimension ref="A1:M31"/>
  <sheetViews>
    <sheetView workbookViewId="0"/>
  </sheetViews>
  <sheetFormatPr baseColWidth="10" defaultRowHeight="14.25"/>
  <cols>
    <col min="1" max="1" width="19.75" customWidth="1"/>
    <col min="2" max="2" width="23" customWidth="1"/>
    <col min="3" max="13" width="25.75" customWidth="1"/>
  </cols>
  <sheetData>
    <row r="1" spans="1:13">
      <c r="A1" s="49" t="s">
        <v>81</v>
      </c>
    </row>
    <row r="2" spans="1:13" ht="15">
      <c r="B2" s="20">
        <v>2019</v>
      </c>
      <c r="C2" s="20">
        <f>B2+1</f>
        <v>2020</v>
      </c>
      <c r="D2" s="20">
        <f>C2+1</f>
        <v>2021</v>
      </c>
      <c r="E2" s="20">
        <f t="shared" ref="E2:M2" si="0">D2+1</f>
        <v>2022</v>
      </c>
      <c r="F2" s="20">
        <f t="shared" si="0"/>
        <v>2023</v>
      </c>
      <c r="G2" s="20">
        <f t="shared" si="0"/>
        <v>2024</v>
      </c>
      <c r="H2" s="20">
        <f t="shared" si="0"/>
        <v>2025</v>
      </c>
      <c r="I2" s="20">
        <f t="shared" si="0"/>
        <v>2026</v>
      </c>
      <c r="J2" s="20">
        <f t="shared" si="0"/>
        <v>2027</v>
      </c>
      <c r="K2" s="20">
        <f t="shared" si="0"/>
        <v>2028</v>
      </c>
      <c r="L2" s="20">
        <f t="shared" si="0"/>
        <v>2029</v>
      </c>
      <c r="M2" s="20">
        <f t="shared" si="0"/>
        <v>2030</v>
      </c>
    </row>
    <row r="3" spans="1:13" hidden="1">
      <c r="A3" t="s">
        <v>32</v>
      </c>
    </row>
    <row r="4" spans="1:13" hidden="1">
      <c r="A4" t="s">
        <v>17</v>
      </c>
    </row>
    <row r="5" spans="1:13" hidden="1">
      <c r="A5" t="s">
        <v>18</v>
      </c>
      <c r="B5">
        <v>729</v>
      </c>
      <c r="C5">
        <f>B5</f>
        <v>729</v>
      </c>
      <c r="D5">
        <f t="shared" ref="D5:J5" si="1">C5</f>
        <v>729</v>
      </c>
      <c r="E5">
        <f t="shared" si="1"/>
        <v>729</v>
      </c>
      <c r="F5">
        <f t="shared" si="1"/>
        <v>729</v>
      </c>
      <c r="G5">
        <f t="shared" si="1"/>
        <v>729</v>
      </c>
      <c r="H5">
        <f t="shared" si="1"/>
        <v>729</v>
      </c>
      <c r="I5">
        <f t="shared" si="1"/>
        <v>729</v>
      </c>
      <c r="J5">
        <f t="shared" si="1"/>
        <v>729</v>
      </c>
      <c r="K5">
        <f t="shared" ref="K5:M5" si="2">J5</f>
        <v>729</v>
      </c>
      <c r="L5">
        <f t="shared" si="2"/>
        <v>729</v>
      </c>
      <c r="M5">
        <f t="shared" si="2"/>
        <v>729</v>
      </c>
    </row>
    <row r="6" spans="1:13" hidden="1">
      <c r="A6" t="s">
        <v>19</v>
      </c>
      <c r="B6">
        <v>1413</v>
      </c>
      <c r="C6">
        <f>B6</f>
        <v>1413</v>
      </c>
      <c r="D6">
        <f t="shared" ref="D6:J6" si="3">C6</f>
        <v>1413</v>
      </c>
      <c r="E6">
        <f t="shared" si="3"/>
        <v>1413</v>
      </c>
      <c r="F6">
        <f t="shared" si="3"/>
        <v>1413</v>
      </c>
      <c r="G6">
        <f t="shared" si="3"/>
        <v>1413</v>
      </c>
      <c r="H6">
        <f t="shared" si="3"/>
        <v>1413</v>
      </c>
      <c r="I6">
        <f t="shared" si="3"/>
        <v>1413</v>
      </c>
      <c r="J6">
        <f t="shared" si="3"/>
        <v>1413</v>
      </c>
      <c r="K6">
        <f t="shared" ref="K6:M6" si="4">J6</f>
        <v>1413</v>
      </c>
      <c r="L6">
        <f t="shared" si="4"/>
        <v>1413</v>
      </c>
      <c r="M6">
        <f t="shared" si="4"/>
        <v>1413</v>
      </c>
    </row>
    <row r="7" spans="1:13" hidden="1">
      <c r="A7" t="s">
        <v>20</v>
      </c>
      <c r="B7">
        <v>434</v>
      </c>
      <c r="C7">
        <f>B7</f>
        <v>434</v>
      </c>
      <c r="D7">
        <f t="shared" ref="D7:J7" si="5">C7</f>
        <v>434</v>
      </c>
      <c r="E7">
        <f t="shared" si="5"/>
        <v>434</v>
      </c>
      <c r="F7">
        <f t="shared" si="5"/>
        <v>434</v>
      </c>
      <c r="G7">
        <f t="shared" si="5"/>
        <v>434</v>
      </c>
      <c r="H7">
        <f t="shared" si="5"/>
        <v>434</v>
      </c>
      <c r="I7">
        <f t="shared" si="5"/>
        <v>434</v>
      </c>
      <c r="J7">
        <f t="shared" si="5"/>
        <v>434</v>
      </c>
      <c r="K7">
        <f t="shared" ref="K7:M7" si="6">J7</f>
        <v>434</v>
      </c>
      <c r="L7">
        <f t="shared" si="6"/>
        <v>434</v>
      </c>
      <c r="M7">
        <f t="shared" si="6"/>
        <v>434</v>
      </c>
    </row>
    <row r="8" spans="1:13" hidden="1"/>
    <row r="9" spans="1:13" hidden="1">
      <c r="A9" t="s">
        <v>22</v>
      </c>
    </row>
    <row r="10" spans="1:13" hidden="1">
      <c r="A10" t="s">
        <v>29</v>
      </c>
      <c r="B10" s="4">
        <f>B5*1000*1000*1000/'Physikalische Parameter'!$C$5/'Physikalische Parameter'!$B$5</f>
        <v>22196848595.569763</v>
      </c>
      <c r="C10" s="4">
        <f>C5*1000*1000*1000/'Physikalische Parameter'!$C$5/'Physikalische Parameter'!$B$5</f>
        <v>22196848595.569763</v>
      </c>
      <c r="D10" s="4">
        <f>D5*1000*1000*1000/'Physikalische Parameter'!$C$5/'Physikalische Parameter'!$B$5</f>
        <v>22196848595.569763</v>
      </c>
      <c r="E10" s="4">
        <f>E5*1000*1000*1000/'Physikalische Parameter'!$C$5/'Physikalische Parameter'!$B$5</f>
        <v>22196848595.569763</v>
      </c>
      <c r="F10" s="4">
        <f>F5*1000*1000*1000/'Physikalische Parameter'!$C$5/'Physikalische Parameter'!$B$5</f>
        <v>22196848595.569763</v>
      </c>
      <c r="G10" s="4">
        <f>G5*1000*1000*1000/'Physikalische Parameter'!$C$5/'Physikalische Parameter'!$B$5</f>
        <v>22196848595.569763</v>
      </c>
      <c r="H10" s="4">
        <f>H5*1000*1000*1000/'Physikalische Parameter'!$C$5/'Physikalische Parameter'!$B$5</f>
        <v>22196848595.569763</v>
      </c>
      <c r="I10" s="4">
        <f>I5*1000*1000*1000/'Physikalische Parameter'!$C$5/'Physikalische Parameter'!$B$5</f>
        <v>22196848595.569763</v>
      </c>
      <c r="J10" s="4">
        <f>J5*1000*1000*1000/'Physikalische Parameter'!$C$5/'Physikalische Parameter'!$B$5</f>
        <v>22196848595.569763</v>
      </c>
      <c r="K10" s="4">
        <f>K5*1000*1000*1000/'Physikalische Parameter'!$C$5/'Physikalische Parameter'!$B$5</f>
        <v>22196848595.569763</v>
      </c>
      <c r="L10" s="4">
        <f>L5*1000*1000*1000/'Physikalische Parameter'!$C$5/'Physikalische Parameter'!$B$5</f>
        <v>22196848595.569763</v>
      </c>
      <c r="M10" s="4">
        <f>M5*1000*1000*1000/'Physikalische Parameter'!$C$5/'Physikalische Parameter'!$B$5</f>
        <v>22196848595.569763</v>
      </c>
    </row>
    <row r="11" spans="1:13" hidden="1">
      <c r="A11" t="s">
        <v>31</v>
      </c>
      <c r="B11" s="4">
        <f>B6*1000*1000*1000/'Physikalische Parameter'!$C$6/'Physikalische Parameter'!$B$6</f>
        <v>39069844605.430519</v>
      </c>
      <c r="C11" s="4">
        <f>C6*1000*1000*1000/'Physikalische Parameter'!$C$6/'Physikalische Parameter'!$B$6</f>
        <v>39069844605.430519</v>
      </c>
      <c r="D11" s="4">
        <f>D6*1000*1000*1000/'Physikalische Parameter'!$C$6/'Physikalische Parameter'!$B$6</f>
        <v>39069844605.430519</v>
      </c>
      <c r="E11" s="4">
        <f>E6*1000*1000*1000/'Physikalische Parameter'!$C$6/'Physikalische Parameter'!$B$6</f>
        <v>39069844605.430519</v>
      </c>
      <c r="F11" s="4">
        <f>F6*1000*1000*1000/'Physikalische Parameter'!$C$6/'Physikalische Parameter'!$B$6</f>
        <v>39069844605.430519</v>
      </c>
      <c r="G11" s="4">
        <f>G6*1000*1000*1000/'Physikalische Parameter'!$C$6/'Physikalische Parameter'!$B$6</f>
        <v>39069844605.430519</v>
      </c>
      <c r="H11" s="4">
        <f>H6*1000*1000*1000/'Physikalische Parameter'!$C$6/'Physikalische Parameter'!$B$6</f>
        <v>39069844605.430519</v>
      </c>
      <c r="I11" s="4">
        <f>I6*1000*1000*1000/'Physikalische Parameter'!$C$6/'Physikalische Parameter'!$B$6</f>
        <v>39069844605.430519</v>
      </c>
      <c r="J11" s="4">
        <f>J6*1000*1000*1000/'Physikalische Parameter'!$C$6/'Physikalische Parameter'!$B$6</f>
        <v>39069844605.430519</v>
      </c>
      <c r="K11" s="4">
        <f>K6*1000*1000*1000/'Physikalische Parameter'!$C$6/'Physikalische Parameter'!$B$6</f>
        <v>39069844605.430519</v>
      </c>
      <c r="L11" s="4">
        <f>L6*1000*1000*1000/'Physikalische Parameter'!$C$6/'Physikalische Parameter'!$B$6</f>
        <v>39069844605.430519</v>
      </c>
      <c r="M11" s="4">
        <f>M6*1000*1000*1000/'Physikalische Parameter'!$C$6/'Physikalische Parameter'!$B$6</f>
        <v>39069844605.430519</v>
      </c>
    </row>
    <row r="12" spans="1:13" hidden="1"/>
    <row r="13" spans="1:13" hidden="1"/>
    <row r="14" spans="1:13">
      <c r="A14" t="s">
        <v>35</v>
      </c>
    </row>
    <row r="15" spans="1:13">
      <c r="A15" t="s">
        <v>33</v>
      </c>
      <c r="B15" s="231">
        <f>Verbrauchsstatistiken!B3</f>
        <v>17965914</v>
      </c>
      <c r="C15" s="231">
        <f>Verbrauchsstatistiken!C3</f>
        <v>16217890</v>
      </c>
      <c r="D15" s="231">
        <f>Verbrauchsstatistiken!D3</f>
        <v>0</v>
      </c>
      <c r="E15" s="231">
        <f>Verbrauchsstatistiken!E3</f>
        <v>0</v>
      </c>
      <c r="F15" s="231">
        <f>Verbrauchsstatistiken!F3</f>
        <v>0</v>
      </c>
      <c r="G15" s="231">
        <f>Verbrauchsstatistiken!G3</f>
        <v>0</v>
      </c>
      <c r="H15" s="231">
        <f>Verbrauchsstatistiken!H3</f>
        <v>0</v>
      </c>
      <c r="I15" s="231">
        <f>Verbrauchsstatistiken!I3</f>
        <v>0</v>
      </c>
      <c r="J15" s="231">
        <f>Verbrauchsstatistiken!J3</f>
        <v>0</v>
      </c>
      <c r="K15" s="231">
        <f>Verbrauchsstatistiken!K3</f>
        <v>0</v>
      </c>
      <c r="L15" s="231">
        <f>Verbrauchsstatistiken!L3</f>
        <v>0</v>
      </c>
      <c r="M15" s="231">
        <f>Verbrauchsstatistiken!M3</f>
        <v>0</v>
      </c>
    </row>
    <row r="16" spans="1:13">
      <c r="A16" t="s">
        <v>34</v>
      </c>
      <c r="B16" s="231">
        <f>Verbrauchsstatistiken!B4</f>
        <v>37848172</v>
      </c>
      <c r="C16" s="231">
        <f>Verbrauchsstatistiken!C4</f>
        <v>35163289</v>
      </c>
      <c r="D16" s="231">
        <f>Verbrauchsstatistiken!D4</f>
        <v>0</v>
      </c>
      <c r="E16" s="231">
        <f>Verbrauchsstatistiken!E4</f>
        <v>0</v>
      </c>
      <c r="F16" s="231">
        <f>Verbrauchsstatistiken!F4</f>
        <v>0</v>
      </c>
      <c r="G16" s="231">
        <f>Verbrauchsstatistiken!G4</f>
        <v>0</v>
      </c>
      <c r="H16" s="231">
        <f>Verbrauchsstatistiken!H4</f>
        <v>0</v>
      </c>
      <c r="I16" s="231">
        <f>Verbrauchsstatistiken!I4</f>
        <v>0</v>
      </c>
      <c r="J16" s="231">
        <f>Verbrauchsstatistiken!J4</f>
        <v>0</v>
      </c>
      <c r="K16" s="231">
        <f>Verbrauchsstatistiken!K4</f>
        <v>0</v>
      </c>
      <c r="L16" s="231">
        <f>Verbrauchsstatistiken!L4</f>
        <v>0</v>
      </c>
      <c r="M16" s="231">
        <f>Verbrauchsstatistiken!M4</f>
        <v>0</v>
      </c>
    </row>
    <row r="18" spans="1:13">
      <c r="A18" t="s">
        <v>18</v>
      </c>
      <c r="B18" s="2">
        <f>'Konfiguration Szenarien'!C13</f>
        <v>781.51725899999997</v>
      </c>
      <c r="C18" s="2">
        <f>'Konfiguration Szenarien'!D13</f>
        <v>705</v>
      </c>
      <c r="D18" s="2">
        <f>'Konfiguration Szenarien'!E13</f>
        <v>705</v>
      </c>
      <c r="E18" s="2">
        <f>'Konfiguration Szenarien'!F13</f>
        <v>781.51725899999997</v>
      </c>
      <c r="F18" s="2">
        <f>'Konfiguration Szenarien'!G13</f>
        <v>781.51725899999997</v>
      </c>
      <c r="G18" s="2">
        <f>'Konfiguration Szenarien'!H13</f>
        <v>781.51725899999997</v>
      </c>
      <c r="H18" s="2">
        <f>'Konfiguration Szenarien'!I13</f>
        <v>781.51725899999997</v>
      </c>
      <c r="I18" s="2">
        <f>'Konfiguration Szenarien'!J13</f>
        <v>781.51725899999997</v>
      </c>
      <c r="J18" s="2">
        <f>'Konfiguration Szenarien'!K13</f>
        <v>781.51725899999997</v>
      </c>
      <c r="K18" s="2">
        <f>'Konfiguration Szenarien'!L13</f>
        <v>781.51725899999997</v>
      </c>
      <c r="L18" s="2">
        <f>'Konfiguration Szenarien'!M13</f>
        <v>781.51725899999997</v>
      </c>
      <c r="M18" s="2">
        <f>'Konfiguration Szenarien'!N13</f>
        <v>781.51725899999997</v>
      </c>
    </row>
    <row r="19" spans="1:13">
      <c r="A19" t="s">
        <v>19</v>
      </c>
      <c r="B19" s="2">
        <f>'Konfiguration Szenarien'!C14</f>
        <v>1619.9017615999999</v>
      </c>
      <c r="C19" s="2">
        <f>'Konfiguration Szenarien'!D14</f>
        <v>1504</v>
      </c>
      <c r="D19" s="2">
        <f>'Konfiguration Szenarien'!E14</f>
        <v>1504</v>
      </c>
      <c r="E19" s="2">
        <f>'Konfiguration Szenarien'!F14</f>
        <v>1619.9017615999999</v>
      </c>
      <c r="F19" s="2">
        <f>'Konfiguration Szenarien'!G14</f>
        <v>1619.9017615999999</v>
      </c>
      <c r="G19" s="2">
        <f>'Konfiguration Szenarien'!H14</f>
        <v>1619.9017615999999</v>
      </c>
      <c r="H19" s="2">
        <f>'Konfiguration Szenarien'!I14</f>
        <v>1619.9017615999999</v>
      </c>
      <c r="I19" s="2">
        <f>'Konfiguration Szenarien'!J14</f>
        <v>1619.9017615999999</v>
      </c>
      <c r="J19" s="2">
        <f>'Konfiguration Szenarien'!K14</f>
        <v>1619.9017615999999</v>
      </c>
      <c r="K19" s="2">
        <f>'Konfiguration Szenarien'!L14</f>
        <v>1619.9017615999999</v>
      </c>
      <c r="L19" s="2">
        <f>'Konfiguration Szenarien'!M14</f>
        <v>1619.9017615999999</v>
      </c>
      <c r="M19" s="2">
        <f>'Konfiguration Szenarien'!N14</f>
        <v>1619.9017615999999</v>
      </c>
    </row>
    <row r="21" spans="1:13">
      <c r="A21" t="s">
        <v>22</v>
      </c>
    </row>
    <row r="22" spans="1:13">
      <c r="A22" t="s">
        <v>29</v>
      </c>
      <c r="B22" s="2">
        <f>B26*1000/'Physikalische Parameter'!$C5/'Physikalische Parameter'!$B5</f>
        <v>23795912582.781456</v>
      </c>
      <c r="C22" s="2">
        <f>C26*1000/'Physikalische Parameter'!$C5/'Physikalische Parameter'!$B5</f>
        <v>21480649006.622517</v>
      </c>
      <c r="D22" s="2">
        <f>D26*1000/'Physikalische Parameter'!$C5/'Physikalische Parameter'!$B5</f>
        <v>21466088147.978992</v>
      </c>
      <c r="E22" s="2">
        <f>E26*1000/'Physikalische Parameter'!$C5/'Physikalische Parameter'!$B5</f>
        <v>23795912582.781456</v>
      </c>
      <c r="F22" s="2">
        <f>F26*1000/'Physikalische Parameter'!$C5/'Physikalische Parameter'!$B5</f>
        <v>23795912582.781456</v>
      </c>
      <c r="G22" s="2">
        <f>G26*1000/'Physikalische Parameter'!$C5/'Physikalische Parameter'!$B5</f>
        <v>23795912582.781456</v>
      </c>
      <c r="H22" s="2">
        <f>H26*1000/'Physikalische Parameter'!$C5/'Physikalische Parameter'!$B5</f>
        <v>23795912582.781456</v>
      </c>
      <c r="I22" s="2">
        <f>I26*1000/'Physikalische Parameter'!$C5/'Physikalische Parameter'!$B5</f>
        <v>23795912582.781456</v>
      </c>
      <c r="J22" s="2">
        <f>J26*1000/'Physikalische Parameter'!$C5/'Physikalische Parameter'!$B5</f>
        <v>23795912582.781456</v>
      </c>
      <c r="K22" s="2">
        <f>K26*1000/'Physikalische Parameter'!$C5/'Physikalische Parameter'!$B5</f>
        <v>23795912582.781456</v>
      </c>
      <c r="L22" s="2">
        <f>L26*1000/'Physikalische Parameter'!$C5/'Physikalische Parameter'!$B5</f>
        <v>23795912582.781456</v>
      </c>
      <c r="M22" s="2">
        <f>M26*1000/'Physikalische Parameter'!$C5/'Physikalische Parameter'!$B5</f>
        <v>23795912582.781456</v>
      </c>
    </row>
    <row r="23" spans="1:13">
      <c r="A23" t="s">
        <v>31</v>
      </c>
      <c r="B23" s="2">
        <f>B27*1000/'Physikalische Parameter'!$C6/'Physikalische Parameter'!$B6</f>
        <v>44790736094.674561</v>
      </c>
      <c r="C23" s="2">
        <f>C27*1000/'Physikalische Parameter'!$C6/'Physikalische Parameter'!$B6</f>
        <v>41613359763.313614</v>
      </c>
      <c r="D23" s="2">
        <f>D27*1000/'Physikalische Parameter'!$C6/'Physikalische Parameter'!$B6</f>
        <v>41586020018.8022</v>
      </c>
      <c r="E23" s="2">
        <f>E27*1000/'Physikalische Parameter'!$C6/'Physikalische Parameter'!$B6</f>
        <v>44790736094.674561</v>
      </c>
      <c r="F23" s="2">
        <f>F27*1000/'Physikalische Parameter'!$C6/'Physikalische Parameter'!$B6</f>
        <v>44790736094.674561</v>
      </c>
      <c r="G23" s="2">
        <f>G27*1000/'Physikalische Parameter'!$C6/'Physikalische Parameter'!$B6</f>
        <v>44790736094.674561</v>
      </c>
      <c r="H23" s="2">
        <f>H27*1000/'Physikalische Parameter'!$C6/'Physikalische Parameter'!$B6</f>
        <v>44790736094.674561</v>
      </c>
      <c r="I23" s="2">
        <f>I27*1000/'Physikalische Parameter'!$C6/'Physikalische Parameter'!$B6</f>
        <v>44790736094.674561</v>
      </c>
      <c r="J23" s="2">
        <f>J27*1000/'Physikalische Parameter'!$C6/'Physikalische Parameter'!$B6</f>
        <v>44790736094.674561</v>
      </c>
      <c r="K23" s="2">
        <f>K27*1000/'Physikalische Parameter'!$C6/'Physikalische Parameter'!$B6</f>
        <v>44790736094.674561</v>
      </c>
      <c r="L23" s="2">
        <f>L27*1000/'Physikalische Parameter'!$C6/'Physikalische Parameter'!$B6</f>
        <v>44790736094.674561</v>
      </c>
      <c r="M23" s="2">
        <f>M27*1000/'Physikalische Parameter'!$C6/'Physikalische Parameter'!$B6</f>
        <v>44790736094.674561</v>
      </c>
    </row>
    <row r="25" spans="1:13">
      <c r="A25" t="s">
        <v>37</v>
      </c>
    </row>
    <row r="26" spans="1:13">
      <c r="A26" t="s">
        <v>38</v>
      </c>
      <c r="B26" s="2">
        <f>IF(Verbrauchsstatistiken!B3&gt;0,Verbrauchsstatistiken!B3*'Physikalische Parameter'!$C5,B18*1000*1000)</f>
        <v>781517259</v>
      </c>
      <c r="C26" s="2">
        <f>IF(Verbrauchsstatistiken!C3&gt;0,Verbrauchsstatistiken!C3*'Physikalische Parameter'!$C5,C18*1000*1000)</f>
        <v>705478215</v>
      </c>
      <c r="D26" s="2">
        <f>IF(D15&gt;0,D15*'Physikalische Parameter'!$C5,D18*1000*1000)</f>
        <v>705000000</v>
      </c>
      <c r="E26" s="2">
        <f>IF(E15&gt;0,E15*'Physikalische Parameter'!$C5,E18*1000*1000)</f>
        <v>781517259</v>
      </c>
      <c r="F26" s="2">
        <f>IF(F15&gt;0,F15*'Physikalische Parameter'!$C5,F18*1000*1000)</f>
        <v>781517259</v>
      </c>
      <c r="G26" s="2">
        <f>IF(G15&gt;0,G15*'Physikalische Parameter'!$C5,G18*1000*1000)</f>
        <v>781517259</v>
      </c>
      <c r="H26" s="2">
        <f>IF(H15&gt;0,H15*'Physikalische Parameter'!$C5,H18*1000*1000)</f>
        <v>781517259</v>
      </c>
      <c r="I26" s="2">
        <f>IF(I15&gt;0,I15*'Physikalische Parameter'!$C5,I18*1000*1000)</f>
        <v>781517259</v>
      </c>
      <c r="J26" s="2">
        <f>IF(J15&gt;0,J15*'Physikalische Parameter'!$C5,J18*1000*1000)</f>
        <v>781517259</v>
      </c>
      <c r="K26" s="2">
        <f>IF(K15&gt;0,K15*'Physikalische Parameter'!$C5,K18*1000*1000)</f>
        <v>781517259</v>
      </c>
      <c r="L26" s="2">
        <f>IF(L15&gt;0,L15*'Physikalische Parameter'!$C5,L18*1000*1000)</f>
        <v>781517259</v>
      </c>
      <c r="M26" s="2">
        <f>IF(M15&gt;0,M15*'Physikalische Parameter'!$C5,M18*1000*1000)</f>
        <v>781517259</v>
      </c>
    </row>
    <row r="27" spans="1:13">
      <c r="A27" t="s">
        <v>39</v>
      </c>
      <c r="B27" s="2">
        <f>IF(Verbrauchsstatistiken!B4&gt;0,Verbrauchsstatistiken!B4*'Physikalische Parameter'!$C6,B19*1000*1000)</f>
        <v>1619901761.5999999</v>
      </c>
      <c r="C27" s="2">
        <f>IF(Verbrauchsstatistiken!C4&gt;0,Verbrauchsstatistiken!C4*'Physikalische Parameter'!$C6,C19*1000*1000)</f>
        <v>1504988769.1999998</v>
      </c>
      <c r="D27" s="2">
        <f>IF(D16&gt;0,D16*'Physikalische Parameter'!$C6,D19*1000*1000)</f>
        <v>1504000000</v>
      </c>
      <c r="E27" s="2">
        <f>IF(E16&gt;0,E16*'Physikalische Parameter'!$C6,E19*1000*1000)</f>
        <v>1619901761.5999999</v>
      </c>
      <c r="F27" s="2">
        <f>IF(F16&gt;0,F16*'Physikalische Parameter'!$C6,F19*1000*1000)</f>
        <v>1619901761.5999999</v>
      </c>
      <c r="G27" s="2">
        <f>IF(G16&gt;0,G16*'Physikalische Parameter'!$C6,G19*1000*1000)</f>
        <v>1619901761.5999999</v>
      </c>
      <c r="H27" s="2">
        <f>IF(H16&gt;0,H16*'Physikalische Parameter'!$C6,H19*1000*1000)</f>
        <v>1619901761.5999999</v>
      </c>
      <c r="I27" s="2">
        <f>IF(I16&gt;0,I16*'Physikalische Parameter'!$C6,I19*1000*1000)</f>
        <v>1619901761.5999999</v>
      </c>
      <c r="J27" s="2">
        <f>IF(J16&gt;0,J16*'Physikalische Parameter'!$C6,J19*1000*1000)</f>
        <v>1619901761.5999999</v>
      </c>
      <c r="K27" s="2">
        <f>IF(K16&gt;0,K16*'Physikalische Parameter'!$C6,K19*1000*1000)</f>
        <v>1619901761.5999999</v>
      </c>
      <c r="L27" s="2">
        <f>IF(L16&gt;0,L16*'Physikalische Parameter'!$C6,L19*1000*1000)</f>
        <v>1619901761.5999999</v>
      </c>
      <c r="M27" s="2">
        <f>IF(M16&gt;0,M16*'Physikalische Parameter'!$C6,M19*1000*1000)</f>
        <v>1619901761.5999999</v>
      </c>
    </row>
    <row r="29" spans="1:13">
      <c r="A29" t="s">
        <v>68</v>
      </c>
    </row>
    <row r="30" spans="1:13">
      <c r="A30" t="s">
        <v>33</v>
      </c>
      <c r="B30" s="2">
        <f>B26*'Physikalische Parameter'!$D5</f>
        <v>57128911.6329</v>
      </c>
      <c r="C30" s="2">
        <f>C26*'Physikalische Parameter'!$D5</f>
        <v>51570457.516499996</v>
      </c>
      <c r="D30" s="2">
        <f>D26*'Physikalische Parameter'!$D5</f>
        <v>51535500</v>
      </c>
      <c r="E30" s="2">
        <f>E26*'Physikalische Parameter'!$D5</f>
        <v>57128911.6329</v>
      </c>
      <c r="F30" s="2">
        <f>F26*'Physikalische Parameter'!$D5</f>
        <v>57128911.6329</v>
      </c>
      <c r="G30" s="2">
        <f>G26*'Physikalische Parameter'!$D5</f>
        <v>57128911.6329</v>
      </c>
      <c r="H30" s="2">
        <f>H26*'Physikalische Parameter'!$D5</f>
        <v>57128911.6329</v>
      </c>
      <c r="I30" s="2">
        <f>I26*'Physikalische Parameter'!$D5</f>
        <v>57128911.6329</v>
      </c>
      <c r="J30" s="2">
        <f>J26*'Physikalische Parameter'!$D5</f>
        <v>57128911.6329</v>
      </c>
      <c r="K30" s="2">
        <f>K26*'Physikalische Parameter'!$D5</f>
        <v>57128911.6329</v>
      </c>
      <c r="L30" s="2">
        <f>L26*'Physikalische Parameter'!$D5</f>
        <v>57128911.6329</v>
      </c>
      <c r="M30" s="2">
        <f>M26*'Physikalische Parameter'!$D5</f>
        <v>57128911.6329</v>
      </c>
    </row>
    <row r="31" spans="1:13">
      <c r="A31" t="s">
        <v>34</v>
      </c>
      <c r="B31" s="2">
        <f>B27*'Physikalische Parameter'!$D6</f>
        <v>119872730.35839999</v>
      </c>
      <c r="C31" s="2">
        <f>C27*'Physikalische Parameter'!$D6</f>
        <v>111369168.92079999</v>
      </c>
      <c r="D31" s="2">
        <f>D27*'Physikalische Parameter'!$D6</f>
        <v>111296000</v>
      </c>
      <c r="E31" s="2">
        <f>E27*'Physikalische Parameter'!$D6</f>
        <v>119872730.35839999</v>
      </c>
      <c r="F31" s="2">
        <f>F27*'Physikalische Parameter'!$D6</f>
        <v>119872730.35839999</v>
      </c>
      <c r="G31" s="2">
        <f>G27*'Physikalische Parameter'!$D6</f>
        <v>119872730.35839999</v>
      </c>
      <c r="H31" s="2">
        <f>H27*'Physikalische Parameter'!$D6</f>
        <v>119872730.35839999</v>
      </c>
      <c r="I31" s="2">
        <f>I27*'Physikalische Parameter'!$D6</f>
        <v>119872730.35839999</v>
      </c>
      <c r="J31" s="2">
        <f>J27*'Physikalische Parameter'!$D6</f>
        <v>119872730.35839999</v>
      </c>
      <c r="K31" s="2">
        <f>K27*'Physikalische Parameter'!$D6</f>
        <v>119872730.35839999</v>
      </c>
      <c r="L31" s="2">
        <f>L27*'Physikalische Parameter'!$D6</f>
        <v>119872730.35839999</v>
      </c>
      <c r="M31" s="2">
        <f>M27*'Physikalische Parameter'!$D6</f>
        <v>119872730.35839999</v>
      </c>
    </row>
  </sheetData>
  <sheetProtection algorithmName="SHA-512" hashValue="u6Wz4C+W46d5C8b5HN6cYrNMw/3MBaxuKiQfgej8S+It56puGoE04JXIV7MEwQunUV4Hz5CmRP3b5qet16Ck/g==" saltValue="x1tO9RHzFvL1AlHmgZ6qoQ==" spinCount="100000" sheet="1" objects="1" scenarios="1" formatRows="0"/>
  <hyperlinks>
    <hyperlink ref="A1" r:id="rId1" xr:uid="{41E09E10-5FE0-4A74-8174-4FF5965F3261}"/>
  </hyperlinks>
  <pageMargins left="0.7" right="0.7" top="0.78740157499999996" bottom="0.78740157499999996" header="0.3" footer="0.3"/>
  <customProperties>
    <customPr name="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BF5DF-7867-433C-BB68-B644160C2591}">
  <sheetPr codeName="Tabelle15">
    <tabColor rgb="FFF0C8DD"/>
  </sheetPr>
  <dimension ref="A4:W28"/>
  <sheetViews>
    <sheetView workbookViewId="0"/>
  </sheetViews>
  <sheetFormatPr baseColWidth="10" defaultRowHeight="14.25"/>
  <cols>
    <col min="1" max="1" width="38.75" customWidth="1"/>
    <col min="2" max="13" width="18.125" customWidth="1"/>
  </cols>
  <sheetData>
    <row r="4" spans="1:23" ht="15">
      <c r="A4" t="s">
        <v>96</v>
      </c>
      <c r="B4" s="20">
        <v>2019</v>
      </c>
      <c r="C4" s="20">
        <f>B4+1</f>
        <v>2020</v>
      </c>
      <c r="D4" s="20">
        <f>C4+1</f>
        <v>2021</v>
      </c>
      <c r="E4" s="20">
        <f t="shared" ref="E4:M4" si="0">D4+1</f>
        <v>2022</v>
      </c>
      <c r="F4" s="20">
        <f t="shared" si="0"/>
        <v>2023</v>
      </c>
      <c r="G4" s="20">
        <f t="shared" si="0"/>
        <v>2024</v>
      </c>
      <c r="H4" s="20">
        <f t="shared" si="0"/>
        <v>2025</v>
      </c>
      <c r="I4" s="20">
        <f t="shared" si="0"/>
        <v>2026</v>
      </c>
      <c r="J4" s="20">
        <f t="shared" si="0"/>
        <v>2027</v>
      </c>
      <c r="K4" s="20">
        <f t="shared" si="0"/>
        <v>2028</v>
      </c>
      <c r="L4" s="20">
        <f t="shared" si="0"/>
        <v>2029</v>
      </c>
      <c r="M4" s="20">
        <f t="shared" si="0"/>
        <v>2030</v>
      </c>
      <c r="N4" s="20"/>
      <c r="O4" s="20"/>
      <c r="P4" s="20"/>
      <c r="Q4" s="20"/>
      <c r="R4" s="20"/>
      <c r="S4" s="20"/>
      <c r="T4" s="20"/>
      <c r="U4" s="20"/>
      <c r="V4" s="20"/>
      <c r="W4" s="20"/>
    </row>
    <row r="5" spans="1:23">
      <c r="A5" t="s">
        <v>66</v>
      </c>
      <c r="B5" s="231">
        <f>Verbrauchsstatistiken!B6</f>
        <v>13938561</v>
      </c>
      <c r="C5" s="231">
        <f>Verbrauchsstatistiken!C6</f>
        <v>14764466</v>
      </c>
      <c r="D5" s="231">
        <f>Verbrauchsstatistiken!D6</f>
        <v>0</v>
      </c>
      <c r="E5" s="231">
        <f>Verbrauchsstatistiken!E6</f>
        <v>0</v>
      </c>
      <c r="F5" s="231">
        <f>Verbrauchsstatistiken!F6</f>
        <v>0</v>
      </c>
      <c r="G5" s="231">
        <f>Verbrauchsstatistiken!G6</f>
        <v>0</v>
      </c>
      <c r="H5" s="231">
        <f>Verbrauchsstatistiken!H6</f>
        <v>0</v>
      </c>
      <c r="I5" s="231">
        <f>Verbrauchsstatistiken!I6</f>
        <v>0</v>
      </c>
      <c r="J5" s="231">
        <f>Verbrauchsstatistiken!J6</f>
        <v>0</v>
      </c>
      <c r="K5" s="231">
        <f>Verbrauchsstatistiken!K6</f>
        <v>0</v>
      </c>
      <c r="L5" s="231">
        <f>Verbrauchsstatistiken!L6</f>
        <v>0</v>
      </c>
      <c r="M5" s="231">
        <f>Verbrauchsstatistiken!M6</f>
        <v>0</v>
      </c>
    </row>
    <row r="6" spans="1:23">
      <c r="A6" t="s">
        <v>67</v>
      </c>
      <c r="B6" s="231">
        <f>Verbrauchsstatistiken!B7</f>
        <v>1122922</v>
      </c>
      <c r="C6" s="231">
        <f>Verbrauchsstatistiken!C7</f>
        <v>793507</v>
      </c>
      <c r="D6" s="231">
        <f>Verbrauchsstatistiken!D7</f>
        <v>0</v>
      </c>
      <c r="E6" s="231">
        <f>Verbrauchsstatistiken!E7</f>
        <v>0</v>
      </c>
      <c r="F6" s="231">
        <f>Verbrauchsstatistiken!F7</f>
        <v>0</v>
      </c>
      <c r="G6" s="231">
        <f>Verbrauchsstatistiken!G7</f>
        <v>0</v>
      </c>
      <c r="H6" s="231">
        <f>Verbrauchsstatistiken!H7</f>
        <v>0</v>
      </c>
      <c r="I6" s="231">
        <f>Verbrauchsstatistiken!I7</f>
        <v>0</v>
      </c>
      <c r="J6" s="231">
        <f>Verbrauchsstatistiken!J7</f>
        <v>0</v>
      </c>
      <c r="K6" s="231">
        <f>Verbrauchsstatistiken!K7</f>
        <v>0</v>
      </c>
      <c r="L6" s="231">
        <f>Verbrauchsstatistiken!L7</f>
        <v>0</v>
      </c>
      <c r="M6" s="231">
        <f>Verbrauchsstatistiken!M7</f>
        <v>0</v>
      </c>
    </row>
    <row r="8" spans="1:23">
      <c r="A8" t="s">
        <v>213</v>
      </c>
      <c r="B8" s="2">
        <f>'Konfiguration Szenarien'!C15</f>
        <v>644.63147240000001</v>
      </c>
      <c r="C8" s="2">
        <f>'Konfiguration Szenarien'!D15</f>
        <v>665</v>
      </c>
      <c r="D8" s="2">
        <f>'Konfiguration Szenarien'!E15</f>
        <v>500</v>
      </c>
      <c r="E8" s="2">
        <f>'Konfiguration Szenarien'!F15</f>
        <v>644.63147240000001</v>
      </c>
      <c r="F8" s="2">
        <f>'Konfiguration Szenarien'!G15</f>
        <v>644.63147240000001</v>
      </c>
      <c r="G8" s="2">
        <f>'Konfiguration Szenarien'!H15</f>
        <v>644.63147240000001</v>
      </c>
      <c r="H8" s="2">
        <f>'Konfiguration Szenarien'!I15</f>
        <v>644.63147240000001</v>
      </c>
      <c r="I8" s="2">
        <f>'Konfiguration Szenarien'!J15</f>
        <v>644.63147240000001</v>
      </c>
      <c r="J8" s="2">
        <f>'Konfiguration Szenarien'!K15</f>
        <v>644.63147240000001</v>
      </c>
      <c r="K8" s="2">
        <f>'Konfiguration Szenarien'!L15</f>
        <v>644.63147240000001</v>
      </c>
      <c r="L8" s="2">
        <f>'Konfiguration Szenarien'!M15</f>
        <v>644.63147240000001</v>
      </c>
      <c r="M8" s="2">
        <f>'Konfiguration Szenarien'!N15</f>
        <v>644.63147240000001</v>
      </c>
    </row>
    <row r="9" spans="1:23">
      <c r="A9" t="s">
        <v>214</v>
      </c>
      <c r="B9" s="21">
        <v>0.92544412791223807</v>
      </c>
      <c r="C9" s="21">
        <f>B9</f>
        <v>0.92544412791223807</v>
      </c>
      <c r="D9" s="21">
        <f t="shared" ref="D9:M9" si="1">C9</f>
        <v>0.92544412791223807</v>
      </c>
      <c r="E9" s="21">
        <f t="shared" si="1"/>
        <v>0.92544412791223807</v>
      </c>
      <c r="F9" s="21">
        <f t="shared" si="1"/>
        <v>0.92544412791223807</v>
      </c>
      <c r="G9" s="21">
        <f t="shared" si="1"/>
        <v>0.92544412791223807</v>
      </c>
      <c r="H9" s="21">
        <f t="shared" si="1"/>
        <v>0.92544412791223807</v>
      </c>
      <c r="I9" s="21">
        <f t="shared" si="1"/>
        <v>0.92544412791223807</v>
      </c>
      <c r="J9" s="21">
        <f t="shared" si="1"/>
        <v>0.92544412791223807</v>
      </c>
      <c r="K9" s="21">
        <f t="shared" si="1"/>
        <v>0.92544412791223807</v>
      </c>
      <c r="L9" s="21">
        <f t="shared" si="1"/>
        <v>0.92544412791223807</v>
      </c>
      <c r="M9" s="21">
        <f t="shared" si="1"/>
        <v>0.92544412791223807</v>
      </c>
    </row>
    <row r="10" spans="1:23">
      <c r="A10" t="s">
        <v>215</v>
      </c>
      <c r="B10" s="21">
        <v>7.4555872087761862E-2</v>
      </c>
      <c r="C10" s="21">
        <f>B10</f>
        <v>7.4555872087761862E-2</v>
      </c>
      <c r="D10" s="21">
        <f t="shared" ref="D10:M10" si="2">C10</f>
        <v>7.4555872087761862E-2</v>
      </c>
      <c r="E10" s="21">
        <f t="shared" si="2"/>
        <v>7.4555872087761862E-2</v>
      </c>
      <c r="F10" s="21">
        <f t="shared" si="2"/>
        <v>7.4555872087761862E-2</v>
      </c>
      <c r="G10" s="21">
        <f t="shared" si="2"/>
        <v>7.4555872087761862E-2</v>
      </c>
      <c r="H10" s="21">
        <f t="shared" si="2"/>
        <v>7.4555872087761862E-2</v>
      </c>
      <c r="I10" s="21">
        <f t="shared" si="2"/>
        <v>7.4555872087761862E-2</v>
      </c>
      <c r="J10" s="21">
        <f t="shared" si="2"/>
        <v>7.4555872087761862E-2</v>
      </c>
      <c r="K10" s="21">
        <f t="shared" si="2"/>
        <v>7.4555872087761862E-2</v>
      </c>
      <c r="L10" s="21">
        <f t="shared" si="2"/>
        <v>7.4555872087761862E-2</v>
      </c>
      <c r="M10" s="21">
        <f t="shared" si="2"/>
        <v>7.4555872087761862E-2</v>
      </c>
    </row>
    <row r="12" spans="1:23">
      <c r="A12" t="s">
        <v>211</v>
      </c>
      <c r="B12" s="2">
        <f>B8*B9</f>
        <v>596.57041079999999</v>
      </c>
      <c r="C12" s="2">
        <f>C8*C9</f>
        <v>615.42034506163827</v>
      </c>
      <c r="D12" s="2">
        <f t="shared" ref="D12:M12" si="3">D8*D9</f>
        <v>462.72206395611903</v>
      </c>
      <c r="E12" s="2">
        <f t="shared" si="3"/>
        <v>596.57041079999999</v>
      </c>
      <c r="F12" s="2">
        <f t="shared" si="3"/>
        <v>596.57041079999999</v>
      </c>
      <c r="G12" s="2">
        <f t="shared" si="3"/>
        <v>596.57041079999999</v>
      </c>
      <c r="H12" s="2">
        <f t="shared" si="3"/>
        <v>596.57041079999999</v>
      </c>
      <c r="I12" s="2">
        <f t="shared" si="3"/>
        <v>596.57041079999999</v>
      </c>
      <c r="J12" s="2">
        <f t="shared" si="3"/>
        <v>596.57041079999999</v>
      </c>
      <c r="K12" s="2">
        <f t="shared" si="3"/>
        <v>596.57041079999999</v>
      </c>
      <c r="L12" s="2">
        <f t="shared" si="3"/>
        <v>596.57041079999999</v>
      </c>
      <c r="M12" s="2">
        <f t="shared" si="3"/>
        <v>596.57041079999999</v>
      </c>
    </row>
    <row r="13" spans="1:23">
      <c r="A13" t="s">
        <v>212</v>
      </c>
      <c r="B13" s="2">
        <f>B8*B10</f>
        <v>48.061061599999995</v>
      </c>
      <c r="C13" s="2">
        <f>C8*C10</f>
        <v>49.579654938361635</v>
      </c>
      <c r="D13" s="2">
        <f t="shared" ref="D13:M13" si="4">D8*D10</f>
        <v>37.277936043880928</v>
      </c>
      <c r="E13" s="2">
        <f t="shared" si="4"/>
        <v>48.061061599999995</v>
      </c>
      <c r="F13" s="2">
        <f t="shared" si="4"/>
        <v>48.061061599999995</v>
      </c>
      <c r="G13" s="2">
        <f t="shared" si="4"/>
        <v>48.061061599999995</v>
      </c>
      <c r="H13" s="2">
        <f t="shared" si="4"/>
        <v>48.061061599999995</v>
      </c>
      <c r="I13" s="2">
        <f t="shared" si="4"/>
        <v>48.061061599999995</v>
      </c>
      <c r="J13" s="2">
        <f t="shared" si="4"/>
        <v>48.061061599999995</v>
      </c>
      <c r="K13" s="2">
        <f t="shared" si="4"/>
        <v>48.061061599999995</v>
      </c>
      <c r="L13" s="2">
        <f t="shared" si="4"/>
        <v>48.061061599999995</v>
      </c>
      <c r="M13" s="2">
        <f t="shared" si="4"/>
        <v>48.061061599999995</v>
      </c>
    </row>
    <row r="16" spans="1:23">
      <c r="A16" t="s">
        <v>22</v>
      </c>
    </row>
    <row r="17" spans="1:13">
      <c r="A17" t="s">
        <v>69</v>
      </c>
      <c r="B17" s="10">
        <f>B21*1000/'Physikalische Parameter'!$C$12/'Physikalische Parameter'!$B$12</f>
        <v>16495338461.538462</v>
      </c>
      <c r="C17" s="10">
        <f>C21*1000/'Physikalische Parameter'!$C$12/'Physikalische Parameter'!$B$12</f>
        <v>17472740828.40237</v>
      </c>
      <c r="D17" s="10">
        <f>D21*1000/'Physikalische Parameter'!$C$12/'Physikalische Parameter'!$B$12</f>
        <v>12794394291.769039</v>
      </c>
      <c r="E17" s="10">
        <f>E21*1000/'Physikalische Parameter'!$C$12/'Physikalische Parameter'!$B$12</f>
        <v>16495338461.538462</v>
      </c>
      <c r="F17" s="10">
        <f>F21*1000/'Physikalische Parameter'!$C$12/'Physikalische Parameter'!$B$12</f>
        <v>16495338461.538462</v>
      </c>
      <c r="G17" s="10">
        <f>G21*1000/'Physikalische Parameter'!$C$12/'Physikalische Parameter'!$B$12</f>
        <v>16495338461.538462</v>
      </c>
      <c r="H17" s="10">
        <f>H21*1000/'Physikalische Parameter'!$C$12/'Physikalische Parameter'!$B$12</f>
        <v>16495338461.538462</v>
      </c>
      <c r="I17" s="10">
        <f>I21*1000/'Physikalische Parameter'!$C$12/'Physikalische Parameter'!$B$12</f>
        <v>16495338461.538462</v>
      </c>
      <c r="J17" s="10">
        <f>J21*1000/'Physikalische Parameter'!$C$12/'Physikalische Parameter'!$B$12</f>
        <v>16495338461.538462</v>
      </c>
      <c r="K17" s="10">
        <f>K21*1000/'Physikalische Parameter'!$C$12/'Physikalische Parameter'!$B$12</f>
        <v>16495338461.538462</v>
      </c>
      <c r="L17" s="10">
        <f>L21*1000/'Physikalische Parameter'!$C$12/'Physikalische Parameter'!$B$12</f>
        <v>16495338461.538462</v>
      </c>
      <c r="M17" s="10">
        <f>M21*1000/'Physikalische Parameter'!$C$12/'Physikalische Parameter'!$B$12</f>
        <v>16495338461.538462</v>
      </c>
    </row>
    <row r="18" spans="1:13">
      <c r="A18" t="s">
        <v>70</v>
      </c>
      <c r="B18" s="10">
        <f>B22*1000/'Physikalische Parameter'!$C$12/'Physikalische Parameter'!$B$12</f>
        <v>1328901775.147929</v>
      </c>
      <c r="C18" s="10">
        <f>C22*1000/'Physikalische Parameter'!$C$12/'Physikalische Parameter'!$B$12</f>
        <v>939061538.46153831</v>
      </c>
      <c r="D18" s="10">
        <f>D22*1000/'Physikalische Parameter'!$C$12/'Physikalische Parameter'!$B$12</f>
        <v>1030745342.1412636</v>
      </c>
      <c r="E18" s="10">
        <f>E22*1000/'Physikalische Parameter'!$C$12/'Physikalische Parameter'!$B$12</f>
        <v>1328901775.147929</v>
      </c>
      <c r="F18" s="10">
        <f>F22*1000/'Physikalische Parameter'!$C$12/'Physikalische Parameter'!$B$12</f>
        <v>1328901775.147929</v>
      </c>
      <c r="G18" s="10">
        <f>G22*1000/'Physikalische Parameter'!$C$12/'Physikalische Parameter'!$B$12</f>
        <v>1328901775.147929</v>
      </c>
      <c r="H18" s="10">
        <f>H22*1000/'Physikalische Parameter'!$C$12/'Physikalische Parameter'!$B$12</f>
        <v>1328901775.147929</v>
      </c>
      <c r="I18" s="10">
        <f>I22*1000/'Physikalische Parameter'!$C$12/'Physikalische Parameter'!$B$12</f>
        <v>1328901775.147929</v>
      </c>
      <c r="J18" s="10">
        <f>J22*1000/'Physikalische Parameter'!$C$12/'Physikalische Parameter'!$B$12</f>
        <v>1328901775.147929</v>
      </c>
      <c r="K18" s="10">
        <f>K22*1000/'Physikalische Parameter'!$C$12/'Physikalische Parameter'!$B$12</f>
        <v>1328901775.147929</v>
      </c>
      <c r="L18" s="10">
        <f>L22*1000/'Physikalische Parameter'!$C$12/'Physikalische Parameter'!$B$12</f>
        <v>1328901775.147929</v>
      </c>
      <c r="M18" s="10">
        <f>M22*1000/'Physikalische Parameter'!$C$12/'Physikalische Parameter'!$B$12</f>
        <v>1328901775.147929</v>
      </c>
    </row>
    <row r="20" spans="1:13">
      <c r="A20" t="s">
        <v>37</v>
      </c>
    </row>
    <row r="21" spans="1:13">
      <c r="A21" t="s">
        <v>72</v>
      </c>
      <c r="B21" s="2">
        <f>IF(Verbrauchsstatistiken!B6&gt;0,Verbrauchsstatistiken!B6*'Physikalische Parameter'!$C$12,B12)</f>
        <v>596570410.79999995</v>
      </c>
      <c r="C21" s="2">
        <f>IF(Verbrauchsstatistiken!C6&gt;0,Verbrauchsstatistiken!C6*'Physikalische Parameter'!$C$12,C12*1000*1000)</f>
        <v>631919144.79999995</v>
      </c>
      <c r="D21" s="2">
        <f>IF(D5&gt;0,D5*'Physikalische Parameter'!$C$12,D12*1000*1000)</f>
        <v>462722063.956119</v>
      </c>
      <c r="E21" s="2">
        <f>IF(E5&gt;0,E5*'Physikalische Parameter'!$C$12,E12*1000*1000)</f>
        <v>596570410.79999995</v>
      </c>
      <c r="F21" s="2">
        <f>IF(F5&gt;0,F5*'Physikalische Parameter'!$C$12,F12*1000*1000)</f>
        <v>596570410.79999995</v>
      </c>
      <c r="G21" s="2">
        <f>IF(G5&gt;0,G5*'Physikalische Parameter'!$C$12,G12*1000*1000)</f>
        <v>596570410.79999995</v>
      </c>
      <c r="H21" s="2">
        <f>IF(H5&gt;0,H5*'Physikalische Parameter'!$C$12,H12*1000*1000)</f>
        <v>596570410.79999995</v>
      </c>
      <c r="I21" s="2">
        <f>IF(I5&gt;0,I5*'Physikalische Parameter'!$C$12,I12*1000*1000)</f>
        <v>596570410.79999995</v>
      </c>
      <c r="J21" s="2">
        <f>IF(J5&gt;0,J5*'Physikalische Parameter'!$C$12,J12*1000*1000)</f>
        <v>596570410.79999995</v>
      </c>
      <c r="K21" s="2">
        <f>IF(K5&gt;0,K5*'Physikalische Parameter'!$C$12,K12*1000*1000)</f>
        <v>596570410.79999995</v>
      </c>
      <c r="L21" s="2">
        <f>IF(L5&gt;0,L5*'Physikalische Parameter'!$C$12,L12*1000*1000)</f>
        <v>596570410.79999995</v>
      </c>
      <c r="M21" s="2">
        <f>IF(M5&gt;0,M5*'Physikalische Parameter'!$C$12,M12*1000*1000)</f>
        <v>596570410.79999995</v>
      </c>
    </row>
    <row r="22" spans="1:13">
      <c r="A22" t="s">
        <v>73</v>
      </c>
      <c r="B22" s="2">
        <f>IF(Verbrauchsstatistiken!B7&gt;0,Verbrauchsstatistiken!B7*'Physikalische Parameter'!$C$12,B13)</f>
        <v>48061061.599999994</v>
      </c>
      <c r="C22" s="2">
        <f>IF(Verbrauchsstatistiken!C7&gt;0,Verbrauchsstatistiken!C7*'Physikalische Parameter'!$C$12,C13*1000*1000)</f>
        <v>33962099.599999994</v>
      </c>
      <c r="D22" s="2">
        <f>IF(D6&gt;0,D6*'Physikalische Parameter'!$C$12,D13*1000*1000)</f>
        <v>37277936.043880932</v>
      </c>
      <c r="E22" s="2">
        <f>IF(E6&gt;0,E6*'Physikalische Parameter'!$C$12,E13*1000*1000)</f>
        <v>48061061.599999994</v>
      </c>
      <c r="F22" s="2">
        <f>IF(F6&gt;0,F6*'Physikalische Parameter'!$C$12,F13*1000*1000)</f>
        <v>48061061.599999994</v>
      </c>
      <c r="G22" s="2">
        <f>IF(G6&gt;0,G6*'Physikalische Parameter'!$C$12,G13*1000*1000)</f>
        <v>48061061.599999994</v>
      </c>
      <c r="H22" s="2">
        <f>IF(H6&gt;0,H6*'Physikalische Parameter'!$C$12,H13*1000*1000)</f>
        <v>48061061.599999994</v>
      </c>
      <c r="I22" s="2">
        <f>IF(I6&gt;0,I6*'Physikalische Parameter'!$C$12,I13*1000*1000)</f>
        <v>48061061.599999994</v>
      </c>
      <c r="J22" s="2">
        <f>IF(J6&gt;0,J6*'Physikalische Parameter'!$C$12,J13*1000*1000)</f>
        <v>48061061.599999994</v>
      </c>
      <c r="K22" s="2">
        <f>IF(K6&gt;0,K6*'Physikalische Parameter'!$C$12,K13*1000*1000)</f>
        <v>48061061.599999994</v>
      </c>
      <c r="L22" s="2">
        <f>IF(L6&gt;0,L6*'Physikalische Parameter'!$C$12,L13*1000*1000)</f>
        <v>48061061.599999994</v>
      </c>
      <c r="M22" s="2">
        <f>IF(M6&gt;0,M6*'Physikalische Parameter'!$C$12,M13*1000*1000)</f>
        <v>48061061.599999994</v>
      </c>
    </row>
    <row r="23" spans="1:13">
      <c r="C23" s="2"/>
    </row>
    <row r="24" spans="1:13">
      <c r="A24" t="s">
        <v>40</v>
      </c>
    </row>
    <row r="25" spans="1:13">
      <c r="A25" t="s">
        <v>66</v>
      </c>
      <c r="B25" s="2">
        <f>B21*'Physikalische Parameter'!$D$12</f>
        <v>44146210.399199992</v>
      </c>
      <c r="C25" s="2">
        <f>C21*'Physikalische Parameter'!$D$12</f>
        <v>46762016.715199992</v>
      </c>
      <c r="D25" s="2">
        <f>D21*'Physikalische Parameter'!$D$12</f>
        <v>34241432.732752807</v>
      </c>
      <c r="E25" s="2">
        <f>E21*'Physikalische Parameter'!$D$12</f>
        <v>44146210.399199992</v>
      </c>
      <c r="F25" s="2">
        <f>F21*'Physikalische Parameter'!$D$12</f>
        <v>44146210.399199992</v>
      </c>
      <c r="G25" s="2">
        <f>G21*'Physikalische Parameter'!$D$12</f>
        <v>44146210.399199992</v>
      </c>
      <c r="H25" s="2">
        <f>H21*'Physikalische Parameter'!$D$12</f>
        <v>44146210.399199992</v>
      </c>
      <c r="I25" s="2">
        <f>I21*'Physikalische Parameter'!$D$12</f>
        <v>44146210.399199992</v>
      </c>
      <c r="J25" s="2">
        <f>J21*'Physikalische Parameter'!$D$12</f>
        <v>44146210.399199992</v>
      </c>
      <c r="K25" s="2">
        <f>K21*'Physikalische Parameter'!$D$12</f>
        <v>44146210.399199992</v>
      </c>
      <c r="L25" s="2">
        <f>L21*'Physikalische Parameter'!$D$12</f>
        <v>44146210.399199992</v>
      </c>
      <c r="M25" s="2">
        <f>M21*'Physikalische Parameter'!$D$12</f>
        <v>44146210.399199992</v>
      </c>
    </row>
    <row r="26" spans="1:13">
      <c r="A26" t="s">
        <v>67</v>
      </c>
      <c r="B26" s="2">
        <f>B22*'Physikalische Parameter'!$D$12</f>
        <v>3556518.5583999995</v>
      </c>
      <c r="C26" s="2">
        <f>C22*'Physikalische Parameter'!$D$12</f>
        <v>2513195.3703999994</v>
      </c>
      <c r="D26" s="2">
        <f>D22*'Physikalische Parameter'!$D$12</f>
        <v>2758567.2672471888</v>
      </c>
      <c r="E26" s="2">
        <f>E22*'Physikalische Parameter'!$D$12</f>
        <v>3556518.5583999995</v>
      </c>
      <c r="F26" s="2">
        <f>F22*'Physikalische Parameter'!$D$12</f>
        <v>3556518.5583999995</v>
      </c>
      <c r="G26" s="2">
        <f>G22*'Physikalische Parameter'!$D$12</f>
        <v>3556518.5583999995</v>
      </c>
      <c r="H26" s="2">
        <f>H22*'Physikalische Parameter'!$D$12</f>
        <v>3556518.5583999995</v>
      </c>
      <c r="I26" s="2">
        <f>I22*'Physikalische Parameter'!$D$12</f>
        <v>3556518.5583999995</v>
      </c>
      <c r="J26" s="2">
        <f>J22*'Physikalische Parameter'!$D$12</f>
        <v>3556518.5583999995</v>
      </c>
      <c r="K26" s="2">
        <f>K22*'Physikalische Parameter'!$D$12</f>
        <v>3556518.5583999995</v>
      </c>
      <c r="L26" s="2">
        <f>L22*'Physikalische Parameter'!$D$12</f>
        <v>3556518.5583999995</v>
      </c>
      <c r="M26" s="2">
        <f>M22*'Physikalische Parameter'!$D$12</f>
        <v>3556518.5583999995</v>
      </c>
    </row>
    <row r="28" spans="1:13">
      <c r="B28" s="2"/>
    </row>
  </sheetData>
  <sheetProtection algorithmName="SHA-512" hashValue="o3I1GoJW+SQkxU3dkAc0IRujTiu1hawURoFn1Dr4vKvQKwoznnfeY/CP2F29DGk9tJVTj8zrUt6ToP07FvE1hQ==" saltValue="gBX1BcnRBuGduTPdU+dHDg==" spinCount="100000" sheet="1" objects="1" scenarios="1" formatRows="0"/>
  <pageMargins left="0.7" right="0.7" top="0.78740157499999996" bottom="0.78740157499999996" header="0.3" footer="0.3"/>
  <customProperties>
    <customPr name="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855E-4B43-4375-9C2D-AE3D3570235C}">
  <sheetPr codeName="Tabelle16">
    <tabColor rgb="FFF0C8DD"/>
  </sheetPr>
  <dimension ref="A4:M19"/>
  <sheetViews>
    <sheetView workbookViewId="0"/>
  </sheetViews>
  <sheetFormatPr baseColWidth="10" defaultRowHeight="14.25"/>
  <cols>
    <col min="1" max="1" width="38.75" customWidth="1"/>
    <col min="2" max="13" width="18.125" customWidth="1"/>
  </cols>
  <sheetData>
    <row r="4" spans="1:13" ht="15">
      <c r="A4" t="s">
        <v>96</v>
      </c>
      <c r="B4" s="20">
        <v>2019</v>
      </c>
      <c r="C4" s="20">
        <f>B4+1</f>
        <v>2020</v>
      </c>
      <c r="D4" s="20">
        <f>C4+1</f>
        <v>2021</v>
      </c>
      <c r="E4" s="20">
        <f t="shared" ref="E4:M4" si="0">D4+1</f>
        <v>2022</v>
      </c>
      <c r="F4" s="20">
        <f t="shared" si="0"/>
        <v>2023</v>
      </c>
      <c r="G4" s="20">
        <f t="shared" si="0"/>
        <v>2024</v>
      </c>
      <c r="H4" s="20">
        <f t="shared" si="0"/>
        <v>2025</v>
      </c>
      <c r="I4" s="20">
        <f t="shared" si="0"/>
        <v>2026</v>
      </c>
      <c r="J4" s="20">
        <f t="shared" si="0"/>
        <v>2027</v>
      </c>
      <c r="K4" s="20">
        <f t="shared" si="0"/>
        <v>2028</v>
      </c>
      <c r="L4" s="20">
        <f t="shared" si="0"/>
        <v>2029</v>
      </c>
      <c r="M4" s="20">
        <f t="shared" si="0"/>
        <v>2030</v>
      </c>
    </row>
    <row r="5" spans="1:13">
      <c r="A5" t="s">
        <v>130</v>
      </c>
      <c r="B5" s="231">
        <f>Verbrauchsstatistiken!B9</f>
        <v>1559.8230000000001</v>
      </c>
      <c r="C5" s="231">
        <f>Verbrauchsstatistiken!C9</f>
        <v>772.20799999999997</v>
      </c>
      <c r="D5" s="231">
        <f>Verbrauchsstatistiken!D9</f>
        <v>0</v>
      </c>
      <c r="E5" s="231">
        <f>Verbrauchsstatistiken!E9</f>
        <v>0</v>
      </c>
      <c r="F5" s="231">
        <f>Verbrauchsstatistiken!F9</f>
        <v>0</v>
      </c>
      <c r="G5" s="231">
        <f>Verbrauchsstatistiken!G9</f>
        <v>0</v>
      </c>
      <c r="H5" s="231">
        <f>Verbrauchsstatistiken!H9</f>
        <v>0</v>
      </c>
      <c r="I5" s="231">
        <f>Verbrauchsstatistiken!I9</f>
        <v>0</v>
      </c>
      <c r="J5" s="231">
        <f>Verbrauchsstatistiken!J9</f>
        <v>0</v>
      </c>
      <c r="K5" s="231">
        <f>Verbrauchsstatistiken!K9</f>
        <v>0</v>
      </c>
      <c r="L5" s="231">
        <f>Verbrauchsstatistiken!L9</f>
        <v>0</v>
      </c>
      <c r="M5" s="231">
        <f>Verbrauchsstatistiken!M9</f>
        <v>0</v>
      </c>
    </row>
    <row r="6" spans="1:13">
      <c r="A6" t="s">
        <v>131</v>
      </c>
      <c r="B6" s="231">
        <f>Verbrauchsstatistiken!B10</f>
        <v>1122.922</v>
      </c>
      <c r="C6" s="231">
        <f>Verbrauchsstatistiken!C10</f>
        <v>1452.3050000000001</v>
      </c>
      <c r="D6" s="231">
        <f>Verbrauchsstatistiken!D10</f>
        <v>0</v>
      </c>
      <c r="E6" s="231">
        <f>Verbrauchsstatistiken!E10</f>
        <v>0</v>
      </c>
      <c r="F6" s="231">
        <f>Verbrauchsstatistiken!F10</f>
        <v>0</v>
      </c>
      <c r="G6" s="231">
        <f>Verbrauchsstatistiken!G10</f>
        <v>0</v>
      </c>
      <c r="H6" s="231">
        <f>Verbrauchsstatistiken!H10</f>
        <v>0</v>
      </c>
      <c r="I6" s="231">
        <f>Verbrauchsstatistiken!I10</f>
        <v>0</v>
      </c>
      <c r="J6" s="231">
        <f>Verbrauchsstatistiken!J10</f>
        <v>0</v>
      </c>
      <c r="K6" s="231">
        <f>Verbrauchsstatistiken!K10</f>
        <v>0</v>
      </c>
      <c r="L6" s="231">
        <f>Verbrauchsstatistiken!L10</f>
        <v>0</v>
      </c>
      <c r="M6" s="231">
        <f>Verbrauchsstatistiken!M10</f>
        <v>0</v>
      </c>
    </row>
    <row r="8" spans="1:13">
      <c r="A8" t="s">
        <v>253</v>
      </c>
      <c r="B8" s="8">
        <f>'Konfiguration Szenarien'!C17</f>
        <v>61.613008500000007</v>
      </c>
      <c r="C8" s="8">
        <f>'Konfiguration Szenarien'!D17</f>
        <v>61.613008500000007</v>
      </c>
      <c r="D8" s="8">
        <f>'Konfiguration Szenarien'!E17</f>
        <v>61.613008500000007</v>
      </c>
      <c r="E8" s="8">
        <f>'Konfiguration Szenarien'!F17</f>
        <v>61.613008500000007</v>
      </c>
      <c r="F8" s="8">
        <f>'Konfiguration Szenarien'!G17</f>
        <v>61.613008500000007</v>
      </c>
      <c r="G8" s="8">
        <f>'Konfiguration Szenarien'!H17</f>
        <v>61.613008500000007</v>
      </c>
      <c r="H8" s="8">
        <f>'Konfiguration Szenarien'!I17</f>
        <v>61.613008500000007</v>
      </c>
      <c r="I8" s="8">
        <f>'Konfiguration Szenarien'!J17</f>
        <v>61.613008500000007</v>
      </c>
      <c r="J8" s="8">
        <f>'Konfiguration Szenarien'!K17</f>
        <v>61.613008500000007</v>
      </c>
      <c r="K8" s="8">
        <f>'Konfiguration Szenarien'!L17</f>
        <v>61.613008500000007</v>
      </c>
      <c r="L8" s="8">
        <f>'Konfiguration Szenarien'!M17</f>
        <v>61.613008500000007</v>
      </c>
      <c r="M8" s="8">
        <f>'Konfiguration Szenarien'!N17</f>
        <v>61.613008500000007</v>
      </c>
    </row>
    <row r="9" spans="1:13">
      <c r="A9" t="s">
        <v>435</v>
      </c>
      <c r="B9" s="8">
        <f>B12/'Physikalische Parameter'!$C18/1000</f>
        <v>1559.8230000000001</v>
      </c>
      <c r="C9" s="8">
        <f>C12/'Physikalische Parameter'!$C18/1000</f>
        <v>772.20799999999997</v>
      </c>
      <c r="D9" s="8">
        <f>D12/'Physikalische Parameter'!$C18/1000</f>
        <v>1559.8230000000001</v>
      </c>
      <c r="E9" s="8">
        <f>E12/'Physikalische Parameter'!$C18/1000</f>
        <v>1559.8230000000001</v>
      </c>
      <c r="F9" s="8">
        <f>F12/'Physikalische Parameter'!$C18/1000</f>
        <v>1559.8230000000001</v>
      </c>
      <c r="G9" s="8">
        <f>G12/'Physikalische Parameter'!$C18/1000</f>
        <v>1559.8230000000001</v>
      </c>
      <c r="H9" s="8">
        <f>H12/'Physikalische Parameter'!$C18/1000</f>
        <v>1559.8230000000001</v>
      </c>
      <c r="I9" s="8">
        <f>I12/'Physikalische Parameter'!$C18/1000</f>
        <v>1559.8230000000001</v>
      </c>
      <c r="J9" s="8">
        <f>J12/'Physikalische Parameter'!$C18/1000</f>
        <v>1559.8230000000001</v>
      </c>
      <c r="K9" s="8">
        <f>K12/'Physikalische Parameter'!$C18/1000</f>
        <v>1559.8230000000001</v>
      </c>
      <c r="L9" s="8">
        <f>L12/'Physikalische Parameter'!$C18/1000</f>
        <v>1559.8230000000001</v>
      </c>
      <c r="M9" s="8">
        <f>M12/'Physikalische Parameter'!$C18/1000</f>
        <v>1559.8230000000001</v>
      </c>
    </row>
    <row r="10" spans="1:13">
      <c r="B10" s="8"/>
      <c r="C10" s="8"/>
      <c r="D10" s="8"/>
      <c r="E10" s="8"/>
      <c r="F10" s="8"/>
      <c r="G10" s="8"/>
      <c r="H10" s="8"/>
      <c r="I10" s="8"/>
      <c r="J10" s="8"/>
      <c r="K10" s="8"/>
      <c r="L10" s="8"/>
      <c r="M10" s="8"/>
    </row>
    <row r="11" spans="1:13">
      <c r="A11" t="s">
        <v>37</v>
      </c>
    </row>
    <row r="12" spans="1:13">
      <c r="A12" t="s">
        <v>126</v>
      </c>
      <c r="B12" s="2">
        <f>IF(Verbrauchsstatistiken!B9&gt;0,Verbrauchsstatistiken!B9*'Physikalische Parameter'!$C18*1000,B8*1000*1000)</f>
        <v>61613008.5</v>
      </c>
      <c r="C12" s="2">
        <f>IF(Verbrauchsstatistiken!C9&gt;0,Verbrauchsstatistiken!C9*'Physikalische Parameter'!$C18*1000,C8*1000*1000)</f>
        <v>30502216</v>
      </c>
      <c r="D12" s="2">
        <f>IF(D5&gt;0,D5*'Physikalische Parameter'!$C18*1000,D8*1000*1000)</f>
        <v>61613008.5</v>
      </c>
      <c r="E12" s="2">
        <f>IF(E5&gt;0,E5*'Physikalische Parameter'!$C18*1000,E8*1000*1000)</f>
        <v>61613008.5</v>
      </c>
      <c r="F12" s="2">
        <f>IF(F5&gt;0,F5*'Physikalische Parameter'!$C18*1000,F8*1000*1000)</f>
        <v>61613008.5</v>
      </c>
      <c r="G12" s="2">
        <f>IF(G5&gt;0,G5*'Physikalische Parameter'!$C18*1000,G8*1000*1000)</f>
        <v>61613008.5</v>
      </c>
      <c r="H12" s="2">
        <f>IF(H5&gt;0,H5*'Physikalische Parameter'!$C18*1000,H8*1000*1000)</f>
        <v>61613008.5</v>
      </c>
      <c r="I12" s="2">
        <f>IF(I5&gt;0,I5*'Physikalische Parameter'!$C18*1000,I8*1000*1000)</f>
        <v>61613008.5</v>
      </c>
      <c r="J12" s="2">
        <f>IF(J5&gt;0,J5*'Physikalische Parameter'!$C18*1000,J8*1000*1000)</f>
        <v>61613008.5</v>
      </c>
      <c r="K12" s="2">
        <f>IF(K5&gt;0,K5*'Physikalische Parameter'!$C18*1000,K8*1000*1000)</f>
        <v>61613008.5</v>
      </c>
      <c r="L12" s="2">
        <f>IF(L5&gt;0,L5*'Physikalische Parameter'!$C18*1000,L8*1000*1000)</f>
        <v>61613008.5</v>
      </c>
      <c r="M12" s="2">
        <f>IF(M5&gt;0,M5*'Physikalische Parameter'!$C18*1000,M8*1000*1000)</f>
        <v>61613008.5</v>
      </c>
    </row>
    <row r="13" spans="1:13">
      <c r="A13" t="s">
        <v>127</v>
      </c>
      <c r="B13" s="2">
        <f>Verbrauchsstatistiken!B10*'Physikalische Parameter'!$C18*1000</f>
        <v>44355419</v>
      </c>
      <c r="C13" s="2">
        <f>Verbrauchsstatistiken!C10*'Physikalische Parameter'!$C18*1000</f>
        <v>57366047.5</v>
      </c>
      <c r="D13" s="2">
        <f>D6*'Physikalische Parameter'!$C18*1000</f>
        <v>0</v>
      </c>
      <c r="E13" s="2">
        <f>E6*'Physikalische Parameter'!$C18*1000</f>
        <v>0</v>
      </c>
      <c r="F13" s="2">
        <f>F6*'Physikalische Parameter'!$C18*1000</f>
        <v>0</v>
      </c>
      <c r="G13" s="2">
        <f>G6*'Physikalische Parameter'!$C18*1000</f>
        <v>0</v>
      </c>
      <c r="H13" s="2">
        <f>H6*'Physikalische Parameter'!$C18*1000</f>
        <v>0</v>
      </c>
      <c r="I13" s="2">
        <f>I6*'Physikalische Parameter'!$C18*1000</f>
        <v>0</v>
      </c>
      <c r="J13" s="2">
        <f>J6*'Physikalische Parameter'!$C18*1000</f>
        <v>0</v>
      </c>
      <c r="K13" s="2">
        <f>K6*'Physikalische Parameter'!$C18*1000</f>
        <v>0</v>
      </c>
      <c r="L13" s="2">
        <f>L6*'Physikalische Parameter'!$C18*1000</f>
        <v>0</v>
      </c>
      <c r="M13" s="2">
        <f>M6*'Physikalische Parameter'!$C18*1000</f>
        <v>0</v>
      </c>
    </row>
    <row r="15" spans="1:13">
      <c r="A15" t="s">
        <v>40</v>
      </c>
    </row>
    <row r="16" spans="1:13">
      <c r="A16" t="s">
        <v>124</v>
      </c>
      <c r="B16" s="2">
        <f>B12*'Physikalische Parameter'!$D$18</f>
        <v>4922879.3791499995</v>
      </c>
      <c r="C16" s="2">
        <f>C12*'Physikalische Parameter'!$D$18</f>
        <v>2437127.0584</v>
      </c>
      <c r="D16" s="2">
        <f>D12*'Physikalische Parameter'!$D$18</f>
        <v>4922879.3791499995</v>
      </c>
      <c r="E16" s="2">
        <f>E12*'Physikalische Parameter'!$D$18</f>
        <v>4922879.3791499995</v>
      </c>
      <c r="F16" s="2">
        <f>F12*'Physikalische Parameter'!$D$18</f>
        <v>4922879.3791499995</v>
      </c>
      <c r="G16" s="2">
        <f>G12*'Physikalische Parameter'!$D$18</f>
        <v>4922879.3791499995</v>
      </c>
      <c r="H16" s="2">
        <f>H12*'Physikalische Parameter'!$D$18</f>
        <v>4922879.3791499995</v>
      </c>
      <c r="I16" s="2">
        <f>I12*'Physikalische Parameter'!$D$18</f>
        <v>4922879.3791499995</v>
      </c>
      <c r="J16" s="2">
        <f>J12*'Physikalische Parameter'!$D$18</f>
        <v>4922879.3791499995</v>
      </c>
      <c r="K16" s="2">
        <f>K12*'Physikalische Parameter'!$D$18</f>
        <v>4922879.3791499995</v>
      </c>
      <c r="L16" s="2">
        <f>L12*'Physikalische Parameter'!$D$18</f>
        <v>4922879.3791499995</v>
      </c>
      <c r="M16" s="2">
        <f>M12*'Physikalische Parameter'!$D$18</f>
        <v>4922879.3791499995</v>
      </c>
    </row>
    <row r="17" spans="1:13">
      <c r="A17" t="s">
        <v>125</v>
      </c>
      <c r="B17" s="15">
        <f>B13*'Physikalische Parameter'!$D$12*'Kalibierung Steuereinnahmen'!$B$19</f>
        <v>0</v>
      </c>
      <c r="C17" s="15">
        <f>C13*'Physikalische Parameter'!$D$12*'Kalibierung Steuereinnahmen'!$B$19</f>
        <v>0</v>
      </c>
      <c r="D17" s="15">
        <f>D13*'Physikalische Parameter'!$D$12*'Kalibierung Steuereinnahmen'!$B$19</f>
        <v>0</v>
      </c>
      <c r="E17" s="15">
        <f>E13*'Physikalische Parameter'!$D$12*'Kalibierung Steuereinnahmen'!$B$19</f>
        <v>0</v>
      </c>
      <c r="F17" s="15">
        <f>F13*'Physikalische Parameter'!$D$12*'Kalibierung Steuereinnahmen'!$B$19</f>
        <v>0</v>
      </c>
      <c r="G17" s="15">
        <f>G13*'Physikalische Parameter'!$D$12*'Kalibierung Steuereinnahmen'!$B$19</f>
        <v>0</v>
      </c>
      <c r="H17" s="15">
        <f>H13*'Physikalische Parameter'!$D$12*'Kalibierung Steuereinnahmen'!$B$19</f>
        <v>0</v>
      </c>
      <c r="I17" s="15">
        <f>I13*'Physikalische Parameter'!$D$12*'Kalibierung Steuereinnahmen'!$B$19</f>
        <v>0</v>
      </c>
      <c r="J17" s="15">
        <f>J13*'Physikalische Parameter'!$D$12*'Kalibierung Steuereinnahmen'!$B$19</f>
        <v>0</v>
      </c>
      <c r="K17" s="15">
        <f>K13*'Physikalische Parameter'!$D$12*'Kalibierung Steuereinnahmen'!$B$19</f>
        <v>0</v>
      </c>
      <c r="L17" s="15">
        <f>L13*'Physikalische Parameter'!$D$12*'Kalibierung Steuereinnahmen'!$B$19</f>
        <v>0</v>
      </c>
      <c r="M17" s="15">
        <f>M13*'Physikalische Parameter'!$D$12*'Kalibierung Steuereinnahmen'!$B$19</f>
        <v>0</v>
      </c>
    </row>
    <row r="19" spans="1:13">
      <c r="B19" s="2"/>
      <c r="C19" s="2"/>
      <c r="D19" s="2"/>
      <c r="E19" s="2"/>
      <c r="F19" s="2"/>
      <c r="G19" s="2"/>
      <c r="H19" s="2"/>
      <c r="I19" s="2"/>
      <c r="J19" s="2"/>
      <c r="K19" s="2"/>
      <c r="L19" s="2"/>
      <c r="M19" s="2"/>
    </row>
  </sheetData>
  <sheetProtection algorithmName="SHA-512" hashValue="qDD2v8kVswapRrZFDBJPmPQkB4GL63U4/xzkitM90NPCt3ZWD0v3DOOXN9Cwf9jhaqcdtXVREzMqmkvx/TQ7EQ==" saltValue="Q2dBncau5Mn695tmS6+ArQ==" spinCount="100000" sheet="1" objects="1" scenarios="1" formatRows="0"/>
  <pageMargins left="0.7" right="0.7" top="0.78740157499999996" bottom="0.78740157499999996" header="0.3" footer="0.3"/>
  <customProperties>
    <customPr name="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68537-2211-4FE3-B7AB-3EE5658134E4}">
  <sheetPr codeName="Tabelle17">
    <tabColor rgb="FFF0C8DD"/>
  </sheetPr>
  <dimension ref="A2:M39"/>
  <sheetViews>
    <sheetView workbookViewId="0"/>
  </sheetViews>
  <sheetFormatPr baseColWidth="10" defaultRowHeight="14.25"/>
  <cols>
    <col min="1" max="1" width="24.875" customWidth="1"/>
    <col min="2" max="13" width="19.75" customWidth="1"/>
  </cols>
  <sheetData>
    <row r="2" spans="1:13" ht="15">
      <c r="B2" s="20">
        <v>2019</v>
      </c>
      <c r="C2" s="20">
        <f>B2+1</f>
        <v>2020</v>
      </c>
      <c r="D2" s="20">
        <f>C2+1</f>
        <v>2021</v>
      </c>
      <c r="E2" s="20">
        <f t="shared" ref="E2:M2" si="0">D2+1</f>
        <v>2022</v>
      </c>
      <c r="F2" s="20">
        <f t="shared" si="0"/>
        <v>2023</v>
      </c>
      <c r="G2" s="20">
        <f t="shared" si="0"/>
        <v>2024</v>
      </c>
      <c r="H2" s="20">
        <f t="shared" si="0"/>
        <v>2025</v>
      </c>
      <c r="I2" s="20">
        <f t="shared" si="0"/>
        <v>2026</v>
      </c>
      <c r="J2" s="20">
        <f t="shared" si="0"/>
        <v>2027</v>
      </c>
      <c r="K2" s="20">
        <f t="shared" si="0"/>
        <v>2028</v>
      </c>
      <c r="L2" s="20">
        <f t="shared" si="0"/>
        <v>2029</v>
      </c>
      <c r="M2" s="20">
        <f t="shared" si="0"/>
        <v>2030</v>
      </c>
    </row>
    <row r="3" spans="1:13">
      <c r="A3" t="s">
        <v>252</v>
      </c>
    </row>
    <row r="4" spans="1:13">
      <c r="A4" t="s">
        <v>100</v>
      </c>
      <c r="B4" s="231">
        <f>Verbrauchsstatistiken!B13</f>
        <v>3889.27</v>
      </c>
      <c r="C4" s="231">
        <f>Verbrauchsstatistiken!C13</f>
        <v>3586.8009999999999</v>
      </c>
      <c r="D4" s="231">
        <f>Verbrauchsstatistiken!D13</f>
        <v>0</v>
      </c>
      <c r="E4" s="231">
        <f>Verbrauchsstatistiken!E13</f>
        <v>0</v>
      </c>
      <c r="F4" s="231">
        <f>Verbrauchsstatistiken!F13</f>
        <v>0</v>
      </c>
      <c r="G4" s="231">
        <f>Verbrauchsstatistiken!G13</f>
        <v>0</v>
      </c>
      <c r="H4" s="231">
        <f>Verbrauchsstatistiken!H13</f>
        <v>0</v>
      </c>
      <c r="I4" s="231">
        <f>Verbrauchsstatistiken!I13</f>
        <v>0</v>
      </c>
      <c r="J4" s="231">
        <f>Verbrauchsstatistiken!J13</f>
        <v>0</v>
      </c>
      <c r="K4" s="231">
        <f>Verbrauchsstatistiken!K13</f>
        <v>0</v>
      </c>
      <c r="L4" s="231">
        <f>Verbrauchsstatistiken!L13</f>
        <v>0</v>
      </c>
      <c r="M4" s="231">
        <f>Verbrauchsstatistiken!M13</f>
        <v>0</v>
      </c>
    </row>
    <row r="5" spans="1:13">
      <c r="B5" s="8"/>
      <c r="C5" s="8"/>
      <c r="D5" s="8"/>
      <c r="E5" s="8"/>
      <c r="F5" s="8"/>
      <c r="G5" s="8"/>
      <c r="H5" s="8"/>
      <c r="I5" s="8"/>
      <c r="J5" s="8"/>
      <c r="K5" s="8"/>
      <c r="L5" s="8"/>
      <c r="M5" s="8"/>
    </row>
    <row r="6" spans="1:13">
      <c r="A6" t="s">
        <v>210</v>
      </c>
      <c r="B6" s="7">
        <f>Verbrauchsstatistiken!B13*'Physikalische Parameter'!$C15/1000</f>
        <v>177.73963900000001</v>
      </c>
      <c r="C6" s="7">
        <f>IF(Verbrauchsstatistiken!C13&gt;0,Verbrauchsstatistiken!C13*'Physikalische Parameter'!$C15/1000,'Konfiguration Szenarien'!D16)</f>
        <v>163.9168057</v>
      </c>
      <c r="D6" s="7">
        <f>IF(D4&gt;0,D4*'Physikalische Parameter'!$C15/1000,'Konfiguration Szenarien'!E16)</f>
        <v>177.73963899999998</v>
      </c>
      <c r="E6" s="7">
        <f>IF(E4&gt;0,E4*'Physikalische Parameter'!$C15/1000,'Konfiguration Szenarien'!F16)</f>
        <v>177.73963899999998</v>
      </c>
      <c r="F6" s="7">
        <f>IF(F4&gt;0,F4*'Physikalische Parameter'!$C15/1000,'Konfiguration Szenarien'!G16)</f>
        <v>177.73963899999998</v>
      </c>
      <c r="G6" s="7">
        <f>IF(G4&gt;0,G4*'Physikalische Parameter'!$C15/1000,'Konfiguration Szenarien'!H16)</f>
        <v>177.73963899999998</v>
      </c>
      <c r="H6" s="7">
        <f>IF(H4&gt;0,H4*'Physikalische Parameter'!$C15/1000,'Konfiguration Szenarien'!I16)</f>
        <v>177.73963899999998</v>
      </c>
      <c r="I6" s="7">
        <f>IF(I4&gt;0,I4*'Physikalische Parameter'!$C15/1000,'Konfiguration Szenarien'!J16)</f>
        <v>177.73963899999998</v>
      </c>
      <c r="J6" s="7">
        <f>IF(J4&gt;0,J4*'Physikalische Parameter'!$C15/1000,'Konfiguration Szenarien'!K16)</f>
        <v>177.73963899999998</v>
      </c>
      <c r="K6" s="7">
        <f>IF(K4&gt;0,K4*'Physikalische Parameter'!$C15/1000,'Konfiguration Szenarien'!L16)</f>
        <v>177.73963899999998</v>
      </c>
      <c r="L6" s="7">
        <f>IF(L4&gt;0,L4*'Physikalische Parameter'!$C15/1000,'Konfiguration Szenarien'!M16)</f>
        <v>177.73963899999998</v>
      </c>
      <c r="M6" s="7">
        <f>IF(M4&gt;0,M4*'Physikalische Parameter'!$C15/1000,'Konfiguration Szenarien'!N16)</f>
        <v>177.73963899999998</v>
      </c>
    </row>
    <row r="7" spans="1:13">
      <c r="A7" t="s">
        <v>100</v>
      </c>
      <c r="B7" s="8">
        <f>B6/'Physikalische Parameter'!$C15*1000</f>
        <v>3889.27</v>
      </c>
      <c r="C7" s="8">
        <f>C6/'Physikalische Parameter'!$C15*1000</f>
        <v>3586.8009999999999</v>
      </c>
      <c r="D7" s="8">
        <f>D6/'Physikalische Parameter'!$C15*1000</f>
        <v>3889.2699999999995</v>
      </c>
      <c r="E7" s="8">
        <f>E6/'Physikalische Parameter'!$C15*1000</f>
        <v>3889.2699999999995</v>
      </c>
      <c r="F7" s="8">
        <f>F6/'Physikalische Parameter'!$C15*1000</f>
        <v>3889.2699999999995</v>
      </c>
      <c r="G7" s="8">
        <f>G6/'Physikalische Parameter'!$C15*1000</f>
        <v>3889.2699999999995</v>
      </c>
      <c r="H7" s="8">
        <f>H6/'Physikalische Parameter'!$C15*1000</f>
        <v>3889.2699999999995</v>
      </c>
      <c r="I7" s="8">
        <f>I6/'Physikalische Parameter'!$C15*1000</f>
        <v>3889.2699999999995</v>
      </c>
      <c r="J7" s="8">
        <f>J6/'Physikalische Parameter'!$C15*1000</f>
        <v>3889.2699999999995</v>
      </c>
      <c r="K7" s="8">
        <f>K6/'Physikalische Parameter'!$C15*1000</f>
        <v>3889.2699999999995</v>
      </c>
      <c r="L7" s="8">
        <f>L6/'Physikalische Parameter'!$C15*1000</f>
        <v>3889.2699999999995</v>
      </c>
      <c r="M7" s="8">
        <f>M6/'Physikalische Parameter'!$C15*1000</f>
        <v>3889.2699999999995</v>
      </c>
    </row>
    <row r="8" spans="1:13">
      <c r="B8" s="8"/>
      <c r="C8" s="8"/>
      <c r="D8" s="8"/>
      <c r="E8" s="8"/>
      <c r="F8" s="8"/>
      <c r="G8" s="8"/>
      <c r="H8" s="8"/>
      <c r="I8" s="8"/>
      <c r="J8" s="8"/>
      <c r="K8" s="8"/>
      <c r="L8" s="8"/>
      <c r="M8" s="8"/>
    </row>
    <row r="9" spans="1:13">
      <c r="A9" t="s">
        <v>101</v>
      </c>
      <c r="B9" s="8"/>
      <c r="C9" s="8"/>
      <c r="D9" s="8"/>
      <c r="E9" s="8"/>
      <c r="F9" s="8"/>
      <c r="G9" s="8"/>
      <c r="H9" s="8"/>
      <c r="I9" s="8"/>
      <c r="J9" s="8"/>
      <c r="K9" s="8"/>
      <c r="L9" s="8"/>
      <c r="M9" s="8"/>
    </row>
    <row r="10" spans="1:13">
      <c r="A10" t="s">
        <v>102</v>
      </c>
      <c r="B10" s="14">
        <v>0.49199999999999999</v>
      </c>
      <c r="C10" s="14">
        <f>B10</f>
        <v>0.49199999999999999</v>
      </c>
      <c r="D10" s="14">
        <f t="shared" ref="D10:M10" si="1">C10</f>
        <v>0.49199999999999999</v>
      </c>
      <c r="E10" s="14">
        <f t="shared" si="1"/>
        <v>0.49199999999999999</v>
      </c>
      <c r="F10" s="14">
        <f t="shared" si="1"/>
        <v>0.49199999999999999</v>
      </c>
      <c r="G10" s="14">
        <f t="shared" si="1"/>
        <v>0.49199999999999999</v>
      </c>
      <c r="H10" s="14">
        <f t="shared" si="1"/>
        <v>0.49199999999999999</v>
      </c>
      <c r="I10" s="14">
        <f t="shared" si="1"/>
        <v>0.49199999999999999</v>
      </c>
      <c r="J10" s="14">
        <f t="shared" si="1"/>
        <v>0.49199999999999999</v>
      </c>
      <c r="K10" s="14">
        <f t="shared" si="1"/>
        <v>0.49199999999999999</v>
      </c>
      <c r="L10" s="14">
        <f t="shared" si="1"/>
        <v>0.49199999999999999</v>
      </c>
      <c r="M10" s="14">
        <f t="shared" si="1"/>
        <v>0.49199999999999999</v>
      </c>
    </row>
    <row r="11" spans="1:13">
      <c r="A11" t="s">
        <v>103</v>
      </c>
      <c r="B11" s="1">
        <v>0.17</v>
      </c>
      <c r="C11" s="14">
        <f t="shared" ref="C11:M14" si="2">B11</f>
        <v>0.17</v>
      </c>
      <c r="D11" s="14">
        <f t="shared" si="2"/>
        <v>0.17</v>
      </c>
      <c r="E11" s="14">
        <f t="shared" si="2"/>
        <v>0.17</v>
      </c>
      <c r="F11" s="14">
        <f t="shared" si="2"/>
        <v>0.17</v>
      </c>
      <c r="G11" s="14">
        <f t="shared" si="2"/>
        <v>0.17</v>
      </c>
      <c r="H11" s="14">
        <f t="shared" si="2"/>
        <v>0.17</v>
      </c>
      <c r="I11" s="14">
        <f t="shared" si="2"/>
        <v>0.17</v>
      </c>
      <c r="J11" s="14">
        <f t="shared" si="2"/>
        <v>0.17</v>
      </c>
      <c r="K11" s="14">
        <f t="shared" si="2"/>
        <v>0.17</v>
      </c>
      <c r="L11" s="14">
        <f t="shared" si="2"/>
        <v>0.17</v>
      </c>
      <c r="M11" s="14">
        <f t="shared" si="2"/>
        <v>0.17</v>
      </c>
    </row>
    <row r="12" spans="1:13">
      <c r="A12" t="s">
        <v>104</v>
      </c>
      <c r="B12" s="14">
        <v>0.20699999999999999</v>
      </c>
      <c r="C12" s="14">
        <f t="shared" si="2"/>
        <v>0.20699999999999999</v>
      </c>
      <c r="D12" s="14">
        <f t="shared" si="2"/>
        <v>0.20699999999999999</v>
      </c>
      <c r="E12" s="14">
        <f t="shared" si="2"/>
        <v>0.20699999999999999</v>
      </c>
      <c r="F12" s="14">
        <f t="shared" si="2"/>
        <v>0.20699999999999999</v>
      </c>
      <c r="G12" s="14">
        <f t="shared" si="2"/>
        <v>0.20699999999999999</v>
      </c>
      <c r="H12" s="14">
        <f t="shared" si="2"/>
        <v>0.20699999999999999</v>
      </c>
      <c r="I12" s="14">
        <f t="shared" si="2"/>
        <v>0.20699999999999999</v>
      </c>
      <c r="J12" s="14">
        <f t="shared" si="2"/>
        <v>0.20699999999999999</v>
      </c>
      <c r="K12" s="14">
        <f t="shared" si="2"/>
        <v>0.20699999999999999</v>
      </c>
      <c r="L12" s="14">
        <f t="shared" si="2"/>
        <v>0.20699999999999999</v>
      </c>
      <c r="M12" s="14">
        <f t="shared" si="2"/>
        <v>0.20699999999999999</v>
      </c>
    </row>
    <row r="13" spans="1:13">
      <c r="A13" t="s">
        <v>105</v>
      </c>
      <c r="B13" s="14">
        <v>0.113</v>
      </c>
      <c r="C13" s="14">
        <f t="shared" si="2"/>
        <v>0.113</v>
      </c>
      <c r="D13" s="14">
        <f t="shared" si="2"/>
        <v>0.113</v>
      </c>
      <c r="E13" s="14">
        <f t="shared" si="2"/>
        <v>0.113</v>
      </c>
      <c r="F13" s="14">
        <f t="shared" si="2"/>
        <v>0.113</v>
      </c>
      <c r="G13" s="14">
        <f t="shared" si="2"/>
        <v>0.113</v>
      </c>
      <c r="H13" s="14">
        <f t="shared" si="2"/>
        <v>0.113</v>
      </c>
      <c r="I13" s="14">
        <f t="shared" si="2"/>
        <v>0.113</v>
      </c>
      <c r="J13" s="14">
        <f t="shared" si="2"/>
        <v>0.113</v>
      </c>
      <c r="K13" s="14">
        <f t="shared" si="2"/>
        <v>0.113</v>
      </c>
      <c r="L13" s="14">
        <f t="shared" si="2"/>
        <v>0.113</v>
      </c>
      <c r="M13" s="14">
        <f t="shared" si="2"/>
        <v>0.113</v>
      </c>
    </row>
    <row r="14" spans="1:13">
      <c r="A14" t="s">
        <v>106</v>
      </c>
      <c r="B14" s="14">
        <v>1.7999999999999999E-2</v>
      </c>
      <c r="C14" s="14">
        <f t="shared" si="2"/>
        <v>1.7999999999999999E-2</v>
      </c>
      <c r="D14" s="14">
        <f t="shared" si="2"/>
        <v>1.7999999999999999E-2</v>
      </c>
      <c r="E14" s="14">
        <f t="shared" si="2"/>
        <v>1.7999999999999999E-2</v>
      </c>
      <c r="F14" s="14">
        <f t="shared" si="2"/>
        <v>1.7999999999999999E-2</v>
      </c>
      <c r="G14" s="14">
        <f t="shared" si="2"/>
        <v>1.7999999999999999E-2</v>
      </c>
      <c r="H14" s="14">
        <f t="shared" si="2"/>
        <v>1.7999999999999999E-2</v>
      </c>
      <c r="I14" s="14">
        <f t="shared" si="2"/>
        <v>1.7999999999999999E-2</v>
      </c>
      <c r="J14" s="14">
        <f t="shared" si="2"/>
        <v>1.7999999999999999E-2</v>
      </c>
      <c r="K14" s="14">
        <f t="shared" si="2"/>
        <v>1.7999999999999999E-2</v>
      </c>
      <c r="L14" s="14">
        <f t="shared" si="2"/>
        <v>1.7999999999999999E-2</v>
      </c>
      <c r="M14" s="14">
        <f t="shared" si="2"/>
        <v>1.7999999999999999E-2</v>
      </c>
    </row>
    <row r="15" spans="1:13">
      <c r="B15" s="8"/>
      <c r="C15" s="8"/>
      <c r="D15" s="8"/>
      <c r="E15" s="8"/>
      <c r="F15" s="8"/>
      <c r="G15" s="8"/>
      <c r="H15" s="8"/>
      <c r="I15" s="8"/>
      <c r="J15" s="8"/>
      <c r="K15" s="8"/>
      <c r="L15" s="8"/>
      <c r="M15" s="8"/>
    </row>
    <row r="16" spans="1:13">
      <c r="A16" t="s">
        <v>107</v>
      </c>
      <c r="B16" s="8"/>
      <c r="C16" s="8"/>
      <c r="D16" s="8"/>
      <c r="E16" s="8"/>
      <c r="F16" s="8"/>
      <c r="G16" s="8"/>
      <c r="H16" s="8"/>
      <c r="I16" s="8"/>
      <c r="J16" s="8"/>
      <c r="K16" s="8"/>
      <c r="L16" s="8"/>
      <c r="M16" s="8"/>
    </row>
    <row r="17" spans="1:13">
      <c r="A17" t="s">
        <v>102</v>
      </c>
      <c r="B17" s="8">
        <f>B10*B$7</f>
        <v>1913.5208399999999</v>
      </c>
      <c r="C17" s="8">
        <f t="shared" ref="C17:M17" si="3">C10*C$7</f>
        <v>1764.7060919999999</v>
      </c>
      <c r="D17" s="8">
        <f t="shared" si="3"/>
        <v>1913.5208399999997</v>
      </c>
      <c r="E17" s="8">
        <f t="shared" si="3"/>
        <v>1913.5208399999997</v>
      </c>
      <c r="F17" s="8">
        <f t="shared" si="3"/>
        <v>1913.5208399999997</v>
      </c>
      <c r="G17" s="8">
        <f t="shared" si="3"/>
        <v>1913.5208399999997</v>
      </c>
      <c r="H17" s="8">
        <f t="shared" si="3"/>
        <v>1913.5208399999997</v>
      </c>
      <c r="I17" s="8">
        <f t="shared" si="3"/>
        <v>1913.5208399999997</v>
      </c>
      <c r="J17" s="8">
        <f t="shared" si="3"/>
        <v>1913.5208399999997</v>
      </c>
      <c r="K17" s="8">
        <f t="shared" si="3"/>
        <v>1913.5208399999997</v>
      </c>
      <c r="L17" s="8">
        <f t="shared" si="3"/>
        <v>1913.5208399999997</v>
      </c>
      <c r="M17" s="8">
        <f t="shared" si="3"/>
        <v>1913.5208399999997</v>
      </c>
    </row>
    <row r="18" spans="1:13">
      <c r="A18" t="s">
        <v>103</v>
      </c>
      <c r="B18" s="8">
        <f>B11*B$7</f>
        <v>661.17590000000007</v>
      </c>
      <c r="C18" s="8">
        <f t="shared" ref="C18:M18" si="4">C11*C$7</f>
        <v>609.75617</v>
      </c>
      <c r="D18" s="8">
        <f t="shared" si="4"/>
        <v>661.17589999999996</v>
      </c>
      <c r="E18" s="8">
        <f t="shared" si="4"/>
        <v>661.17589999999996</v>
      </c>
      <c r="F18" s="8">
        <f t="shared" si="4"/>
        <v>661.17589999999996</v>
      </c>
      <c r="G18" s="8">
        <f t="shared" si="4"/>
        <v>661.17589999999996</v>
      </c>
      <c r="H18" s="8">
        <f t="shared" si="4"/>
        <v>661.17589999999996</v>
      </c>
      <c r="I18" s="8">
        <f t="shared" si="4"/>
        <v>661.17589999999996</v>
      </c>
      <c r="J18" s="8">
        <f t="shared" si="4"/>
        <v>661.17589999999996</v>
      </c>
      <c r="K18" s="8">
        <f t="shared" si="4"/>
        <v>661.17589999999996</v>
      </c>
      <c r="L18" s="8">
        <f t="shared" si="4"/>
        <v>661.17589999999996</v>
      </c>
      <c r="M18" s="8">
        <f t="shared" si="4"/>
        <v>661.17589999999996</v>
      </c>
    </row>
    <row r="19" spans="1:13">
      <c r="A19" t="s">
        <v>104</v>
      </c>
      <c r="B19" s="8">
        <f>B12*B$7</f>
        <v>805.07889</v>
      </c>
      <c r="C19" s="8">
        <f t="shared" ref="C19:M19" si="5">C12*C$7</f>
        <v>742.46780699999999</v>
      </c>
      <c r="D19" s="8">
        <f t="shared" si="5"/>
        <v>805.07888999999989</v>
      </c>
      <c r="E19" s="8">
        <f t="shared" si="5"/>
        <v>805.07888999999989</v>
      </c>
      <c r="F19" s="8">
        <f t="shared" si="5"/>
        <v>805.07888999999989</v>
      </c>
      <c r="G19" s="8">
        <f t="shared" si="5"/>
        <v>805.07888999999989</v>
      </c>
      <c r="H19" s="8">
        <f t="shared" si="5"/>
        <v>805.07888999999989</v>
      </c>
      <c r="I19" s="8">
        <f t="shared" si="5"/>
        <v>805.07888999999989</v>
      </c>
      <c r="J19" s="8">
        <f t="shared" si="5"/>
        <v>805.07888999999989</v>
      </c>
      <c r="K19" s="8">
        <f t="shared" si="5"/>
        <v>805.07888999999989</v>
      </c>
      <c r="L19" s="8">
        <f t="shared" si="5"/>
        <v>805.07888999999989</v>
      </c>
      <c r="M19" s="8">
        <f t="shared" si="5"/>
        <v>805.07888999999989</v>
      </c>
    </row>
    <row r="20" spans="1:13">
      <c r="A20" t="s">
        <v>105</v>
      </c>
      <c r="B20" s="8">
        <f>B13*B$7</f>
        <v>439.48750999999999</v>
      </c>
      <c r="C20" s="8">
        <f t="shared" ref="C20:M20" si="6">C13*C$7</f>
        <v>405.308513</v>
      </c>
      <c r="D20" s="8">
        <f t="shared" si="6"/>
        <v>439.48750999999999</v>
      </c>
      <c r="E20" s="8">
        <f t="shared" si="6"/>
        <v>439.48750999999999</v>
      </c>
      <c r="F20" s="8">
        <f t="shared" si="6"/>
        <v>439.48750999999999</v>
      </c>
      <c r="G20" s="8">
        <f t="shared" si="6"/>
        <v>439.48750999999999</v>
      </c>
      <c r="H20" s="8">
        <f t="shared" si="6"/>
        <v>439.48750999999999</v>
      </c>
      <c r="I20" s="8">
        <f t="shared" si="6"/>
        <v>439.48750999999999</v>
      </c>
      <c r="J20" s="8">
        <f t="shared" si="6"/>
        <v>439.48750999999999</v>
      </c>
      <c r="K20" s="8">
        <f t="shared" si="6"/>
        <v>439.48750999999999</v>
      </c>
      <c r="L20" s="8">
        <f t="shared" si="6"/>
        <v>439.48750999999999</v>
      </c>
      <c r="M20" s="8">
        <f t="shared" si="6"/>
        <v>439.48750999999999</v>
      </c>
    </row>
    <row r="21" spans="1:13">
      <c r="A21" t="s">
        <v>106</v>
      </c>
      <c r="B21" s="8">
        <f>B14*B$7</f>
        <v>70.006859999999989</v>
      </c>
      <c r="C21" s="8">
        <f t="shared" ref="C21:M21" si="7">C14*C$7</f>
        <v>64.562417999999994</v>
      </c>
      <c r="D21" s="8">
        <f t="shared" si="7"/>
        <v>70.006859999999989</v>
      </c>
      <c r="E21" s="8">
        <f t="shared" si="7"/>
        <v>70.006859999999989</v>
      </c>
      <c r="F21" s="8">
        <f t="shared" si="7"/>
        <v>70.006859999999989</v>
      </c>
      <c r="G21" s="8">
        <f t="shared" si="7"/>
        <v>70.006859999999989</v>
      </c>
      <c r="H21" s="8">
        <f t="shared" si="7"/>
        <v>70.006859999999989</v>
      </c>
      <c r="I21" s="8">
        <f t="shared" si="7"/>
        <v>70.006859999999989</v>
      </c>
      <c r="J21" s="8">
        <f t="shared" si="7"/>
        <v>70.006859999999989</v>
      </c>
      <c r="K21" s="8">
        <f t="shared" si="7"/>
        <v>70.006859999999989</v>
      </c>
      <c r="L21" s="8">
        <f t="shared" si="7"/>
        <v>70.006859999999989</v>
      </c>
      <c r="M21" s="8">
        <f t="shared" si="7"/>
        <v>70.006859999999989</v>
      </c>
    </row>
    <row r="22" spans="1:13">
      <c r="A22" t="s">
        <v>42</v>
      </c>
      <c r="B22" s="8">
        <f>SUM(B17:B21)</f>
        <v>3889.27</v>
      </c>
      <c r="C22" s="8">
        <f t="shared" ref="C22:M22" si="8">SUM(C17:C21)</f>
        <v>3586.8009999999999</v>
      </c>
      <c r="D22" s="8">
        <f t="shared" si="8"/>
        <v>3889.2699999999991</v>
      </c>
      <c r="E22" s="8">
        <f t="shared" si="8"/>
        <v>3889.2699999999991</v>
      </c>
      <c r="F22" s="8">
        <f t="shared" si="8"/>
        <v>3889.2699999999991</v>
      </c>
      <c r="G22" s="8">
        <f t="shared" si="8"/>
        <v>3889.2699999999991</v>
      </c>
      <c r="H22" s="8">
        <f t="shared" si="8"/>
        <v>3889.2699999999991</v>
      </c>
      <c r="I22" s="8">
        <f t="shared" si="8"/>
        <v>3889.2699999999991</v>
      </c>
      <c r="J22" s="8">
        <f t="shared" si="8"/>
        <v>3889.2699999999991</v>
      </c>
      <c r="K22" s="8">
        <f t="shared" si="8"/>
        <v>3889.2699999999991</v>
      </c>
      <c r="L22" s="8">
        <f t="shared" si="8"/>
        <v>3889.2699999999991</v>
      </c>
      <c r="M22" s="8">
        <f t="shared" si="8"/>
        <v>3889.2699999999991</v>
      </c>
    </row>
    <row r="23" spans="1:13">
      <c r="A23" t="s">
        <v>37</v>
      </c>
      <c r="B23" s="4"/>
      <c r="C23" s="4"/>
      <c r="D23" s="4"/>
      <c r="E23" s="4"/>
      <c r="F23" s="4"/>
      <c r="G23" s="4"/>
      <c r="H23" s="4"/>
      <c r="I23" s="4"/>
      <c r="J23" s="4"/>
      <c r="K23" s="4"/>
      <c r="L23" s="4"/>
      <c r="M23" s="4"/>
    </row>
    <row r="24" spans="1:13">
      <c r="A24" t="s">
        <v>102</v>
      </c>
      <c r="B24" s="4">
        <f>B17*'Physikalische Parameter'!$C$15*1000</f>
        <v>87447902.387999997</v>
      </c>
      <c r="C24" s="4">
        <f>C17*'Physikalische Parameter'!$C$15*1000</f>
        <v>80647068.404399991</v>
      </c>
      <c r="D24" s="4">
        <f>D17*'Physikalische Parameter'!$C$15*1000</f>
        <v>87447902.387999982</v>
      </c>
      <c r="E24" s="4">
        <f>E17*'Physikalische Parameter'!$C$15*1000</f>
        <v>87447902.387999982</v>
      </c>
      <c r="F24" s="4">
        <f>F17*'Physikalische Parameter'!$C$15*1000</f>
        <v>87447902.387999982</v>
      </c>
      <c r="G24" s="4">
        <f>G17*'Physikalische Parameter'!$C$15*1000</f>
        <v>87447902.387999982</v>
      </c>
      <c r="H24" s="4">
        <f>H17*'Physikalische Parameter'!$C$15*1000</f>
        <v>87447902.387999982</v>
      </c>
      <c r="I24" s="4">
        <f>I17*'Physikalische Parameter'!$C$15*1000</f>
        <v>87447902.387999982</v>
      </c>
      <c r="J24" s="4">
        <f>J17*'Physikalische Parameter'!$C$15*1000</f>
        <v>87447902.387999982</v>
      </c>
      <c r="K24" s="4">
        <f>K17*'Physikalische Parameter'!$C$15*1000</f>
        <v>87447902.387999982</v>
      </c>
      <c r="L24" s="4">
        <f>L17*'Physikalische Parameter'!$C$15*1000</f>
        <v>87447902.387999982</v>
      </c>
      <c r="M24" s="4">
        <f>M17*'Physikalische Parameter'!$C$15*1000</f>
        <v>87447902.387999982</v>
      </c>
    </row>
    <row r="25" spans="1:13">
      <c r="A25" t="s">
        <v>103</v>
      </c>
      <c r="B25" s="4">
        <f>B18*'Physikalische Parameter'!$C$15*1000</f>
        <v>30215738.630000003</v>
      </c>
      <c r="C25" s="4">
        <f>C18*'Physikalische Parameter'!$C$15*1000</f>
        <v>27865856.969000001</v>
      </c>
      <c r="D25" s="4">
        <f>D18*'Physikalische Parameter'!$C$15*1000</f>
        <v>30215738.629999999</v>
      </c>
      <c r="E25" s="4">
        <f>E18*'Physikalische Parameter'!$C$15*1000</f>
        <v>30215738.629999999</v>
      </c>
      <c r="F25" s="4">
        <f>F18*'Physikalische Parameter'!$C$15*1000</f>
        <v>30215738.629999999</v>
      </c>
      <c r="G25" s="4">
        <f>G18*'Physikalische Parameter'!$C$15*1000</f>
        <v>30215738.629999999</v>
      </c>
      <c r="H25" s="4">
        <f>H18*'Physikalische Parameter'!$C$15*1000</f>
        <v>30215738.629999999</v>
      </c>
      <c r="I25" s="4">
        <f>I18*'Physikalische Parameter'!$C$15*1000</f>
        <v>30215738.629999999</v>
      </c>
      <c r="J25" s="4">
        <f>J18*'Physikalische Parameter'!$C$15*1000</f>
        <v>30215738.629999999</v>
      </c>
      <c r="K25" s="4">
        <f>K18*'Physikalische Parameter'!$C$15*1000</f>
        <v>30215738.629999999</v>
      </c>
      <c r="L25" s="4">
        <f>L18*'Physikalische Parameter'!$C$15*1000</f>
        <v>30215738.629999999</v>
      </c>
      <c r="M25" s="4">
        <f>M18*'Physikalische Parameter'!$C$15*1000</f>
        <v>30215738.629999999</v>
      </c>
    </row>
    <row r="26" spans="1:13">
      <c r="A26" t="s">
        <v>104</v>
      </c>
      <c r="B26" s="4">
        <f>B19*'Physikalische Parameter'!$C$15*1000</f>
        <v>36792105.273000002</v>
      </c>
      <c r="C26" s="4">
        <f>C19*'Physikalische Parameter'!$C$15*1000</f>
        <v>33930778.779899999</v>
      </c>
      <c r="D26" s="4">
        <f>D19*'Physikalische Parameter'!$C$15*1000</f>
        <v>36792105.272999994</v>
      </c>
      <c r="E26" s="4">
        <f>E19*'Physikalische Parameter'!$C$15*1000</f>
        <v>36792105.272999994</v>
      </c>
      <c r="F26" s="4">
        <f>F19*'Physikalische Parameter'!$C$15*1000</f>
        <v>36792105.272999994</v>
      </c>
      <c r="G26" s="4">
        <f>G19*'Physikalische Parameter'!$C$15*1000</f>
        <v>36792105.272999994</v>
      </c>
      <c r="H26" s="4">
        <f>H19*'Physikalische Parameter'!$C$15*1000</f>
        <v>36792105.272999994</v>
      </c>
      <c r="I26" s="4">
        <f>I19*'Physikalische Parameter'!$C$15*1000</f>
        <v>36792105.272999994</v>
      </c>
      <c r="J26" s="4">
        <f>J19*'Physikalische Parameter'!$C$15*1000</f>
        <v>36792105.272999994</v>
      </c>
      <c r="K26" s="4">
        <f>K19*'Physikalische Parameter'!$C$15*1000</f>
        <v>36792105.272999994</v>
      </c>
      <c r="L26" s="4">
        <f>L19*'Physikalische Parameter'!$C$15*1000</f>
        <v>36792105.272999994</v>
      </c>
      <c r="M26" s="4">
        <f>M19*'Physikalische Parameter'!$C$15*1000</f>
        <v>36792105.272999994</v>
      </c>
    </row>
    <row r="27" spans="1:13">
      <c r="A27" t="s">
        <v>105</v>
      </c>
      <c r="B27" s="4">
        <f>B20*'Physikalische Parameter'!$C$15*1000</f>
        <v>20084579.206999999</v>
      </c>
      <c r="C27" s="4">
        <f>C20*'Physikalische Parameter'!$C$15*1000</f>
        <v>18522599.044100001</v>
      </c>
      <c r="D27" s="4">
        <f>D20*'Physikalische Parameter'!$C$15*1000</f>
        <v>20084579.206999999</v>
      </c>
      <c r="E27" s="4">
        <f>E20*'Physikalische Parameter'!$C$15*1000</f>
        <v>20084579.206999999</v>
      </c>
      <c r="F27" s="4">
        <f>F20*'Physikalische Parameter'!$C$15*1000</f>
        <v>20084579.206999999</v>
      </c>
      <c r="G27" s="4">
        <f>G20*'Physikalische Parameter'!$C$15*1000</f>
        <v>20084579.206999999</v>
      </c>
      <c r="H27" s="4">
        <f>H20*'Physikalische Parameter'!$C$15*1000</f>
        <v>20084579.206999999</v>
      </c>
      <c r="I27" s="4">
        <f>I20*'Physikalische Parameter'!$C$15*1000</f>
        <v>20084579.206999999</v>
      </c>
      <c r="J27" s="4">
        <f>J20*'Physikalische Parameter'!$C$15*1000</f>
        <v>20084579.206999999</v>
      </c>
      <c r="K27" s="4">
        <f>K20*'Physikalische Parameter'!$C$15*1000</f>
        <v>20084579.206999999</v>
      </c>
      <c r="L27" s="4">
        <f>L20*'Physikalische Parameter'!$C$15*1000</f>
        <v>20084579.206999999</v>
      </c>
      <c r="M27" s="4">
        <f>M20*'Physikalische Parameter'!$C$15*1000</f>
        <v>20084579.206999999</v>
      </c>
    </row>
    <row r="28" spans="1:13">
      <c r="A28" t="s">
        <v>106</v>
      </c>
      <c r="B28" s="4">
        <f>B21*'Physikalische Parameter'!$C$15*1000</f>
        <v>3199313.5019999994</v>
      </c>
      <c r="C28" s="4">
        <f>C21*'Physikalische Parameter'!$C$15*1000</f>
        <v>2950502.5025999998</v>
      </c>
      <c r="D28" s="4">
        <f>D21*'Physikalische Parameter'!$C$15*1000</f>
        <v>3199313.5019999994</v>
      </c>
      <c r="E28" s="4">
        <f>E21*'Physikalische Parameter'!$C$15*1000</f>
        <v>3199313.5019999994</v>
      </c>
      <c r="F28" s="4">
        <f>F21*'Physikalische Parameter'!$C$15*1000</f>
        <v>3199313.5019999994</v>
      </c>
      <c r="G28" s="4">
        <f>G21*'Physikalische Parameter'!$C$15*1000</f>
        <v>3199313.5019999994</v>
      </c>
      <c r="H28" s="4">
        <f>H21*'Physikalische Parameter'!$C$15*1000</f>
        <v>3199313.5019999994</v>
      </c>
      <c r="I28" s="4">
        <f>I21*'Physikalische Parameter'!$C$15*1000</f>
        <v>3199313.5019999994</v>
      </c>
      <c r="J28" s="4">
        <f>J21*'Physikalische Parameter'!$C$15*1000</f>
        <v>3199313.5019999994</v>
      </c>
      <c r="K28" s="4">
        <f>K21*'Physikalische Parameter'!$C$15*1000</f>
        <v>3199313.5019999994</v>
      </c>
      <c r="L28" s="4">
        <f>L21*'Physikalische Parameter'!$C$15*1000</f>
        <v>3199313.5019999994</v>
      </c>
      <c r="M28" s="4">
        <f>M21*'Physikalische Parameter'!$C$15*1000</f>
        <v>3199313.5019999994</v>
      </c>
    </row>
    <row r="29" spans="1:13">
      <c r="B29" s="4"/>
      <c r="C29" s="4"/>
      <c r="D29" s="4"/>
      <c r="E29" s="4"/>
      <c r="F29" s="4"/>
      <c r="G29" s="4"/>
      <c r="H29" s="4"/>
      <c r="I29" s="4"/>
      <c r="J29" s="4"/>
      <c r="K29" s="4"/>
      <c r="L29" s="4"/>
      <c r="M29" s="4"/>
    </row>
    <row r="30" spans="1:13">
      <c r="A30" t="s">
        <v>113</v>
      </c>
      <c r="B30" s="9"/>
      <c r="C30" s="9"/>
      <c r="D30" s="9"/>
      <c r="E30" s="9"/>
      <c r="F30" s="9"/>
      <c r="G30" s="9"/>
      <c r="H30" s="9"/>
      <c r="I30" s="9"/>
      <c r="J30" s="9"/>
      <c r="K30" s="9"/>
      <c r="L30" s="9"/>
      <c r="M30" s="9"/>
    </row>
    <row r="31" spans="1:13">
      <c r="A31" t="str">
        <f>A24</f>
        <v>Chemie</v>
      </c>
      <c r="B31" s="15">
        <f>B24*'Physikalische Parameter'!$D$15*'Kalibierung Steuereinnahmen'!$B$14</f>
        <v>0</v>
      </c>
      <c r="C31" s="15">
        <f>C24*'Physikalische Parameter'!$D$15*'Kalibierung Steuereinnahmen'!$B$14</f>
        <v>0</v>
      </c>
      <c r="D31" s="15">
        <f>D24*'Physikalische Parameter'!$D$15*'Kalibierung Steuereinnahmen'!$B$14</f>
        <v>0</v>
      </c>
      <c r="E31" s="15">
        <f>E24*'Physikalische Parameter'!$D$15*'Kalibierung Steuereinnahmen'!$B$14</f>
        <v>0</v>
      </c>
      <c r="F31" s="15">
        <f>F24*'Physikalische Parameter'!$D$15*'Kalibierung Steuereinnahmen'!$B$14</f>
        <v>0</v>
      </c>
      <c r="G31" s="15">
        <f>G24*'Physikalische Parameter'!$D$15*'Kalibierung Steuereinnahmen'!$B$14</f>
        <v>0</v>
      </c>
      <c r="H31" s="15">
        <f>H24*'Physikalische Parameter'!$D$15*'Kalibierung Steuereinnahmen'!$B$14</f>
        <v>0</v>
      </c>
      <c r="I31" s="15">
        <f>I24*'Physikalische Parameter'!$D$15*'Kalibierung Steuereinnahmen'!$B$14</f>
        <v>0</v>
      </c>
      <c r="J31" s="15">
        <f>J24*'Physikalische Parameter'!$D$15*'Kalibierung Steuereinnahmen'!$B$14</f>
        <v>0</v>
      </c>
      <c r="K31" s="15">
        <f>K24*'Physikalische Parameter'!$D$15*'Kalibierung Steuereinnahmen'!$B$14</f>
        <v>0</v>
      </c>
      <c r="L31" s="15">
        <f>L24*'Physikalische Parameter'!$D$15*'Kalibierung Steuereinnahmen'!$B$14</f>
        <v>0</v>
      </c>
      <c r="M31" s="15">
        <f>M24*'Physikalische Parameter'!$D$15*'Kalibierung Steuereinnahmen'!$B$14</f>
        <v>0</v>
      </c>
    </row>
    <row r="32" spans="1:13">
      <c r="A32" t="str">
        <f t="shared" ref="A32:A35" si="9">A25</f>
        <v>Haushalte inkl. Landwirtschaft</v>
      </c>
      <c r="B32" s="9">
        <f>B25*'Physikalische Parameter'!$D$15</f>
        <v>2003303.471169</v>
      </c>
      <c r="C32" s="9">
        <f>C25*'Physikalische Parameter'!$D$15</f>
        <v>1847506.3170447</v>
      </c>
      <c r="D32" s="9">
        <f>D25*'Physikalische Parameter'!$D$15</f>
        <v>2003303.4711689998</v>
      </c>
      <c r="E32" s="9">
        <f>E25*'Physikalische Parameter'!$D$15</f>
        <v>2003303.4711689998</v>
      </c>
      <c r="F32" s="9">
        <f>F25*'Physikalische Parameter'!$D$15</f>
        <v>2003303.4711689998</v>
      </c>
      <c r="G32" s="9">
        <f>G25*'Physikalische Parameter'!$D$15</f>
        <v>2003303.4711689998</v>
      </c>
      <c r="H32" s="9">
        <f>H25*'Physikalische Parameter'!$D$15</f>
        <v>2003303.4711689998</v>
      </c>
      <c r="I32" s="9">
        <f>I25*'Physikalische Parameter'!$D$15</f>
        <v>2003303.4711689998</v>
      </c>
      <c r="J32" s="9">
        <f>J25*'Physikalische Parameter'!$D$15</f>
        <v>2003303.4711689998</v>
      </c>
      <c r="K32" s="9">
        <f>K25*'Physikalische Parameter'!$D$15</f>
        <v>2003303.4711689998</v>
      </c>
      <c r="L32" s="9">
        <f>L25*'Physikalische Parameter'!$D$15</f>
        <v>2003303.4711689998</v>
      </c>
      <c r="M32" s="9">
        <f>M25*'Physikalische Parameter'!$D$15</f>
        <v>2003303.4711689998</v>
      </c>
    </row>
    <row r="33" spans="1:13">
      <c r="A33" t="str">
        <f t="shared" si="9"/>
        <v>Industrie</v>
      </c>
      <c r="B33" s="9">
        <f>B26*'Physikalische Parameter'!$D$15*'Kalibierung Steuereinnahmen'!$B$15</f>
        <v>1219658.2897999501</v>
      </c>
      <c r="C33" s="9">
        <f>C26*'Physikalische Parameter'!$D$15*'Kalibierung Steuereinnahmen'!$B$15</f>
        <v>1124805.3165536849</v>
      </c>
      <c r="D33" s="9">
        <f>D26*'Physikalische Parameter'!$D$15*'Kalibierung Steuereinnahmen'!$B$15</f>
        <v>1219658.2897999499</v>
      </c>
      <c r="E33" s="9">
        <f>E26*'Physikalische Parameter'!$D$15*'Kalibierung Steuereinnahmen'!$B$15</f>
        <v>1219658.2897999499</v>
      </c>
      <c r="F33" s="9">
        <f>F26*'Physikalische Parameter'!$D$15*'Kalibierung Steuereinnahmen'!$B$15</f>
        <v>1219658.2897999499</v>
      </c>
      <c r="G33" s="9">
        <f>G26*'Physikalische Parameter'!$D$15*'Kalibierung Steuereinnahmen'!$B$15</f>
        <v>1219658.2897999499</v>
      </c>
      <c r="H33" s="9">
        <f>H26*'Physikalische Parameter'!$D$15*'Kalibierung Steuereinnahmen'!$B$15</f>
        <v>1219658.2897999499</v>
      </c>
      <c r="I33" s="9">
        <f>I26*'Physikalische Parameter'!$D$15*'Kalibierung Steuereinnahmen'!$B$15</f>
        <v>1219658.2897999499</v>
      </c>
      <c r="J33" s="9">
        <f>J26*'Physikalische Parameter'!$D$15*'Kalibierung Steuereinnahmen'!$B$15</f>
        <v>1219658.2897999499</v>
      </c>
      <c r="K33" s="9">
        <f>K26*'Physikalische Parameter'!$D$15*'Kalibierung Steuereinnahmen'!$B$15</f>
        <v>1219658.2897999499</v>
      </c>
      <c r="L33" s="9">
        <f>L26*'Physikalische Parameter'!$D$15*'Kalibierung Steuereinnahmen'!$B$15</f>
        <v>1219658.2897999499</v>
      </c>
      <c r="M33" s="9">
        <f>M26*'Physikalische Parameter'!$D$15*'Kalibierung Steuereinnahmen'!$B$15</f>
        <v>1219658.2897999499</v>
      </c>
    </row>
    <row r="34" spans="1:13">
      <c r="A34" t="str">
        <f t="shared" si="9"/>
        <v>Mobilität</v>
      </c>
      <c r="B34" s="9">
        <f>B27*'Physikalische Parameter'!$D$15</f>
        <v>1331607.6014240999</v>
      </c>
      <c r="C34" s="9">
        <f>C27*'Physikalische Parameter'!$D$15</f>
        <v>1228048.31662383</v>
      </c>
      <c r="D34" s="9">
        <f>D27*'Physikalische Parameter'!$D$15</f>
        <v>1331607.6014240999</v>
      </c>
      <c r="E34" s="9">
        <f>E27*'Physikalische Parameter'!$D$15</f>
        <v>1331607.6014240999</v>
      </c>
      <c r="F34" s="9">
        <f>F27*'Physikalische Parameter'!$D$15</f>
        <v>1331607.6014240999</v>
      </c>
      <c r="G34" s="9">
        <f>G27*'Physikalische Parameter'!$D$15</f>
        <v>1331607.6014240999</v>
      </c>
      <c r="H34" s="9">
        <f>H27*'Physikalische Parameter'!$D$15</f>
        <v>1331607.6014240999</v>
      </c>
      <c r="I34" s="9">
        <f>I27*'Physikalische Parameter'!$D$15</f>
        <v>1331607.6014240999</v>
      </c>
      <c r="J34" s="9">
        <f>J27*'Physikalische Parameter'!$D$15</f>
        <v>1331607.6014240999</v>
      </c>
      <c r="K34" s="9">
        <f>K27*'Physikalische Parameter'!$D$15</f>
        <v>1331607.6014240999</v>
      </c>
      <c r="L34" s="9">
        <f>L27*'Physikalische Parameter'!$D$15</f>
        <v>1331607.6014240999</v>
      </c>
      <c r="M34" s="9">
        <f>M27*'Physikalische Parameter'!$D$15</f>
        <v>1331607.6014240999</v>
      </c>
    </row>
    <row r="35" spans="1:13">
      <c r="A35" t="str">
        <f t="shared" si="9"/>
        <v>Raffinerie</v>
      </c>
      <c r="B35" s="15">
        <f>B28*'Physikalische Parameter'!$D$15*'Kalibierung Steuereinnahmen'!$B$16</f>
        <v>0</v>
      </c>
      <c r="C35" s="15">
        <f>C28*'Physikalische Parameter'!$D$15*'Kalibierung Steuereinnahmen'!$B$16</f>
        <v>0</v>
      </c>
      <c r="D35" s="15">
        <f>D28*'Physikalische Parameter'!$D$15*'Kalibierung Steuereinnahmen'!$B$16</f>
        <v>0</v>
      </c>
      <c r="E35" s="15">
        <f>E28*'Physikalische Parameter'!$D$15*'Kalibierung Steuereinnahmen'!$B$16</f>
        <v>0</v>
      </c>
      <c r="F35" s="15">
        <f>F28*'Physikalische Parameter'!$D$15*'Kalibierung Steuereinnahmen'!$B$16</f>
        <v>0</v>
      </c>
      <c r="G35" s="15">
        <f>G28*'Physikalische Parameter'!$D$15*'Kalibierung Steuereinnahmen'!$B$16</f>
        <v>0</v>
      </c>
      <c r="H35" s="15">
        <f>H28*'Physikalische Parameter'!$D$15*'Kalibierung Steuereinnahmen'!$B$16</f>
        <v>0</v>
      </c>
      <c r="I35" s="15">
        <f>I28*'Physikalische Parameter'!$D$15*'Kalibierung Steuereinnahmen'!$B$16</f>
        <v>0</v>
      </c>
      <c r="J35" s="15">
        <f>J28*'Physikalische Parameter'!$D$15*'Kalibierung Steuereinnahmen'!$B$16</f>
        <v>0</v>
      </c>
      <c r="K35" s="15">
        <f>K28*'Physikalische Parameter'!$D$15*'Kalibierung Steuereinnahmen'!$B$16</f>
        <v>0</v>
      </c>
      <c r="L35" s="15">
        <f>L28*'Physikalische Parameter'!$D$15*'Kalibierung Steuereinnahmen'!$B$16</f>
        <v>0</v>
      </c>
      <c r="M35" s="15">
        <f>M28*'Physikalische Parameter'!$D$15*'Kalibierung Steuereinnahmen'!$B$16</f>
        <v>0</v>
      </c>
    </row>
    <row r="36" spans="1:13">
      <c r="A36" t="s">
        <v>42</v>
      </c>
      <c r="B36" s="9">
        <f>SUM(B31:B35)</f>
        <v>4554569.3623930495</v>
      </c>
      <c r="C36" s="9">
        <f t="shared" ref="C36:M36" si="10">SUM(C31:C35)</f>
        <v>4200359.9502222147</v>
      </c>
      <c r="D36" s="9">
        <f t="shared" si="10"/>
        <v>4554569.3623930495</v>
      </c>
      <c r="E36" s="9">
        <f t="shared" si="10"/>
        <v>4554569.3623930495</v>
      </c>
      <c r="F36" s="9">
        <f t="shared" si="10"/>
        <v>4554569.3623930495</v>
      </c>
      <c r="G36" s="9">
        <f t="shared" si="10"/>
        <v>4554569.3623930495</v>
      </c>
      <c r="H36" s="9">
        <f t="shared" si="10"/>
        <v>4554569.3623930495</v>
      </c>
      <c r="I36" s="9">
        <f t="shared" si="10"/>
        <v>4554569.3623930495</v>
      </c>
      <c r="J36" s="9">
        <f t="shared" si="10"/>
        <v>4554569.3623930495</v>
      </c>
      <c r="K36" s="9">
        <f t="shared" si="10"/>
        <v>4554569.3623930495</v>
      </c>
      <c r="L36" s="9">
        <f t="shared" si="10"/>
        <v>4554569.3623930495</v>
      </c>
      <c r="M36" s="9">
        <f t="shared" si="10"/>
        <v>4554569.3623930495</v>
      </c>
    </row>
    <row r="38" spans="1:13">
      <c r="B38" s="9">
        <f>B27/1000/1000</f>
        <v>20.084579206999997</v>
      </c>
      <c r="C38" s="9">
        <f t="shared" ref="C38:M38" si="11">C27/1000/1000</f>
        <v>18.522599044100001</v>
      </c>
      <c r="D38" s="9">
        <f t="shared" si="11"/>
        <v>20.084579206999997</v>
      </c>
      <c r="E38" s="9">
        <f t="shared" si="11"/>
        <v>20.084579206999997</v>
      </c>
      <c r="F38" s="9">
        <f t="shared" si="11"/>
        <v>20.084579206999997</v>
      </c>
      <c r="G38" s="9">
        <f t="shared" si="11"/>
        <v>20.084579206999997</v>
      </c>
      <c r="H38" s="9">
        <f t="shared" si="11"/>
        <v>20.084579206999997</v>
      </c>
      <c r="I38" s="9">
        <f t="shared" si="11"/>
        <v>20.084579206999997</v>
      </c>
      <c r="J38" s="9">
        <f t="shared" si="11"/>
        <v>20.084579206999997</v>
      </c>
      <c r="K38" s="9">
        <f t="shared" si="11"/>
        <v>20.084579206999997</v>
      </c>
      <c r="L38" s="9">
        <f t="shared" si="11"/>
        <v>20.084579206999997</v>
      </c>
      <c r="M38" s="9">
        <f t="shared" si="11"/>
        <v>20.084579206999997</v>
      </c>
    </row>
    <row r="39" spans="1:13">
      <c r="B39" s="9">
        <f>(B24+B25+B26+B27+B28)/1000/1000</f>
        <v>177.73963899999998</v>
      </c>
      <c r="C39" s="9">
        <f t="shared" ref="C39:M39" si="12">(C24+C25+C26+C27+C28)/1000/1000</f>
        <v>163.9168057</v>
      </c>
      <c r="D39" s="9">
        <f t="shared" si="12"/>
        <v>177.73963899999995</v>
      </c>
      <c r="E39" s="9">
        <f t="shared" si="12"/>
        <v>177.73963899999995</v>
      </c>
      <c r="F39" s="9">
        <f t="shared" si="12"/>
        <v>177.73963899999995</v>
      </c>
      <c r="G39" s="9">
        <f t="shared" si="12"/>
        <v>177.73963899999995</v>
      </c>
      <c r="H39" s="9">
        <f t="shared" si="12"/>
        <v>177.73963899999995</v>
      </c>
      <c r="I39" s="9">
        <f t="shared" si="12"/>
        <v>177.73963899999995</v>
      </c>
      <c r="J39" s="9">
        <f t="shared" si="12"/>
        <v>177.73963899999995</v>
      </c>
      <c r="K39" s="9">
        <f t="shared" si="12"/>
        <v>177.73963899999995</v>
      </c>
      <c r="L39" s="9">
        <f t="shared" si="12"/>
        <v>177.73963899999995</v>
      </c>
      <c r="M39" s="9">
        <f t="shared" si="12"/>
        <v>177.73963899999995</v>
      </c>
    </row>
  </sheetData>
  <sheetProtection algorithmName="SHA-512" hashValue="KLUjkXlTEjf2iTTkt9Pp3j6wm0SmwhqwtoRI1bo05jVxti3TA6kqAPtivZXMjppv01pSwH0EvcTJdHBfYW9YzA==" saltValue="ZWWKWNPyVGx6XJY/FfG1dg==" spinCount="100000" sheet="1" objects="1" scenarios="1" formatRows="0"/>
  <pageMargins left="0.7" right="0.7" top="0.78740157499999996" bottom="0.78740157499999996" header="0.3" footer="0.3"/>
  <customProperties>
    <customPr name="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4986B-575B-43B1-B831-FCCC8DFA90E5}">
  <sheetPr codeName="Tabelle18">
    <tabColor rgb="FFF0C8DD"/>
  </sheetPr>
  <dimension ref="A1:M56"/>
  <sheetViews>
    <sheetView topLeftCell="A14" workbookViewId="0"/>
  </sheetViews>
  <sheetFormatPr baseColWidth="10" defaultRowHeight="14.25"/>
  <cols>
    <col min="1" max="1" width="34.375" customWidth="1"/>
    <col min="2" max="13" width="19.75" customWidth="1"/>
  </cols>
  <sheetData>
    <row r="1" spans="1:13">
      <c r="A1" t="s">
        <v>80</v>
      </c>
      <c r="D1" t="s">
        <v>82</v>
      </c>
    </row>
    <row r="2" spans="1:13" ht="15">
      <c r="B2" s="20">
        <v>2019</v>
      </c>
      <c r="C2" s="20">
        <f>B2+1</f>
        <v>2020</v>
      </c>
      <c r="D2" s="20">
        <f>C2+1</f>
        <v>2021</v>
      </c>
      <c r="E2" s="20">
        <f t="shared" ref="E2:M2" si="0">D2+1</f>
        <v>2022</v>
      </c>
      <c r="F2" s="20">
        <f t="shared" si="0"/>
        <v>2023</v>
      </c>
      <c r="G2" s="20">
        <f t="shared" si="0"/>
        <v>2024</v>
      </c>
      <c r="H2" s="20">
        <f t="shared" si="0"/>
        <v>2025</v>
      </c>
      <c r="I2" s="20">
        <f t="shared" si="0"/>
        <v>2026</v>
      </c>
      <c r="J2" s="20">
        <f t="shared" si="0"/>
        <v>2027</v>
      </c>
      <c r="K2" s="20">
        <f t="shared" si="0"/>
        <v>2028</v>
      </c>
      <c r="L2" s="20">
        <f t="shared" si="0"/>
        <v>2029</v>
      </c>
      <c r="M2" s="20">
        <f t="shared" si="0"/>
        <v>2030</v>
      </c>
    </row>
    <row r="3" spans="1:13" s="45" customFormat="1" ht="15">
      <c r="A3" s="45" t="s">
        <v>241</v>
      </c>
      <c r="B3" s="47">
        <f>'Konfiguration Szenarien'!C10</f>
        <v>2182</v>
      </c>
      <c r="C3" s="47">
        <f>'Konfiguration Szenarien'!D10</f>
        <v>2182</v>
      </c>
      <c r="D3" s="47">
        <f>'Konfiguration Szenarien'!E10</f>
        <v>2182</v>
      </c>
      <c r="E3" s="47">
        <f>'Konfiguration Szenarien'!F10</f>
        <v>2182</v>
      </c>
      <c r="F3" s="47">
        <f>'Konfiguration Szenarien'!G10</f>
        <v>2182</v>
      </c>
      <c r="G3" s="47">
        <f>'Konfiguration Szenarien'!H10</f>
        <v>2182</v>
      </c>
      <c r="H3" s="47">
        <f>'Konfiguration Szenarien'!I10</f>
        <v>2182</v>
      </c>
      <c r="I3" s="47">
        <f>'Konfiguration Szenarien'!J10</f>
        <v>2182</v>
      </c>
      <c r="J3" s="47">
        <f>'Konfiguration Szenarien'!K10</f>
        <v>2182</v>
      </c>
      <c r="K3" s="47">
        <f>'Konfiguration Szenarien'!L10</f>
        <v>2182</v>
      </c>
      <c r="L3" s="47">
        <f>'Konfiguration Szenarien'!M10</f>
        <v>2182</v>
      </c>
      <c r="M3" s="47">
        <f>'Konfiguration Szenarien'!N10</f>
        <v>2182</v>
      </c>
    </row>
    <row r="4" spans="1:13" s="45" customFormat="1" ht="15">
      <c r="A4" s="45" t="s">
        <v>240</v>
      </c>
      <c r="B4" s="48">
        <f>B3/3.6</f>
        <v>606.11111111111109</v>
      </c>
      <c r="C4" s="48">
        <f t="shared" ref="C4:M4" si="1">C3/3.6</f>
        <v>606.11111111111109</v>
      </c>
      <c r="D4" s="48">
        <f t="shared" si="1"/>
        <v>606.11111111111109</v>
      </c>
      <c r="E4" s="48">
        <f t="shared" si="1"/>
        <v>606.11111111111109</v>
      </c>
      <c r="F4" s="48">
        <f t="shared" si="1"/>
        <v>606.11111111111109</v>
      </c>
      <c r="G4" s="48">
        <f t="shared" si="1"/>
        <v>606.11111111111109</v>
      </c>
      <c r="H4" s="48">
        <f t="shared" si="1"/>
        <v>606.11111111111109</v>
      </c>
      <c r="I4" s="48">
        <f t="shared" si="1"/>
        <v>606.11111111111109</v>
      </c>
      <c r="J4" s="48">
        <f t="shared" si="1"/>
        <v>606.11111111111109</v>
      </c>
      <c r="K4" s="48">
        <f t="shared" si="1"/>
        <v>606.11111111111109</v>
      </c>
      <c r="L4" s="48">
        <f t="shared" si="1"/>
        <v>606.11111111111109</v>
      </c>
      <c r="M4" s="48">
        <f t="shared" si="1"/>
        <v>606.11111111111109</v>
      </c>
    </row>
    <row r="5" spans="1:13" s="45" customFormat="1" ht="15">
      <c r="A5" s="11" t="s">
        <v>242</v>
      </c>
      <c r="B5" s="48">
        <f>'Konfiguration Szenarien'!C11</f>
        <v>80</v>
      </c>
      <c r="C5" s="48">
        <f>'Konfiguration Szenarien'!D11</f>
        <v>80</v>
      </c>
      <c r="D5" s="48">
        <f>'Konfiguration Szenarien'!E11</f>
        <v>80</v>
      </c>
      <c r="E5" s="48">
        <f>'Konfiguration Szenarien'!F11</f>
        <v>80</v>
      </c>
      <c r="F5" s="48">
        <f>'Konfiguration Szenarien'!G11</f>
        <v>80</v>
      </c>
      <c r="G5" s="48">
        <f>'Konfiguration Szenarien'!H11</f>
        <v>80</v>
      </c>
      <c r="H5" s="48">
        <f>'Konfiguration Szenarien'!I11</f>
        <v>80</v>
      </c>
      <c r="I5" s="48">
        <f>'Konfiguration Szenarien'!J11</f>
        <v>80</v>
      </c>
      <c r="J5" s="48">
        <f>'Konfiguration Szenarien'!K11</f>
        <v>80</v>
      </c>
      <c r="K5" s="48">
        <f>'Konfiguration Szenarien'!L11</f>
        <v>80</v>
      </c>
      <c r="L5" s="48">
        <f>'Konfiguration Szenarien'!M11</f>
        <v>80</v>
      </c>
      <c r="M5" s="48">
        <f>'Konfiguration Szenarien'!N11</f>
        <v>80</v>
      </c>
    </row>
    <row r="6" spans="1:13" s="45" customFormat="1" ht="15">
      <c r="A6" t="s">
        <v>243</v>
      </c>
      <c r="B6" s="48">
        <f>'Konfiguration Szenarien'!C12</f>
        <v>55.380833333333335</v>
      </c>
      <c r="C6" s="48">
        <f>'Konfiguration Szenarien'!D12</f>
        <v>55.380833333333335</v>
      </c>
      <c r="D6" s="48">
        <f>'Konfiguration Szenarien'!E12</f>
        <v>55.380833333333335</v>
      </c>
      <c r="E6" s="48">
        <f>'Konfiguration Szenarien'!F12</f>
        <v>55.380833333333335</v>
      </c>
      <c r="F6" s="48">
        <f>'Konfiguration Szenarien'!G12</f>
        <v>55.380833333333335</v>
      </c>
      <c r="G6" s="48">
        <f>'Konfiguration Szenarien'!H12</f>
        <v>55.380833333333335</v>
      </c>
      <c r="H6" s="48">
        <f>'Konfiguration Szenarien'!I12</f>
        <v>55.380833333333335</v>
      </c>
      <c r="I6" s="48">
        <f>'Konfiguration Szenarien'!J12</f>
        <v>55.380833333333335</v>
      </c>
      <c r="J6" s="48">
        <f>'Konfiguration Szenarien'!K12</f>
        <v>55.380833333333335</v>
      </c>
      <c r="K6" s="48">
        <f>'Konfiguration Szenarien'!L12</f>
        <v>55.380833333333335</v>
      </c>
      <c r="L6" s="48">
        <f>'Konfiguration Szenarien'!M12</f>
        <v>55.380833333333335</v>
      </c>
      <c r="M6" s="48">
        <f>'Konfiguration Szenarien'!N12</f>
        <v>55.380833333333335</v>
      </c>
    </row>
    <row r="7" spans="1:13" s="45" customFormat="1" ht="15">
      <c r="B7" s="46"/>
      <c r="C7" s="46"/>
      <c r="D7" s="46"/>
      <c r="E7" s="46"/>
      <c r="F7" s="46"/>
      <c r="G7" s="46"/>
      <c r="H7" s="46"/>
      <c r="I7" s="46"/>
      <c r="J7" s="46"/>
      <c r="K7" s="46"/>
      <c r="L7" s="46"/>
      <c r="M7" s="46"/>
    </row>
    <row r="8" spans="1:13">
      <c r="A8" t="s">
        <v>245</v>
      </c>
    </row>
    <row r="9" spans="1:13">
      <c r="A9" t="s">
        <v>43</v>
      </c>
      <c r="B9" s="9">
        <f>Verbrauchsstatistiken!B16/3.6</f>
        <v>579.13249999999994</v>
      </c>
      <c r="C9" s="9">
        <f>Verbrauchsstatistiken!C16/3.6</f>
        <v>557.74722222222226</v>
      </c>
      <c r="D9" s="231">
        <f>Verbrauchsstatistiken!D16/3.6</f>
        <v>0</v>
      </c>
      <c r="E9" s="231">
        <f>Verbrauchsstatistiken!E16/3.6</f>
        <v>0</v>
      </c>
      <c r="F9" s="231">
        <f>Verbrauchsstatistiken!F16/3.6</f>
        <v>0</v>
      </c>
      <c r="G9" s="231">
        <f>Verbrauchsstatistiken!G16/3.6</f>
        <v>0</v>
      </c>
      <c r="H9" s="231">
        <f>Verbrauchsstatistiken!H16/3.6</f>
        <v>0</v>
      </c>
      <c r="I9" s="231">
        <f>Verbrauchsstatistiken!I16/3.6</f>
        <v>0</v>
      </c>
      <c r="J9" s="231">
        <f>Verbrauchsstatistiken!J16/3.6</f>
        <v>0</v>
      </c>
      <c r="K9" s="231">
        <f>Verbrauchsstatistiken!K16/3.6</f>
        <v>0</v>
      </c>
      <c r="L9" s="231">
        <f>Verbrauchsstatistiken!L16/3.6</f>
        <v>0</v>
      </c>
      <c r="M9" s="231">
        <f>Verbrauchsstatistiken!M16/3.6</f>
        <v>0</v>
      </c>
    </row>
    <row r="10" spans="1:13">
      <c r="A10" t="s">
        <v>46</v>
      </c>
      <c r="B10" s="9">
        <f>Verbrauchsstatistiken!B17/3.6</f>
        <v>190.88944444444445</v>
      </c>
      <c r="C10" s="9">
        <f>Verbrauchsstatistiken!C17/3.6</f>
        <v>196.92277777777778</v>
      </c>
      <c r="D10" s="231">
        <f>Verbrauchsstatistiken!D17/3.6</f>
        <v>0</v>
      </c>
      <c r="E10" s="231">
        <f>Verbrauchsstatistiken!E17/3.6</f>
        <v>0</v>
      </c>
      <c r="F10" s="231">
        <f>Verbrauchsstatistiken!F17/3.6</f>
        <v>0</v>
      </c>
      <c r="G10" s="231">
        <f>Verbrauchsstatistiken!G17/3.6</f>
        <v>0</v>
      </c>
      <c r="H10" s="231">
        <f>Verbrauchsstatistiken!H17/3.6</f>
        <v>0</v>
      </c>
      <c r="I10" s="231">
        <f>Verbrauchsstatistiken!I17/3.6</f>
        <v>0</v>
      </c>
      <c r="J10" s="231">
        <f>Verbrauchsstatistiken!J17/3.6</f>
        <v>0</v>
      </c>
      <c r="K10" s="231">
        <f>Verbrauchsstatistiken!K17/3.6</f>
        <v>0</v>
      </c>
      <c r="L10" s="231">
        <f>Verbrauchsstatistiken!L17/3.6</f>
        <v>0</v>
      </c>
      <c r="M10" s="231">
        <f>Verbrauchsstatistiken!M17/3.6</f>
        <v>0</v>
      </c>
    </row>
    <row r="11" spans="1:13">
      <c r="A11" t="s">
        <v>47</v>
      </c>
      <c r="B11" s="9">
        <f>Verbrauchsstatistiken!B18/3.6</f>
        <v>199.17833333333331</v>
      </c>
      <c r="C11" s="9">
        <f>Verbrauchsstatistiken!C18/3.6</f>
        <v>199.44944444444445</v>
      </c>
      <c r="D11" s="231">
        <f>Verbrauchsstatistiken!D18/3.6</f>
        <v>0</v>
      </c>
      <c r="E11" s="231">
        <f>Verbrauchsstatistiken!E18/3.6</f>
        <v>0</v>
      </c>
      <c r="F11" s="231">
        <f>Verbrauchsstatistiken!F18/3.6</f>
        <v>0</v>
      </c>
      <c r="G11" s="231">
        <f>Verbrauchsstatistiken!G18/3.6</f>
        <v>0</v>
      </c>
      <c r="H11" s="231">
        <f>Verbrauchsstatistiken!H18/3.6</f>
        <v>0</v>
      </c>
      <c r="I11" s="231">
        <f>Verbrauchsstatistiken!I18/3.6</f>
        <v>0</v>
      </c>
      <c r="J11" s="231">
        <f>Verbrauchsstatistiken!J18/3.6</f>
        <v>0</v>
      </c>
      <c r="K11" s="231">
        <f>Verbrauchsstatistiken!K18/3.6</f>
        <v>0</v>
      </c>
      <c r="L11" s="231">
        <f>Verbrauchsstatistiken!L18/3.6</f>
        <v>0</v>
      </c>
      <c r="M11" s="231">
        <f>Verbrauchsstatistiken!M18/3.6</f>
        <v>0</v>
      </c>
    </row>
    <row r="12" spans="1:13">
      <c r="A12" t="s">
        <v>208</v>
      </c>
      <c r="B12" s="9">
        <f>Verbrauchsstatistiken!B19/3.6</f>
        <v>969.20027777777761</v>
      </c>
      <c r="C12" s="9">
        <f>Verbrauchsstatistiken!C19/3.6</f>
        <v>954.11944444444441</v>
      </c>
      <c r="D12" s="231">
        <f>Verbrauchsstatistiken!D19/3.6</f>
        <v>0</v>
      </c>
      <c r="E12" s="231">
        <f>Verbrauchsstatistiken!E19/3.6</f>
        <v>0</v>
      </c>
      <c r="F12" s="231">
        <f>Verbrauchsstatistiken!F19/3.6</f>
        <v>0</v>
      </c>
      <c r="G12" s="231">
        <f>Verbrauchsstatistiken!G19/3.6</f>
        <v>0</v>
      </c>
      <c r="H12" s="231">
        <f>Verbrauchsstatistiken!H19/3.6</f>
        <v>0</v>
      </c>
      <c r="I12" s="231">
        <f>Verbrauchsstatistiken!I19/3.6</f>
        <v>0</v>
      </c>
      <c r="J12" s="231">
        <f>Verbrauchsstatistiken!J19/3.6</f>
        <v>0</v>
      </c>
      <c r="K12" s="231">
        <f>Verbrauchsstatistiken!K19/3.6</f>
        <v>0</v>
      </c>
      <c r="L12" s="231">
        <f>Verbrauchsstatistiken!L19/3.6</f>
        <v>0</v>
      </c>
      <c r="M12" s="231">
        <f>Verbrauchsstatistiken!M19/3.6</f>
        <v>0</v>
      </c>
    </row>
    <row r="13" spans="1:13">
      <c r="C13" s="9"/>
    </row>
    <row r="14" spans="1:13">
      <c r="A14" t="s">
        <v>246</v>
      </c>
      <c r="B14" s="8"/>
      <c r="C14" s="9"/>
    </row>
    <row r="15" spans="1:13">
      <c r="A15" t="s">
        <v>48</v>
      </c>
      <c r="B15" s="9">
        <f>Verbrauchsstatistiken!B22/3.6</f>
        <v>242.5647222222222</v>
      </c>
      <c r="C15" s="9">
        <f>Verbrauchsstatistiken!C22/3.6</f>
        <v>228.96277777777777</v>
      </c>
      <c r="D15" s="231">
        <f>Verbrauchsstatistiken!D22/3.6</f>
        <v>0</v>
      </c>
      <c r="E15" s="231">
        <f>Verbrauchsstatistiken!E22/3.6</f>
        <v>0</v>
      </c>
      <c r="F15" s="231">
        <f>Verbrauchsstatistiken!F22/3.6</f>
        <v>0</v>
      </c>
      <c r="G15" s="231">
        <f>Verbrauchsstatistiken!G22/3.6</f>
        <v>0</v>
      </c>
      <c r="H15" s="231">
        <f>Verbrauchsstatistiken!H22/3.6</f>
        <v>0</v>
      </c>
      <c r="I15" s="231">
        <f>Verbrauchsstatistiken!I22/3.6</f>
        <v>0</v>
      </c>
      <c r="J15" s="231">
        <f>Verbrauchsstatistiken!J22/3.6</f>
        <v>0</v>
      </c>
      <c r="K15" s="231">
        <f>Verbrauchsstatistiken!K22/3.6</f>
        <v>0</v>
      </c>
      <c r="L15" s="231">
        <f>Verbrauchsstatistiken!L22/3.6</f>
        <v>0</v>
      </c>
      <c r="M15" s="231">
        <f>Verbrauchsstatistiken!M22/3.6</f>
        <v>0</v>
      </c>
    </row>
    <row r="16" spans="1:13">
      <c r="A16" t="s">
        <v>49</v>
      </c>
      <c r="B16" s="9">
        <f>Verbrauchsstatistiken!B23/3.6</f>
        <v>257.0313888888889</v>
      </c>
      <c r="C16" s="9">
        <f>Verbrauchsstatistiken!C23/3.6</f>
        <v>253.85388888888889</v>
      </c>
      <c r="D16" s="231">
        <f>Verbrauchsstatistiken!D23/3.6</f>
        <v>0</v>
      </c>
      <c r="E16" s="231">
        <f>Verbrauchsstatistiken!E23/3.6</f>
        <v>0</v>
      </c>
      <c r="F16" s="231">
        <f>Verbrauchsstatistiken!F23/3.6</f>
        <v>0</v>
      </c>
      <c r="G16" s="231">
        <f>Verbrauchsstatistiken!G23/3.6</f>
        <v>0</v>
      </c>
      <c r="H16" s="231">
        <f>Verbrauchsstatistiken!H23/3.6</f>
        <v>0</v>
      </c>
      <c r="I16" s="231">
        <f>Verbrauchsstatistiken!I23/3.6</f>
        <v>0</v>
      </c>
      <c r="J16" s="231">
        <f>Verbrauchsstatistiken!J23/3.6</f>
        <v>0</v>
      </c>
      <c r="K16" s="231">
        <f>Verbrauchsstatistiken!K23/3.6</f>
        <v>0</v>
      </c>
      <c r="L16" s="231">
        <f>Verbrauchsstatistiken!L23/3.6</f>
        <v>0</v>
      </c>
      <c r="M16" s="231">
        <f>Verbrauchsstatistiken!M23/3.6</f>
        <v>0</v>
      </c>
    </row>
    <row r="17" spans="1:13">
      <c r="A17" t="s">
        <v>50</v>
      </c>
      <c r="B17" s="9">
        <f>Verbrauchsstatistiken!B24/3.6</f>
        <v>105.72583333333333</v>
      </c>
      <c r="C17" s="9">
        <f>Verbrauchsstatistiken!C24/3.6</f>
        <v>98.03972222222221</v>
      </c>
      <c r="D17" s="231">
        <f>Verbrauchsstatistiken!D24/3.6</f>
        <v>0</v>
      </c>
      <c r="E17" s="231">
        <f>Verbrauchsstatistiken!E24/3.6</f>
        <v>0</v>
      </c>
      <c r="F17" s="231">
        <f>Verbrauchsstatistiken!F24/3.6</f>
        <v>0</v>
      </c>
      <c r="G17" s="231">
        <f>Verbrauchsstatistiken!G24/3.6</f>
        <v>0</v>
      </c>
      <c r="H17" s="231">
        <f>Verbrauchsstatistiken!H24/3.6</f>
        <v>0</v>
      </c>
      <c r="I17" s="231">
        <f>Verbrauchsstatistiken!I24/3.6</f>
        <v>0</v>
      </c>
      <c r="J17" s="231">
        <f>Verbrauchsstatistiken!J24/3.6</f>
        <v>0</v>
      </c>
      <c r="K17" s="231">
        <f>Verbrauchsstatistiken!K24/3.6</f>
        <v>0</v>
      </c>
      <c r="L17" s="231">
        <f>Verbrauchsstatistiken!L24/3.6</f>
        <v>0</v>
      </c>
      <c r="M17" s="231">
        <f>Verbrauchsstatistiken!M24/3.6</f>
        <v>0</v>
      </c>
    </row>
    <row r="18" spans="1:13">
      <c r="A18" t="s">
        <v>51</v>
      </c>
      <c r="B18" s="9">
        <f>Verbrauchsstatistiken!B25/3.6</f>
        <v>2.29</v>
      </c>
      <c r="C18" s="9">
        <f>Verbrauchsstatistiken!C25/3.6</f>
        <v>2.3630555555555555</v>
      </c>
      <c r="D18" s="231">
        <f>Verbrauchsstatistiken!D25/3.6</f>
        <v>0</v>
      </c>
      <c r="E18" s="231">
        <f>Verbrauchsstatistiken!E25/3.6</f>
        <v>0</v>
      </c>
      <c r="F18" s="231">
        <f>Verbrauchsstatistiken!F25/3.6</f>
        <v>0</v>
      </c>
      <c r="G18" s="231">
        <f>Verbrauchsstatistiken!G25/3.6</f>
        <v>0</v>
      </c>
      <c r="H18" s="231">
        <f>Verbrauchsstatistiken!H25/3.6</f>
        <v>0</v>
      </c>
      <c r="I18" s="231">
        <f>Verbrauchsstatistiken!I25/3.6</f>
        <v>0</v>
      </c>
      <c r="J18" s="231">
        <f>Verbrauchsstatistiken!J25/3.6</f>
        <v>0</v>
      </c>
      <c r="K18" s="231">
        <f>Verbrauchsstatistiken!K25/3.6</f>
        <v>0</v>
      </c>
      <c r="L18" s="231">
        <f>Verbrauchsstatistiken!L25/3.6</f>
        <v>0</v>
      </c>
      <c r="M18" s="231">
        <f>Verbrauchsstatistiken!M25/3.6</f>
        <v>0</v>
      </c>
    </row>
    <row r="19" spans="1:13">
      <c r="A19" t="s">
        <v>52</v>
      </c>
      <c r="B19" s="9">
        <f>Verbrauchsstatistiken!B26/3.6</f>
        <v>1.6244444444444444</v>
      </c>
      <c r="C19" s="9">
        <f>Verbrauchsstatistiken!C26/3.6</f>
        <v>1.9258333333333333</v>
      </c>
      <c r="D19" s="231">
        <f>Verbrauchsstatistiken!D26/3.6</f>
        <v>0</v>
      </c>
      <c r="E19" s="231">
        <f>Verbrauchsstatistiken!E26/3.6</f>
        <v>0</v>
      </c>
      <c r="F19" s="231">
        <f>Verbrauchsstatistiken!F26/3.6</f>
        <v>0</v>
      </c>
      <c r="G19" s="231">
        <f>Verbrauchsstatistiken!G26/3.6</f>
        <v>0</v>
      </c>
      <c r="H19" s="231">
        <f>Verbrauchsstatistiken!H26/3.6</f>
        <v>0</v>
      </c>
      <c r="I19" s="231">
        <f>Verbrauchsstatistiken!I26/3.6</f>
        <v>0</v>
      </c>
      <c r="J19" s="231">
        <f>Verbrauchsstatistiken!J26/3.6</f>
        <v>0</v>
      </c>
      <c r="K19" s="231">
        <f>Verbrauchsstatistiken!K26/3.6</f>
        <v>0</v>
      </c>
      <c r="L19" s="231">
        <f>Verbrauchsstatistiken!L26/3.6</f>
        <v>0</v>
      </c>
      <c r="M19" s="231">
        <f>Verbrauchsstatistiken!M26/3.6</f>
        <v>0</v>
      </c>
    </row>
    <row r="20" spans="1:13">
      <c r="A20" t="s">
        <v>53</v>
      </c>
      <c r="B20" s="9">
        <f>Verbrauchsstatistiken!B27/3.6</f>
        <v>190.88944444444445</v>
      </c>
      <c r="C20" s="9">
        <f>Verbrauchsstatistiken!C27/3.6</f>
        <v>196.92277777777778</v>
      </c>
      <c r="D20" s="231">
        <f>Verbrauchsstatistiken!D27/3.6</f>
        <v>0</v>
      </c>
      <c r="E20" s="231">
        <f>Verbrauchsstatistiken!E27/3.6</f>
        <v>0</v>
      </c>
      <c r="F20" s="231">
        <f>Verbrauchsstatistiken!F27/3.6</f>
        <v>0</v>
      </c>
      <c r="G20" s="231">
        <f>Verbrauchsstatistiken!G27/3.6</f>
        <v>0</v>
      </c>
      <c r="H20" s="231">
        <f>Verbrauchsstatistiken!H27/3.6</f>
        <v>0</v>
      </c>
      <c r="I20" s="231">
        <f>Verbrauchsstatistiken!I27/3.6</f>
        <v>0</v>
      </c>
      <c r="J20" s="231">
        <f>Verbrauchsstatistiken!J27/3.6</f>
        <v>0</v>
      </c>
      <c r="K20" s="231">
        <f>Verbrauchsstatistiken!K27/3.6</f>
        <v>0</v>
      </c>
      <c r="L20" s="231">
        <f>Verbrauchsstatistiken!L27/3.6</f>
        <v>0</v>
      </c>
      <c r="M20" s="231">
        <f>Verbrauchsstatistiken!M27/3.6</f>
        <v>0</v>
      </c>
    </row>
    <row r="21" spans="1:13">
      <c r="A21" t="s">
        <v>54</v>
      </c>
      <c r="B21" s="9">
        <f>Verbrauchsstatistiken!B28/3.6</f>
        <v>53.868055555555557</v>
      </c>
      <c r="C21" s="9">
        <f>Verbrauchsstatistiken!C28/3.6</f>
        <v>53.536666666666662</v>
      </c>
      <c r="D21" s="231">
        <f>Verbrauchsstatistiken!D28/3.6</f>
        <v>0</v>
      </c>
      <c r="E21" s="231">
        <f>Verbrauchsstatistiken!E28/3.6</f>
        <v>0</v>
      </c>
      <c r="F21" s="231">
        <f>Verbrauchsstatistiken!F28/3.6</f>
        <v>0</v>
      </c>
      <c r="G21" s="231">
        <f>Verbrauchsstatistiken!G28/3.6</f>
        <v>0</v>
      </c>
      <c r="H21" s="231">
        <f>Verbrauchsstatistiken!H28/3.6</f>
        <v>0</v>
      </c>
      <c r="I21" s="231">
        <f>Verbrauchsstatistiken!I28/3.6</f>
        <v>0</v>
      </c>
      <c r="J21" s="231">
        <f>Verbrauchsstatistiken!J28/3.6</f>
        <v>0</v>
      </c>
      <c r="K21" s="231">
        <f>Verbrauchsstatistiken!K28/3.6</f>
        <v>0</v>
      </c>
      <c r="L21" s="231">
        <f>Verbrauchsstatistiken!L28/3.6</f>
        <v>0</v>
      </c>
      <c r="M21" s="231">
        <f>Verbrauchsstatistiken!M28/3.6</f>
        <v>0</v>
      </c>
    </row>
    <row r="22" spans="1:13">
      <c r="A22" t="s">
        <v>247</v>
      </c>
      <c r="B22" s="9">
        <f>SUM(B15:B19)</f>
        <v>609.23638888888877</v>
      </c>
      <c r="C22" s="9">
        <f t="shared" ref="C22:M22" si="2">SUM(C15:C19)</f>
        <v>585.14527777777778</v>
      </c>
      <c r="D22" s="231">
        <f t="shared" si="2"/>
        <v>0</v>
      </c>
      <c r="E22" s="231">
        <f t="shared" si="2"/>
        <v>0</v>
      </c>
      <c r="F22" s="231">
        <f t="shared" si="2"/>
        <v>0</v>
      </c>
      <c r="G22" s="231">
        <f t="shared" si="2"/>
        <v>0</v>
      </c>
      <c r="H22" s="231">
        <f t="shared" si="2"/>
        <v>0</v>
      </c>
      <c r="I22" s="231">
        <f t="shared" si="2"/>
        <v>0</v>
      </c>
      <c r="J22" s="231">
        <f t="shared" si="2"/>
        <v>0</v>
      </c>
      <c r="K22" s="231">
        <f t="shared" si="2"/>
        <v>0</v>
      </c>
      <c r="L22" s="231">
        <f t="shared" si="2"/>
        <v>0</v>
      </c>
      <c r="M22" s="231">
        <f t="shared" si="2"/>
        <v>0</v>
      </c>
    </row>
    <row r="24" spans="1:13">
      <c r="A24" t="s">
        <v>250</v>
      </c>
    </row>
    <row r="25" spans="1:13">
      <c r="A25" t="s">
        <v>249</v>
      </c>
      <c r="B25" s="231">
        <f>Verbrauchsstatistiken!B32</f>
        <v>90</v>
      </c>
      <c r="C25" s="231">
        <f>Verbrauchsstatistiken!C32</f>
        <v>91.9</v>
      </c>
      <c r="D25" s="231">
        <f>Verbrauchsstatistiken!D32</f>
        <v>0</v>
      </c>
      <c r="E25" s="231">
        <f>Verbrauchsstatistiken!E32</f>
        <v>0</v>
      </c>
      <c r="F25" s="231">
        <f>Verbrauchsstatistiken!F32</f>
        <v>0</v>
      </c>
      <c r="G25" s="231">
        <f>Verbrauchsstatistiken!G32</f>
        <v>0</v>
      </c>
      <c r="H25" s="231">
        <f>Verbrauchsstatistiken!H32</f>
        <v>0</v>
      </c>
      <c r="I25" s="231">
        <f>Verbrauchsstatistiken!I32</f>
        <v>0</v>
      </c>
      <c r="J25" s="231">
        <f>Verbrauchsstatistiken!J32</f>
        <v>0</v>
      </c>
      <c r="K25" s="231">
        <f>Verbrauchsstatistiken!K32</f>
        <v>0</v>
      </c>
      <c r="L25" s="231">
        <f>Verbrauchsstatistiken!L32</f>
        <v>0</v>
      </c>
      <c r="M25" s="231">
        <f>Verbrauchsstatistiken!M32</f>
        <v>0</v>
      </c>
    </row>
    <row r="27" spans="1:13">
      <c r="A27" t="s">
        <v>244</v>
      </c>
    </row>
    <row r="28" spans="1:13">
      <c r="A28" t="s">
        <v>48</v>
      </c>
      <c r="B28" s="1">
        <f>IF(Verbrauchsstatistiken!B22&gt;0,Verbrauchsstatistiken!B22/Verbrauchsstatistiken!B$29,A28)</f>
        <v>0.3981454926955465</v>
      </c>
      <c r="C28" s="1">
        <f>IF(C15&gt;0,C15/C$22,B28)</f>
        <v>0.3912921909706184</v>
      </c>
      <c r="D28" s="1">
        <f t="shared" ref="D28:M28" si="3">IF(D15&gt;0,D15/D$22,C28)</f>
        <v>0.3912921909706184</v>
      </c>
      <c r="E28" s="1">
        <f t="shared" si="3"/>
        <v>0.3912921909706184</v>
      </c>
      <c r="F28" s="1">
        <f t="shared" si="3"/>
        <v>0.3912921909706184</v>
      </c>
      <c r="G28" s="1">
        <f t="shared" si="3"/>
        <v>0.3912921909706184</v>
      </c>
      <c r="H28" s="1">
        <f t="shared" si="3"/>
        <v>0.3912921909706184</v>
      </c>
      <c r="I28" s="1">
        <f t="shared" si="3"/>
        <v>0.3912921909706184</v>
      </c>
      <c r="J28" s="1">
        <f t="shared" si="3"/>
        <v>0.3912921909706184</v>
      </c>
      <c r="K28" s="1">
        <f t="shared" si="3"/>
        <v>0.3912921909706184</v>
      </c>
      <c r="L28" s="1">
        <f t="shared" si="3"/>
        <v>0.3912921909706184</v>
      </c>
      <c r="M28" s="1">
        <f t="shared" si="3"/>
        <v>0.3912921909706184</v>
      </c>
    </row>
    <row r="29" spans="1:13">
      <c r="A29" t="s">
        <v>49</v>
      </c>
      <c r="B29" s="1">
        <f>IF(Verbrauchsstatistiken!B23&gt;0,Verbrauchsstatistiken!B23/Verbrauchsstatistiken!B$29,A29)</f>
        <v>0.42189106490775569</v>
      </c>
      <c r="C29" s="1">
        <f>IF(C16&gt;0,C16/C$22,B29)</f>
        <v>0.43383053496211532</v>
      </c>
      <c r="D29" s="1">
        <f t="shared" ref="D29:M29" si="4">IF(D16&gt;0,D16/D$22,C29)</f>
        <v>0.43383053496211532</v>
      </c>
      <c r="E29" s="1">
        <f t="shared" si="4"/>
        <v>0.43383053496211532</v>
      </c>
      <c r="F29" s="1">
        <f t="shared" si="4"/>
        <v>0.43383053496211532</v>
      </c>
      <c r="G29" s="1">
        <f t="shared" si="4"/>
        <v>0.43383053496211532</v>
      </c>
      <c r="H29" s="1">
        <f t="shared" si="4"/>
        <v>0.43383053496211532</v>
      </c>
      <c r="I29" s="1">
        <f t="shared" si="4"/>
        <v>0.43383053496211532</v>
      </c>
      <c r="J29" s="1">
        <f t="shared" si="4"/>
        <v>0.43383053496211532</v>
      </c>
      <c r="K29" s="1">
        <f t="shared" si="4"/>
        <v>0.43383053496211532</v>
      </c>
      <c r="L29" s="1">
        <f t="shared" si="4"/>
        <v>0.43383053496211532</v>
      </c>
      <c r="M29" s="1">
        <f t="shared" si="4"/>
        <v>0.43383053496211532</v>
      </c>
    </row>
    <row r="30" spans="1:13">
      <c r="A30" t="s">
        <v>50</v>
      </c>
      <c r="B30" s="1">
        <f>IF(Verbrauchsstatistiken!B24&gt;0,Verbrauchsstatistiken!B24/Verbrauchsstatistiken!B$29,A30)</f>
        <v>0.17353827719672762</v>
      </c>
      <c r="C30" s="1">
        <f>IF(C17&gt;0,C17/C$22,B30)</f>
        <v>0.16754766029139009</v>
      </c>
      <c r="D30" s="1">
        <f t="shared" ref="D30:M30" si="5">IF(D17&gt;0,D17/D$22,C30)</f>
        <v>0.16754766029139009</v>
      </c>
      <c r="E30" s="1">
        <f t="shared" si="5"/>
        <v>0.16754766029139009</v>
      </c>
      <c r="F30" s="1">
        <f t="shared" si="5"/>
        <v>0.16754766029139009</v>
      </c>
      <c r="G30" s="1">
        <f t="shared" si="5"/>
        <v>0.16754766029139009</v>
      </c>
      <c r="H30" s="1">
        <f t="shared" si="5"/>
        <v>0.16754766029139009</v>
      </c>
      <c r="I30" s="1">
        <f t="shared" si="5"/>
        <v>0.16754766029139009</v>
      </c>
      <c r="J30" s="1">
        <f t="shared" si="5"/>
        <v>0.16754766029139009</v>
      </c>
      <c r="K30" s="1">
        <f t="shared" si="5"/>
        <v>0.16754766029139009</v>
      </c>
      <c r="L30" s="1">
        <f t="shared" si="5"/>
        <v>0.16754766029139009</v>
      </c>
      <c r="M30" s="1">
        <f t="shared" si="5"/>
        <v>0.16754766029139009</v>
      </c>
    </row>
    <row r="31" spans="1:13">
      <c r="A31" t="s">
        <v>51</v>
      </c>
      <c r="B31" s="1">
        <f>IF(Verbrauchsstatistiken!B25&gt;0,Verbrauchsstatistiken!B25/Verbrauchsstatistiken!B$29,A31)</f>
        <v>3.758803711932652E-3</v>
      </c>
      <c r="C31" s="1">
        <f>IF(C18&gt;0,C18/C$22,B31)</f>
        <v>4.0384083155037944E-3</v>
      </c>
      <c r="D31" s="1">
        <f t="shared" ref="D31:M31" si="6">IF(D18&gt;0,D18/D$22,C31)</f>
        <v>4.0384083155037944E-3</v>
      </c>
      <c r="E31" s="1">
        <f t="shared" si="6"/>
        <v>4.0384083155037944E-3</v>
      </c>
      <c r="F31" s="1">
        <f t="shared" si="6"/>
        <v>4.0384083155037944E-3</v>
      </c>
      <c r="G31" s="1">
        <f t="shared" si="6"/>
        <v>4.0384083155037944E-3</v>
      </c>
      <c r="H31" s="1">
        <f t="shared" si="6"/>
        <v>4.0384083155037944E-3</v>
      </c>
      <c r="I31" s="1">
        <f t="shared" si="6"/>
        <v>4.0384083155037944E-3</v>
      </c>
      <c r="J31" s="1">
        <f t="shared" si="6"/>
        <v>4.0384083155037944E-3</v>
      </c>
      <c r="K31" s="1">
        <f t="shared" si="6"/>
        <v>4.0384083155037944E-3</v>
      </c>
      <c r="L31" s="1">
        <f t="shared" si="6"/>
        <v>4.0384083155037944E-3</v>
      </c>
      <c r="M31" s="1">
        <f t="shared" si="6"/>
        <v>4.0384083155037944E-3</v>
      </c>
    </row>
    <row r="32" spans="1:13">
      <c r="A32" t="s">
        <v>52</v>
      </c>
      <c r="B32" s="1">
        <f>IF(Verbrauchsstatistiken!B26&gt;0,Verbrauchsstatistiken!B26/Verbrauchsstatistiken!B$29,A32)</f>
        <v>2.6663614880376211E-3</v>
      </c>
      <c r="C32" s="1">
        <f>IF(C19&gt;0,C19/C$22,B32)</f>
        <v>3.2912054603723767E-3</v>
      </c>
      <c r="D32" s="1">
        <f t="shared" ref="D32:M32" si="7">IF(D19&gt;0,D19/D$22,C32)</f>
        <v>3.2912054603723767E-3</v>
      </c>
      <c r="E32" s="1">
        <f t="shared" si="7"/>
        <v>3.2912054603723767E-3</v>
      </c>
      <c r="F32" s="1">
        <f t="shared" si="7"/>
        <v>3.2912054603723767E-3</v>
      </c>
      <c r="G32" s="1">
        <f t="shared" si="7"/>
        <v>3.2912054603723767E-3</v>
      </c>
      <c r="H32" s="1">
        <f t="shared" si="7"/>
        <v>3.2912054603723767E-3</v>
      </c>
      <c r="I32" s="1">
        <f t="shared" si="7"/>
        <v>3.2912054603723767E-3</v>
      </c>
      <c r="J32" s="1">
        <f t="shared" si="7"/>
        <v>3.2912054603723767E-3</v>
      </c>
      <c r="K32" s="1">
        <f t="shared" si="7"/>
        <v>3.2912054603723767E-3</v>
      </c>
      <c r="L32" s="1">
        <f t="shared" si="7"/>
        <v>3.2912054603723767E-3</v>
      </c>
      <c r="M32" s="1">
        <f t="shared" si="7"/>
        <v>3.2912054603723767E-3</v>
      </c>
    </row>
    <row r="34" spans="1:13">
      <c r="A34" t="s">
        <v>248</v>
      </c>
      <c r="B34" s="1">
        <f>B25/Verbrauchsstatistiken!B17</f>
        <v>0.13096585865582464</v>
      </c>
      <c r="C34" s="1">
        <f>B34</f>
        <v>0.13096585865582464</v>
      </c>
      <c r="D34" s="1">
        <f t="shared" ref="D34:M34" si="8">C34</f>
        <v>0.13096585865582464</v>
      </c>
      <c r="E34" s="1">
        <f t="shared" si="8"/>
        <v>0.13096585865582464</v>
      </c>
      <c r="F34" s="1">
        <f t="shared" si="8"/>
        <v>0.13096585865582464</v>
      </c>
      <c r="G34" s="1">
        <f t="shared" si="8"/>
        <v>0.13096585865582464</v>
      </c>
      <c r="H34" s="1">
        <f t="shared" si="8"/>
        <v>0.13096585865582464</v>
      </c>
      <c r="I34" s="1">
        <f t="shared" si="8"/>
        <v>0.13096585865582464</v>
      </c>
      <c r="J34" s="1">
        <f t="shared" si="8"/>
        <v>0.13096585865582464</v>
      </c>
      <c r="K34" s="1">
        <f t="shared" si="8"/>
        <v>0.13096585865582464</v>
      </c>
      <c r="L34" s="1">
        <f t="shared" si="8"/>
        <v>0.13096585865582464</v>
      </c>
      <c r="M34" s="1">
        <f t="shared" si="8"/>
        <v>0.13096585865582464</v>
      </c>
    </row>
    <row r="35" spans="1:13">
      <c r="B35" s="1"/>
      <c r="C35" s="1"/>
      <c r="D35" s="1"/>
      <c r="E35" s="1"/>
      <c r="F35" s="1"/>
      <c r="G35" s="1"/>
      <c r="H35" s="1"/>
      <c r="I35" s="1"/>
      <c r="J35" s="1"/>
      <c r="K35" s="1"/>
      <c r="L35" s="1"/>
      <c r="M35" s="1"/>
    </row>
    <row r="37" spans="1:13">
      <c r="A37" t="s">
        <v>246</v>
      </c>
      <c r="B37" s="8"/>
    </row>
    <row r="38" spans="1:13">
      <c r="A38" t="s">
        <v>48</v>
      </c>
      <c r="B38" s="8">
        <f>B15</f>
        <v>242.5647222222222</v>
      </c>
      <c r="C38" s="8">
        <f t="shared" ref="C38:M38" si="9">IF(C$22&gt;0,C28*C$22,C$4*C28)</f>
        <v>228.96277777777777</v>
      </c>
      <c r="D38" s="8">
        <f t="shared" si="9"/>
        <v>237.16654463830258</v>
      </c>
      <c r="E38" s="8">
        <f t="shared" si="9"/>
        <v>237.16654463830258</v>
      </c>
      <c r="F38" s="8">
        <f t="shared" si="9"/>
        <v>237.16654463830258</v>
      </c>
      <c r="G38" s="8">
        <f t="shared" si="9"/>
        <v>237.16654463830258</v>
      </c>
      <c r="H38" s="8">
        <f t="shared" si="9"/>
        <v>237.16654463830258</v>
      </c>
      <c r="I38" s="8">
        <f t="shared" si="9"/>
        <v>237.16654463830258</v>
      </c>
      <c r="J38" s="8">
        <f t="shared" si="9"/>
        <v>237.16654463830258</v>
      </c>
      <c r="K38" s="8">
        <f t="shared" si="9"/>
        <v>237.16654463830258</v>
      </c>
      <c r="L38" s="8">
        <f t="shared" si="9"/>
        <v>237.16654463830258</v>
      </c>
      <c r="M38" s="8">
        <f t="shared" si="9"/>
        <v>237.16654463830258</v>
      </c>
    </row>
    <row r="39" spans="1:13">
      <c r="A39" t="s">
        <v>49</v>
      </c>
      <c r="B39" s="8">
        <f>B16</f>
        <v>257.0313888888889</v>
      </c>
      <c r="C39" s="8">
        <f t="shared" ref="C39:M39" si="10">IF(C$22&gt;0,C29*C$22,C$4*C29)</f>
        <v>253.85388888888892</v>
      </c>
      <c r="D39" s="8">
        <f t="shared" si="10"/>
        <v>262.94950757981542</v>
      </c>
      <c r="E39" s="8">
        <f t="shared" si="10"/>
        <v>262.94950757981542</v>
      </c>
      <c r="F39" s="8">
        <f t="shared" si="10"/>
        <v>262.94950757981542</v>
      </c>
      <c r="G39" s="8">
        <f t="shared" si="10"/>
        <v>262.94950757981542</v>
      </c>
      <c r="H39" s="8">
        <f t="shared" si="10"/>
        <v>262.94950757981542</v>
      </c>
      <c r="I39" s="8">
        <f t="shared" si="10"/>
        <v>262.94950757981542</v>
      </c>
      <c r="J39" s="8">
        <f t="shared" si="10"/>
        <v>262.94950757981542</v>
      </c>
      <c r="K39" s="8">
        <f t="shared" si="10"/>
        <v>262.94950757981542</v>
      </c>
      <c r="L39" s="8">
        <f t="shared" si="10"/>
        <v>262.94950757981542</v>
      </c>
      <c r="M39" s="8">
        <f t="shared" si="10"/>
        <v>262.94950757981542</v>
      </c>
    </row>
    <row r="40" spans="1:13">
      <c r="A40" t="s">
        <v>50</v>
      </c>
      <c r="B40" s="8">
        <f>B17</f>
        <v>105.72583333333333</v>
      </c>
      <c r="C40" s="8">
        <f t="shared" ref="C40:M40" si="11">IF(C$22&gt;0,C30*C$22,C$4*C30)</f>
        <v>98.03972222222221</v>
      </c>
      <c r="D40" s="8">
        <f t="shared" si="11"/>
        <v>101.55249854328143</v>
      </c>
      <c r="E40" s="8">
        <f t="shared" si="11"/>
        <v>101.55249854328143</v>
      </c>
      <c r="F40" s="8">
        <f t="shared" si="11"/>
        <v>101.55249854328143</v>
      </c>
      <c r="G40" s="8">
        <f t="shared" si="11"/>
        <v>101.55249854328143</v>
      </c>
      <c r="H40" s="8">
        <f t="shared" si="11"/>
        <v>101.55249854328143</v>
      </c>
      <c r="I40" s="8">
        <f t="shared" si="11"/>
        <v>101.55249854328143</v>
      </c>
      <c r="J40" s="8">
        <f t="shared" si="11"/>
        <v>101.55249854328143</v>
      </c>
      <c r="K40" s="8">
        <f t="shared" si="11"/>
        <v>101.55249854328143</v>
      </c>
      <c r="L40" s="8">
        <f t="shared" si="11"/>
        <v>101.55249854328143</v>
      </c>
      <c r="M40" s="8">
        <f t="shared" si="11"/>
        <v>101.55249854328143</v>
      </c>
    </row>
    <row r="41" spans="1:13">
      <c r="A41" t="s">
        <v>51</v>
      </c>
      <c r="B41" s="8">
        <f>B18</f>
        <v>2.29</v>
      </c>
      <c r="C41" s="8">
        <f t="shared" ref="C41:M41" si="12">IF(C$22&gt;0,C31*C$22,C$4*C31)</f>
        <v>2.3630555555555555</v>
      </c>
      <c r="D41" s="8">
        <f t="shared" si="12"/>
        <v>2.4477241512303554</v>
      </c>
      <c r="E41" s="8">
        <f t="shared" si="12"/>
        <v>2.4477241512303554</v>
      </c>
      <c r="F41" s="8">
        <f t="shared" si="12"/>
        <v>2.4477241512303554</v>
      </c>
      <c r="G41" s="8">
        <f t="shared" si="12"/>
        <v>2.4477241512303554</v>
      </c>
      <c r="H41" s="8">
        <f t="shared" si="12"/>
        <v>2.4477241512303554</v>
      </c>
      <c r="I41" s="8">
        <f t="shared" si="12"/>
        <v>2.4477241512303554</v>
      </c>
      <c r="J41" s="8">
        <f t="shared" si="12"/>
        <v>2.4477241512303554</v>
      </c>
      <c r="K41" s="8">
        <f t="shared" si="12"/>
        <v>2.4477241512303554</v>
      </c>
      <c r="L41" s="8">
        <f t="shared" si="12"/>
        <v>2.4477241512303554</v>
      </c>
      <c r="M41" s="8">
        <f t="shared" si="12"/>
        <v>2.4477241512303554</v>
      </c>
    </row>
    <row r="42" spans="1:13">
      <c r="A42" t="s">
        <v>52</v>
      </c>
      <c r="B42" s="8">
        <f>B19</f>
        <v>1.6244444444444444</v>
      </c>
      <c r="C42" s="8">
        <f t="shared" ref="C42:M42" si="13">IF(C$22&gt;0,C32*C$22,C$4*C32)</f>
        <v>1.9258333333333333</v>
      </c>
      <c r="D42" s="8">
        <f t="shared" si="13"/>
        <v>1.994836198481257</v>
      </c>
      <c r="E42" s="8">
        <f t="shared" si="13"/>
        <v>1.994836198481257</v>
      </c>
      <c r="F42" s="8">
        <f t="shared" si="13"/>
        <v>1.994836198481257</v>
      </c>
      <c r="G42" s="8">
        <f t="shared" si="13"/>
        <v>1.994836198481257</v>
      </c>
      <c r="H42" s="8">
        <f t="shared" si="13"/>
        <v>1.994836198481257</v>
      </c>
      <c r="I42" s="8">
        <f t="shared" si="13"/>
        <v>1.994836198481257</v>
      </c>
      <c r="J42" s="8">
        <f t="shared" si="13"/>
        <v>1.994836198481257</v>
      </c>
      <c r="K42" s="8">
        <f t="shared" si="13"/>
        <v>1.994836198481257</v>
      </c>
      <c r="L42" s="8">
        <f t="shared" si="13"/>
        <v>1.994836198481257</v>
      </c>
      <c r="M42" s="8">
        <f t="shared" si="13"/>
        <v>1.994836198481257</v>
      </c>
    </row>
    <row r="43" spans="1:13">
      <c r="A43" t="s">
        <v>53</v>
      </c>
      <c r="B43" s="8">
        <f>IF(Verbrauchsstatistiken!B27&gt;0,Verbrauchsstatistiken!B27,B5/B34)</f>
        <v>687.202</v>
      </c>
      <c r="C43" s="8">
        <f>IF(Verbrauchsstatistiken!C27&gt;0,Verbrauchsstatistiken!C27,C5/C34)</f>
        <v>708.92200000000003</v>
      </c>
      <c r="D43" s="8">
        <f>IF(Verbrauchsstatistiken!D27&gt;0,Verbrauchsstatistiken!D27,D5/D34)</f>
        <v>610.8462222222222</v>
      </c>
      <c r="E43" s="8">
        <f>IF(Verbrauchsstatistiken!E27&gt;0,Verbrauchsstatistiken!E27,E5/E34)</f>
        <v>610.8462222222222</v>
      </c>
      <c r="F43" s="8">
        <f>IF(Verbrauchsstatistiken!F27&gt;0,Verbrauchsstatistiken!F27,F5/F34)</f>
        <v>610.8462222222222</v>
      </c>
      <c r="G43" s="8">
        <f>IF(Verbrauchsstatistiken!G27&gt;0,Verbrauchsstatistiken!G27,G5/G34)</f>
        <v>610.8462222222222</v>
      </c>
      <c r="H43" s="8">
        <f>IF(Verbrauchsstatistiken!H27&gt;0,Verbrauchsstatistiken!H27,H5/H34)</f>
        <v>610.8462222222222</v>
      </c>
      <c r="I43" s="8">
        <f>IF(Verbrauchsstatistiken!I27&gt;0,Verbrauchsstatistiken!I27,I5/I34)</f>
        <v>610.8462222222222</v>
      </c>
      <c r="J43" s="8">
        <f>IF(Verbrauchsstatistiken!J27&gt;0,Verbrauchsstatistiken!J27,J5/J34)</f>
        <v>610.8462222222222</v>
      </c>
      <c r="K43" s="8">
        <f>IF(Verbrauchsstatistiken!K27&gt;0,Verbrauchsstatistiken!K27,K5/K34)</f>
        <v>610.8462222222222</v>
      </c>
      <c r="L43" s="8">
        <f>IF(Verbrauchsstatistiken!L27&gt;0,Verbrauchsstatistiken!L27,L5/L34)</f>
        <v>610.8462222222222</v>
      </c>
      <c r="M43" s="8">
        <f>IF(Verbrauchsstatistiken!M27&gt;0,Verbrauchsstatistiken!M27,M5/M34)</f>
        <v>610.8462222222222</v>
      </c>
    </row>
    <row r="44" spans="1:13">
      <c r="A44" t="s">
        <v>54</v>
      </c>
      <c r="B44" s="8">
        <f>IF(B21&gt;0,B21,B6)</f>
        <v>53.868055555555557</v>
      </c>
      <c r="C44" s="8">
        <f>IF(C21&gt;0,C21,C6)</f>
        <v>53.536666666666662</v>
      </c>
      <c r="D44" s="8">
        <f t="shared" ref="D44:M44" si="14">IF(D21&gt;0,D21,D6)</f>
        <v>55.380833333333335</v>
      </c>
      <c r="E44" s="8">
        <f t="shared" si="14"/>
        <v>55.380833333333335</v>
      </c>
      <c r="F44" s="8">
        <f t="shared" si="14"/>
        <v>55.380833333333335</v>
      </c>
      <c r="G44" s="8">
        <f t="shared" si="14"/>
        <v>55.380833333333335</v>
      </c>
      <c r="H44" s="8">
        <f t="shared" si="14"/>
        <v>55.380833333333335</v>
      </c>
      <c r="I44" s="8">
        <f t="shared" si="14"/>
        <v>55.380833333333335</v>
      </c>
      <c r="J44" s="8">
        <f t="shared" si="14"/>
        <v>55.380833333333335</v>
      </c>
      <c r="K44" s="8">
        <f t="shared" si="14"/>
        <v>55.380833333333335</v>
      </c>
      <c r="L44" s="8">
        <f t="shared" si="14"/>
        <v>55.380833333333335</v>
      </c>
      <c r="M44" s="8">
        <f t="shared" si="14"/>
        <v>55.380833333333335</v>
      </c>
    </row>
    <row r="45" spans="1:13">
      <c r="B45" s="8"/>
      <c r="C45" s="8"/>
      <c r="D45" s="8"/>
      <c r="E45" s="8"/>
      <c r="F45" s="8"/>
      <c r="G45" s="8"/>
      <c r="H45" s="8"/>
      <c r="I45" s="8"/>
      <c r="J45" s="8"/>
      <c r="K45" s="8"/>
      <c r="L45" s="8"/>
      <c r="M45" s="8"/>
    </row>
    <row r="46" spans="1:13">
      <c r="A46" t="s">
        <v>56</v>
      </c>
      <c r="B46" s="8">
        <f>B39+B40+B41+B42+B38*'Kalibierung Steuereinnahmen'!$B$2+B44*'Kalibierung Steuereinnahmen'!$B$3</f>
        <v>503.5789333333334</v>
      </c>
      <c r="C46" s="8">
        <f>C39+C40+C41+C42+C38*'Kalibierung Steuereinnahmen'!$B$2+C44*'Kalibierung Steuereinnahmen'!$B$3</f>
        <v>485.95047777777779</v>
      </c>
      <c r="D46" s="8">
        <f>D39+D40+D41+D42+D38*'Kalibierung Steuereinnahmen'!$B$2+D44*'Kalibierung Steuereinnahmen'!$B$3</f>
        <v>503.34733635139253</v>
      </c>
      <c r="E46" s="8">
        <f>E39+E40+E41+E42+E38*'Kalibierung Steuereinnahmen'!$B$2+E44*'Kalibierung Steuereinnahmen'!$B$3</f>
        <v>503.34733635139253</v>
      </c>
      <c r="F46" s="8">
        <f>F39+F40+F41+F42+F38*'Kalibierung Steuereinnahmen'!$B$2+F44*'Kalibierung Steuereinnahmen'!$B$3</f>
        <v>503.34733635139253</v>
      </c>
      <c r="G46" s="8">
        <f>G39+G40+G41+G42+G38*'Kalibierung Steuereinnahmen'!$B$2+G44*'Kalibierung Steuereinnahmen'!$B$3</f>
        <v>503.34733635139253</v>
      </c>
      <c r="H46" s="8">
        <f>H39+H40+H41+H42+H38*'Kalibierung Steuereinnahmen'!$B$2+H44*'Kalibierung Steuereinnahmen'!$B$3</f>
        <v>503.34733635139253</v>
      </c>
      <c r="I46" s="8">
        <f>I39+I40+I41+I42+I38*'Kalibierung Steuereinnahmen'!$B$2+I44*'Kalibierung Steuereinnahmen'!$B$3</f>
        <v>503.34733635139253</v>
      </c>
      <c r="J46" s="8">
        <f>J39+J40+J41+J42+J38*'Kalibierung Steuereinnahmen'!$B$2+J44*'Kalibierung Steuereinnahmen'!$B$3</f>
        <v>503.34733635139253</v>
      </c>
      <c r="K46" s="8">
        <f>K39+K40+K41+K42+K38*'Kalibierung Steuereinnahmen'!$B$2+K44*'Kalibierung Steuereinnahmen'!$B$3</f>
        <v>503.34733635139253</v>
      </c>
      <c r="L46" s="8">
        <f>L39+L40+L41+L42+L38*'Kalibierung Steuereinnahmen'!$B$2+L44*'Kalibierung Steuereinnahmen'!$B$3</f>
        <v>503.34733635139253</v>
      </c>
      <c r="M46" s="8">
        <f>M39+M40+M41+M42+M38*'Kalibierung Steuereinnahmen'!$B$2+M44*'Kalibierung Steuereinnahmen'!$B$3</f>
        <v>503.34733635139253</v>
      </c>
    </row>
    <row r="48" spans="1:13">
      <c r="A48" t="s">
        <v>63</v>
      </c>
    </row>
    <row r="49" spans="1:13">
      <c r="A49" t="str">
        <f>A38</f>
        <v>Bergbau und Erden</v>
      </c>
      <c r="B49" s="4">
        <f>B38*3.6*1000*1000*'Physikalische Parameter'!$D$9*'Kalibierung Steuereinnahmen'!$B$5</f>
        <v>19089713.92513369</v>
      </c>
      <c r="C49" s="4">
        <f>C38*3.6*1000*1000*'Physikalische Parameter'!$D$9*'Kalibierung Steuereinnahmen'!$B$5</f>
        <v>18019248.171122994</v>
      </c>
      <c r="D49" s="4">
        <f>D38*3.6*1000*1000*'Physikalische Parameter'!$D$9*'Kalibierung Steuereinnahmen'!$B$5</f>
        <v>18664880.236005198</v>
      </c>
      <c r="E49" s="4">
        <f>E38*3.6*1000*1000*'Physikalische Parameter'!$D$9*'Kalibierung Steuereinnahmen'!$B$5</f>
        <v>18664880.236005198</v>
      </c>
      <c r="F49" s="4">
        <f>F38*3.6*1000*1000*'Physikalische Parameter'!$D$9*'Kalibierung Steuereinnahmen'!$B$5</f>
        <v>18664880.236005198</v>
      </c>
      <c r="G49" s="4">
        <f>G38*3.6*1000*1000*'Physikalische Parameter'!$D$9*'Kalibierung Steuereinnahmen'!$B$5</f>
        <v>18664880.236005198</v>
      </c>
      <c r="H49" s="4">
        <f>H38*3.6*1000*1000*'Physikalische Parameter'!$D$9*'Kalibierung Steuereinnahmen'!$B$5</f>
        <v>18664880.236005198</v>
      </c>
      <c r="I49" s="4">
        <f>I38*3.6*1000*1000*'Physikalische Parameter'!$D$9*'Kalibierung Steuereinnahmen'!$B$5</f>
        <v>18664880.236005198</v>
      </c>
      <c r="J49" s="4">
        <f>J38*3.6*1000*1000*'Physikalische Parameter'!$D$9*'Kalibierung Steuereinnahmen'!$B$5</f>
        <v>18664880.236005198</v>
      </c>
      <c r="K49" s="4">
        <f>K38*3.6*1000*1000*'Physikalische Parameter'!$D$9*'Kalibierung Steuereinnahmen'!$B$5</f>
        <v>18664880.236005198</v>
      </c>
      <c r="L49" s="4">
        <f>L38*3.6*1000*1000*'Physikalische Parameter'!$D$9*'Kalibierung Steuereinnahmen'!$B$5</f>
        <v>18664880.236005198</v>
      </c>
      <c r="M49" s="4">
        <f>M38*3.6*1000*1000*'Physikalische Parameter'!$D$9*'Kalibierung Steuereinnahmen'!$B$5</f>
        <v>18664880.236005198</v>
      </c>
    </row>
    <row r="50" spans="1:13">
      <c r="A50" t="str">
        <f t="shared" ref="A50:A55" si="15">A39</f>
        <v>Haushalte</v>
      </c>
      <c r="B50" s="4">
        <f>B39*3.6*1000*1000*'Physikalische Parameter'!$D$9</f>
        <v>51817528.000000007</v>
      </c>
      <c r="C50" s="4">
        <f>C39*3.6*1000*1000*'Physikalische Parameter'!$D$9</f>
        <v>51176944.000000007</v>
      </c>
      <c r="D50" s="4">
        <f>D39*3.6*1000*1000*'Physikalische Parameter'!$D$9</f>
        <v>53010620.728090793</v>
      </c>
      <c r="E50" s="4">
        <f>E39*3.6*1000*1000*'Physikalische Parameter'!$D$9</f>
        <v>53010620.728090793</v>
      </c>
      <c r="F50" s="4">
        <f>F39*3.6*1000*1000*'Physikalische Parameter'!$D$9</f>
        <v>53010620.728090793</v>
      </c>
      <c r="G50" s="4">
        <f>G39*3.6*1000*1000*'Physikalische Parameter'!$D$9</f>
        <v>53010620.728090793</v>
      </c>
      <c r="H50" s="4">
        <f>H39*3.6*1000*1000*'Physikalische Parameter'!$D$9</f>
        <v>53010620.728090793</v>
      </c>
      <c r="I50" s="4">
        <f>I39*3.6*1000*1000*'Physikalische Parameter'!$D$9</f>
        <v>53010620.728090793</v>
      </c>
      <c r="J50" s="4">
        <f>J39*3.6*1000*1000*'Physikalische Parameter'!$D$9</f>
        <v>53010620.728090793</v>
      </c>
      <c r="K50" s="4">
        <f>K39*3.6*1000*1000*'Physikalische Parameter'!$D$9</f>
        <v>53010620.728090793</v>
      </c>
      <c r="L50" s="4">
        <f>L39*3.6*1000*1000*'Physikalische Parameter'!$D$9</f>
        <v>53010620.728090793</v>
      </c>
      <c r="M50" s="4">
        <f>M39*3.6*1000*1000*'Physikalische Parameter'!$D$9</f>
        <v>53010620.728090793</v>
      </c>
    </row>
    <row r="51" spans="1:13">
      <c r="A51" t="str">
        <f t="shared" si="15"/>
        <v>GHD</v>
      </c>
      <c r="B51" s="4">
        <f>B40*3.6*1000*1000*'Physikalische Parameter'!$D$9</f>
        <v>21314328</v>
      </c>
      <c r="C51" s="4">
        <f>C40*3.6*1000*1000*'Physikalische Parameter'!$D$9</f>
        <v>19764808</v>
      </c>
      <c r="D51" s="4">
        <f>D40*3.6*1000*1000*'Physikalische Parameter'!$D$9</f>
        <v>20472983.706325538</v>
      </c>
      <c r="E51" s="4">
        <f>E40*3.6*1000*1000*'Physikalische Parameter'!$D$9</f>
        <v>20472983.706325538</v>
      </c>
      <c r="F51" s="4">
        <f>F40*3.6*1000*1000*'Physikalische Parameter'!$D$9</f>
        <v>20472983.706325538</v>
      </c>
      <c r="G51" s="4">
        <f>G40*3.6*1000*1000*'Physikalische Parameter'!$D$9</f>
        <v>20472983.706325538</v>
      </c>
      <c r="H51" s="4">
        <f>H40*3.6*1000*1000*'Physikalische Parameter'!$D$9</f>
        <v>20472983.706325538</v>
      </c>
      <c r="I51" s="4">
        <f>I40*3.6*1000*1000*'Physikalische Parameter'!$D$9</f>
        <v>20472983.706325538</v>
      </c>
      <c r="J51" s="4">
        <f>J40*3.6*1000*1000*'Physikalische Parameter'!$D$9</f>
        <v>20472983.706325538</v>
      </c>
      <c r="K51" s="4">
        <f>K40*3.6*1000*1000*'Physikalische Parameter'!$D$9</f>
        <v>20472983.706325538</v>
      </c>
      <c r="L51" s="4">
        <f>L40*3.6*1000*1000*'Physikalische Parameter'!$D$9</f>
        <v>20472983.706325538</v>
      </c>
      <c r="M51" s="4">
        <f>M40*3.6*1000*1000*'Physikalische Parameter'!$D$9</f>
        <v>20472983.706325538</v>
      </c>
    </row>
    <row r="52" spans="1:13">
      <c r="A52" t="str">
        <f t="shared" si="15"/>
        <v>Landwirtschaft</v>
      </c>
      <c r="B52" s="4">
        <f>B41*3.6*1000*1000*'Physikalische Parameter'!$D$9</f>
        <v>461664</v>
      </c>
      <c r="C52" s="4">
        <f>C41*3.6*1000*1000*'Physikalische Parameter'!$D$9</f>
        <v>476392</v>
      </c>
      <c r="D52" s="4">
        <f>D41*3.6*1000*1000*'Physikalische Parameter'!$D$9</f>
        <v>493461.18888803973</v>
      </c>
      <c r="E52" s="4">
        <f>E41*3.6*1000*1000*'Physikalische Parameter'!$D$9</f>
        <v>493461.18888803973</v>
      </c>
      <c r="F52" s="4">
        <f>F41*3.6*1000*1000*'Physikalische Parameter'!$D$9</f>
        <v>493461.18888803973</v>
      </c>
      <c r="G52" s="4">
        <f>G41*3.6*1000*1000*'Physikalische Parameter'!$D$9</f>
        <v>493461.18888803973</v>
      </c>
      <c r="H52" s="4">
        <f>H41*3.6*1000*1000*'Physikalische Parameter'!$D$9</f>
        <v>493461.18888803973</v>
      </c>
      <c r="I52" s="4">
        <f>I41*3.6*1000*1000*'Physikalische Parameter'!$D$9</f>
        <v>493461.18888803973</v>
      </c>
      <c r="J52" s="4">
        <f>J41*3.6*1000*1000*'Physikalische Parameter'!$D$9</f>
        <v>493461.18888803973</v>
      </c>
      <c r="K52" s="4">
        <f>K41*3.6*1000*1000*'Physikalische Parameter'!$D$9</f>
        <v>493461.18888803973</v>
      </c>
      <c r="L52" s="4">
        <f>L41*3.6*1000*1000*'Physikalische Parameter'!$D$9</f>
        <v>493461.18888803973</v>
      </c>
      <c r="M52" s="4">
        <f>M41*3.6*1000*1000*'Physikalische Parameter'!$D$9</f>
        <v>493461.18888803973</v>
      </c>
    </row>
    <row r="53" spans="1:13">
      <c r="A53" t="str">
        <f t="shared" si="15"/>
        <v>Verkehr</v>
      </c>
      <c r="B53" s="4">
        <f>B42*3.6*1000*1000*'Physikalische Parameter'!$D$9</f>
        <v>327488</v>
      </c>
      <c r="C53" s="4">
        <f>C42*3.6*1000*1000*'Physikalische Parameter'!$D$9</f>
        <v>388248</v>
      </c>
      <c r="D53" s="4">
        <f>D42*3.6*1000*1000*'Physikalische Parameter'!$D$9</f>
        <v>402158.97761382145</v>
      </c>
      <c r="E53" s="4">
        <f>E42*3.6*1000*1000*'Physikalische Parameter'!$D$9</f>
        <v>402158.97761382145</v>
      </c>
      <c r="F53" s="4">
        <f>F42*3.6*1000*1000*'Physikalische Parameter'!$D$9</f>
        <v>402158.97761382145</v>
      </c>
      <c r="G53" s="4">
        <f>G42*3.6*1000*1000*'Physikalische Parameter'!$D$9</f>
        <v>402158.97761382145</v>
      </c>
      <c r="H53" s="4">
        <f>H42*3.6*1000*1000*'Physikalische Parameter'!$D$9</f>
        <v>402158.97761382145</v>
      </c>
      <c r="I53" s="4">
        <f>I42*3.6*1000*1000*'Physikalische Parameter'!$D$9</f>
        <v>402158.97761382145</v>
      </c>
      <c r="J53" s="4">
        <f>J42*3.6*1000*1000*'Physikalische Parameter'!$D$9</f>
        <v>402158.97761382145</v>
      </c>
      <c r="K53" s="4">
        <f>K42*3.6*1000*1000*'Physikalische Parameter'!$D$9</f>
        <v>402158.97761382145</v>
      </c>
      <c r="L53" s="4">
        <f>L42*3.6*1000*1000*'Physikalische Parameter'!$D$9</f>
        <v>402158.97761382145</v>
      </c>
      <c r="M53" s="4">
        <f>M42*3.6*1000*1000*'Physikalische Parameter'!$D$9</f>
        <v>402158.97761382145</v>
      </c>
    </row>
    <row r="54" spans="1:13">
      <c r="A54" t="str">
        <f t="shared" si="15"/>
        <v>Stromerzeugung</v>
      </c>
      <c r="B54" s="4">
        <f>B43*3.6*1000*1000*'Physikalische Parameter'!$D$9*'Kalibierung Steuereinnahmen'!$B$6</f>
        <v>20780988.479999997</v>
      </c>
      <c r="C54" s="4">
        <f>C43*3.6*1000*1000*'Physikalische Parameter'!$D$9*'Kalibierung Steuereinnahmen'!$B$6</f>
        <v>21437801.279999997</v>
      </c>
      <c r="D54" s="4">
        <f>D43*3.6*1000*1000*'Physikalische Parameter'!$D$9*'Kalibierung Steuereinnahmen'!$B$6</f>
        <v>18471989.760000005</v>
      </c>
      <c r="E54" s="4">
        <f>E43*3.6*1000*1000*'Physikalische Parameter'!$D$9*'Kalibierung Steuereinnahmen'!$B$6</f>
        <v>18471989.760000005</v>
      </c>
      <c r="F54" s="4">
        <f>F43*3.6*1000*1000*'Physikalische Parameter'!$D$9*'Kalibierung Steuereinnahmen'!$B$6</f>
        <v>18471989.760000005</v>
      </c>
      <c r="G54" s="4">
        <f>G43*3.6*1000*1000*'Physikalische Parameter'!$D$9*'Kalibierung Steuereinnahmen'!$B$6</f>
        <v>18471989.760000005</v>
      </c>
      <c r="H54" s="4">
        <f>H43*3.6*1000*1000*'Physikalische Parameter'!$D$9*'Kalibierung Steuereinnahmen'!$B$6</f>
        <v>18471989.760000005</v>
      </c>
      <c r="I54" s="4">
        <f>I43*3.6*1000*1000*'Physikalische Parameter'!$D$9*'Kalibierung Steuereinnahmen'!$B$6</f>
        <v>18471989.760000005</v>
      </c>
      <c r="J54" s="4">
        <f>J43*3.6*1000*1000*'Physikalische Parameter'!$D$9*'Kalibierung Steuereinnahmen'!$B$6</f>
        <v>18471989.760000005</v>
      </c>
      <c r="K54" s="4">
        <f>K43*3.6*1000*1000*'Physikalische Parameter'!$D$9*'Kalibierung Steuereinnahmen'!$B$6</f>
        <v>18471989.760000005</v>
      </c>
      <c r="L54" s="4">
        <f>L43*3.6*1000*1000*'Physikalische Parameter'!$D$9*'Kalibierung Steuereinnahmen'!$B$6</f>
        <v>18471989.760000005</v>
      </c>
      <c r="M54" s="4">
        <f>M43*3.6*1000*1000*'Physikalische Parameter'!$D$9*'Kalibierung Steuereinnahmen'!$B$6</f>
        <v>18471989.760000005</v>
      </c>
    </row>
    <row r="55" spans="1:13">
      <c r="A55" t="str">
        <f t="shared" si="15"/>
        <v>Fernwärmeerzeugung</v>
      </c>
      <c r="B55" s="4">
        <f>B44*3.6*1000*1000*'Physikalische Parameter'!$D$9*'Kalibierung Steuereinnahmen'!$B$7</f>
        <v>2171960</v>
      </c>
      <c r="C55" s="4">
        <f>C44*3.6*1000*1000*'Physikalische Parameter'!$D$9*'Kalibierung Steuereinnahmen'!$B$7</f>
        <v>2158598.4</v>
      </c>
      <c r="D55" s="4">
        <f>D44*3.6*1000*1000*'Physikalische Parameter'!$D$9*'Kalibierung Steuereinnahmen'!$B$7</f>
        <v>2232955.2000000002</v>
      </c>
      <c r="E55" s="4">
        <f>E44*3.6*1000*1000*'Physikalische Parameter'!$D$9*'Kalibierung Steuereinnahmen'!$B$7</f>
        <v>2232955.2000000002</v>
      </c>
      <c r="F55" s="4">
        <f>F44*3.6*1000*1000*'Physikalische Parameter'!$D$9*'Kalibierung Steuereinnahmen'!$B$7</f>
        <v>2232955.2000000002</v>
      </c>
      <c r="G55" s="4">
        <f>G44*3.6*1000*1000*'Physikalische Parameter'!$D$9*'Kalibierung Steuereinnahmen'!$B$7</f>
        <v>2232955.2000000002</v>
      </c>
      <c r="H55" s="4">
        <f>H44*3.6*1000*1000*'Physikalische Parameter'!$D$9*'Kalibierung Steuereinnahmen'!$B$7</f>
        <v>2232955.2000000002</v>
      </c>
      <c r="I55" s="4">
        <f>I44*3.6*1000*1000*'Physikalische Parameter'!$D$9*'Kalibierung Steuereinnahmen'!$B$7</f>
        <v>2232955.2000000002</v>
      </c>
      <c r="J55" s="4">
        <f>J44*3.6*1000*1000*'Physikalische Parameter'!$D$9*'Kalibierung Steuereinnahmen'!$B$7</f>
        <v>2232955.2000000002</v>
      </c>
      <c r="K55" s="4">
        <f>K44*3.6*1000*1000*'Physikalische Parameter'!$D$9*'Kalibierung Steuereinnahmen'!$B$7</f>
        <v>2232955.2000000002</v>
      </c>
      <c r="L55" s="4">
        <f>L44*3.6*1000*1000*'Physikalische Parameter'!$D$9*'Kalibierung Steuereinnahmen'!$B$7</f>
        <v>2232955.2000000002</v>
      </c>
      <c r="M55" s="4">
        <f>M44*3.6*1000*1000*'Physikalische Parameter'!$D$9*'Kalibierung Steuereinnahmen'!$B$7</f>
        <v>2232955.2000000002</v>
      </c>
    </row>
    <row r="56" spans="1:13">
      <c r="A56" t="s">
        <v>42</v>
      </c>
      <c r="B56" s="9">
        <f>SUM(B49:B55)</f>
        <v>115963670.40513369</v>
      </c>
      <c r="C56" s="9">
        <f t="shared" ref="C56:J56" si="16">SUM(C49:C55)</f>
        <v>113422039.85112301</v>
      </c>
      <c r="D56" s="9">
        <f t="shared" si="16"/>
        <v>113749049.79692341</v>
      </c>
      <c r="E56" s="9">
        <f t="shared" si="16"/>
        <v>113749049.79692341</v>
      </c>
      <c r="F56" s="9">
        <f t="shared" si="16"/>
        <v>113749049.79692341</v>
      </c>
      <c r="G56" s="9">
        <f t="shared" si="16"/>
        <v>113749049.79692341</v>
      </c>
      <c r="H56" s="9">
        <f t="shared" si="16"/>
        <v>113749049.79692341</v>
      </c>
      <c r="I56" s="9">
        <f t="shared" si="16"/>
        <v>113749049.79692341</v>
      </c>
      <c r="J56" s="9">
        <f t="shared" si="16"/>
        <v>113749049.79692341</v>
      </c>
      <c r="K56" s="9">
        <f t="shared" ref="K56" si="17">SUM(K49:K55)</f>
        <v>113749049.79692341</v>
      </c>
      <c r="L56" s="9">
        <f t="shared" ref="L56" si="18">SUM(L49:L55)</f>
        <v>113749049.79692341</v>
      </c>
      <c r="M56" s="9">
        <f t="shared" ref="M56" si="19">SUM(M49:M55)</f>
        <v>113749049.79692341</v>
      </c>
    </row>
  </sheetData>
  <sheetProtection algorithmName="SHA-512" hashValue="ddwLKy4XrSimlLCga9Y18CpOp8qzPXgZccas1NX/UQFVEHhZQDtFdmZxasKts2cxnSsmujus2L4iav6w5D4qHA==" saltValue="7BRFFSbYwnO0hncjrSE1aA==" spinCount="100000" sheet="1" objects="1" scenarios="1" formatRows="0"/>
  <pageMargins left="0.7" right="0.7" top="0.78740157499999996" bottom="0.78740157499999996" header="0.3" footer="0.3"/>
  <customProperties>
    <customPr name="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826A-ED19-45C8-8857-A24A33332F2C}">
  <sheetPr codeName="Tabelle19">
    <tabColor rgb="FFF0C8DD"/>
  </sheetPr>
  <dimension ref="A2:M45"/>
  <sheetViews>
    <sheetView topLeftCell="A20" workbookViewId="0"/>
  </sheetViews>
  <sheetFormatPr baseColWidth="10" defaultRowHeight="14.25"/>
  <cols>
    <col min="1" max="1" width="35.375" customWidth="1"/>
    <col min="2" max="13" width="18.5" customWidth="1"/>
  </cols>
  <sheetData>
    <row r="2" spans="1:13" ht="15">
      <c r="B2" s="20">
        <v>2019</v>
      </c>
      <c r="C2" s="20">
        <f>B2+1</f>
        <v>2020</v>
      </c>
      <c r="D2" s="20">
        <f t="shared" ref="D2:M2" si="0">C2+1</f>
        <v>2021</v>
      </c>
      <c r="E2" s="20">
        <f t="shared" si="0"/>
        <v>2022</v>
      </c>
      <c r="F2" s="20">
        <f t="shared" si="0"/>
        <v>2023</v>
      </c>
      <c r="G2" s="20">
        <f t="shared" si="0"/>
        <v>2024</v>
      </c>
      <c r="H2" s="20">
        <f t="shared" si="0"/>
        <v>2025</v>
      </c>
      <c r="I2" s="20">
        <f t="shared" si="0"/>
        <v>2026</v>
      </c>
      <c r="J2" s="20">
        <f t="shared" si="0"/>
        <v>2027</v>
      </c>
      <c r="K2" s="20">
        <f t="shared" si="0"/>
        <v>2028</v>
      </c>
      <c r="L2" s="20">
        <f t="shared" si="0"/>
        <v>2029</v>
      </c>
      <c r="M2" s="20">
        <f t="shared" si="0"/>
        <v>2030</v>
      </c>
    </row>
    <row r="3" spans="1:13">
      <c r="A3" t="s">
        <v>78</v>
      </c>
      <c r="B3" s="8">
        <f>IF(B4&gt;0,B4,'Konfiguration Szenarien'!C9)</f>
        <v>537.29999999999995</v>
      </c>
      <c r="C3" s="8">
        <f>IF(C4&gt;0,C4,'Konfiguration Szenarien'!D9)</f>
        <v>518</v>
      </c>
      <c r="D3" s="8">
        <f>IF(D4&gt;0,D4,'Konfiguration Szenarien'!E9)</f>
        <v>536</v>
      </c>
      <c r="E3" s="8">
        <f>IF(E4&gt;0,E4,'Konfiguration Szenarien'!F9)</f>
        <v>536</v>
      </c>
      <c r="F3" s="8">
        <f>IF(F4&gt;0,F4,'Konfiguration Szenarien'!G9)</f>
        <v>536</v>
      </c>
      <c r="G3" s="8">
        <f>IF(G4&gt;0,G4,'Konfiguration Szenarien'!H9)</f>
        <v>536</v>
      </c>
      <c r="H3" s="8">
        <f>IF(H4&gt;0,H4,'Konfiguration Szenarien'!I9)</f>
        <v>536</v>
      </c>
      <c r="I3" s="8">
        <f>IF(I4&gt;0,I4,'Konfiguration Szenarien'!J9)</f>
        <v>536</v>
      </c>
      <c r="J3" s="8">
        <f>IF(J4&gt;0,J4,'Konfiguration Szenarien'!K9)</f>
        <v>536</v>
      </c>
      <c r="K3" s="8">
        <f>IF(K4&gt;0,K4,'Konfiguration Szenarien'!L9)</f>
        <v>536</v>
      </c>
      <c r="L3" s="8">
        <f>IF(L4&gt;0,L4,'Konfiguration Szenarien'!M9)</f>
        <v>536</v>
      </c>
      <c r="M3" s="8">
        <f>IF(M4&gt;0,M4,'Konfiguration Szenarien'!N9)</f>
        <v>536</v>
      </c>
    </row>
    <row r="4" spans="1:13">
      <c r="A4" t="s">
        <v>466</v>
      </c>
      <c r="B4" s="9">
        <f>Verbrauchsstatistiken!B33</f>
        <v>537.29999999999995</v>
      </c>
      <c r="C4" s="9">
        <f>Verbrauchsstatistiken!C33</f>
        <v>518</v>
      </c>
      <c r="D4" s="9">
        <f>Verbrauchsstatistiken!D33</f>
        <v>0</v>
      </c>
      <c r="E4" s="9">
        <f>Verbrauchsstatistiken!E33</f>
        <v>0</v>
      </c>
      <c r="F4" s="9">
        <f>Verbrauchsstatistiken!F33</f>
        <v>0</v>
      </c>
      <c r="G4" s="9">
        <f>Verbrauchsstatistiken!G33</f>
        <v>0</v>
      </c>
      <c r="H4" s="9">
        <f>Verbrauchsstatistiken!H33</f>
        <v>0</v>
      </c>
      <c r="I4" s="9">
        <f>Verbrauchsstatistiken!I33</f>
        <v>0</v>
      </c>
      <c r="J4" s="9">
        <f>Verbrauchsstatistiken!J33</f>
        <v>0</v>
      </c>
      <c r="K4" s="9">
        <f>Verbrauchsstatistiken!K33</f>
        <v>0</v>
      </c>
      <c r="L4" s="9">
        <f>Verbrauchsstatistiken!L33</f>
        <v>0</v>
      </c>
      <c r="M4" s="9">
        <f>Verbrauchsstatistiken!M33</f>
        <v>0</v>
      </c>
    </row>
    <row r="6" spans="1:13">
      <c r="A6" t="s">
        <v>143</v>
      </c>
      <c r="B6" s="3">
        <f>B3*'Steuer- und Abgabensätze'!B43/100*1000*1000*1000</f>
        <v>11014650000</v>
      </c>
      <c r="C6" s="3">
        <f>C3*'Steuer- und Abgabensätze'!C43/100*1000*1000*1000</f>
        <v>10618999999.999998</v>
      </c>
      <c r="D6" s="3">
        <f>D3*'Steuer- und Abgabensätze'!D43/100*1000*1000*1000</f>
        <v>10988000000</v>
      </c>
      <c r="E6" s="3">
        <f>E3*'Steuer- und Abgabensätze'!E43/100*1000*1000*1000</f>
        <v>10988000000</v>
      </c>
      <c r="F6" s="3">
        <f>F3*'Steuer- und Abgabensätze'!F43/100*1000*1000*1000</f>
        <v>10988000000</v>
      </c>
      <c r="G6" s="3">
        <f>G3*'Steuer- und Abgabensätze'!G43/100*1000*1000*1000</f>
        <v>10988000000</v>
      </c>
      <c r="H6" s="3">
        <f>H3*'Steuer- und Abgabensätze'!H43/100*1000*1000*1000</f>
        <v>10988000000</v>
      </c>
      <c r="I6" s="3">
        <f>I3*'Steuer- und Abgabensätze'!I43/100*1000*1000*1000</f>
        <v>10988000000</v>
      </c>
      <c r="J6" s="3">
        <f>J3*'Steuer- und Abgabensätze'!J43/100*1000*1000*1000</f>
        <v>10988000000</v>
      </c>
      <c r="K6" s="3">
        <f>K3*'Steuer- und Abgabensätze'!K43/100*1000*1000*1000</f>
        <v>10988000000</v>
      </c>
      <c r="L6" s="3">
        <f>L3*'Steuer- und Abgabensätze'!L43/100*1000*1000*1000</f>
        <v>10988000000</v>
      </c>
      <c r="M6" s="3">
        <f>M3*'Steuer- und Abgabensätze'!M43/100*1000*1000*1000</f>
        <v>10988000000</v>
      </c>
    </row>
    <row r="8" spans="1:13">
      <c r="A8" t="s">
        <v>84</v>
      </c>
    </row>
    <row r="9" spans="1:13">
      <c r="A9" t="s">
        <v>140</v>
      </c>
      <c r="B9" s="1">
        <f>B11/B6</f>
        <v>0.60726232254315848</v>
      </c>
      <c r="C9" s="12">
        <f>B9</f>
        <v>0.60726232254315848</v>
      </c>
      <c r="D9" s="12">
        <f t="shared" ref="D9:M9" si="1">C9</f>
        <v>0.60726232254315848</v>
      </c>
      <c r="E9" s="12">
        <f t="shared" si="1"/>
        <v>0.60726232254315848</v>
      </c>
      <c r="F9" s="12">
        <f t="shared" si="1"/>
        <v>0.60726232254315848</v>
      </c>
      <c r="G9" s="12">
        <f t="shared" si="1"/>
        <v>0.60726232254315848</v>
      </c>
      <c r="H9" s="12">
        <f t="shared" si="1"/>
        <v>0.60726232254315848</v>
      </c>
      <c r="I9" s="12">
        <f t="shared" si="1"/>
        <v>0.60726232254315848</v>
      </c>
      <c r="J9" s="12">
        <f t="shared" si="1"/>
        <v>0.60726232254315848</v>
      </c>
      <c r="K9" s="12">
        <f t="shared" si="1"/>
        <v>0.60726232254315848</v>
      </c>
      <c r="L9" s="12">
        <f t="shared" si="1"/>
        <v>0.60726232254315848</v>
      </c>
      <c r="M9" s="12">
        <f t="shared" si="1"/>
        <v>0.60726232254315848</v>
      </c>
    </row>
    <row r="11" spans="1:13">
      <c r="A11" t="s">
        <v>64</v>
      </c>
      <c r="B11" s="5">
        <f>'Berechnung Steuereinnahmen'!B25</f>
        <v>6688781941</v>
      </c>
      <c r="C11" s="5">
        <f t="shared" ref="C11:M11" si="2">C6*C9</f>
        <v>6448518603.0857992</v>
      </c>
      <c r="D11" s="5">
        <f t="shared" si="2"/>
        <v>6672598400.1042252</v>
      </c>
      <c r="E11" s="5">
        <f t="shared" si="2"/>
        <v>6672598400.1042252</v>
      </c>
      <c r="F11" s="5">
        <f t="shared" si="2"/>
        <v>6672598400.1042252</v>
      </c>
      <c r="G11" s="5">
        <f t="shared" si="2"/>
        <v>6672598400.1042252</v>
      </c>
      <c r="H11" s="5">
        <f t="shared" si="2"/>
        <v>6672598400.1042252</v>
      </c>
      <c r="I11" s="5">
        <f t="shared" si="2"/>
        <v>6672598400.1042252</v>
      </c>
      <c r="J11" s="5">
        <f t="shared" si="2"/>
        <v>6672598400.1042252</v>
      </c>
      <c r="K11" s="5">
        <f t="shared" si="2"/>
        <v>6672598400.1042252</v>
      </c>
      <c r="L11" s="5">
        <f t="shared" si="2"/>
        <v>6672598400.1042252</v>
      </c>
      <c r="M11" s="5">
        <f t="shared" si="2"/>
        <v>6672598400.1042252</v>
      </c>
    </row>
    <row r="13" spans="1:13">
      <c r="A13" t="s">
        <v>138</v>
      </c>
    </row>
    <row r="14" spans="1:13">
      <c r="A14" s="13" t="s">
        <v>141</v>
      </c>
      <c r="B14" s="5">
        <v>1035054238.28</v>
      </c>
    </row>
    <row r="15" spans="1:13">
      <c r="A15" t="s">
        <v>144</v>
      </c>
      <c r="B15" s="5">
        <f>B3*1000*1000*1000*'Steuer- und Abgabensätze'!B47/100</f>
        <v>1504440000</v>
      </c>
      <c r="C15" s="5">
        <f>C3*1000*1000*1000*'Steuer- und Abgabensätze'!C47/100</f>
        <v>1170680000</v>
      </c>
      <c r="D15" s="5">
        <f>D3*1000*1000*1000*'Steuer- und Abgabensätze'!D47/100</f>
        <v>1361440000</v>
      </c>
      <c r="E15" s="5">
        <f>E3*1000*1000*1000*'Steuer- und Abgabensätze'!E47/100</f>
        <v>1361440000</v>
      </c>
      <c r="F15" s="5">
        <f>F3*1000*1000*1000*'Steuer- und Abgabensätze'!F47/100</f>
        <v>1361440000</v>
      </c>
      <c r="G15" s="5">
        <f>G3*1000*1000*1000*'Steuer- und Abgabensätze'!G47/100</f>
        <v>1361440000</v>
      </c>
      <c r="H15" s="5">
        <f>H3*1000*1000*1000*'Steuer- und Abgabensätze'!H47/100</f>
        <v>1361440000</v>
      </c>
      <c r="I15" s="5">
        <f>I3*1000*1000*1000*'Steuer- und Abgabensätze'!I47/100</f>
        <v>1361440000</v>
      </c>
      <c r="J15" s="5">
        <f>J3*1000*1000*1000*'Steuer- und Abgabensätze'!J47/100</f>
        <v>1361440000</v>
      </c>
      <c r="K15" s="5">
        <f>K3*1000*1000*1000*'Steuer- und Abgabensätze'!K47/100</f>
        <v>1361440000</v>
      </c>
      <c r="L15" s="5">
        <f>L3*1000*1000*1000*'Steuer- und Abgabensätze'!L47/100</f>
        <v>1361440000</v>
      </c>
      <c r="M15" s="5">
        <f>M3*1000*1000*1000*'Steuer- und Abgabensätze'!M47/100</f>
        <v>1361440000</v>
      </c>
    </row>
    <row r="16" spans="1:13">
      <c r="A16" t="s">
        <v>139</v>
      </c>
      <c r="B16" s="5">
        <f>B3*1000*1000*1000*B17*'Steuer- und Abgabensätze'!B47/100</f>
        <v>1035054238.28</v>
      </c>
      <c r="C16" s="5">
        <f>C3*1000*1000*1000*C17*'Steuer- und Abgabensätze'!C47/100</f>
        <v>805427465.1495775</v>
      </c>
      <c r="D16" s="5">
        <f>D3*1000*1000*1000*D17*'Steuer- und Abgabensätze'!D47/100</f>
        <v>936670284.06843948</v>
      </c>
      <c r="E16" s="5">
        <f>E3*1000*1000*1000*E17*'Steuer- und Abgabensätze'!E47/100</f>
        <v>936670284.06843948</v>
      </c>
      <c r="F16" s="5">
        <f>F3*1000*1000*1000*F17*'Steuer- und Abgabensätze'!F47/100</f>
        <v>936670284.06843948</v>
      </c>
      <c r="G16" s="5">
        <f>G3*1000*1000*1000*G17*'Steuer- und Abgabensätze'!G47/100</f>
        <v>936670284.06843948</v>
      </c>
      <c r="H16" s="5">
        <f>H3*1000*1000*1000*H17*'Steuer- und Abgabensätze'!H47/100</f>
        <v>936670284.06843948</v>
      </c>
      <c r="I16" s="5">
        <f>I3*1000*1000*1000*I17*'Steuer- und Abgabensätze'!I47/100</f>
        <v>936670284.06843948</v>
      </c>
      <c r="J16" s="5">
        <f>J3*1000*1000*1000*J17*'Steuer- und Abgabensätze'!J47/100</f>
        <v>936670284.06843948</v>
      </c>
      <c r="K16" s="5">
        <f>K3*1000*1000*1000*K17*'Steuer- und Abgabensätze'!K47/100</f>
        <v>936670284.06843948</v>
      </c>
      <c r="L16" s="5">
        <f>L3*1000*1000*1000*L17*'Steuer- und Abgabensätze'!L47/100</f>
        <v>936670284.06843948</v>
      </c>
      <c r="M16" s="5">
        <f>M3*1000*1000*1000*M17*'Steuer- und Abgabensätze'!M47/100</f>
        <v>936670284.06843948</v>
      </c>
    </row>
    <row r="17" spans="1:13">
      <c r="A17" t="s">
        <v>142</v>
      </c>
      <c r="B17" s="1">
        <f>B14/B15</f>
        <v>0.68799967980112198</v>
      </c>
      <c r="C17" s="1">
        <f>B17</f>
        <v>0.68799967980112198</v>
      </c>
      <c r="D17" s="1">
        <f t="shared" ref="D17:M17" si="3">C17</f>
        <v>0.68799967980112198</v>
      </c>
      <c r="E17" s="1">
        <f t="shared" si="3"/>
        <v>0.68799967980112198</v>
      </c>
      <c r="F17" s="1">
        <f t="shared" si="3"/>
        <v>0.68799967980112198</v>
      </c>
      <c r="G17" s="1">
        <f t="shared" si="3"/>
        <v>0.68799967980112198</v>
      </c>
      <c r="H17" s="1">
        <f t="shared" si="3"/>
        <v>0.68799967980112198</v>
      </c>
      <c r="I17" s="1">
        <f t="shared" si="3"/>
        <v>0.68799967980112198</v>
      </c>
      <c r="J17" s="1">
        <f t="shared" si="3"/>
        <v>0.68799967980112198</v>
      </c>
      <c r="K17" s="1">
        <f t="shared" si="3"/>
        <v>0.68799967980112198</v>
      </c>
      <c r="L17" s="1">
        <f t="shared" si="3"/>
        <v>0.68799967980112198</v>
      </c>
      <c r="M17" s="1">
        <f t="shared" si="3"/>
        <v>0.68799967980112198</v>
      </c>
    </row>
    <row r="19" spans="1:13">
      <c r="A19" s="13" t="s">
        <v>15</v>
      </c>
    </row>
    <row r="20" spans="1:13">
      <c r="A20" t="s">
        <v>146</v>
      </c>
      <c r="B20" s="5">
        <v>1559237613</v>
      </c>
      <c r="C20" s="18">
        <v>1555885866</v>
      </c>
      <c r="D20" s="18">
        <v>1412443264</v>
      </c>
      <c r="E20" s="18">
        <f>AVERAGE(B20:D20)</f>
        <v>1509188914.3333333</v>
      </c>
      <c r="F20" s="18">
        <f>E20</f>
        <v>1509188914.3333333</v>
      </c>
      <c r="G20" s="18">
        <f t="shared" ref="G20:M20" si="4">F20</f>
        <v>1509188914.3333333</v>
      </c>
      <c r="H20" s="18">
        <f t="shared" si="4"/>
        <v>1509188914.3333333</v>
      </c>
      <c r="I20" s="18">
        <f t="shared" si="4"/>
        <v>1509188914.3333333</v>
      </c>
      <c r="J20" s="18">
        <f t="shared" si="4"/>
        <v>1509188914.3333333</v>
      </c>
      <c r="K20" s="18">
        <f t="shared" si="4"/>
        <v>1509188914.3333333</v>
      </c>
      <c r="L20" s="18">
        <f t="shared" si="4"/>
        <v>1509188914.3333333</v>
      </c>
      <c r="M20" s="18">
        <f t="shared" si="4"/>
        <v>1509188914.3333333</v>
      </c>
    </row>
    <row r="21" spans="1:13">
      <c r="A21" t="s">
        <v>145</v>
      </c>
      <c r="B21" s="18">
        <f>374424695*1000</f>
        <v>374424695000</v>
      </c>
      <c r="C21" s="18">
        <f>374204008*1000</f>
        <v>374204008000</v>
      </c>
      <c r="D21" s="18">
        <f>357953259*1000</f>
        <v>357953259000</v>
      </c>
      <c r="E21" s="18">
        <f>AVERAGE(B21:D21)</f>
        <v>368860654000</v>
      </c>
      <c r="F21" s="18">
        <f>E21</f>
        <v>368860654000</v>
      </c>
      <c r="G21" s="18">
        <f t="shared" ref="G21:M21" si="5">F21</f>
        <v>368860654000</v>
      </c>
      <c r="H21" s="18">
        <f t="shared" si="5"/>
        <v>368860654000</v>
      </c>
      <c r="I21" s="18">
        <f t="shared" si="5"/>
        <v>368860654000</v>
      </c>
      <c r="J21" s="18">
        <f t="shared" si="5"/>
        <v>368860654000</v>
      </c>
      <c r="K21" s="18">
        <f t="shared" si="5"/>
        <v>368860654000</v>
      </c>
      <c r="L21" s="18">
        <f t="shared" si="5"/>
        <v>368860654000</v>
      </c>
      <c r="M21" s="18">
        <f t="shared" si="5"/>
        <v>368860654000</v>
      </c>
    </row>
    <row r="22" spans="1:13">
      <c r="A22" t="s">
        <v>147</v>
      </c>
      <c r="B22" s="17">
        <f>B20/B21*100</f>
        <v>0.41643557004166082</v>
      </c>
      <c r="C22" s="17">
        <f t="shared" ref="C22:E22" si="6">C20/C21*100</f>
        <v>0.41578546267200855</v>
      </c>
      <c r="D22" s="17">
        <f t="shared" si="6"/>
        <v>0.39458874266039295</v>
      </c>
      <c r="E22" s="17">
        <f t="shared" si="6"/>
        <v>0.40914879317362302</v>
      </c>
      <c r="F22" s="17">
        <f t="shared" ref="F22" si="7">F20/F21*100</f>
        <v>0.40914879317362302</v>
      </c>
      <c r="G22" s="17">
        <f t="shared" ref="G22:H22" si="8">G20/G21*100</f>
        <v>0.40914879317362302</v>
      </c>
      <c r="H22" s="17">
        <f t="shared" si="8"/>
        <v>0.40914879317362302</v>
      </c>
      <c r="I22" s="17">
        <f t="shared" ref="I22" si="9">I20/I21*100</f>
        <v>0.40914879317362302</v>
      </c>
      <c r="J22" s="17">
        <f t="shared" ref="J22:K22" si="10">J20/J21*100</f>
        <v>0.40914879317362302</v>
      </c>
      <c r="K22" s="17">
        <f t="shared" si="10"/>
        <v>0.40914879317362302</v>
      </c>
      <c r="L22" s="17">
        <f t="shared" ref="L22" si="11">L20/L21*100</f>
        <v>0.40914879317362302</v>
      </c>
      <c r="M22" s="17">
        <f t="shared" ref="M22" si="12">M20/M21*100</f>
        <v>0.40914879317362302</v>
      </c>
    </row>
    <row r="23" spans="1:13">
      <c r="A23" t="s">
        <v>148</v>
      </c>
      <c r="B23" s="5">
        <f>B22*B21/100</f>
        <v>1559237613</v>
      </c>
      <c r="C23" s="5">
        <f t="shared" ref="C23:M23" si="13">C22*C21/100</f>
        <v>1555885866</v>
      </c>
      <c r="D23" s="5">
        <f t="shared" si="13"/>
        <v>1412443264</v>
      </c>
      <c r="E23" s="5">
        <f t="shared" si="13"/>
        <v>1509188914.333333</v>
      </c>
      <c r="F23" s="5">
        <f t="shared" si="13"/>
        <v>1509188914.333333</v>
      </c>
      <c r="G23" s="5">
        <f t="shared" si="13"/>
        <v>1509188914.333333</v>
      </c>
      <c r="H23" s="5">
        <f t="shared" si="13"/>
        <v>1509188914.333333</v>
      </c>
      <c r="I23" s="5">
        <f t="shared" si="13"/>
        <v>1509188914.333333</v>
      </c>
      <c r="J23" s="5">
        <f t="shared" si="13"/>
        <v>1509188914.333333</v>
      </c>
      <c r="K23" s="5">
        <f t="shared" si="13"/>
        <v>1509188914.333333</v>
      </c>
      <c r="L23" s="5">
        <f t="shared" si="13"/>
        <v>1509188914.333333</v>
      </c>
      <c r="M23" s="5">
        <f t="shared" si="13"/>
        <v>1509188914.333333</v>
      </c>
    </row>
    <row r="25" spans="1:13">
      <c r="A25" s="13" t="s">
        <v>16</v>
      </c>
    </row>
    <row r="26" spans="1:13">
      <c r="A26" t="s">
        <v>146</v>
      </c>
      <c r="B26" s="18">
        <v>31523238</v>
      </c>
      <c r="C26" s="18">
        <v>40655235</v>
      </c>
      <c r="D26" s="18">
        <v>43665514</v>
      </c>
      <c r="E26" s="18">
        <f>AVERAGE(B26:D26)</f>
        <v>38614662.333333336</v>
      </c>
      <c r="F26" s="18">
        <f t="shared" ref="F26:M26" si="14">AVERAGE(C26:E26)</f>
        <v>40978470.444444448</v>
      </c>
      <c r="G26" s="18">
        <f t="shared" si="14"/>
        <v>41086215.592592597</v>
      </c>
      <c r="H26" s="18">
        <f t="shared" si="14"/>
        <v>40226449.456790127</v>
      </c>
      <c r="I26" s="18">
        <f t="shared" si="14"/>
        <v>40763711.831275724</v>
      </c>
      <c r="J26" s="18">
        <f t="shared" si="14"/>
        <v>40692125.626886152</v>
      </c>
      <c r="K26" s="18">
        <f t="shared" si="14"/>
        <v>40560762.304984003</v>
      </c>
      <c r="L26" s="18">
        <f t="shared" si="14"/>
        <v>40672199.921048626</v>
      </c>
      <c r="M26" s="18">
        <f t="shared" si="14"/>
        <v>40641695.95097293</v>
      </c>
    </row>
    <row r="27" spans="1:13">
      <c r="A27" t="s">
        <v>145</v>
      </c>
      <c r="B27" s="18">
        <v>486238728340</v>
      </c>
      <c r="C27" s="18">
        <v>483470366868</v>
      </c>
      <c r="D27" s="18">
        <v>467336912662</v>
      </c>
      <c r="E27" s="18">
        <f>AVERAGE(B27:D27)</f>
        <v>479015335956.66669</v>
      </c>
      <c r="F27" s="18">
        <f t="shared" ref="F27:M27" si="15">AVERAGE(C27:E27)</f>
        <v>476607538495.5556</v>
      </c>
      <c r="G27" s="18">
        <f t="shared" si="15"/>
        <v>474319929038.07416</v>
      </c>
      <c r="H27" s="18">
        <f t="shared" si="15"/>
        <v>476647601163.43213</v>
      </c>
      <c r="I27" s="18">
        <f t="shared" si="15"/>
        <v>475858356232.354</v>
      </c>
      <c r="J27" s="18">
        <f t="shared" si="15"/>
        <v>475608628811.2868</v>
      </c>
      <c r="K27" s="18">
        <f t="shared" si="15"/>
        <v>476038195402.35767</v>
      </c>
      <c r="L27" s="18">
        <f t="shared" si="15"/>
        <v>475835060148.6662</v>
      </c>
      <c r="M27" s="18">
        <f t="shared" si="15"/>
        <v>475827294787.43695</v>
      </c>
    </row>
    <row r="28" spans="1:13">
      <c r="A28" t="s">
        <v>155</v>
      </c>
      <c r="B28" s="17">
        <f>B26/B27*100</f>
        <v>6.4830784062839056E-3</v>
      </c>
      <c r="C28" s="17">
        <f>C26/C27*100</f>
        <v>8.4090438186255872E-3</v>
      </c>
      <c r="D28" s="17">
        <f>D26/D27*100</f>
        <v>9.3434763693876991E-3</v>
      </c>
      <c r="E28" s="17">
        <f t="shared" ref="E28:M28" si="16">E26/E27*100</f>
        <v>8.0612580505828625E-3</v>
      </c>
      <c r="F28" s="17">
        <f t="shared" si="16"/>
        <v>8.5979484449188112E-3</v>
      </c>
      <c r="G28" s="17">
        <f t="shared" si="16"/>
        <v>8.6621314174835269E-3</v>
      </c>
      <c r="H28" s="17">
        <f t="shared" si="16"/>
        <v>8.4394528281696631E-3</v>
      </c>
      <c r="I28" s="17">
        <f t="shared" si="16"/>
        <v>8.5663541046175212E-3</v>
      </c>
      <c r="J28" s="17">
        <f t="shared" si="16"/>
        <v>8.555800538898985E-3</v>
      </c>
      <c r="K28" s="17">
        <f t="shared" si="16"/>
        <v>8.5204848469566975E-3</v>
      </c>
      <c r="L28" s="17">
        <f t="shared" si="16"/>
        <v>8.5475416435983765E-3</v>
      </c>
      <c r="M28" s="17">
        <f t="shared" si="16"/>
        <v>8.5412704139069019E-3</v>
      </c>
    </row>
    <row r="29" spans="1:13">
      <c r="A29" t="s">
        <v>148</v>
      </c>
      <c r="B29" s="5">
        <f>B28*B27/100</f>
        <v>31523238</v>
      </c>
      <c r="C29" s="5">
        <f>C28*C27/100</f>
        <v>40655235.000000007</v>
      </c>
      <c r="D29" s="5">
        <f>D28*D27/100</f>
        <v>43665514</v>
      </c>
      <c r="E29" s="5">
        <f t="shared" ref="E29:M29" si="17">E28*E27/100</f>
        <v>38614662.333333343</v>
      </c>
      <c r="F29" s="5">
        <f t="shared" si="17"/>
        <v>40978470.444444448</v>
      </c>
      <c r="G29" s="5">
        <f t="shared" si="17"/>
        <v>41086215.59259259</v>
      </c>
      <c r="H29" s="5">
        <f t="shared" si="17"/>
        <v>40226449.456790127</v>
      </c>
      <c r="I29" s="5">
        <f t="shared" si="17"/>
        <v>40763711.831275724</v>
      </c>
      <c r="J29" s="5">
        <f t="shared" si="17"/>
        <v>40692125.626886152</v>
      </c>
      <c r="K29" s="5">
        <f t="shared" si="17"/>
        <v>40560762.304983996</v>
      </c>
      <c r="L29" s="5">
        <f t="shared" si="17"/>
        <v>40672199.921048626</v>
      </c>
      <c r="M29" s="5">
        <f t="shared" si="17"/>
        <v>40641695.95097293</v>
      </c>
    </row>
    <row r="31" spans="1:13">
      <c r="A31" s="13" t="s">
        <v>14</v>
      </c>
    </row>
    <row r="32" spans="1:13">
      <c r="A32" t="s">
        <v>149</v>
      </c>
      <c r="B32" s="6">
        <v>942969604.11000001</v>
      </c>
      <c r="C32" s="18">
        <v>1140365100</v>
      </c>
      <c r="D32" s="6">
        <v>1123744111.8800001</v>
      </c>
      <c r="E32" s="18">
        <f>AVERAGE(B32:D32)</f>
        <v>1069026271.9966668</v>
      </c>
      <c r="F32" s="18">
        <f>E32</f>
        <v>1069026271.9966668</v>
      </c>
      <c r="G32" s="18">
        <f t="shared" ref="G32:J32" si="18">F32</f>
        <v>1069026271.9966668</v>
      </c>
      <c r="H32" s="18">
        <f t="shared" si="18"/>
        <v>1069026271.9966668</v>
      </c>
      <c r="I32" s="18">
        <f t="shared" si="18"/>
        <v>1069026271.9966668</v>
      </c>
      <c r="J32" s="18">
        <f t="shared" si="18"/>
        <v>1069026271.9966668</v>
      </c>
      <c r="K32" s="18">
        <f t="shared" ref="K32:M32" si="19">AVERAGE(H32:J32)</f>
        <v>1069026271.9966668</v>
      </c>
      <c r="L32" s="18">
        <f t="shared" si="19"/>
        <v>1069026271.9966668</v>
      </c>
      <c r="M32" s="18">
        <f t="shared" si="19"/>
        <v>1069026271.9966668</v>
      </c>
    </row>
    <row r="33" spans="1:13">
      <c r="A33" t="s">
        <v>150</v>
      </c>
      <c r="B33" s="18">
        <v>268299748132</v>
      </c>
      <c r="C33" s="18">
        <v>263958517277</v>
      </c>
      <c r="D33" s="18">
        <v>260164672335</v>
      </c>
      <c r="E33" s="18">
        <f>AVERAGE(B33:D33)</f>
        <v>264140979248</v>
      </c>
      <c r="F33" s="18">
        <f>E33</f>
        <v>264140979248</v>
      </c>
      <c r="G33" s="18">
        <f t="shared" ref="G33:J33" si="20">F33</f>
        <v>264140979248</v>
      </c>
      <c r="H33" s="18">
        <f t="shared" si="20"/>
        <v>264140979248</v>
      </c>
      <c r="I33" s="18">
        <f t="shared" si="20"/>
        <v>264140979248</v>
      </c>
      <c r="J33" s="18">
        <f t="shared" si="20"/>
        <v>264140979248</v>
      </c>
      <c r="K33" s="18">
        <f t="shared" ref="K33:M33" si="21">AVERAGE(H33:J33)</f>
        <v>264140979248</v>
      </c>
      <c r="L33" s="18">
        <f t="shared" si="21"/>
        <v>264140979248</v>
      </c>
      <c r="M33" s="18">
        <f t="shared" si="21"/>
        <v>264140979248</v>
      </c>
    </row>
    <row r="34" spans="1:13">
      <c r="A34" t="s">
        <v>155</v>
      </c>
      <c r="B34" s="17">
        <f>B32/B33*100</f>
        <v>0.35146123344330205</v>
      </c>
      <c r="C34" s="17">
        <f t="shared" ref="C34:D34" si="22">C32/C33*100</f>
        <v>0.43202436192020754</v>
      </c>
      <c r="D34" s="17">
        <f t="shared" si="22"/>
        <v>0.43193570510334911</v>
      </c>
      <c r="E34" s="17">
        <f t="shared" ref="E34" si="23">E32/E33*100</f>
        <v>0.40471806950975447</v>
      </c>
      <c r="F34" s="17">
        <f t="shared" ref="F34" si="24">F32/F33*100</f>
        <v>0.40471806950975447</v>
      </c>
      <c r="G34" s="17">
        <f t="shared" ref="G34" si="25">G32/G33*100</f>
        <v>0.40471806950975447</v>
      </c>
      <c r="H34" s="17">
        <f t="shared" ref="H34" si="26">H32/H33*100</f>
        <v>0.40471806950975447</v>
      </c>
      <c r="I34" s="17">
        <f t="shared" ref="I34" si="27">I32/I33*100</f>
        <v>0.40471806950975447</v>
      </c>
      <c r="J34" s="17">
        <f t="shared" ref="J34" si="28">J32/J33*100</f>
        <v>0.40471806950975447</v>
      </c>
      <c r="K34" s="17">
        <f t="shared" ref="K34" si="29">K32/K33*100</f>
        <v>0.40471806950975447</v>
      </c>
      <c r="L34" s="17">
        <f t="shared" ref="L34" si="30">L32/L33*100</f>
        <v>0.40471806950975447</v>
      </c>
      <c r="M34" s="17">
        <f t="shared" ref="M34" si="31">M32/M33*100</f>
        <v>0.40471806950975447</v>
      </c>
    </row>
    <row r="35" spans="1:13">
      <c r="A35" t="s">
        <v>151</v>
      </c>
      <c r="B35" s="6">
        <v>69273350.200000003</v>
      </c>
      <c r="C35" s="6">
        <v>70660164.609999999</v>
      </c>
      <c r="D35" s="6">
        <v>66617445.409999996</v>
      </c>
      <c r="E35" s="18">
        <f>AVERAGE(B35:D35)</f>
        <v>68850320.073333338</v>
      </c>
      <c r="F35" s="18">
        <f>E35</f>
        <v>68850320.073333338</v>
      </c>
      <c r="G35" s="18">
        <f t="shared" ref="G35:J35" si="32">F35</f>
        <v>68850320.073333338</v>
      </c>
      <c r="H35" s="18">
        <f t="shared" si="32"/>
        <v>68850320.073333338</v>
      </c>
      <c r="I35" s="18">
        <f t="shared" si="32"/>
        <v>68850320.073333338</v>
      </c>
      <c r="J35" s="18">
        <f t="shared" si="32"/>
        <v>68850320.073333338</v>
      </c>
      <c r="K35" s="18">
        <f t="shared" ref="K35:K36" si="33">AVERAGE(H35:J35)</f>
        <v>68850320.073333338</v>
      </c>
      <c r="L35" s="18">
        <f t="shared" ref="L35:L36" si="34">AVERAGE(I35:K35)</f>
        <v>68850320.073333338</v>
      </c>
      <c r="M35" s="18">
        <f t="shared" ref="M35:M36" si="35">AVERAGE(J35:L35)</f>
        <v>68850320.073333338</v>
      </c>
    </row>
    <row r="36" spans="1:13">
      <c r="A36" t="s">
        <v>152</v>
      </c>
      <c r="B36" s="18">
        <v>138546700396</v>
      </c>
      <c r="C36" s="18">
        <v>141320329213</v>
      </c>
      <c r="D36" s="18">
        <v>133234890819</v>
      </c>
      <c r="E36" s="18">
        <f>AVERAGE(B36:D36)</f>
        <v>137700640142.66666</v>
      </c>
      <c r="F36" s="18">
        <f>E36</f>
        <v>137700640142.66666</v>
      </c>
      <c r="G36" s="18">
        <f t="shared" ref="G36:J36" si="36">F36</f>
        <v>137700640142.66666</v>
      </c>
      <c r="H36" s="18">
        <f t="shared" si="36"/>
        <v>137700640142.66666</v>
      </c>
      <c r="I36" s="18">
        <f t="shared" si="36"/>
        <v>137700640142.66666</v>
      </c>
      <c r="J36" s="18">
        <f t="shared" si="36"/>
        <v>137700640142.66666</v>
      </c>
      <c r="K36" s="18">
        <f t="shared" si="33"/>
        <v>137700640142.66666</v>
      </c>
      <c r="L36" s="18">
        <f t="shared" si="34"/>
        <v>137700640142.66666</v>
      </c>
      <c r="M36" s="18">
        <f t="shared" si="35"/>
        <v>137700640142.66666</v>
      </c>
    </row>
    <row r="37" spans="1:13">
      <c r="A37" t="s">
        <v>155</v>
      </c>
      <c r="B37" s="17">
        <f>B35/B36*100</f>
        <v>5.0000000001443563E-2</v>
      </c>
      <c r="C37" s="17">
        <f t="shared" ref="C37:D37" si="37">C35/C36*100</f>
        <v>5.0000000002476647E-2</v>
      </c>
      <c r="D37" s="17">
        <f t="shared" si="37"/>
        <v>5.0000000000375279E-2</v>
      </c>
      <c r="E37" s="17">
        <f t="shared" ref="E37" si="38">E35/E36*100</f>
        <v>5.0000000001452431E-2</v>
      </c>
      <c r="F37" s="17">
        <f t="shared" ref="F37" si="39">F35/F36*100</f>
        <v>5.0000000001452431E-2</v>
      </c>
      <c r="G37" s="17">
        <f t="shared" ref="G37" si="40">G35/G36*100</f>
        <v>5.0000000001452431E-2</v>
      </c>
      <c r="H37" s="17">
        <f t="shared" ref="H37" si="41">H35/H36*100</f>
        <v>5.0000000001452431E-2</v>
      </c>
      <c r="I37" s="17">
        <f t="shared" ref="I37" si="42">I35/I36*100</f>
        <v>5.0000000001452431E-2</v>
      </c>
      <c r="J37" s="17">
        <f t="shared" ref="J37" si="43">J35/J36*100</f>
        <v>5.0000000001452431E-2</v>
      </c>
      <c r="K37" s="17">
        <f t="shared" ref="K37" si="44">K35/K36*100</f>
        <v>5.0000000001452431E-2</v>
      </c>
      <c r="L37" s="17">
        <f t="shared" ref="L37" si="45">L35/L36*100</f>
        <v>5.0000000001452431E-2</v>
      </c>
      <c r="M37" s="17">
        <f t="shared" ref="M37" si="46">M35/M36*100</f>
        <v>5.0000000001452431E-2</v>
      </c>
    </row>
    <row r="38" spans="1:13">
      <c r="A38" t="s">
        <v>153</v>
      </c>
      <c r="B38" s="6">
        <v>19848069.949999999</v>
      </c>
      <c r="C38" s="6">
        <v>19547880.09</v>
      </c>
      <c r="D38" s="6">
        <v>18484337.379999999</v>
      </c>
      <c r="E38" s="18">
        <f>AVERAGE(B38:D38)</f>
        <v>19293429.140000001</v>
      </c>
      <c r="F38" s="18">
        <f>E38</f>
        <v>19293429.140000001</v>
      </c>
      <c r="G38" s="18">
        <f t="shared" ref="G38:J38" si="47">F38</f>
        <v>19293429.140000001</v>
      </c>
      <c r="H38" s="18">
        <f t="shared" si="47"/>
        <v>19293429.140000001</v>
      </c>
      <c r="I38" s="18">
        <f t="shared" si="47"/>
        <v>19293429.140000001</v>
      </c>
      <c r="J38" s="18">
        <f t="shared" si="47"/>
        <v>19293429.140000001</v>
      </c>
      <c r="K38" s="18">
        <f t="shared" ref="K38:K39" si="48">AVERAGE(H38:J38)</f>
        <v>19293429.140000001</v>
      </c>
      <c r="L38" s="18">
        <f t="shared" ref="L38:L39" si="49">AVERAGE(I38:K38)</f>
        <v>19293429.140000001</v>
      </c>
      <c r="M38" s="18">
        <f t="shared" ref="M38:M39" si="50">AVERAGE(J38:L38)</f>
        <v>19293429.140000001</v>
      </c>
    </row>
    <row r="39" spans="1:13">
      <c r="A39" t="s">
        <v>154</v>
      </c>
      <c r="B39" s="18">
        <v>79392279812</v>
      </c>
      <c r="C39" s="18">
        <v>78191520378</v>
      </c>
      <c r="D39" s="18">
        <v>73937349508</v>
      </c>
      <c r="E39" s="18">
        <f>AVERAGE(B39:D39)</f>
        <v>77173716566</v>
      </c>
      <c r="F39" s="18">
        <f>E39</f>
        <v>77173716566</v>
      </c>
      <c r="G39" s="18">
        <f t="shared" ref="G39:J39" si="51">F39</f>
        <v>77173716566</v>
      </c>
      <c r="H39" s="18">
        <f t="shared" si="51"/>
        <v>77173716566</v>
      </c>
      <c r="I39" s="18">
        <f t="shared" si="51"/>
        <v>77173716566</v>
      </c>
      <c r="J39" s="18">
        <f t="shared" si="51"/>
        <v>77173716566</v>
      </c>
      <c r="K39" s="18">
        <f t="shared" si="48"/>
        <v>77173716566</v>
      </c>
      <c r="L39" s="18">
        <f t="shared" si="49"/>
        <v>77173716566</v>
      </c>
      <c r="M39" s="18">
        <f t="shared" si="50"/>
        <v>77173716566</v>
      </c>
    </row>
    <row r="40" spans="1:13">
      <c r="A40" t="s">
        <v>155</v>
      </c>
      <c r="B40" s="17">
        <f>B38/B39*100</f>
        <v>2.4999999996221295E-2</v>
      </c>
      <c r="C40" s="17">
        <f t="shared" ref="C40:D40" si="52">C38/C39*100</f>
        <v>2.4999999994244897E-2</v>
      </c>
      <c r="D40" s="17">
        <f t="shared" si="52"/>
        <v>2.5000000004057485E-2</v>
      </c>
      <c r="E40" s="17">
        <f t="shared" ref="E40" si="53">E38/E39*100</f>
        <v>2.4999999998056334E-2</v>
      </c>
      <c r="F40" s="17">
        <f t="shared" ref="F40" si="54">F38/F39*100</f>
        <v>2.4999999998056334E-2</v>
      </c>
      <c r="G40" s="17">
        <f t="shared" ref="G40" si="55">G38/G39*100</f>
        <v>2.4999999998056334E-2</v>
      </c>
      <c r="H40" s="17">
        <f t="shared" ref="H40" si="56">H38/H39*100</f>
        <v>2.4999999998056334E-2</v>
      </c>
      <c r="I40" s="17">
        <f t="shared" ref="I40" si="57">I38/I39*100</f>
        <v>2.4999999998056334E-2</v>
      </c>
      <c r="J40" s="17">
        <f t="shared" ref="J40" si="58">J38/J39*100</f>
        <v>2.4999999998056334E-2</v>
      </c>
      <c r="K40" s="17">
        <f t="shared" ref="K40" si="59">K38/K39*100</f>
        <v>2.4999999998056334E-2</v>
      </c>
      <c r="L40" s="17">
        <f t="shared" ref="L40" si="60">L38/L39*100</f>
        <v>2.4999999998056334E-2</v>
      </c>
      <c r="M40" s="17">
        <f t="shared" ref="M40" si="61">M38/M39*100</f>
        <v>2.4999999998056334E-2</v>
      </c>
    </row>
    <row r="41" spans="1:13">
      <c r="A41" t="s">
        <v>42</v>
      </c>
      <c r="B41" s="6">
        <f>B32+B35+B38</f>
        <v>1032091024.2600001</v>
      </c>
      <c r="C41" s="6">
        <f t="shared" ref="C41:M41" si="62">C32+C35+C38</f>
        <v>1230573144.6999998</v>
      </c>
      <c r="D41" s="6">
        <f t="shared" si="62"/>
        <v>1208845894.6700003</v>
      </c>
      <c r="E41" s="6">
        <f t="shared" si="62"/>
        <v>1157170021.2100003</v>
      </c>
      <c r="F41" s="6">
        <f t="shared" si="62"/>
        <v>1157170021.2100003</v>
      </c>
      <c r="G41" s="6">
        <f t="shared" si="62"/>
        <v>1157170021.2100003</v>
      </c>
      <c r="H41" s="6">
        <f t="shared" si="62"/>
        <v>1157170021.2100003</v>
      </c>
      <c r="I41" s="6">
        <f t="shared" si="62"/>
        <v>1157170021.2100003</v>
      </c>
      <c r="J41" s="6">
        <f t="shared" si="62"/>
        <v>1157170021.2100003</v>
      </c>
      <c r="K41" s="6">
        <f t="shared" si="62"/>
        <v>1157170021.2100003</v>
      </c>
      <c r="L41" s="6">
        <f t="shared" si="62"/>
        <v>1157170021.2100003</v>
      </c>
      <c r="M41" s="6">
        <f t="shared" si="62"/>
        <v>1157170021.2100003</v>
      </c>
    </row>
    <row r="43" spans="1:13">
      <c r="A43" s="16" t="s">
        <v>77</v>
      </c>
    </row>
    <row r="44" spans="1:13">
      <c r="A44" t="s">
        <v>156</v>
      </c>
      <c r="B44">
        <v>1.7</v>
      </c>
      <c r="C44">
        <v>1.7</v>
      </c>
      <c r="D44">
        <v>1.7</v>
      </c>
      <c r="E44">
        <v>1.7</v>
      </c>
      <c r="F44">
        <v>1.7</v>
      </c>
      <c r="G44">
        <v>1.7</v>
      </c>
      <c r="H44">
        <v>1.7</v>
      </c>
      <c r="I44">
        <v>1.7</v>
      </c>
      <c r="J44">
        <v>1.7</v>
      </c>
      <c r="K44">
        <v>1.7</v>
      </c>
      <c r="L44">
        <v>1.7</v>
      </c>
      <c r="M44">
        <v>1.7</v>
      </c>
    </row>
    <row r="45" spans="1:13">
      <c r="A45" t="s">
        <v>148</v>
      </c>
      <c r="B45" s="19">
        <f t="shared" ref="B45:M45" si="63">B44*B3*1000*1000*1000/100</f>
        <v>9134099999.9999981</v>
      </c>
      <c r="C45" s="19">
        <f t="shared" si="63"/>
        <v>8806000000</v>
      </c>
      <c r="D45" s="19">
        <f t="shared" si="63"/>
        <v>9111999999.9999981</v>
      </c>
      <c r="E45" s="19">
        <f t="shared" si="63"/>
        <v>9111999999.9999981</v>
      </c>
      <c r="F45" s="19">
        <f t="shared" si="63"/>
        <v>9111999999.9999981</v>
      </c>
      <c r="G45" s="19">
        <f t="shared" si="63"/>
        <v>9111999999.9999981</v>
      </c>
      <c r="H45" s="19">
        <f t="shared" si="63"/>
        <v>9111999999.9999981</v>
      </c>
      <c r="I45" s="19">
        <f t="shared" si="63"/>
        <v>9111999999.9999981</v>
      </c>
      <c r="J45" s="19">
        <f t="shared" si="63"/>
        <v>9111999999.9999981</v>
      </c>
      <c r="K45" s="19">
        <f t="shared" si="63"/>
        <v>9111999999.9999981</v>
      </c>
      <c r="L45" s="19">
        <f t="shared" si="63"/>
        <v>9111999999.9999981</v>
      </c>
      <c r="M45" s="19">
        <f t="shared" si="63"/>
        <v>9111999999.9999981</v>
      </c>
    </row>
  </sheetData>
  <sheetProtection algorithmName="SHA-512" hashValue="8XLFCoYEG2fiwbqNUufzC/nc02TqHXMbIrnxhijEWLLa+8sOt0giCW6569pKzS5zNGg9cQGdQH4xOr7C1a9Bdw==" saltValue="QK6zzt8RjUFV7GHobQG18w==" spinCount="100000" sheet="1" objects="1" scenarios="1" formatRows="0"/>
  <pageMargins left="0.7" right="0.7" top="0.78740157499999996" bottom="0.78740157499999996" header="0.3" footer="0.3"/>
  <customProperties>
    <customPr name="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E148C-AD49-437B-A225-57125814FF99}">
  <sheetPr codeName="Tabelle20">
    <tabColor theme="1"/>
  </sheetPr>
  <dimension ref="A1:I18"/>
  <sheetViews>
    <sheetView workbookViewId="0"/>
  </sheetViews>
  <sheetFormatPr baseColWidth="10" defaultRowHeight="14.25"/>
  <sheetData>
    <row r="1" spans="1:9">
      <c r="A1" t="s">
        <v>3</v>
      </c>
      <c r="B1" t="s">
        <v>4</v>
      </c>
      <c r="I1" t="s">
        <v>79</v>
      </c>
    </row>
    <row r="3" spans="1:9">
      <c r="A3" t="s">
        <v>5</v>
      </c>
      <c r="B3" t="s">
        <v>23</v>
      </c>
      <c r="C3" t="s">
        <v>25</v>
      </c>
      <c r="D3" t="s">
        <v>27</v>
      </c>
    </row>
    <row r="4" spans="1:9">
      <c r="B4" t="s">
        <v>24</v>
      </c>
      <c r="C4" t="s">
        <v>26</v>
      </c>
      <c r="D4" t="s">
        <v>28</v>
      </c>
      <c r="E4" t="s">
        <v>164</v>
      </c>
    </row>
    <row r="5" spans="1:9">
      <c r="A5" t="s">
        <v>6</v>
      </c>
      <c r="B5">
        <v>0.755</v>
      </c>
      <c r="C5">
        <v>43.5</v>
      </c>
      <c r="D5">
        <v>7.3099999999999998E-2</v>
      </c>
      <c r="E5" s="7">
        <f>D5*C5*B5</f>
        <v>2.40078675</v>
      </c>
    </row>
    <row r="6" spans="1:9">
      <c r="A6" t="s">
        <v>7</v>
      </c>
      <c r="B6">
        <v>0.84499999999999997</v>
      </c>
      <c r="C6">
        <v>42.8</v>
      </c>
      <c r="D6">
        <v>7.3999999999999996E-2</v>
      </c>
      <c r="E6" s="7">
        <f>D6*C6*B6</f>
        <v>2.6762839999999999</v>
      </c>
    </row>
    <row r="8" spans="1:9">
      <c r="B8" t="s">
        <v>60</v>
      </c>
      <c r="C8" t="s">
        <v>61</v>
      </c>
      <c r="D8" t="s">
        <v>62</v>
      </c>
      <c r="E8" t="s">
        <v>175</v>
      </c>
    </row>
    <row r="9" spans="1:9">
      <c r="A9" t="s">
        <v>10</v>
      </c>
      <c r="B9">
        <v>3.2507999999999999</v>
      </c>
      <c r="C9">
        <v>1</v>
      </c>
      <c r="D9">
        <v>5.6000000000000001E-2</v>
      </c>
      <c r="E9" s="7">
        <f>D9*C9*B9</f>
        <v>0.18204480000000001</v>
      </c>
    </row>
    <row r="11" spans="1:9">
      <c r="B11" t="s">
        <v>24</v>
      </c>
      <c r="C11" t="s">
        <v>26</v>
      </c>
      <c r="D11" t="s">
        <v>28</v>
      </c>
    </row>
    <row r="12" spans="1:9">
      <c r="A12" t="s">
        <v>65</v>
      </c>
      <c r="B12">
        <f>B6</f>
        <v>0.84499999999999997</v>
      </c>
      <c r="C12">
        <f t="shared" ref="C12:D12" si="0">C6</f>
        <v>42.8</v>
      </c>
      <c r="D12">
        <f t="shared" si="0"/>
        <v>7.3999999999999996E-2</v>
      </c>
      <c r="E12" s="7">
        <f>D12*C12*B12</f>
        <v>2.6762839999999999</v>
      </c>
    </row>
    <row r="14" spans="1:9">
      <c r="B14" t="s">
        <v>109</v>
      </c>
      <c r="C14" t="s">
        <v>26</v>
      </c>
      <c r="D14" t="s">
        <v>28</v>
      </c>
    </row>
    <row r="15" spans="1:9">
      <c r="A15" t="s">
        <v>108</v>
      </c>
      <c r="B15">
        <v>1</v>
      </c>
      <c r="C15">
        <v>45.7</v>
      </c>
      <c r="D15">
        <v>6.6299999999999998E-2</v>
      </c>
    </row>
    <row r="17" spans="1:4">
      <c r="B17" t="s">
        <v>109</v>
      </c>
      <c r="C17" t="s">
        <v>26</v>
      </c>
      <c r="D17" t="s">
        <v>28</v>
      </c>
    </row>
    <row r="18" spans="1:4">
      <c r="A18" t="s">
        <v>123</v>
      </c>
      <c r="B18">
        <v>1</v>
      </c>
      <c r="C18">
        <v>39.5</v>
      </c>
      <c r="D18">
        <v>7.9899999999999999E-2</v>
      </c>
    </row>
  </sheetData>
  <sheetProtection algorithmName="SHA-512" hashValue="7wq2619AI1oKxNEQCeV4HospT6M1z57PZV8bbMoCM0vGbAfUCXYMqXLCyDLDy3i9EMl6GKP/Z3885Yhnr8pI2w==" saltValue="xQiHKarIywdYVlYMDWO/xw==" spinCount="100000" sheet="1" objects="1" scenarios="1" formatRows="0"/>
  <pageMargins left="0.7" right="0.7" top="0.78740157499999996" bottom="0.78740157499999996" header="0.3" footer="0.3"/>
  <customProperties>
    <customPr name="ID" r:id="rId1"/>
  </customPropertie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4781-D488-49A3-9CC1-B53D49D88E72}">
  <sheetPr codeName="Tabelle2">
    <tabColor theme="5"/>
    <outlinePr summaryBelow="0"/>
  </sheetPr>
  <dimension ref="A1:AJ125"/>
  <sheetViews>
    <sheetView zoomScale="70" zoomScaleNormal="70" workbookViewId="0">
      <pane xSplit="3" ySplit="2" topLeftCell="D3" activePane="bottomRight" state="frozen"/>
      <selection pane="topRight"/>
      <selection pane="bottomLeft"/>
      <selection pane="bottomRight" activeCell="C6" sqref="C6"/>
    </sheetView>
  </sheetViews>
  <sheetFormatPr baseColWidth="10" defaultColWidth="11" defaultRowHeight="12.75" outlineLevelRow="2"/>
  <cols>
    <col min="1" max="1" width="2.375" style="129" customWidth="1"/>
    <col min="2" max="2" width="48.5" style="129" customWidth="1"/>
    <col min="3" max="3" width="28.25" style="129" customWidth="1"/>
    <col min="4" max="4" width="14.5" style="129" customWidth="1"/>
    <col min="5" max="5" width="7" style="129" customWidth="1"/>
    <col min="6" max="6" width="8.5" style="129" customWidth="1"/>
    <col min="7" max="14" width="7" style="129" customWidth="1"/>
    <col min="15" max="15" width="8.125" style="129" customWidth="1"/>
    <col min="16" max="16" width="2.875" style="129" customWidth="1"/>
    <col min="17" max="17" width="2.375" style="129" customWidth="1"/>
    <col min="18" max="32" width="11" style="129"/>
    <col min="33" max="33" width="3.75" style="129" customWidth="1"/>
    <col min="34" max="16384" width="11" style="129"/>
  </cols>
  <sheetData>
    <row r="1" spans="2:36" ht="15.75" thickBot="1">
      <c r="B1" s="157"/>
    </row>
    <row r="2" spans="2:36" ht="13.5" thickBot="1">
      <c r="B2" s="130"/>
      <c r="C2" s="145" t="s">
        <v>391</v>
      </c>
      <c r="D2" s="146">
        <v>2019</v>
      </c>
      <c r="E2" s="146">
        <f>D2+1</f>
        <v>2020</v>
      </c>
      <c r="F2" s="146">
        <f t="shared" ref="F2:O2" si="0">E2+1</f>
        <v>2021</v>
      </c>
      <c r="G2" s="146">
        <f t="shared" si="0"/>
        <v>2022</v>
      </c>
      <c r="H2" s="146">
        <f t="shared" si="0"/>
        <v>2023</v>
      </c>
      <c r="I2" s="146">
        <f t="shared" si="0"/>
        <v>2024</v>
      </c>
      <c r="J2" s="146">
        <f t="shared" si="0"/>
        <v>2025</v>
      </c>
      <c r="K2" s="146">
        <f t="shared" si="0"/>
        <v>2026</v>
      </c>
      <c r="L2" s="146">
        <f t="shared" si="0"/>
        <v>2027</v>
      </c>
      <c r="M2" s="146">
        <f t="shared" si="0"/>
        <v>2028</v>
      </c>
      <c r="N2" s="146">
        <f t="shared" si="0"/>
        <v>2029</v>
      </c>
      <c r="O2" s="147">
        <f t="shared" si="0"/>
        <v>2030</v>
      </c>
    </row>
    <row r="3" spans="2:36" ht="13.5" thickBot="1">
      <c r="AH3" s="275" t="s">
        <v>410</v>
      </c>
      <c r="AI3" s="276">
        <v>2022</v>
      </c>
    </row>
    <row r="4" spans="2:36" ht="15.75" thickBot="1">
      <c r="B4" s="157" t="s">
        <v>392</v>
      </c>
      <c r="G4" s="260"/>
      <c r="H4" s="260"/>
      <c r="I4" s="260"/>
      <c r="J4" s="260"/>
      <c r="K4" s="260"/>
      <c r="L4" s="260"/>
      <c r="M4" s="260"/>
      <c r="N4" s="260"/>
      <c r="O4" s="260"/>
      <c r="AH4" s="277"/>
      <c r="AI4" s="278"/>
      <c r="AJ4" s="259" t="str">
        <f>"Staatlich regulierte Energiepreisbestandteile im Jahr "&amp;AI3</f>
        <v>Staatlich regulierte Energiepreisbestandteile im Jahr 2022</v>
      </c>
    </row>
    <row r="5" spans="2:36" ht="13.5" outlineLevel="1" thickBot="1">
      <c r="B5" s="198" t="s">
        <v>514</v>
      </c>
      <c r="C5" s="142"/>
      <c r="D5" s="196">
        <v>0</v>
      </c>
      <c r="E5" s="197">
        <v>0</v>
      </c>
      <c r="F5" s="196">
        <v>25</v>
      </c>
      <c r="G5" s="266">
        <v>30</v>
      </c>
      <c r="H5" s="266">
        <v>35</v>
      </c>
      <c r="I5" s="266">
        <v>45</v>
      </c>
      <c r="J5" s="266">
        <v>55</v>
      </c>
      <c r="K5" s="266">
        <v>60</v>
      </c>
      <c r="L5" s="266">
        <v>60</v>
      </c>
      <c r="M5" s="266">
        <v>60</v>
      </c>
      <c r="N5" s="266">
        <v>60</v>
      </c>
      <c r="O5" s="267">
        <v>60</v>
      </c>
      <c r="AH5" s="130"/>
      <c r="AI5" s="130"/>
    </row>
    <row r="6" spans="2:36" ht="13.5" collapsed="1" thickBot="1">
      <c r="B6" s="145" t="s">
        <v>412</v>
      </c>
      <c r="C6" s="285" t="s">
        <v>368</v>
      </c>
      <c r="D6" s="206">
        <f>'Konfiguration Szenarien'!C7</f>
        <v>0</v>
      </c>
      <c r="E6" s="206">
        <f>'Konfiguration Szenarien'!D7</f>
        <v>0</v>
      </c>
      <c r="F6" s="206">
        <f>'Konfiguration Szenarien'!E7</f>
        <v>25</v>
      </c>
      <c r="G6" s="206">
        <f>'Konfiguration Szenarien'!F7</f>
        <v>30</v>
      </c>
      <c r="H6" s="206">
        <f>'Konfiguration Szenarien'!G7</f>
        <v>35</v>
      </c>
      <c r="I6" s="206">
        <f>'Konfiguration Szenarien'!H7</f>
        <v>45</v>
      </c>
      <c r="J6" s="206">
        <f>'Konfiguration Szenarien'!I7</f>
        <v>55</v>
      </c>
      <c r="K6" s="206">
        <f>'Konfiguration Szenarien'!J7</f>
        <v>60</v>
      </c>
      <c r="L6" s="206">
        <f>'Konfiguration Szenarien'!K7</f>
        <v>60</v>
      </c>
      <c r="M6" s="206">
        <f>'Konfiguration Szenarien'!L7</f>
        <v>60</v>
      </c>
      <c r="N6" s="206">
        <f>'Konfiguration Szenarien'!M7</f>
        <v>60</v>
      </c>
      <c r="O6" s="206">
        <f>'Konfiguration Szenarien'!N7</f>
        <v>60</v>
      </c>
    </row>
    <row r="7" spans="2:36">
      <c r="D7" s="135"/>
      <c r="E7" s="135"/>
      <c r="F7" s="135"/>
      <c r="G7" s="135"/>
      <c r="H7" s="135"/>
      <c r="I7" s="135"/>
      <c r="J7" s="135"/>
      <c r="K7" s="135"/>
      <c r="L7" s="135"/>
      <c r="M7" s="135"/>
      <c r="N7" s="135"/>
      <c r="O7" s="135"/>
    </row>
    <row r="8" spans="2:36" ht="15.75" collapsed="1" thickBot="1">
      <c r="B8" s="157" t="s">
        <v>393</v>
      </c>
      <c r="C8" s="224" t="s">
        <v>415</v>
      </c>
      <c r="AH8" s="259" t="str">
        <f>"Szenario: " &amp; 'Start - Ergebnisse'!$C$6</f>
        <v>Szenario: CO2-Preis BEHG Stand 3.11.2020</v>
      </c>
    </row>
    <row r="9" spans="2:36" ht="13.5" hidden="1" outlineLevel="1" thickBot="1">
      <c r="B9" s="143" t="s">
        <v>6</v>
      </c>
      <c r="C9" s="148" t="str">
        <f>'Konfiguration Szenarien'!B13</f>
        <v>2019 fortgeschrieben (Corona Effekt in 2020/2021)</v>
      </c>
      <c r="D9" s="149">
        <f>('Berechnung Steuereinnahmen'!B29)/(1000*1000)</f>
        <v>0</v>
      </c>
      <c r="E9" s="149">
        <f>('Berechnung Steuereinnahmen'!C29)/(1000*1000)</f>
        <v>0</v>
      </c>
      <c r="F9" s="149">
        <f>('Berechnung Steuereinnahmen'!D29)/(1000*1000)</f>
        <v>1288.3875</v>
      </c>
      <c r="G9" s="149">
        <f>('Berechnung Steuereinnahmen'!E29)/(1000*1000)</f>
        <v>1713.867348987</v>
      </c>
      <c r="H9" s="149">
        <f>('Berechnung Steuereinnahmen'!F29)/(1000*1000)</f>
        <v>1999.5119071515001</v>
      </c>
      <c r="I9" s="149">
        <f>('Berechnung Steuereinnahmen'!G29)/(1000*1000)</f>
        <v>2570.8010234805001</v>
      </c>
      <c r="J9" s="149">
        <f>('Berechnung Steuereinnahmen'!H29)/(1000*1000)</f>
        <v>3142.0901398094998</v>
      </c>
      <c r="K9" s="149">
        <f>('Berechnung Steuereinnahmen'!I29)/(1000*1000)</f>
        <v>3427.734697974</v>
      </c>
      <c r="L9" s="149">
        <f>('Berechnung Steuereinnahmen'!J29)/(1000*1000)</f>
        <v>3427.734697974</v>
      </c>
      <c r="M9" s="149">
        <f>('Berechnung Steuereinnahmen'!K29)/(1000*1000)</f>
        <v>3427.734697974</v>
      </c>
      <c r="N9" s="149">
        <f>('Berechnung Steuereinnahmen'!L29)/(1000*1000)</f>
        <v>3427.734697974</v>
      </c>
      <c r="O9" s="150">
        <f>('Berechnung Steuereinnahmen'!M29)/(1000*1000)</f>
        <v>3427.734697974</v>
      </c>
    </row>
    <row r="10" spans="2:36" ht="13.5" hidden="1" outlineLevel="1" thickBot="1">
      <c r="B10" s="213" t="s">
        <v>7</v>
      </c>
      <c r="C10" s="148" t="str">
        <f>'Konfiguration Szenarien'!B14</f>
        <v>2019 fortgeschrieben (Corona Effekt in 2020/2021)</v>
      </c>
      <c r="D10" s="149">
        <f>('Berechnung Steuereinnahmen'!B30)/(1000*1000)</f>
        <v>0</v>
      </c>
      <c r="E10" s="149">
        <f>('Berechnung Steuereinnahmen'!C30)/(1000*1000)</f>
        <v>0</v>
      </c>
      <c r="F10" s="149">
        <f>('Berechnung Steuereinnahmen'!D30)/(1000*1000)</f>
        <v>2782.4</v>
      </c>
      <c r="G10" s="149">
        <f>('Berechnung Steuereinnahmen'!E30)/(1000*1000)</f>
        <v>3596.181910752</v>
      </c>
      <c r="H10" s="149">
        <f>('Berechnung Steuereinnahmen'!F30)/(1000*1000)</f>
        <v>4195.5455625439999</v>
      </c>
      <c r="I10" s="149">
        <f>('Berechnung Steuereinnahmen'!G30)/(1000*1000)</f>
        <v>5394.2728661279989</v>
      </c>
      <c r="J10" s="149">
        <f>('Berechnung Steuereinnahmen'!H30)/(1000*1000)</f>
        <v>6593.0001697119988</v>
      </c>
      <c r="K10" s="149">
        <f>('Berechnung Steuereinnahmen'!I30)/(1000*1000)</f>
        <v>7192.363821504</v>
      </c>
      <c r="L10" s="149">
        <f>('Berechnung Steuereinnahmen'!J30)/(1000*1000)</f>
        <v>7192.363821504</v>
      </c>
      <c r="M10" s="149">
        <f>('Berechnung Steuereinnahmen'!K30)/(1000*1000)</f>
        <v>7192.363821504</v>
      </c>
      <c r="N10" s="149">
        <f>('Berechnung Steuereinnahmen'!L30)/(1000*1000)</f>
        <v>7192.363821504</v>
      </c>
      <c r="O10" s="150">
        <f>('Berechnung Steuereinnahmen'!M30)/(1000*1000)</f>
        <v>7192.363821504</v>
      </c>
    </row>
    <row r="11" spans="2:36" ht="13.5" hidden="1" outlineLevel="1" thickBot="1">
      <c r="B11" s="151" t="s">
        <v>10</v>
      </c>
      <c r="C11" s="148" t="str">
        <f>'Konfiguration Szenarien'!B10</f>
        <v>2019 fortgeschrieben</v>
      </c>
      <c r="D11" s="152">
        <f>('Berechnung Steuereinnahmen'!B31)/(1000*1000)</f>
        <v>0</v>
      </c>
      <c r="E11" s="152">
        <f>('Berechnung Steuereinnahmen'!C31)/(1000*1000)</f>
        <v>0</v>
      </c>
      <c r="F11" s="152">
        <f>('Berechnung Steuereinnahmen'!D31)/(1000*1000)</f>
        <v>2843.7262449230852</v>
      </c>
      <c r="G11" s="152">
        <f>('Berechnung Steuereinnahmen'!E31)/(1000*1000)</f>
        <v>3412.4714939077026</v>
      </c>
      <c r="H11" s="152">
        <f>('Berechnung Steuereinnahmen'!F31)/(1000*1000)</f>
        <v>3981.2167428923199</v>
      </c>
      <c r="I11" s="152">
        <f>('Berechnung Steuereinnahmen'!G31)/(1000*1000)</f>
        <v>5118.7072408615531</v>
      </c>
      <c r="J11" s="152">
        <f>('Berechnung Steuereinnahmen'!H31)/(1000*1000)</f>
        <v>6256.1977388307878</v>
      </c>
      <c r="K11" s="152">
        <f>('Berechnung Steuereinnahmen'!I31)/(1000*1000)</f>
        <v>6824.9429878154051</v>
      </c>
      <c r="L11" s="152">
        <f>('Berechnung Steuereinnahmen'!J31)/(1000*1000)</f>
        <v>6824.9429878154051</v>
      </c>
      <c r="M11" s="152">
        <f>('Berechnung Steuereinnahmen'!K31)/(1000*1000)</f>
        <v>6824.9429878154051</v>
      </c>
      <c r="N11" s="152">
        <f>('Berechnung Steuereinnahmen'!L31)/(1000*1000)</f>
        <v>6824.9429878154051</v>
      </c>
      <c r="O11" s="153">
        <f>('Berechnung Steuereinnahmen'!M31)/(1000*1000)</f>
        <v>6824.9429878154051</v>
      </c>
    </row>
    <row r="12" spans="2:36" ht="13.5" hidden="1" outlineLevel="1" thickBot="1">
      <c r="B12" s="151" t="s">
        <v>65</v>
      </c>
      <c r="C12" s="148" t="str">
        <f>'Konfiguration Szenarien'!B15</f>
        <v>2019 fortgeschrieben (Corona und BEHG Effekt in 2020/2021)</v>
      </c>
      <c r="D12" s="152">
        <f>('Berechnung Steuereinnahmen'!B32)/(1000*1000)</f>
        <v>0</v>
      </c>
      <c r="E12" s="152">
        <f>('Berechnung Steuereinnahmen'!C32)/(1000*1000)</f>
        <v>0</v>
      </c>
      <c r="F12" s="152">
        <f>('Berechnung Steuereinnahmen'!D32)/(1000*1000)</f>
        <v>925</v>
      </c>
      <c r="G12" s="152">
        <f>('Berechnung Steuereinnahmen'!E32)/(1000*1000)</f>
        <v>1431.0818687279998</v>
      </c>
      <c r="H12" s="152">
        <f>('Berechnung Steuereinnahmen'!F32)/(1000*1000)</f>
        <v>1669.5955135159995</v>
      </c>
      <c r="I12" s="152">
        <f>('Berechnung Steuereinnahmen'!G32)/(1000*1000)</f>
        <v>2146.6228030919997</v>
      </c>
      <c r="J12" s="152">
        <f>('Berechnung Steuereinnahmen'!H32)/(1000*1000)</f>
        <v>2623.6500926679992</v>
      </c>
      <c r="K12" s="152">
        <f>('Berechnung Steuereinnahmen'!I32)/(1000*1000)</f>
        <v>2862.1637374559996</v>
      </c>
      <c r="L12" s="152">
        <f>('Berechnung Steuereinnahmen'!J32)/(1000*1000)</f>
        <v>2862.1637374559996</v>
      </c>
      <c r="M12" s="152">
        <f>('Berechnung Steuereinnahmen'!K32)/(1000*1000)</f>
        <v>2862.1637374559996</v>
      </c>
      <c r="N12" s="152">
        <f>('Berechnung Steuereinnahmen'!L32)/(1000*1000)</f>
        <v>2862.1637374559996</v>
      </c>
      <c r="O12" s="153">
        <f>('Berechnung Steuereinnahmen'!M32)/(1000*1000)</f>
        <v>2862.1637374559996</v>
      </c>
    </row>
    <row r="13" spans="2:36" ht="13.5" hidden="1" outlineLevel="1" thickBot="1">
      <c r="B13" s="151" t="s">
        <v>108</v>
      </c>
      <c r="C13" s="148" t="str">
        <f>'Konfiguration Szenarien'!B16</f>
        <v>2019 fortgeschrieben</v>
      </c>
      <c r="D13" s="152">
        <f>('Berechnung Steuereinnahmen'!B33)/(1000*1000)</f>
        <v>0</v>
      </c>
      <c r="E13" s="152">
        <f>('Berechnung Steuereinnahmen'!C33)/(1000*1000)</f>
        <v>0</v>
      </c>
      <c r="F13" s="152">
        <f>('Berechnung Steuereinnahmen'!D33)/(1000*1000)</f>
        <v>113.86423405982625</v>
      </c>
      <c r="G13" s="152">
        <f>('Berechnung Steuereinnahmen'!E33)/(1000*1000)</f>
        <v>136.63708087179148</v>
      </c>
      <c r="H13" s="152">
        <f>('Berechnung Steuereinnahmen'!F33)/(1000*1000)</f>
        <v>159.40992768375673</v>
      </c>
      <c r="I13" s="152">
        <f>('Berechnung Steuereinnahmen'!G33)/(1000*1000)</f>
        <v>204.95562130768721</v>
      </c>
      <c r="J13" s="152">
        <f>('Berechnung Steuereinnahmen'!H33)/(1000*1000)</f>
        <v>250.50131493161774</v>
      </c>
      <c r="K13" s="152">
        <f>('Berechnung Steuereinnahmen'!I33)/(1000*1000)</f>
        <v>273.27416174358297</v>
      </c>
      <c r="L13" s="152">
        <f>('Berechnung Steuereinnahmen'!J33)/(1000*1000)</f>
        <v>273.27416174358297</v>
      </c>
      <c r="M13" s="152">
        <f>('Berechnung Steuereinnahmen'!K33)/(1000*1000)</f>
        <v>273.27416174358297</v>
      </c>
      <c r="N13" s="152">
        <f>('Berechnung Steuereinnahmen'!L33)/(1000*1000)</f>
        <v>273.27416174358297</v>
      </c>
      <c r="O13" s="153">
        <f>('Berechnung Steuereinnahmen'!M33)/(1000*1000)</f>
        <v>273.27416174358297</v>
      </c>
    </row>
    <row r="14" spans="2:36" ht="13.5" hidden="1" outlineLevel="1" thickBot="1">
      <c r="B14" s="154" t="s">
        <v>123</v>
      </c>
      <c r="C14" s="148" t="str">
        <f>'Konfiguration Szenarien'!B17</f>
        <v>2019 fortgeschrieben</v>
      </c>
      <c r="D14" s="155">
        <f>('Berechnung Steuereinnahmen'!B34)/(1000*1000)</f>
        <v>0</v>
      </c>
      <c r="E14" s="155">
        <f>('Berechnung Steuereinnahmen'!C34)/(1000*1000)</f>
        <v>0</v>
      </c>
      <c r="F14" s="155">
        <f>('Berechnung Steuereinnahmen'!D34)/(1000*1000)</f>
        <v>61.535992239374998</v>
      </c>
      <c r="G14" s="155">
        <f>('Berechnung Steuereinnahmen'!E34)/(1000*1000)</f>
        <v>73.843190687249987</v>
      </c>
      <c r="H14" s="155">
        <f>('Berechnung Steuereinnahmen'!F34)/(1000*1000)</f>
        <v>86.150389135124996</v>
      </c>
      <c r="I14" s="155">
        <f>('Berechnung Steuereinnahmen'!G34)/(1000*1000)</f>
        <v>110.76478603087499</v>
      </c>
      <c r="J14" s="155">
        <f>('Berechnung Steuereinnahmen'!H34)/(1000*1000)</f>
        <v>135.37918292662499</v>
      </c>
      <c r="K14" s="155">
        <f>('Berechnung Steuereinnahmen'!I34)/(1000*1000)</f>
        <v>147.68638137449997</v>
      </c>
      <c r="L14" s="155">
        <f>('Berechnung Steuereinnahmen'!J34)/(1000*1000)</f>
        <v>147.68638137449997</v>
      </c>
      <c r="M14" s="155">
        <f>('Berechnung Steuereinnahmen'!K34)/(1000*1000)</f>
        <v>147.68638137449997</v>
      </c>
      <c r="N14" s="155">
        <f>('Berechnung Steuereinnahmen'!L34)/(1000*1000)</f>
        <v>147.68638137449997</v>
      </c>
      <c r="O14" s="156">
        <f>('Berechnung Steuereinnahmen'!M34)/(1000*1000)</f>
        <v>147.68638137449997</v>
      </c>
    </row>
    <row r="15" spans="2:36" ht="13.5" collapsed="1" thickBot="1">
      <c r="B15" s="145" t="s">
        <v>413</v>
      </c>
      <c r="C15" s="205"/>
      <c r="D15" s="206">
        <f>SUM(D9:D13)</f>
        <v>0</v>
      </c>
      <c r="E15" s="206">
        <f t="shared" ref="E15:O15" si="1">SUM(E9:E13)</f>
        <v>0</v>
      </c>
      <c r="F15" s="206">
        <f t="shared" si="1"/>
        <v>7953.3779789829123</v>
      </c>
      <c r="G15" s="206">
        <f t="shared" si="1"/>
        <v>10290.239703246494</v>
      </c>
      <c r="H15" s="206">
        <f t="shared" si="1"/>
        <v>12005.279653787577</v>
      </c>
      <c r="I15" s="206">
        <f t="shared" si="1"/>
        <v>15435.359554869738</v>
      </c>
      <c r="J15" s="206">
        <f t="shared" si="1"/>
        <v>18865.439455951902</v>
      </c>
      <c r="K15" s="206">
        <f t="shared" si="1"/>
        <v>20580.479406492988</v>
      </c>
      <c r="L15" s="206">
        <f t="shared" si="1"/>
        <v>20580.479406492988</v>
      </c>
      <c r="M15" s="206">
        <f t="shared" si="1"/>
        <v>20580.479406492988</v>
      </c>
      <c r="N15" s="206">
        <f t="shared" si="1"/>
        <v>20580.479406492988</v>
      </c>
      <c r="O15" s="207">
        <f t="shared" si="1"/>
        <v>20580.479406492988</v>
      </c>
    </row>
    <row r="16" spans="2:36">
      <c r="B16" s="130"/>
      <c r="C16" s="130"/>
      <c r="D16" s="130"/>
      <c r="E16" s="131"/>
      <c r="F16" s="131"/>
      <c r="G16" s="131"/>
      <c r="H16" s="235"/>
      <c r="I16" s="235"/>
      <c r="J16" s="235"/>
      <c r="K16" s="235"/>
      <c r="L16" s="235"/>
      <c r="M16" s="235"/>
      <c r="N16" s="235"/>
      <c r="O16" s="235"/>
    </row>
    <row r="17" spans="2:17" ht="15.75" collapsed="1" thickBot="1">
      <c r="B17" s="157" t="s">
        <v>397</v>
      </c>
      <c r="D17" s="132"/>
      <c r="E17" s="132"/>
      <c r="F17" s="132"/>
      <c r="G17" s="132"/>
      <c r="H17" s="132"/>
      <c r="I17" s="132"/>
      <c r="J17" s="132"/>
      <c r="K17" s="132"/>
      <c r="L17" s="132"/>
      <c r="M17" s="132"/>
      <c r="N17" s="132"/>
      <c r="O17" s="132"/>
    </row>
    <row r="18" spans="2:17" hidden="1" outlineLevel="1">
      <c r="B18" s="143" t="s">
        <v>398</v>
      </c>
      <c r="C18" s="144"/>
      <c r="D18" s="263">
        <v>0</v>
      </c>
      <c r="E18" s="264">
        <v>0</v>
      </c>
      <c r="F18" s="264">
        <v>0</v>
      </c>
      <c r="G18" s="264">
        <v>0</v>
      </c>
      <c r="H18" s="264">
        <v>0</v>
      </c>
      <c r="I18" s="264">
        <v>0</v>
      </c>
      <c r="J18" s="264">
        <v>0</v>
      </c>
      <c r="K18" s="264">
        <v>0</v>
      </c>
      <c r="L18" s="264">
        <v>0</v>
      </c>
      <c r="M18" s="264">
        <v>0</v>
      </c>
      <c r="N18" s="264">
        <v>0</v>
      </c>
      <c r="O18" s="265">
        <v>0</v>
      </c>
    </row>
    <row r="19" spans="2:17" hidden="1" outlineLevel="1">
      <c r="B19" s="167" t="s">
        <v>399</v>
      </c>
      <c r="C19" s="261" t="s">
        <v>390</v>
      </c>
      <c r="D19" s="160">
        <f>'Konfiguration Szenarien'!C8</f>
        <v>0</v>
      </c>
      <c r="E19" s="160">
        <f>'Konfiguration Szenarien'!D8</f>
        <v>0</v>
      </c>
      <c r="F19" s="160">
        <f>'Konfiguration Szenarien'!E8</f>
        <v>0</v>
      </c>
      <c r="G19" s="160">
        <f>'Konfiguration Szenarien'!F8</f>
        <v>0</v>
      </c>
      <c r="H19" s="160">
        <f>'Konfiguration Szenarien'!G8</f>
        <v>0</v>
      </c>
      <c r="I19" s="160">
        <f>'Konfiguration Szenarien'!H8</f>
        <v>0</v>
      </c>
      <c r="J19" s="160">
        <f>'Konfiguration Szenarien'!I8</f>
        <v>0</v>
      </c>
      <c r="K19" s="160">
        <f>'Konfiguration Szenarien'!J8</f>
        <v>0</v>
      </c>
      <c r="L19" s="160">
        <f>'Konfiguration Szenarien'!K8</f>
        <v>0</v>
      </c>
      <c r="M19" s="160">
        <f>'Konfiguration Szenarien'!L8</f>
        <v>0</v>
      </c>
      <c r="N19" s="160">
        <f>'Konfiguration Szenarien'!M8</f>
        <v>0</v>
      </c>
      <c r="O19" s="161">
        <f>'Konfiguration Szenarien'!N8</f>
        <v>0</v>
      </c>
    </row>
    <row r="20" spans="2:17" hidden="1" outlineLevel="1">
      <c r="B20" s="163"/>
      <c r="C20" s="166" t="s">
        <v>400</v>
      </c>
      <c r="D20" s="164"/>
      <c r="E20" s="164"/>
      <c r="F20" s="164"/>
      <c r="G20" s="164"/>
      <c r="H20" s="164"/>
      <c r="I20" s="164"/>
      <c r="J20" s="164"/>
      <c r="K20" s="164"/>
      <c r="L20" s="164"/>
      <c r="M20" s="164"/>
      <c r="N20" s="164"/>
      <c r="O20" s="165"/>
    </row>
    <row r="21" spans="2:17" hidden="1" outlineLevel="1">
      <c r="B21" s="151" t="s">
        <v>396</v>
      </c>
      <c r="C21" s="261" t="s">
        <v>258</v>
      </c>
      <c r="D21" s="152">
        <f>D19*'Konfiguration Szenarien'!$H$2</f>
        <v>0</v>
      </c>
      <c r="E21" s="152">
        <f>E19*'Konfiguration Szenarien'!$H$2</f>
        <v>0</v>
      </c>
      <c r="F21" s="152">
        <f>F19*'Konfiguration Szenarien'!$H$2</f>
        <v>0</v>
      </c>
      <c r="G21" s="152">
        <f>G19*'Konfiguration Szenarien'!$H$2</f>
        <v>0</v>
      </c>
      <c r="H21" s="152">
        <f>H19*'Konfiguration Szenarien'!$H$2</f>
        <v>0</v>
      </c>
      <c r="I21" s="152">
        <f>I19*'Konfiguration Szenarien'!$H$2</f>
        <v>0</v>
      </c>
      <c r="J21" s="152">
        <f>J19*'Konfiguration Szenarien'!$H$2</f>
        <v>0</v>
      </c>
      <c r="K21" s="152">
        <f>K19*'Konfiguration Szenarien'!$H$2</f>
        <v>0</v>
      </c>
      <c r="L21" s="152">
        <f>L19*'Konfiguration Szenarien'!$H$2</f>
        <v>0</v>
      </c>
      <c r="M21" s="152">
        <f>M19*'Konfiguration Szenarien'!$H$2</f>
        <v>0</v>
      </c>
      <c r="N21" s="152">
        <f>N19*'Konfiguration Szenarien'!$H$2</f>
        <v>0</v>
      </c>
      <c r="O21" s="153">
        <f>O19*'Konfiguration Szenarien'!$H$2</f>
        <v>0</v>
      </c>
      <c r="P21" s="259">
        <f t="shared" ref="P21:P38" si="2">IF(C21="ja",1,0)</f>
        <v>0</v>
      </c>
      <c r="Q21" s="159"/>
    </row>
    <row r="22" spans="2:17" hidden="1" outlineLevel="1">
      <c r="B22" s="292" t="s">
        <v>467</v>
      </c>
      <c r="C22" s="164"/>
      <c r="D22" s="164"/>
      <c r="E22" s="164"/>
      <c r="F22" s="164"/>
      <c r="G22" s="164"/>
      <c r="H22" s="164"/>
      <c r="I22" s="164"/>
      <c r="J22" s="164"/>
      <c r="K22" s="164"/>
      <c r="L22" s="164"/>
      <c r="M22" s="164"/>
      <c r="N22" s="164"/>
      <c r="O22" s="165"/>
      <c r="P22" s="259">
        <f t="shared" si="2"/>
        <v>0</v>
      </c>
      <c r="Q22" s="159"/>
    </row>
    <row r="23" spans="2:17" hidden="1" outlineLevel="1">
      <c r="B23" s="151" t="s">
        <v>272</v>
      </c>
      <c r="C23" s="268" t="s">
        <v>257</v>
      </c>
      <c r="D23" s="271">
        <v>0</v>
      </c>
      <c r="E23" s="271">
        <v>0</v>
      </c>
      <c r="F23" s="271">
        <v>20</v>
      </c>
      <c r="G23" s="271">
        <v>169</v>
      </c>
      <c r="H23" s="271">
        <v>212</v>
      </c>
      <c r="I23" s="271">
        <v>212</v>
      </c>
      <c r="J23" s="271">
        <v>212</v>
      </c>
      <c r="K23" s="271"/>
      <c r="L23" s="271"/>
      <c r="M23" s="271"/>
      <c r="N23" s="271"/>
      <c r="O23" s="293"/>
      <c r="P23" s="259">
        <f t="shared" si="2"/>
        <v>1</v>
      </c>
      <c r="Q23" s="159"/>
    </row>
    <row r="24" spans="2:17" hidden="1" outlineLevel="1">
      <c r="B24" s="151" t="s">
        <v>271</v>
      </c>
      <c r="C24" s="269" t="s">
        <v>257</v>
      </c>
      <c r="D24" s="272">
        <v>0</v>
      </c>
      <c r="E24" s="272">
        <v>0</v>
      </c>
      <c r="F24" s="272">
        <v>60</v>
      </c>
      <c r="G24" s="272">
        <v>60</v>
      </c>
      <c r="H24" s="272">
        <v>60</v>
      </c>
      <c r="I24" s="272">
        <v>60</v>
      </c>
      <c r="J24" s="272">
        <v>60</v>
      </c>
      <c r="K24" s="272"/>
      <c r="L24" s="272"/>
      <c r="M24" s="272"/>
      <c r="N24" s="272"/>
      <c r="O24" s="294"/>
      <c r="P24" s="259">
        <f t="shared" si="2"/>
        <v>1</v>
      </c>
      <c r="Q24" s="159"/>
    </row>
    <row r="25" spans="2:17" ht="13.5" hidden="1" outlineLevel="1" thickBot="1">
      <c r="B25" s="151" t="s">
        <v>411</v>
      </c>
      <c r="C25" s="270" t="s">
        <v>257</v>
      </c>
      <c r="D25" s="273">
        <v>0</v>
      </c>
      <c r="E25" s="273">
        <v>0</v>
      </c>
      <c r="F25" s="273">
        <v>200</v>
      </c>
      <c r="G25" s="273">
        <v>250</v>
      </c>
      <c r="H25" s="273">
        <v>250</v>
      </c>
      <c r="I25" s="273">
        <v>250</v>
      </c>
      <c r="J25" s="273">
        <v>250</v>
      </c>
      <c r="K25" s="273"/>
      <c r="L25" s="273"/>
      <c r="M25" s="273"/>
      <c r="N25" s="273"/>
      <c r="O25" s="295"/>
      <c r="P25" s="259">
        <f t="shared" si="2"/>
        <v>1</v>
      </c>
      <c r="Q25" s="159"/>
    </row>
    <row r="26" spans="2:17" hidden="1" outlineLevel="1">
      <c r="B26" s="292" t="s">
        <v>491</v>
      </c>
      <c r="C26" s="130"/>
      <c r="D26" s="130"/>
      <c r="E26" s="130"/>
      <c r="F26" s="130"/>
      <c r="G26" s="130"/>
      <c r="H26" s="130"/>
      <c r="I26" s="130"/>
      <c r="J26" s="130"/>
      <c r="K26" s="130"/>
      <c r="L26" s="130"/>
      <c r="M26" s="130"/>
      <c r="N26" s="130"/>
      <c r="O26" s="232"/>
      <c r="P26" s="259">
        <f t="shared" si="2"/>
        <v>0</v>
      </c>
      <c r="Q26" s="159"/>
    </row>
    <row r="27" spans="2:17" hidden="1" outlineLevel="1">
      <c r="B27" s="274" t="s">
        <v>92</v>
      </c>
      <c r="C27" s="268" t="s">
        <v>258</v>
      </c>
      <c r="D27" s="271"/>
      <c r="E27" s="271"/>
      <c r="F27" s="271"/>
      <c r="G27" s="271"/>
      <c r="H27" s="271"/>
      <c r="I27" s="271"/>
      <c r="J27" s="271"/>
      <c r="K27" s="271"/>
      <c r="L27" s="271"/>
      <c r="M27" s="271"/>
      <c r="N27" s="271"/>
      <c r="O27" s="293"/>
      <c r="P27" s="259">
        <f t="shared" si="2"/>
        <v>0</v>
      </c>
      <c r="Q27" s="159"/>
    </row>
    <row r="28" spans="2:17" hidden="1" outlineLevel="1">
      <c r="B28" s="274" t="s">
        <v>93</v>
      </c>
      <c r="C28" s="269" t="s">
        <v>258</v>
      </c>
      <c r="D28" s="272"/>
      <c r="E28" s="272"/>
      <c r="F28" s="272"/>
      <c r="G28" s="272"/>
      <c r="H28" s="272"/>
      <c r="I28" s="272"/>
      <c r="J28" s="272"/>
      <c r="K28" s="272"/>
      <c r="L28" s="272"/>
      <c r="M28" s="272"/>
      <c r="N28" s="272"/>
      <c r="O28" s="294"/>
      <c r="P28" s="259">
        <f t="shared" si="2"/>
        <v>0</v>
      </c>
      <c r="Q28" s="159"/>
    </row>
    <row r="29" spans="2:17" hidden="1" outlineLevel="1">
      <c r="B29" s="274" t="s">
        <v>91</v>
      </c>
      <c r="C29" s="269" t="s">
        <v>258</v>
      </c>
      <c r="D29" s="272"/>
      <c r="E29" s="272"/>
      <c r="F29" s="272"/>
      <c r="G29" s="272"/>
      <c r="H29" s="272"/>
      <c r="I29" s="272"/>
      <c r="J29" s="272"/>
      <c r="K29" s="272"/>
      <c r="L29" s="272"/>
      <c r="M29" s="272"/>
      <c r="N29" s="272"/>
      <c r="O29" s="294"/>
      <c r="P29" s="259">
        <f t="shared" si="2"/>
        <v>0</v>
      </c>
      <c r="Q29" s="159"/>
    </row>
    <row r="30" spans="2:17" hidden="1" outlineLevel="1">
      <c r="B30" s="274" t="s">
        <v>94</v>
      </c>
      <c r="C30" s="269" t="s">
        <v>258</v>
      </c>
      <c r="D30" s="272"/>
      <c r="E30" s="272"/>
      <c r="F30" s="272"/>
      <c r="G30" s="272"/>
      <c r="H30" s="272"/>
      <c r="I30" s="272"/>
      <c r="J30" s="272"/>
      <c r="K30" s="272"/>
      <c r="L30" s="272"/>
      <c r="M30" s="272"/>
      <c r="N30" s="272"/>
      <c r="O30" s="294"/>
      <c r="P30" s="259">
        <f t="shared" si="2"/>
        <v>0</v>
      </c>
      <c r="Q30" s="159"/>
    </row>
    <row r="31" spans="2:17" hidden="1" outlineLevel="1">
      <c r="B31" s="274" t="s">
        <v>285</v>
      </c>
      <c r="C31" s="269" t="s">
        <v>258</v>
      </c>
      <c r="D31" s="272"/>
      <c r="E31" s="272"/>
      <c r="F31" s="272"/>
      <c r="G31" s="272"/>
      <c r="H31" s="272"/>
      <c r="I31" s="272"/>
      <c r="J31" s="272"/>
      <c r="K31" s="272"/>
      <c r="L31" s="272"/>
      <c r="M31" s="272"/>
      <c r="N31" s="272"/>
      <c r="O31" s="294"/>
      <c r="P31" s="259">
        <f t="shared" si="2"/>
        <v>0</v>
      </c>
      <c r="Q31" s="159"/>
    </row>
    <row r="32" spans="2:17" hidden="1" outlineLevel="1">
      <c r="B32" s="274" t="s">
        <v>90</v>
      </c>
      <c r="C32" s="269" t="s">
        <v>258</v>
      </c>
      <c r="D32" s="272"/>
      <c r="E32" s="272"/>
      <c r="F32" s="272"/>
      <c r="G32" s="272"/>
      <c r="H32" s="272"/>
      <c r="I32" s="272"/>
      <c r="J32" s="272"/>
      <c r="K32" s="272"/>
      <c r="L32" s="272"/>
      <c r="M32" s="272"/>
      <c r="N32" s="272"/>
      <c r="O32" s="294"/>
      <c r="P32" s="259">
        <f t="shared" si="2"/>
        <v>0</v>
      </c>
      <c r="Q32" s="159"/>
    </row>
    <row r="33" spans="2:17" hidden="1" outlineLevel="1">
      <c r="B33" s="274" t="s">
        <v>121</v>
      </c>
      <c r="C33" s="269" t="s">
        <v>258</v>
      </c>
      <c r="D33" s="272"/>
      <c r="E33" s="272"/>
      <c r="F33" s="272"/>
      <c r="G33" s="272"/>
      <c r="H33" s="272"/>
      <c r="I33" s="272"/>
      <c r="J33" s="272"/>
      <c r="K33" s="272"/>
      <c r="L33" s="272"/>
      <c r="M33" s="272"/>
      <c r="N33" s="272"/>
      <c r="O33" s="294"/>
      <c r="P33" s="259">
        <f t="shared" si="2"/>
        <v>0</v>
      </c>
      <c r="Q33" s="159"/>
    </row>
    <row r="34" spans="2:17" hidden="1" outlineLevel="1">
      <c r="B34" s="268" t="s">
        <v>120</v>
      </c>
      <c r="C34" s="269" t="s">
        <v>258</v>
      </c>
      <c r="D34" s="272"/>
      <c r="E34" s="272"/>
      <c r="F34" s="272"/>
      <c r="G34" s="272"/>
      <c r="H34" s="272"/>
      <c r="I34" s="272"/>
      <c r="J34" s="272"/>
      <c r="K34" s="272"/>
      <c r="L34" s="272"/>
      <c r="M34" s="272"/>
      <c r="N34" s="272"/>
      <c r="O34" s="294"/>
      <c r="P34" s="259">
        <f t="shared" si="2"/>
        <v>0</v>
      </c>
      <c r="Q34" s="159"/>
    </row>
    <row r="35" spans="2:17" hidden="1" outlineLevel="1">
      <c r="B35" s="269" t="s">
        <v>120</v>
      </c>
      <c r="C35" s="269" t="s">
        <v>258</v>
      </c>
      <c r="D35" s="272"/>
      <c r="E35" s="272"/>
      <c r="F35" s="272"/>
      <c r="G35" s="272"/>
      <c r="H35" s="272"/>
      <c r="I35" s="272"/>
      <c r="J35" s="272"/>
      <c r="K35" s="272"/>
      <c r="L35" s="272"/>
      <c r="M35" s="272"/>
      <c r="N35" s="272"/>
      <c r="O35" s="294"/>
      <c r="P35" s="259">
        <f t="shared" si="2"/>
        <v>0</v>
      </c>
      <c r="Q35" s="159"/>
    </row>
    <row r="36" spans="2:17" hidden="1" outlineLevel="1">
      <c r="B36" s="269" t="s">
        <v>120</v>
      </c>
      <c r="C36" s="269" t="s">
        <v>258</v>
      </c>
      <c r="D36" s="272"/>
      <c r="E36" s="272"/>
      <c r="F36" s="272"/>
      <c r="G36" s="272"/>
      <c r="H36" s="272"/>
      <c r="I36" s="272"/>
      <c r="J36" s="272"/>
      <c r="K36" s="272"/>
      <c r="L36" s="272"/>
      <c r="M36" s="272"/>
      <c r="N36" s="272"/>
      <c r="O36" s="294"/>
      <c r="P36" s="259">
        <f t="shared" si="2"/>
        <v>0</v>
      </c>
      <c r="Q36" s="159"/>
    </row>
    <row r="37" spans="2:17" hidden="1" outlineLevel="1">
      <c r="B37" s="269" t="s">
        <v>120</v>
      </c>
      <c r="C37" s="269" t="s">
        <v>258</v>
      </c>
      <c r="D37" s="272"/>
      <c r="E37" s="272"/>
      <c r="F37" s="272"/>
      <c r="G37" s="272"/>
      <c r="H37" s="272"/>
      <c r="I37" s="272"/>
      <c r="J37" s="272"/>
      <c r="K37" s="272"/>
      <c r="L37" s="272"/>
      <c r="M37" s="272"/>
      <c r="N37" s="272"/>
      <c r="O37" s="294"/>
      <c r="P37" s="259">
        <f t="shared" si="2"/>
        <v>0</v>
      </c>
      <c r="Q37" s="159"/>
    </row>
    <row r="38" spans="2:17" ht="13.5" hidden="1" outlineLevel="1" thickBot="1">
      <c r="B38" s="270" t="s">
        <v>120</v>
      </c>
      <c r="C38" s="269" t="s">
        <v>258</v>
      </c>
      <c r="D38" s="272"/>
      <c r="E38" s="272"/>
      <c r="F38" s="272"/>
      <c r="G38" s="272"/>
      <c r="H38" s="272"/>
      <c r="I38" s="272"/>
      <c r="J38" s="272"/>
      <c r="K38" s="272"/>
      <c r="L38" s="272"/>
      <c r="M38" s="272"/>
      <c r="N38" s="272"/>
      <c r="O38" s="294"/>
      <c r="P38" s="259">
        <f t="shared" si="2"/>
        <v>0</v>
      </c>
      <c r="Q38" s="159"/>
    </row>
    <row r="39" spans="2:17" ht="13.5" hidden="1" outlineLevel="1" thickBot="1">
      <c r="B39" s="158" t="s">
        <v>395</v>
      </c>
      <c r="C39" s="233"/>
      <c r="D39" s="234">
        <f>SUM(D22:D38)</f>
        <v>0</v>
      </c>
      <c r="E39" s="234">
        <f t="shared" ref="E39:O39" si="3">SUM(E21:E38)</f>
        <v>0</v>
      </c>
      <c r="F39" s="234">
        <f t="shared" si="3"/>
        <v>280</v>
      </c>
      <c r="G39" s="234">
        <f t="shared" si="3"/>
        <v>479</v>
      </c>
      <c r="H39" s="234">
        <f t="shared" si="3"/>
        <v>522</v>
      </c>
      <c r="I39" s="234">
        <f t="shared" si="3"/>
        <v>522</v>
      </c>
      <c r="J39" s="234">
        <f t="shared" si="3"/>
        <v>522</v>
      </c>
      <c r="K39" s="234">
        <f t="shared" si="3"/>
        <v>0</v>
      </c>
      <c r="L39" s="234">
        <f t="shared" si="3"/>
        <v>0</v>
      </c>
      <c r="M39" s="234">
        <f t="shared" si="3"/>
        <v>0</v>
      </c>
      <c r="N39" s="234">
        <f t="shared" si="3"/>
        <v>0</v>
      </c>
      <c r="O39" s="296">
        <f t="shared" si="3"/>
        <v>0</v>
      </c>
      <c r="P39" s="128"/>
    </row>
    <row r="40" spans="2:17" ht="13.5" thickBot="1">
      <c r="B40" s="145" t="s">
        <v>401</v>
      </c>
      <c r="C40" s="205"/>
      <c r="D40" s="206">
        <f>SUMPRODUCT(D22:D38,$P$22:$P$38)</f>
        <v>0</v>
      </c>
      <c r="E40" s="206">
        <f t="shared" ref="E40:O40" si="4">SUMPRODUCT(E21:E38,$P$21:$P$38)</f>
        <v>0</v>
      </c>
      <c r="F40" s="206">
        <f t="shared" si="4"/>
        <v>280</v>
      </c>
      <c r="G40" s="206">
        <f t="shared" si="4"/>
        <v>479</v>
      </c>
      <c r="H40" s="206">
        <f t="shared" si="4"/>
        <v>522</v>
      </c>
      <c r="I40" s="206">
        <f t="shared" si="4"/>
        <v>522</v>
      </c>
      <c r="J40" s="206">
        <f t="shared" si="4"/>
        <v>522</v>
      </c>
      <c r="K40" s="206">
        <f t="shared" si="4"/>
        <v>0</v>
      </c>
      <c r="L40" s="206">
        <f t="shared" si="4"/>
        <v>0</v>
      </c>
      <c r="M40" s="206">
        <f t="shared" si="4"/>
        <v>0</v>
      </c>
      <c r="N40" s="206">
        <f t="shared" si="4"/>
        <v>0</v>
      </c>
      <c r="O40" s="207">
        <f t="shared" si="4"/>
        <v>0</v>
      </c>
    </row>
    <row r="41" spans="2:17">
      <c r="D41" s="134"/>
      <c r="E41" s="134"/>
      <c r="F41" s="134"/>
      <c r="G41" s="134"/>
      <c r="H41" s="134"/>
      <c r="I41" s="134"/>
      <c r="J41" s="134"/>
      <c r="K41" s="134"/>
      <c r="L41" s="134"/>
      <c r="M41" s="134"/>
      <c r="N41" s="134"/>
      <c r="O41" s="134"/>
    </row>
    <row r="42" spans="2:17" ht="15.75" collapsed="1" thickBot="1">
      <c r="B42" s="157" t="s">
        <v>495</v>
      </c>
      <c r="D42" s="288" t="str">
        <f>IF('Interface EEG-CO2-Preis-Rechner'!B17="keine","","Hinweis: Bitte beachten Sie, dass im EEG-Umlage-Szenario bereits weitere Bundeszuschüsse enthalten sind!")</f>
        <v>Hinweis: Bitte beachten Sie, dass im EEG-Umlage-Szenario bereits weitere Bundeszuschüsse enthalten sind!</v>
      </c>
      <c r="E42" s="289"/>
      <c r="F42" s="289"/>
      <c r="G42" s="289"/>
      <c r="H42" s="289"/>
      <c r="I42" s="289"/>
      <c r="J42" s="289"/>
      <c r="K42" s="289"/>
      <c r="L42" s="289"/>
      <c r="M42" s="289"/>
      <c r="N42" s="289"/>
      <c r="O42" s="289"/>
    </row>
    <row r="43" spans="2:17" ht="13.5" hidden="1" outlineLevel="1" thickBot="1">
      <c r="B43" s="199" t="s">
        <v>492</v>
      </c>
      <c r="C43" s="200"/>
      <c r="D43" s="245">
        <f>D56*'Interface EEG-CO2-Preis-Rechner'!B5*1000/100</f>
        <v>22722.048305737622</v>
      </c>
      <c r="E43" s="245">
        <f>E56*'Interface EEG-CO2-Preis-Rechner'!C5*1000/100</f>
        <v>24048.015322436477</v>
      </c>
      <c r="F43" s="245">
        <f>F56*'Interface EEG-CO2-Preis-Rechner'!D5*1000/100</f>
        <v>33197.436289207908</v>
      </c>
      <c r="G43" s="245">
        <f>G56*'Interface EEG-CO2-Preis-Rechner'!E5*1000/100</f>
        <v>16297.020312450417</v>
      </c>
      <c r="H43" s="245">
        <f>H56*'Interface EEG-CO2-Preis-Rechner'!F5*1000/100</f>
        <v>7794.878358368077</v>
      </c>
      <c r="I43" s="245">
        <f>I56*'Interface EEG-CO2-Preis-Rechner'!G5*1000/100</f>
        <v>13926.392564570979</v>
      </c>
      <c r="J43" s="245">
        <f>J56*'Interface EEG-CO2-Preis-Rechner'!H5*1000/100</f>
        <v>12227.58891417939</v>
      </c>
      <c r="K43" s="245">
        <f>K56*'Interface EEG-CO2-Preis-Rechner'!I5*1000/100</f>
        <v>11554.398355351843</v>
      </c>
      <c r="L43" s="245">
        <f>L56*'Interface EEG-CO2-Preis-Rechner'!J5*1000/100</f>
        <v>10191.724349610675</v>
      </c>
      <c r="M43" s="245">
        <f>M56*'Interface EEG-CO2-Preis-Rechner'!K5*1000/100</f>
        <v>9505.5221016662199</v>
      </c>
      <c r="N43" s="245">
        <f>N56*'Interface EEG-CO2-Preis-Rechner'!L5*1000/100</f>
        <v>8721.4538544018305</v>
      </c>
      <c r="O43" s="249">
        <f>O56*'Interface EEG-CO2-Preis-Rechner'!M5*1000/100</f>
        <v>7509.855170297411</v>
      </c>
    </row>
    <row r="44" spans="2:17" ht="13.5" hidden="1" outlineLevel="1" thickBot="1">
      <c r="B44" s="143" t="s">
        <v>493</v>
      </c>
      <c r="C44" s="144"/>
      <c r="D44" s="256" t="s">
        <v>494</v>
      </c>
      <c r="E44" s="256" t="s">
        <v>494</v>
      </c>
      <c r="F44" s="256" t="s">
        <v>494</v>
      </c>
      <c r="G44" s="257">
        <f t="shared" ref="G44:O44" si="5">ROUNDUP(G43*G6/G45,2)</f>
        <v>49.839999999999996</v>
      </c>
      <c r="H44" s="257">
        <f t="shared" si="5"/>
        <v>23.76</v>
      </c>
      <c r="I44" s="257">
        <f t="shared" si="5"/>
        <v>42.03</v>
      </c>
      <c r="J44" s="257">
        <f t="shared" si="5"/>
        <v>36.669999999999995</v>
      </c>
      <c r="K44" s="257">
        <f t="shared" si="5"/>
        <v>33.69</v>
      </c>
      <c r="L44" s="257">
        <f t="shared" si="5"/>
        <v>29.720000000000002</v>
      </c>
      <c r="M44" s="257">
        <f t="shared" si="5"/>
        <v>27.720000000000002</v>
      </c>
      <c r="N44" s="257">
        <f t="shared" si="5"/>
        <v>25.430000000000003</v>
      </c>
      <c r="O44" s="258">
        <f t="shared" si="5"/>
        <v>21.900000000000002</v>
      </c>
    </row>
    <row r="45" spans="2:17">
      <c r="B45" s="143" t="s">
        <v>496</v>
      </c>
      <c r="C45" s="144"/>
      <c r="D45" s="149">
        <f t="shared" ref="D45:O45" si="6">D15-D40</f>
        <v>0</v>
      </c>
      <c r="E45" s="149">
        <f t="shared" si="6"/>
        <v>0</v>
      </c>
      <c r="F45" s="149">
        <f t="shared" si="6"/>
        <v>7673.3779789829123</v>
      </c>
      <c r="G45" s="149">
        <f t="shared" si="6"/>
        <v>9811.2397032464942</v>
      </c>
      <c r="H45" s="149">
        <f t="shared" si="6"/>
        <v>11483.279653787577</v>
      </c>
      <c r="I45" s="149">
        <f t="shared" si="6"/>
        <v>14913.359554869738</v>
      </c>
      <c r="J45" s="149">
        <f t="shared" si="6"/>
        <v>18343.439455951902</v>
      </c>
      <c r="K45" s="149">
        <f t="shared" si="6"/>
        <v>20580.479406492988</v>
      </c>
      <c r="L45" s="149">
        <f t="shared" si="6"/>
        <v>20580.479406492988</v>
      </c>
      <c r="M45" s="149">
        <f t="shared" si="6"/>
        <v>20580.479406492988</v>
      </c>
      <c r="N45" s="149">
        <f t="shared" si="6"/>
        <v>20580.479406492988</v>
      </c>
      <c r="O45" s="150">
        <f t="shared" si="6"/>
        <v>20580.479406492988</v>
      </c>
    </row>
    <row r="46" spans="2:17" ht="13.5" collapsed="1" thickBot="1">
      <c r="B46" s="202" t="s">
        <v>497</v>
      </c>
      <c r="C46" s="203"/>
      <c r="D46" s="204">
        <v>0</v>
      </c>
      <c r="E46" s="204">
        <v>0</v>
      </c>
      <c r="F46" s="204">
        <v>10800</v>
      </c>
      <c r="G46" s="204">
        <v>3250</v>
      </c>
      <c r="H46" s="279">
        <f t="shared" ref="H46:O46" si="7">H45</f>
        <v>11483.279653787577</v>
      </c>
      <c r="I46" s="279">
        <f t="shared" si="7"/>
        <v>14913.359554869738</v>
      </c>
      <c r="J46" s="279">
        <f t="shared" si="7"/>
        <v>18343.439455951902</v>
      </c>
      <c r="K46" s="279">
        <f t="shared" si="7"/>
        <v>20580.479406492988</v>
      </c>
      <c r="L46" s="279">
        <f t="shared" si="7"/>
        <v>20580.479406492988</v>
      </c>
      <c r="M46" s="279">
        <f t="shared" si="7"/>
        <v>20580.479406492988</v>
      </c>
      <c r="N46" s="279">
        <f t="shared" si="7"/>
        <v>20580.479406492988</v>
      </c>
      <c r="O46" s="290">
        <f t="shared" si="7"/>
        <v>20580.479406492988</v>
      </c>
    </row>
    <row r="47" spans="2:17" hidden="1" outlineLevel="1">
      <c r="B47" s="130"/>
      <c r="C47" s="130"/>
      <c r="D47" s="133"/>
      <c r="E47" s="133"/>
      <c r="F47" s="133"/>
      <c r="G47" s="133"/>
      <c r="H47" s="133"/>
      <c r="I47" s="133"/>
      <c r="J47" s="133"/>
      <c r="K47" s="133"/>
      <c r="L47" s="133"/>
      <c r="M47" s="133"/>
      <c r="N47" s="133"/>
      <c r="O47" s="133"/>
    </row>
    <row r="48" spans="2:17" ht="15" hidden="1" outlineLevel="1" collapsed="1">
      <c r="B48" s="175" t="s">
        <v>490</v>
      </c>
      <c r="C48" s="130"/>
      <c r="D48" s="133"/>
      <c r="E48" s="133"/>
      <c r="F48" s="133"/>
      <c r="G48" s="133"/>
      <c r="H48" s="133"/>
      <c r="I48" s="133"/>
      <c r="J48" s="133"/>
      <c r="K48" s="133"/>
      <c r="L48" s="133"/>
      <c r="M48" s="133"/>
      <c r="N48" s="133"/>
      <c r="O48" s="133"/>
    </row>
    <row r="49" spans="2:15" hidden="1" outlineLevel="2">
      <c r="B49" s="143" t="s">
        <v>402</v>
      </c>
      <c r="C49" s="144"/>
      <c r="D49" s="169">
        <v>0</v>
      </c>
      <c r="E49" s="169">
        <v>0</v>
      </c>
      <c r="F49" s="169">
        <f>SUM(F50:F51)</f>
        <v>6300</v>
      </c>
      <c r="G49" s="169">
        <f t="shared" ref="G49:J49" si="8">SUM(G50:G51)</f>
        <v>5200</v>
      </c>
      <c r="H49" s="169">
        <f t="shared" si="8"/>
        <v>5510</v>
      </c>
      <c r="I49" s="169">
        <f t="shared" si="8"/>
        <v>4755</v>
      </c>
      <c r="J49" s="169">
        <f t="shared" si="8"/>
        <v>6060</v>
      </c>
      <c r="K49" s="169">
        <v>0</v>
      </c>
      <c r="L49" s="169">
        <v>0</v>
      </c>
      <c r="M49" s="169">
        <v>0</v>
      </c>
      <c r="N49" s="169">
        <v>0</v>
      </c>
      <c r="O49" s="170">
        <v>0</v>
      </c>
    </row>
    <row r="50" spans="2:15" hidden="1" outlineLevel="2">
      <c r="B50" s="177" t="s">
        <v>275</v>
      </c>
      <c r="C50" s="160"/>
      <c r="D50" s="152">
        <v>0</v>
      </c>
      <c r="E50" s="152">
        <v>0</v>
      </c>
      <c r="F50" s="152">
        <v>900</v>
      </c>
      <c r="G50" s="152">
        <v>1750</v>
      </c>
      <c r="H50" s="152">
        <v>2200</v>
      </c>
      <c r="I50" s="152">
        <v>0</v>
      </c>
      <c r="J50" s="152">
        <v>0</v>
      </c>
      <c r="K50" s="152">
        <v>0</v>
      </c>
      <c r="L50" s="152">
        <v>0</v>
      </c>
      <c r="M50" s="152">
        <v>0</v>
      </c>
      <c r="N50" s="152">
        <v>0</v>
      </c>
      <c r="O50" s="153">
        <v>0</v>
      </c>
    </row>
    <row r="51" spans="2:15" hidden="1" outlineLevel="2">
      <c r="B51" s="177" t="s">
        <v>276</v>
      </c>
      <c r="C51" s="160"/>
      <c r="D51" s="152">
        <v>0</v>
      </c>
      <c r="E51" s="152">
        <v>0</v>
      </c>
      <c r="F51" s="152">
        <v>5400</v>
      </c>
      <c r="G51" s="152">
        <v>3450</v>
      </c>
      <c r="H51" s="152">
        <v>3310</v>
      </c>
      <c r="I51" s="152">
        <v>4755</v>
      </c>
      <c r="J51" s="152">
        <v>6060</v>
      </c>
      <c r="K51" s="152">
        <v>0</v>
      </c>
      <c r="L51" s="152">
        <v>0</v>
      </c>
      <c r="M51" s="152">
        <v>0</v>
      </c>
      <c r="N51" s="152">
        <v>0</v>
      </c>
      <c r="O51" s="153">
        <v>0</v>
      </c>
    </row>
    <row r="52" spans="2:15" hidden="1" outlineLevel="2">
      <c r="B52" s="171" t="s">
        <v>403</v>
      </c>
      <c r="C52" s="172"/>
      <c r="D52" s="172">
        <v>0</v>
      </c>
      <c r="E52" s="172">
        <v>0</v>
      </c>
      <c r="F52" s="172">
        <v>1800</v>
      </c>
      <c r="G52" s="172">
        <f t="shared" ref="G52:I52" si="9">(2700+6500)/3</f>
        <v>3066.6666666666665</v>
      </c>
      <c r="H52" s="172">
        <f t="shared" si="9"/>
        <v>3066.6666666666665</v>
      </c>
      <c r="I52" s="172">
        <f t="shared" si="9"/>
        <v>3066.6666666666665</v>
      </c>
      <c r="J52" s="172">
        <v>0</v>
      </c>
      <c r="K52" s="172">
        <v>0</v>
      </c>
      <c r="L52" s="172">
        <v>0</v>
      </c>
      <c r="M52" s="172">
        <v>0</v>
      </c>
      <c r="N52" s="172">
        <v>0</v>
      </c>
      <c r="O52" s="173">
        <v>0</v>
      </c>
    </row>
    <row r="53" spans="2:15" ht="13.5" hidden="1" outlineLevel="1" thickBot="1">
      <c r="B53" s="174" t="s">
        <v>404</v>
      </c>
      <c r="C53" s="162"/>
      <c r="D53" s="162">
        <f>D52+D49</f>
        <v>0</v>
      </c>
      <c r="E53" s="162">
        <f t="shared" ref="E53:O53" si="10">E52+E49</f>
        <v>0</v>
      </c>
      <c r="F53" s="162">
        <f t="shared" si="10"/>
        <v>8100</v>
      </c>
      <c r="G53" s="162">
        <f t="shared" si="10"/>
        <v>8266.6666666666661</v>
      </c>
      <c r="H53" s="162">
        <f t="shared" si="10"/>
        <v>8576.6666666666661</v>
      </c>
      <c r="I53" s="162">
        <f t="shared" si="10"/>
        <v>7821.6666666666661</v>
      </c>
      <c r="J53" s="162">
        <f t="shared" si="10"/>
        <v>6060</v>
      </c>
      <c r="K53" s="162">
        <f t="shared" si="10"/>
        <v>0</v>
      </c>
      <c r="L53" s="162">
        <f t="shared" si="10"/>
        <v>0</v>
      </c>
      <c r="M53" s="162">
        <f t="shared" si="10"/>
        <v>0</v>
      </c>
      <c r="N53" s="162">
        <f t="shared" si="10"/>
        <v>0</v>
      </c>
      <c r="O53" s="252">
        <f t="shared" si="10"/>
        <v>0</v>
      </c>
    </row>
    <row r="54" spans="2:15">
      <c r="B54" s="130"/>
      <c r="C54" s="130"/>
      <c r="D54" s="133"/>
      <c r="E54" s="133"/>
      <c r="F54" s="133"/>
      <c r="G54" s="133"/>
      <c r="H54" s="133"/>
      <c r="I54" s="133"/>
      <c r="J54" s="133"/>
      <c r="K54" s="133"/>
      <c r="L54" s="133"/>
      <c r="M54" s="133"/>
      <c r="N54" s="133"/>
      <c r="O54" s="133"/>
    </row>
    <row r="55" spans="2:15" ht="15.75" collapsed="1" thickBot="1">
      <c r="B55" s="157" t="s">
        <v>170</v>
      </c>
      <c r="C55" s="130"/>
      <c r="D55" s="176"/>
      <c r="E55" s="176"/>
      <c r="F55" s="133"/>
      <c r="G55" s="133"/>
      <c r="H55" s="133"/>
      <c r="I55" s="133"/>
      <c r="J55" s="176"/>
      <c r="K55" s="176"/>
      <c r="L55" s="176"/>
      <c r="M55" s="176"/>
      <c r="N55" s="176"/>
      <c r="O55" s="176"/>
    </row>
    <row r="56" spans="2:15" ht="13.5" hidden="1" outlineLevel="1" thickBot="1">
      <c r="B56" s="199" t="s">
        <v>419</v>
      </c>
      <c r="C56" s="200"/>
      <c r="D56" s="223">
        <f>'Interface EEG-CO2-Preis-Rechner'!B13</f>
        <v>6.406581826229905</v>
      </c>
      <c r="E56" s="223">
        <f>'Interface EEG-CO2-Preis-Rechner'!C13</f>
        <v>6.7581163138201807</v>
      </c>
      <c r="F56" s="223">
        <f>'Interface EEG-CO2-Preis-Rechner'!D13+F57</f>
        <v>9.6396459799525402</v>
      </c>
      <c r="G56" s="223">
        <f>'Interface EEG-CO2-Preis-Rechner'!E13+G57</f>
        <v>4.6506043740099905</v>
      </c>
      <c r="H56" s="223">
        <f>'Interface EEG-CO2-Preis-Rechner'!F13</f>
        <v>2.095492877959245</v>
      </c>
      <c r="I56" s="223">
        <f>'Interface EEG-CO2-Preis-Rechner'!G13</f>
        <v>3.7592521867563322</v>
      </c>
      <c r="J56" s="223">
        <f>'Interface EEG-CO2-Preis-Rechner'!H13</f>
        <v>3.3143821163530625</v>
      </c>
      <c r="K56" s="223">
        <f>'Interface EEG-CO2-Preis-Rechner'!I13</f>
        <v>3.0619651489356081</v>
      </c>
      <c r="L56" s="223">
        <f>'Interface EEG-CO2-Preis-Rechner'!J13</f>
        <v>2.6407586810275125</v>
      </c>
      <c r="M56" s="223">
        <f>'Interface EEG-CO2-Preis-Rechner'!K13</f>
        <v>2.40952454582755</v>
      </c>
      <c r="N56" s="223">
        <f>'Interface EEG-CO2-Preis-Rechner'!L13</f>
        <v>2.1634759801156136</v>
      </c>
      <c r="O56" s="250">
        <f>'Interface EEG-CO2-Preis-Rechner'!M13</f>
        <v>1.8235293723054842</v>
      </c>
    </row>
    <row r="57" spans="2:15" ht="13.5" hidden="1" outlineLevel="1" collapsed="1" thickBot="1">
      <c r="B57" s="143" t="s">
        <v>421</v>
      </c>
      <c r="C57" s="144"/>
      <c r="D57" s="180">
        <f>D46/'Interface EEG-CO2-Preis-Rechner'!B5*100/1000</f>
        <v>0</v>
      </c>
      <c r="E57" s="180">
        <f>E46/'Interface EEG-CO2-Preis-Rechner'!C5*100/1000</f>
        <v>0</v>
      </c>
      <c r="F57" s="180">
        <f>F46/'Interface EEG-CO2-Preis-Rechner'!D5*100/1000</f>
        <v>3.1360306162356206</v>
      </c>
      <c r="G57" s="180">
        <f>G46/'Interface EEG-CO2-Preis-Rechner'!E5*100/1000</f>
        <v>0.92743728152473937</v>
      </c>
      <c r="H57" s="180">
        <f>H46/'Interface EEG-CO2-Preis-Rechner'!F5*100/1000</f>
        <v>3.0870437771865356</v>
      </c>
      <c r="I57" s="180">
        <f>I46/'Interface EEG-CO2-Preis-Rechner'!G5*100/1000</f>
        <v>4.0256713473059129</v>
      </c>
      <c r="J57" s="180">
        <f>J46/'Interface EEG-CO2-Preis-Rechner'!H5*100/1000</f>
        <v>4.9721304921128278</v>
      </c>
      <c r="K57" s="180">
        <f>K46/'Interface EEG-CO2-Preis-Rechner'!I5*100/1000</f>
        <v>5.4539153621858656</v>
      </c>
      <c r="L57" s="180">
        <f>L46/'Interface EEG-CO2-Preis-Rechner'!J5*100/1000</f>
        <v>5.3325696210063231</v>
      </c>
      <c r="M57" s="180">
        <f>M46/'Interface EEG-CO2-Preis-Rechner'!K5*100/1000</f>
        <v>5.2168802265107344</v>
      </c>
      <c r="N57" s="180">
        <f>N46/'Interface EEG-CO2-Preis-Rechner'!L5*100/1000</f>
        <v>5.1052695569488211</v>
      </c>
      <c r="O57" s="181">
        <f>O46/'Interface EEG-CO2-Preis-Rechner'!M5*100/1000</f>
        <v>4.9973145743610718</v>
      </c>
    </row>
    <row r="58" spans="2:15" hidden="1" outlineLevel="1">
      <c r="B58" s="199" t="s">
        <v>420</v>
      </c>
      <c r="C58" s="200"/>
      <c r="D58" s="223">
        <f t="shared" ref="D58:O58" si="11">D56-D57</f>
        <v>6.406581826229905</v>
      </c>
      <c r="E58" s="223">
        <f t="shared" si="11"/>
        <v>6.7581163138201807</v>
      </c>
      <c r="F58" s="223">
        <f t="shared" si="11"/>
        <v>6.5036153637169196</v>
      </c>
      <c r="G58" s="223">
        <f t="shared" si="11"/>
        <v>3.7231670924852511</v>
      </c>
      <c r="H58" s="223">
        <f t="shared" si="11"/>
        <v>-0.99155089922729056</v>
      </c>
      <c r="I58" s="223">
        <f t="shared" si="11"/>
        <v>-0.2664191605495807</v>
      </c>
      <c r="J58" s="223">
        <f t="shared" si="11"/>
        <v>-1.6577483757597653</v>
      </c>
      <c r="K58" s="223">
        <f t="shared" si="11"/>
        <v>-2.3919502132502575</v>
      </c>
      <c r="L58" s="223">
        <f t="shared" si="11"/>
        <v>-2.6918109399788106</v>
      </c>
      <c r="M58" s="223">
        <f t="shared" si="11"/>
        <v>-2.8073556806831843</v>
      </c>
      <c r="N58" s="223">
        <f t="shared" si="11"/>
        <v>-2.9417935768332075</v>
      </c>
      <c r="O58" s="250">
        <f t="shared" si="11"/>
        <v>-3.1737852020555879</v>
      </c>
    </row>
    <row r="59" spans="2:15" ht="13.5" hidden="1" outlineLevel="1" thickBot="1">
      <c r="B59" s="211"/>
      <c r="C59" s="194"/>
      <c r="D59" s="195"/>
      <c r="E59" s="195"/>
      <c r="F59" s="195"/>
      <c r="G59" s="195"/>
      <c r="H59" s="195"/>
      <c r="I59" s="195"/>
      <c r="J59" s="195"/>
      <c r="K59" s="195"/>
      <c r="L59" s="195"/>
      <c r="M59" s="195"/>
      <c r="N59" s="195"/>
      <c r="O59" s="212"/>
    </row>
    <row r="60" spans="2:15" ht="13.5" thickBot="1">
      <c r="B60" s="145" t="s">
        <v>418</v>
      </c>
      <c r="C60" s="205"/>
      <c r="D60" s="217">
        <f t="shared" ref="D60:O60" si="12">IF(D56-D57&lt;0,0,D56-D57)</f>
        <v>6.406581826229905</v>
      </c>
      <c r="E60" s="217">
        <f t="shared" si="12"/>
        <v>6.7581163138201807</v>
      </c>
      <c r="F60" s="217">
        <f t="shared" si="12"/>
        <v>6.5036153637169196</v>
      </c>
      <c r="G60" s="217">
        <f t="shared" si="12"/>
        <v>3.7231670924852511</v>
      </c>
      <c r="H60" s="217">
        <f t="shared" si="12"/>
        <v>0</v>
      </c>
      <c r="I60" s="217">
        <f t="shared" si="12"/>
        <v>0</v>
      </c>
      <c r="J60" s="217">
        <f t="shared" si="12"/>
        <v>0</v>
      </c>
      <c r="K60" s="217">
        <f t="shared" si="12"/>
        <v>0</v>
      </c>
      <c r="L60" s="217">
        <f t="shared" si="12"/>
        <v>0</v>
      </c>
      <c r="M60" s="217">
        <f t="shared" si="12"/>
        <v>0</v>
      </c>
      <c r="N60" s="217">
        <f t="shared" si="12"/>
        <v>0</v>
      </c>
      <c r="O60" s="251">
        <f t="shared" si="12"/>
        <v>0</v>
      </c>
    </row>
    <row r="61" spans="2:15" ht="13.5" thickBot="1">
      <c r="B61" s="253"/>
      <c r="C61" s="254"/>
      <c r="D61" s="255"/>
      <c r="E61" s="255"/>
      <c r="F61" s="255"/>
      <c r="G61" s="255"/>
      <c r="H61" s="255"/>
      <c r="I61" s="255"/>
      <c r="J61" s="255"/>
      <c r="K61" s="255"/>
      <c r="L61" s="255"/>
      <c r="M61" s="255"/>
      <c r="N61" s="255"/>
      <c r="O61" s="255"/>
    </row>
    <row r="62" spans="2:15" ht="13.5" thickBot="1">
      <c r="B62" s="145" t="s">
        <v>422</v>
      </c>
      <c r="C62" s="205"/>
      <c r="D62" s="246">
        <f>IF(D57&gt;D56,-(D56-D57)*1000/100*'Interface EEG-CO2-Preis-Rechner'!B5,0)</f>
        <v>0</v>
      </c>
      <c r="E62" s="246">
        <f>IF(E57&gt;E56,-(E56-E57)*1000/100*'Interface EEG-CO2-Preis-Rechner'!C5,0)</f>
        <v>0</v>
      </c>
      <c r="F62" s="246">
        <f>IF(F57&gt;F56,-(F56-F57)*1000/100*'Interface EEG-CO2-Preis-Rechner'!D5,0)</f>
        <v>0</v>
      </c>
      <c r="G62" s="246">
        <f>IF(G57&gt;G56,-(G56-G57)*1000/100*'Interface EEG-CO2-Preis-Rechner'!E5,0)</f>
        <v>0</v>
      </c>
      <c r="H62" s="246">
        <f>IF(H57&gt;H56,-(H56-H57)*1000/100*'Interface EEG-CO2-Preis-Rechner'!F5,0)</f>
        <v>3688.4012954194986</v>
      </c>
      <c r="I62" s="246">
        <f>IF(I57&gt;I56,-(I56-I57)*1000/100*'Interface EEG-CO2-Preis-Rechner'!G5,0)</f>
        <v>986.96699029875822</v>
      </c>
      <c r="J62" s="246">
        <f>IF(J57&gt;J56,-(J56-J57)*1000/100*'Interface EEG-CO2-Preis-Rechner'!H5,0)</f>
        <v>6115.850541772511</v>
      </c>
      <c r="K62" s="246">
        <f>IF(K57&gt;K56,-(K56-K57)*1000/100*'Interface EEG-CO2-Preis-Rechner'!I5,0)</f>
        <v>9026.0810511411437</v>
      </c>
      <c r="L62" s="246">
        <f>IF(L57&gt;L56,-(L56-L57)*1000/100*'Interface EEG-CO2-Preis-Rechner'!J5,0)</f>
        <v>10388.755056882314</v>
      </c>
      <c r="M62" s="246">
        <f>IF(M57&gt;M56,-(M56-M57)*1000/100*'Interface EEG-CO2-Preis-Rechner'!K5,0)</f>
        <v>11074.957304826767</v>
      </c>
      <c r="N62" s="246">
        <f>IF(N57&gt;N56,-(N56-N57)*1000/100*'Interface EEG-CO2-Preis-Rechner'!L5,0)</f>
        <v>11859.025552091158</v>
      </c>
      <c r="O62" s="247">
        <f>IF(O57&gt;O56,-(O56-O57)*1000/100*'Interface EEG-CO2-Preis-Rechner'!M5,0)</f>
        <v>13070.624236195576</v>
      </c>
    </row>
    <row r="63" spans="2:15">
      <c r="B63" s="130"/>
      <c r="C63" s="130"/>
      <c r="D63" s="130"/>
      <c r="E63" s="131"/>
      <c r="F63" s="131"/>
      <c r="G63" s="131"/>
      <c r="H63" s="131"/>
      <c r="I63" s="131"/>
      <c r="J63" s="131"/>
      <c r="K63" s="131"/>
      <c r="L63" s="131"/>
      <c r="M63" s="131"/>
      <c r="N63" s="131"/>
      <c r="O63" s="131"/>
    </row>
    <row r="64" spans="2:15" ht="15.75" collapsed="1" thickBot="1">
      <c r="B64" s="157" t="s">
        <v>405</v>
      </c>
      <c r="C64" s="224" t="s">
        <v>95</v>
      </c>
      <c r="D64" s="210"/>
      <c r="E64" s="210"/>
      <c r="F64" s="210"/>
      <c r="G64" s="210"/>
      <c r="H64" s="210"/>
      <c r="I64" s="210"/>
      <c r="J64" s="210"/>
      <c r="K64" s="210"/>
      <c r="L64" s="210"/>
      <c r="M64" s="210"/>
      <c r="N64" s="210"/>
      <c r="O64" s="210"/>
    </row>
    <row r="65" spans="2:34" ht="13.5" hidden="1" outlineLevel="1" thickBot="1">
      <c r="B65" s="143" t="s">
        <v>134</v>
      </c>
      <c r="C65" s="169">
        <f>'Berechnung Steuereinnahmen'!B8/1000/1000</f>
        <v>36718.891949000004</v>
      </c>
      <c r="D65" s="149">
        <f>'Berechnung Steuereinnahmen'!B9/(1000*1000)</f>
        <v>36745.365360775977</v>
      </c>
      <c r="E65" s="149">
        <f>'Berechnung Steuereinnahmen'!C9/(1000*1000)</f>
        <v>33745.171878645429</v>
      </c>
      <c r="F65" s="149">
        <f>'Berechnung Steuereinnahmen'!D9/(1000*1000)</f>
        <v>33753.196748647111</v>
      </c>
      <c r="G65" s="149">
        <f>'Berechnung Steuereinnahmen'!E9/(1000*1000)</f>
        <v>36805.961898654779</v>
      </c>
      <c r="H65" s="149">
        <f>'Berechnung Steuereinnahmen'!F9/(1000*1000)</f>
        <v>36805.961898654779</v>
      </c>
      <c r="I65" s="149">
        <f>'Berechnung Steuereinnahmen'!G9/(1000*1000)</f>
        <v>36805.961898654779</v>
      </c>
      <c r="J65" s="149">
        <f>'Berechnung Steuereinnahmen'!H9/(1000*1000)</f>
        <v>36805.961898654779</v>
      </c>
      <c r="K65" s="149">
        <f>'Berechnung Steuereinnahmen'!I9/(1000*1000)</f>
        <v>36805.961898654779</v>
      </c>
      <c r="L65" s="149">
        <f>'Berechnung Steuereinnahmen'!J9/(1000*1000)</f>
        <v>36805.961898654779</v>
      </c>
      <c r="M65" s="149">
        <f>'Berechnung Steuereinnahmen'!K9/(1000*1000)</f>
        <v>36805.961898654779</v>
      </c>
      <c r="N65" s="149">
        <f>'Berechnung Steuereinnahmen'!L9/(1000*1000)</f>
        <v>36805.961898654779</v>
      </c>
      <c r="O65" s="150">
        <f>'Berechnung Steuereinnahmen'!M9/(1000*1000)</f>
        <v>36805.961898654779</v>
      </c>
      <c r="R65" s="135"/>
    </row>
    <row r="66" spans="2:34" ht="13.5" hidden="1" outlineLevel="1" thickBot="1">
      <c r="B66" s="143" t="s">
        <v>10</v>
      </c>
      <c r="C66" s="169">
        <f>'Berechnung Steuereinnahmen'!B15/1000/1000</f>
        <v>2768.771964</v>
      </c>
      <c r="D66" s="149">
        <f>'Berechnung Steuereinnahmen'!B16/(1000*1000)</f>
        <v>2769.6841333333341</v>
      </c>
      <c r="E66" s="149">
        <f>'Berechnung Steuereinnahmen'!C16/(1000*1000)</f>
        <v>2672.7276277777783</v>
      </c>
      <c r="F66" s="149">
        <f>'Berechnung Steuereinnahmen'!D16/(1000*1000)</f>
        <v>2768.4103499326593</v>
      </c>
      <c r="G66" s="149">
        <f>'Berechnung Steuereinnahmen'!E16/(1000*1000)</f>
        <v>2768.4103499326593</v>
      </c>
      <c r="H66" s="149">
        <f>'Berechnung Steuereinnahmen'!F16/(1000*1000)</f>
        <v>2768.4103499326593</v>
      </c>
      <c r="I66" s="149">
        <f>'Berechnung Steuereinnahmen'!G16/(1000*1000)</f>
        <v>2768.4103499326593</v>
      </c>
      <c r="J66" s="149">
        <f>'Berechnung Steuereinnahmen'!H16/(1000*1000)</f>
        <v>2768.4103499326593</v>
      </c>
      <c r="K66" s="149">
        <f>'Berechnung Steuereinnahmen'!I16/(1000*1000)</f>
        <v>2768.4103499326593</v>
      </c>
      <c r="L66" s="149">
        <f>'Berechnung Steuereinnahmen'!J16/(1000*1000)</f>
        <v>2768.4103499326593</v>
      </c>
      <c r="M66" s="149">
        <f>'Berechnung Steuereinnahmen'!K16/(1000*1000)</f>
        <v>2768.4103499326593</v>
      </c>
      <c r="N66" s="149">
        <f>'Berechnung Steuereinnahmen'!L16/(1000*1000)</f>
        <v>2768.4103499326593</v>
      </c>
      <c r="O66" s="150">
        <f>'Berechnung Steuereinnahmen'!M16/(1000*1000)</f>
        <v>2768.4103499326593</v>
      </c>
    </row>
    <row r="67" spans="2:34" hidden="1" outlineLevel="1">
      <c r="B67" s="143" t="s">
        <v>71</v>
      </c>
      <c r="C67" s="169">
        <f>'Berechnung Steuereinnahmen'!B19/1000/1000</f>
        <v>1195.0531089999999</v>
      </c>
      <c r="D67" s="149">
        <f>'Berechnung Steuereinnahmen'!B20/(1000*1000)</f>
        <v>1206.1662673469289</v>
      </c>
      <c r="E67" s="149">
        <f>'Berechnung Steuereinnahmen'!C20/(1000*1000)</f>
        <v>1227.5059860902238</v>
      </c>
      <c r="F67" s="149">
        <f>'Berechnung Steuereinnahmen'!D20/(1000*1000)</f>
        <v>956.34909887151593</v>
      </c>
      <c r="G67" s="149">
        <f>'Berechnung Steuereinnahmen'!E20/(1000*1000)</f>
        <v>1206.1662673469289</v>
      </c>
      <c r="H67" s="149">
        <f>'Berechnung Steuereinnahmen'!F20/(1000*1000)</f>
        <v>1206.1662673469289</v>
      </c>
      <c r="I67" s="149">
        <f>'Berechnung Steuereinnahmen'!G20/(1000*1000)</f>
        <v>1206.1662673469289</v>
      </c>
      <c r="J67" s="149">
        <f>'Berechnung Steuereinnahmen'!H20/(1000*1000)</f>
        <v>1206.1662673469289</v>
      </c>
      <c r="K67" s="149">
        <f>'Berechnung Steuereinnahmen'!I20/(1000*1000)</f>
        <v>1206.1662673469289</v>
      </c>
      <c r="L67" s="149">
        <f>'Berechnung Steuereinnahmen'!J20/(1000*1000)</f>
        <v>1206.1662673469289</v>
      </c>
      <c r="M67" s="149">
        <f>'Berechnung Steuereinnahmen'!K20/(1000*1000)</f>
        <v>1206.1662673469289</v>
      </c>
      <c r="N67" s="149">
        <f>'Berechnung Steuereinnahmen'!L20/(1000*1000)</f>
        <v>1206.1662673469289</v>
      </c>
      <c r="O67" s="150">
        <f>'Berechnung Steuereinnahmen'!M20/(1000*1000)</f>
        <v>1206.1662673469289</v>
      </c>
    </row>
    <row r="68" spans="2:34" ht="13.5" hidden="1" outlineLevel="1" thickBot="1">
      <c r="B68" s="291"/>
      <c r="C68" s="133"/>
      <c r="D68" s="130"/>
      <c r="E68" s="130"/>
      <c r="F68" s="130"/>
      <c r="G68" s="130"/>
      <c r="H68" s="130"/>
      <c r="I68" s="130"/>
      <c r="J68" s="130"/>
      <c r="K68" s="130"/>
      <c r="L68" s="130"/>
      <c r="M68" s="130"/>
      <c r="N68" s="130"/>
      <c r="O68" s="165"/>
    </row>
    <row r="69" spans="2:34" ht="13.5" hidden="1" outlineLevel="1" thickBot="1">
      <c r="B69" s="158" t="s">
        <v>284</v>
      </c>
      <c r="C69" s="168"/>
      <c r="D69" s="282">
        <v>2.0499999999999998</v>
      </c>
      <c r="E69" s="282">
        <v>2.0499999999999998</v>
      </c>
      <c r="F69" s="282">
        <v>2.0499999999999998</v>
      </c>
      <c r="G69" s="282">
        <v>2.0499999999999998</v>
      </c>
      <c r="H69" s="282">
        <v>2.0499999999999998</v>
      </c>
      <c r="I69" s="282">
        <v>2.0499999999999998</v>
      </c>
      <c r="J69" s="282">
        <v>2.0499999999999998</v>
      </c>
      <c r="K69" s="282">
        <v>2.0499999999999998</v>
      </c>
      <c r="L69" s="283">
        <v>2.0499999999999998</v>
      </c>
      <c r="M69" s="282">
        <v>2.0499999999999998</v>
      </c>
      <c r="N69" s="282">
        <v>2.0499999999999998</v>
      </c>
      <c r="O69" s="283">
        <v>2.0499999999999998</v>
      </c>
    </row>
    <row r="70" spans="2:34" hidden="1" outlineLevel="1">
      <c r="B70" s="143" t="s">
        <v>83</v>
      </c>
      <c r="C70" s="169">
        <f>'Berechnung Steuereinnahmen'!B25/1000/1000</f>
        <v>6688.7819409999993</v>
      </c>
      <c r="D70" s="149">
        <f>'Berechnung Steuereinnahmen'!B26/1000/1000</f>
        <v>6688.7819409999993</v>
      </c>
      <c r="E70" s="149">
        <f>'Berechnung Steuereinnahmen'!C26/1000/1000</f>
        <v>6448.5186030857994</v>
      </c>
      <c r="F70" s="149">
        <f>'Berechnung Steuereinnahmen'!D26/1000/1000</f>
        <v>6672.5984001042252</v>
      </c>
      <c r="G70" s="149">
        <f>'Berechnung Steuereinnahmen'!E26/1000/1000</f>
        <v>6672.5984001042252</v>
      </c>
      <c r="H70" s="149">
        <f>'Berechnung Steuereinnahmen'!F26/1000/1000</f>
        <v>6672.5984001042252</v>
      </c>
      <c r="I70" s="149">
        <f>'Berechnung Steuereinnahmen'!G26/1000/1000</f>
        <v>6672.5984001042252</v>
      </c>
      <c r="J70" s="149">
        <f>'Berechnung Steuereinnahmen'!H26/1000/1000</f>
        <v>6672.5984001042252</v>
      </c>
      <c r="K70" s="149">
        <f>'Berechnung Steuereinnahmen'!I26/1000/1000</f>
        <v>6672.5984001042252</v>
      </c>
      <c r="L70" s="149">
        <f>'Berechnung Steuereinnahmen'!J26/1000/1000</f>
        <v>6672.5984001042252</v>
      </c>
      <c r="M70" s="149">
        <f>'Berechnung Steuereinnahmen'!K26/1000/1000</f>
        <v>6672.5984001042252</v>
      </c>
      <c r="N70" s="149">
        <f>'Berechnung Steuereinnahmen'!L26/1000/1000</f>
        <v>6672.5984001042252</v>
      </c>
      <c r="O70" s="150">
        <f>'Berechnung Steuereinnahmen'!M26/1000/1000</f>
        <v>6672.5984001042252</v>
      </c>
    </row>
    <row r="71" spans="2:34" ht="13.5" hidden="1" outlineLevel="1" thickBot="1">
      <c r="B71" s="291"/>
      <c r="C71" s="130"/>
      <c r="D71" s="130"/>
      <c r="E71" s="130"/>
      <c r="F71" s="130"/>
      <c r="G71" s="130"/>
      <c r="H71" s="130"/>
      <c r="I71" s="130"/>
      <c r="J71" s="130"/>
      <c r="K71" s="130"/>
      <c r="L71" s="130"/>
      <c r="M71" s="130"/>
      <c r="N71" s="130"/>
      <c r="O71" s="165"/>
    </row>
    <row r="72" spans="2:34" ht="13.5" collapsed="1" thickBot="1">
      <c r="B72" s="145" t="s">
        <v>274</v>
      </c>
      <c r="C72" s="205"/>
      <c r="D72" s="206">
        <f t="shared" ref="D72:O72" si="13">D65+D66+D67+D70</f>
        <v>47409.997702456239</v>
      </c>
      <c r="E72" s="206">
        <f t="shared" si="13"/>
        <v>44093.924095599235</v>
      </c>
      <c r="F72" s="206">
        <f t="shared" si="13"/>
        <v>44150.554597555507</v>
      </c>
      <c r="G72" s="206">
        <f t="shared" si="13"/>
        <v>47453.136916038588</v>
      </c>
      <c r="H72" s="206">
        <f t="shared" si="13"/>
        <v>47453.136916038588</v>
      </c>
      <c r="I72" s="206">
        <f t="shared" si="13"/>
        <v>47453.136916038588</v>
      </c>
      <c r="J72" s="206">
        <f t="shared" si="13"/>
        <v>47453.136916038588</v>
      </c>
      <c r="K72" s="206">
        <f t="shared" si="13"/>
        <v>47453.136916038588</v>
      </c>
      <c r="L72" s="206">
        <f t="shared" si="13"/>
        <v>47453.136916038588</v>
      </c>
      <c r="M72" s="206">
        <f t="shared" si="13"/>
        <v>47453.136916038588</v>
      </c>
      <c r="N72" s="206">
        <f t="shared" si="13"/>
        <v>47453.136916038588</v>
      </c>
      <c r="O72" s="207">
        <f t="shared" si="13"/>
        <v>47453.136916038588</v>
      </c>
    </row>
    <row r="73" spans="2:34" ht="13.5" hidden="1" outlineLevel="1" thickBot="1">
      <c r="B73" s="138" t="s">
        <v>206</v>
      </c>
      <c r="C73" s="139"/>
      <c r="D73" s="140"/>
      <c r="E73" s="140">
        <f>E72-$D72</f>
        <v>-3316.0736068570041</v>
      </c>
      <c r="F73" s="140">
        <f t="shared" ref="F73:O73" si="14">F72-$D72</f>
        <v>-3259.4431049007326</v>
      </c>
      <c r="G73" s="140">
        <f t="shared" si="14"/>
        <v>43.13921358234802</v>
      </c>
      <c r="H73" s="140">
        <f t="shared" si="14"/>
        <v>43.13921358234802</v>
      </c>
      <c r="I73" s="140">
        <f t="shared" si="14"/>
        <v>43.13921358234802</v>
      </c>
      <c r="J73" s="140">
        <f t="shared" si="14"/>
        <v>43.13921358234802</v>
      </c>
      <c r="K73" s="140">
        <f t="shared" si="14"/>
        <v>43.13921358234802</v>
      </c>
      <c r="L73" s="140">
        <f t="shared" si="14"/>
        <v>43.13921358234802</v>
      </c>
      <c r="M73" s="140">
        <f t="shared" si="14"/>
        <v>43.13921358234802</v>
      </c>
      <c r="N73" s="140">
        <f t="shared" si="14"/>
        <v>43.13921358234802</v>
      </c>
      <c r="O73" s="141">
        <f t="shared" si="14"/>
        <v>43.13921358234802</v>
      </c>
    </row>
    <row r="74" spans="2:34" ht="13.5" hidden="1" outlineLevel="1" thickBot="1">
      <c r="B74" s="130"/>
      <c r="C74" s="130"/>
      <c r="D74" s="130"/>
      <c r="E74" s="136"/>
      <c r="F74" s="136"/>
      <c r="G74" s="136"/>
      <c r="H74" s="136"/>
      <c r="I74" s="136"/>
      <c r="J74" s="136"/>
      <c r="K74" s="136"/>
      <c r="L74" s="136"/>
      <c r="M74" s="136"/>
      <c r="N74" s="136"/>
      <c r="O74" s="136"/>
    </row>
    <row r="75" spans="2:34" ht="13.5" hidden="1" outlineLevel="1" thickBot="1">
      <c r="B75" s="201" t="s">
        <v>279</v>
      </c>
      <c r="C75" s="208"/>
      <c r="D75" s="208">
        <f>'Berechnung Steuereinnahmen'!B37/(1000*1000)</f>
        <v>47317.282100257238</v>
      </c>
      <c r="E75" s="208">
        <f>'Berechnung Steuereinnahmen'!C37/(1000*1000)</f>
        <v>44010.068107793035</v>
      </c>
      <c r="F75" s="208">
        <f>'Berechnung Steuereinnahmen'!D37/(1000*1000)</f>
        <v>52072.752966578795</v>
      </c>
      <c r="G75" s="208">
        <f>'Berechnung Steuereinnahmen'!E37/(1000*1000)</f>
        <v>57724.504207773331</v>
      </c>
      <c r="H75" s="208">
        <f>'Berechnung Steuereinnahmen'!F37/(1000*1000)</f>
        <v>59451.851356762287</v>
      </c>
      <c r="I75" s="208">
        <f>'Berechnung Steuereinnahmen'!G37/(1000*1000)</f>
        <v>62906.545654740199</v>
      </c>
      <c r="J75" s="208">
        <f>'Berechnung Steuereinnahmen'!H37/(1000*1000)</f>
        <v>66361.239952718111</v>
      </c>
      <c r="K75" s="208">
        <f>'Berechnung Steuereinnahmen'!I37/(1000*1000)</f>
        <v>68088.587101707075</v>
      </c>
      <c r="L75" s="208">
        <f>'Berechnung Steuereinnahmen'!J37/(1000*1000)</f>
        <v>68088.587101707075</v>
      </c>
      <c r="M75" s="208">
        <f>'Berechnung Steuereinnahmen'!K37/(1000*1000)</f>
        <v>68088.587101707075</v>
      </c>
      <c r="N75" s="208">
        <f>'Berechnung Steuereinnahmen'!L37/(1000*1000)</f>
        <v>68088.587101707075</v>
      </c>
      <c r="O75" s="209">
        <f>'Berechnung Steuereinnahmen'!M37/(1000*1000)</f>
        <v>68088.587101707075</v>
      </c>
      <c r="AH75" s="259" t="str">
        <f>"Verwendung der BEHG-Einnahmen "&amp;AI3&amp; " [Millionen €]"</f>
        <v>Verwendung der BEHG-Einnahmen 2022 [Millionen €]</v>
      </c>
    </row>
    <row r="76" spans="2:34" ht="13.5" hidden="1" outlineLevel="1" thickBot="1">
      <c r="B76" s="143" t="s">
        <v>280</v>
      </c>
      <c r="C76" s="169"/>
      <c r="D76" s="149">
        <f t="shared" ref="D76:O76" si="15">D40</f>
        <v>0</v>
      </c>
      <c r="E76" s="149">
        <f t="shared" si="15"/>
        <v>0</v>
      </c>
      <c r="F76" s="149">
        <f t="shared" si="15"/>
        <v>280</v>
      </c>
      <c r="G76" s="149">
        <f t="shared" si="15"/>
        <v>479</v>
      </c>
      <c r="H76" s="149">
        <f t="shared" si="15"/>
        <v>522</v>
      </c>
      <c r="I76" s="149">
        <f t="shared" si="15"/>
        <v>522</v>
      </c>
      <c r="J76" s="149">
        <f t="shared" si="15"/>
        <v>522</v>
      </c>
      <c r="K76" s="149">
        <f t="shared" si="15"/>
        <v>0</v>
      </c>
      <c r="L76" s="149">
        <f t="shared" si="15"/>
        <v>0</v>
      </c>
      <c r="M76" s="149">
        <f t="shared" si="15"/>
        <v>0</v>
      </c>
      <c r="N76" s="149">
        <f t="shared" si="15"/>
        <v>0</v>
      </c>
      <c r="O76" s="150">
        <f t="shared" si="15"/>
        <v>0</v>
      </c>
    </row>
    <row r="77" spans="2:34" ht="13.5" hidden="1" outlineLevel="1" thickBot="1">
      <c r="B77" s="143" t="s">
        <v>281</v>
      </c>
      <c r="C77" s="169"/>
      <c r="D77" s="149">
        <f t="shared" ref="D77:O77" si="16">D46-D62</f>
        <v>0</v>
      </c>
      <c r="E77" s="149">
        <f t="shared" si="16"/>
        <v>0</v>
      </c>
      <c r="F77" s="149">
        <f t="shared" si="16"/>
        <v>10800</v>
      </c>
      <c r="G77" s="149">
        <f t="shared" si="16"/>
        <v>3250</v>
      </c>
      <c r="H77" s="149">
        <f t="shared" si="16"/>
        <v>7794.8783583680779</v>
      </c>
      <c r="I77" s="149">
        <f t="shared" si="16"/>
        <v>13926.392564570979</v>
      </c>
      <c r="J77" s="149">
        <f t="shared" si="16"/>
        <v>12227.588914179392</v>
      </c>
      <c r="K77" s="149">
        <f t="shared" si="16"/>
        <v>11554.398355351845</v>
      </c>
      <c r="L77" s="149">
        <f t="shared" si="16"/>
        <v>10191.724349610675</v>
      </c>
      <c r="M77" s="149">
        <f t="shared" si="16"/>
        <v>9505.5221016662217</v>
      </c>
      <c r="N77" s="149">
        <f t="shared" si="16"/>
        <v>8721.4538544018305</v>
      </c>
      <c r="O77" s="150">
        <f t="shared" si="16"/>
        <v>7509.8551702974128</v>
      </c>
    </row>
    <row r="78" spans="2:34" ht="13.5" hidden="1" outlineLevel="1" thickBot="1">
      <c r="B78" s="145" t="s">
        <v>283</v>
      </c>
      <c r="C78" s="205"/>
      <c r="D78" s="206">
        <f>D75-D76-D77</f>
        <v>47317.282100257238</v>
      </c>
      <c r="E78" s="206">
        <f t="shared" ref="E78:O78" si="17">E75-E76-E77</f>
        <v>44010.068107793035</v>
      </c>
      <c r="F78" s="206">
        <f t="shared" si="17"/>
        <v>40992.752966578795</v>
      </c>
      <c r="G78" s="206">
        <f t="shared" si="17"/>
        <v>53995.504207773331</v>
      </c>
      <c r="H78" s="206">
        <f t="shared" si="17"/>
        <v>51134.972998394209</v>
      </c>
      <c r="I78" s="206">
        <f t="shared" si="17"/>
        <v>48458.153090169217</v>
      </c>
      <c r="J78" s="206">
        <f t="shared" si="17"/>
        <v>53611.651038538723</v>
      </c>
      <c r="K78" s="206">
        <f t="shared" si="17"/>
        <v>56534.188746355227</v>
      </c>
      <c r="L78" s="206">
        <f t="shared" si="17"/>
        <v>57896.8627520964</v>
      </c>
      <c r="M78" s="206">
        <f t="shared" si="17"/>
        <v>58583.06500004085</v>
      </c>
      <c r="N78" s="206">
        <f t="shared" si="17"/>
        <v>59367.133247305246</v>
      </c>
      <c r="O78" s="207">
        <f t="shared" si="17"/>
        <v>60578.73193140966</v>
      </c>
    </row>
    <row r="79" spans="2:34" ht="13.5" hidden="1" outlineLevel="1" thickBot="1">
      <c r="B79" s="138" t="s">
        <v>282</v>
      </c>
      <c r="C79" s="139"/>
      <c r="D79" s="140"/>
      <c r="E79" s="140">
        <f>E78-$D$78</f>
        <v>-3307.2139924642033</v>
      </c>
      <c r="F79" s="140">
        <f t="shared" ref="F79:O79" si="18">F78-$D$78</f>
        <v>-6324.529133678443</v>
      </c>
      <c r="G79" s="140">
        <f t="shared" si="18"/>
        <v>6678.2221075160924</v>
      </c>
      <c r="H79" s="140">
        <f t="shared" si="18"/>
        <v>3817.6908981369706</v>
      </c>
      <c r="I79" s="140">
        <f t="shared" si="18"/>
        <v>1140.8709899119785</v>
      </c>
      <c r="J79" s="140">
        <f t="shared" si="18"/>
        <v>6294.3689382814846</v>
      </c>
      <c r="K79" s="140">
        <f t="shared" si="18"/>
        <v>9216.9066460979884</v>
      </c>
      <c r="L79" s="140">
        <f t="shared" si="18"/>
        <v>10579.580651839162</v>
      </c>
      <c r="M79" s="140">
        <f t="shared" si="18"/>
        <v>11265.782899783611</v>
      </c>
      <c r="N79" s="140">
        <f t="shared" si="18"/>
        <v>12049.851147048008</v>
      </c>
      <c r="O79" s="141">
        <f t="shared" si="18"/>
        <v>13261.449831152422</v>
      </c>
    </row>
    <row r="80" spans="2:34">
      <c r="B80" s="130"/>
      <c r="C80" s="130"/>
      <c r="D80" s="130"/>
      <c r="E80" s="130"/>
      <c r="F80" s="130"/>
      <c r="G80" s="130"/>
      <c r="H80" s="130"/>
      <c r="I80" s="130"/>
      <c r="J80" s="130"/>
      <c r="K80" s="130"/>
      <c r="L80" s="130"/>
      <c r="M80" s="130"/>
      <c r="N80" s="130"/>
      <c r="O80" s="130"/>
    </row>
    <row r="81" spans="2:15" ht="15.75" thickBot="1">
      <c r="B81" s="157" t="s">
        <v>414</v>
      </c>
      <c r="C81" s="130"/>
      <c r="D81" s="133"/>
      <c r="E81" s="133"/>
      <c r="F81" s="133"/>
      <c r="G81" s="133"/>
      <c r="H81" s="133"/>
      <c r="I81" s="133"/>
      <c r="J81" s="133"/>
      <c r="K81" s="133"/>
      <c r="L81" s="133"/>
      <c r="M81" s="133"/>
      <c r="N81" s="133"/>
      <c r="O81" s="133"/>
    </row>
    <row r="82" spans="2:15" ht="13.5" thickBot="1">
      <c r="B82" s="143" t="s">
        <v>406</v>
      </c>
      <c r="C82" s="169"/>
      <c r="D82" s="180">
        <f>('Berechnung Produktpreise'!B12-'Berechnung Produktpreise'!$B$12)*(1+'Steuer- und Abgabensätze'!B5)</f>
        <v>0</v>
      </c>
      <c r="E82" s="180">
        <f>('Berechnung Produktpreise'!C12-'Berechnung Produktpreise'!$B$12)*(1+'Steuer- und Abgabensätze'!C5)</f>
        <v>0</v>
      </c>
      <c r="F82" s="180">
        <f>('Berechnung Produktpreise'!D12-'Berechnung Produktpreise'!$B$12)*(1+'Steuer- und Abgabensätze'!D5)</f>
        <v>7.1423405812499992</v>
      </c>
      <c r="G82" s="180">
        <f>('Berechnung Produktpreise'!E12-'Berechnung Produktpreise'!$B$12)*(1+'Steuer- und Abgabensätze'!E5)</f>
        <v>8.5708086974999986</v>
      </c>
      <c r="H82" s="180">
        <f>('Berechnung Produktpreise'!F12-'Berechnung Produktpreise'!$B$12)*(1+'Steuer- und Abgabensätze'!F5)</f>
        <v>9.9992768137500008</v>
      </c>
      <c r="I82" s="180">
        <f>('Berechnung Produktpreise'!G12-'Berechnung Produktpreise'!$B$12)*(1+'Steuer- und Abgabensätze'!G5)</f>
        <v>12.85621304625</v>
      </c>
      <c r="J82" s="180">
        <f>('Berechnung Produktpreise'!H12-'Berechnung Produktpreise'!$B$12)*(1+'Steuer- und Abgabensätze'!H5)</f>
        <v>15.713149278749999</v>
      </c>
      <c r="K82" s="180">
        <f>('Berechnung Produktpreise'!I12-'Berechnung Produktpreise'!$B$12)*(1+'Steuer- und Abgabensätze'!I5)</f>
        <v>17.141617394999997</v>
      </c>
      <c r="L82" s="180">
        <f>('Berechnung Produktpreise'!J12-'Berechnung Produktpreise'!$B$12)*(1+'Steuer- und Abgabensätze'!J5)</f>
        <v>17.141617394999997</v>
      </c>
      <c r="M82" s="180">
        <f>('Berechnung Produktpreise'!K12-'Berechnung Produktpreise'!$B$12)*(1+'Steuer- und Abgabensätze'!K5)</f>
        <v>17.141617394999997</v>
      </c>
      <c r="N82" s="180">
        <f>('Berechnung Produktpreise'!L12-'Berechnung Produktpreise'!$B$12)*(1+'Steuer- und Abgabensätze'!L5)</f>
        <v>17.141617394999997</v>
      </c>
      <c r="O82" s="181">
        <f>('Berechnung Produktpreise'!M12-'Berechnung Produktpreise'!$B$12)*(1+'Steuer- und Abgabensätze'!M5)</f>
        <v>17.141617394999997</v>
      </c>
    </row>
    <row r="83" spans="2:15" ht="13.5" thickBot="1">
      <c r="B83" s="143" t="s">
        <v>407</v>
      </c>
      <c r="C83" s="169"/>
      <c r="D83" s="180">
        <f>('Berechnung Produktpreise'!B20-'Berechnung Produktpreise'!$B$20)*(1+'Steuer- und Abgabensätze'!B5)</f>
        <v>0</v>
      </c>
      <c r="E83" s="180">
        <f>('Berechnung Produktpreise'!C20-'Berechnung Produktpreise'!$B$20)*(1+'Steuer- und Abgabensätze'!C5)</f>
        <v>0</v>
      </c>
      <c r="F83" s="180">
        <f>('Berechnung Produktpreise'!D20-'Berechnung Produktpreise'!$B$20)*(1+'Steuer- und Abgabensätze'!D5)</f>
        <v>7.9619448999999989</v>
      </c>
      <c r="G83" s="180">
        <f>('Berechnung Produktpreise'!E20-'Berechnung Produktpreise'!$B$20)*(1+'Steuer- und Abgabensätze'!E5)</f>
        <v>9.5543338799999979</v>
      </c>
      <c r="H83" s="180">
        <f>('Berechnung Produktpreise'!F20-'Berechnung Produktpreise'!$B$20)*(1+'Steuer- und Abgabensätze'!F5)</f>
        <v>11.146722859999999</v>
      </c>
      <c r="I83" s="180">
        <f>('Berechnung Produktpreise'!G20-'Berechnung Produktpreise'!$B$20)*(1+'Steuer- und Abgabensätze'!G5)</f>
        <v>14.331500819999999</v>
      </c>
      <c r="J83" s="180">
        <f>('Berechnung Produktpreise'!H20-'Berechnung Produktpreise'!$B$20)*(1+'Steuer- und Abgabensätze'!H5)</f>
        <v>17.51627878</v>
      </c>
      <c r="K83" s="180">
        <f>('Berechnung Produktpreise'!I20-'Berechnung Produktpreise'!$B$20)*(1+'Steuer- und Abgabensätze'!I5)</f>
        <v>19.108667759999996</v>
      </c>
      <c r="L83" s="180">
        <f>('Berechnung Produktpreise'!J20-'Berechnung Produktpreise'!$B$20)*(1+'Steuer- und Abgabensätze'!J5)</f>
        <v>19.108667759999996</v>
      </c>
      <c r="M83" s="180">
        <f>('Berechnung Produktpreise'!K20-'Berechnung Produktpreise'!$B$20)*(1+'Steuer- und Abgabensätze'!K5)</f>
        <v>19.108667759999996</v>
      </c>
      <c r="N83" s="180">
        <f>('Berechnung Produktpreise'!L20-'Berechnung Produktpreise'!$B$20)*(1+'Steuer- und Abgabensätze'!L5)</f>
        <v>19.108667759999996</v>
      </c>
      <c r="O83" s="181">
        <f>('Berechnung Produktpreise'!M20-'Berechnung Produktpreise'!$B$20)*(1+'Steuer- und Abgabensätze'!M5)</f>
        <v>19.108667759999996</v>
      </c>
    </row>
    <row r="84" spans="2:15" ht="13.5" thickBot="1">
      <c r="B84" s="143" t="s">
        <v>180</v>
      </c>
      <c r="C84" s="169"/>
      <c r="D84" s="180">
        <f>('Berechnung Produktpreise'!B56-'Berechnung Produktpreise'!$B$56)*(1+'Steuer- und Abgabensätze'!B5)</f>
        <v>0</v>
      </c>
      <c r="E84" s="180">
        <f>('Berechnung Produktpreise'!C56-'Berechnung Produktpreise'!$B$56)*(1+'Steuer- und Abgabensätze'!C5)</f>
        <v>0</v>
      </c>
      <c r="F84" s="180">
        <f>('Berechnung Produktpreise'!D56-'Berechnung Produktpreise'!$B$56)*(1+'Steuer- und Abgabensätze'!D5)</f>
        <v>0.54158328</v>
      </c>
      <c r="G84" s="180">
        <f>('Berechnung Produktpreise'!E56-'Berechnung Produktpreise'!$B$56)*(1+'Steuer- und Abgabensätze'!E5)</f>
        <v>0.64989993599999996</v>
      </c>
      <c r="H84" s="180">
        <f>('Berechnung Produktpreise'!F56-'Berechnung Produktpreise'!$B$56)*(1+'Steuer- und Abgabensätze'!F5)</f>
        <v>0.75821659199999991</v>
      </c>
      <c r="I84" s="180">
        <f>('Berechnung Produktpreise'!G56-'Berechnung Produktpreise'!$B$56)*(1+'Steuer- und Abgabensätze'!G5)</f>
        <v>0.97484990400000004</v>
      </c>
      <c r="J84" s="180">
        <f>('Berechnung Produktpreise'!H56-'Berechnung Produktpreise'!$B$56)*(1+'Steuer- und Abgabensätze'!H5)</f>
        <v>1.1914832159999997</v>
      </c>
      <c r="K84" s="180">
        <f>('Berechnung Produktpreise'!I56-'Berechnung Produktpreise'!$B$56)*(1+'Steuer- und Abgabensätze'!I5)</f>
        <v>1.2997998719999999</v>
      </c>
      <c r="L84" s="180">
        <f>('Berechnung Produktpreise'!J56-'Berechnung Produktpreise'!$B$56)*(1+'Steuer- und Abgabensätze'!J5)</f>
        <v>1.2997998719999999</v>
      </c>
      <c r="M84" s="180">
        <f>('Berechnung Produktpreise'!K56-'Berechnung Produktpreise'!$B$56)*(1+'Steuer- und Abgabensätze'!K5)</f>
        <v>1.2997998719999999</v>
      </c>
      <c r="N84" s="180">
        <f>('Berechnung Produktpreise'!L56-'Berechnung Produktpreise'!$B$56)*(1+'Steuer- und Abgabensätze'!L5)</f>
        <v>1.2997998719999999</v>
      </c>
      <c r="O84" s="181">
        <f>('Berechnung Produktpreise'!M56-'Berechnung Produktpreise'!$B$56)*(1+'Steuer- und Abgabensätze'!M5)</f>
        <v>1.2997998719999999</v>
      </c>
    </row>
    <row r="85" spans="2:15" ht="13.5" thickBot="1">
      <c r="B85" s="143" t="s">
        <v>408</v>
      </c>
      <c r="C85" s="169"/>
      <c r="D85" s="180">
        <f>('Berechnung Produktpreise'!B28-'Berechnung Produktpreise'!$B$28)*(1+'Steuer- und Abgabensätze'!B5)</f>
        <v>0</v>
      </c>
      <c r="E85" s="180">
        <f>('Berechnung Produktpreise'!C28-'Berechnung Produktpreise'!$B$28)*(1+'Steuer- und Abgabensätze'!C5)</f>
        <v>0</v>
      </c>
      <c r="F85" s="180">
        <f>('Berechnung Produktpreise'!D28-'Berechnung Produktpreise'!$B$28)*(1+'Steuer- und Abgabensätze'!D5)</f>
        <v>7.9619448999999989</v>
      </c>
      <c r="G85" s="180">
        <f>('Berechnung Produktpreise'!E28-'Berechnung Produktpreise'!$B$28)*(1+'Steuer- und Abgabensätze'!E5)</f>
        <v>9.5543338799999979</v>
      </c>
      <c r="H85" s="180">
        <f>('Berechnung Produktpreise'!F28-'Berechnung Produktpreise'!$B$28)*(1+'Steuer- und Abgabensätze'!F5)</f>
        <v>11.146722859999999</v>
      </c>
      <c r="I85" s="180">
        <f>('Berechnung Produktpreise'!G28-'Berechnung Produktpreise'!$B$28)*(1+'Steuer- und Abgabensätze'!G5)</f>
        <v>14.331500819999999</v>
      </c>
      <c r="J85" s="180">
        <f>('Berechnung Produktpreise'!H28-'Berechnung Produktpreise'!$B$28)*(1+'Steuer- und Abgabensätze'!H5)</f>
        <v>17.51627878</v>
      </c>
      <c r="K85" s="180">
        <f>('Berechnung Produktpreise'!I28-'Berechnung Produktpreise'!$B$28)*(1+'Steuer- und Abgabensätze'!I5)</f>
        <v>19.108667759999996</v>
      </c>
      <c r="L85" s="180">
        <f>('Berechnung Produktpreise'!J28-'Berechnung Produktpreise'!$B$28)*(1+'Steuer- und Abgabensätze'!J5)</f>
        <v>19.108667759999996</v>
      </c>
      <c r="M85" s="180">
        <f>('Berechnung Produktpreise'!K28-'Berechnung Produktpreise'!$B$28)*(1+'Steuer- und Abgabensätze'!K5)</f>
        <v>19.108667759999996</v>
      </c>
      <c r="N85" s="180">
        <f>('Berechnung Produktpreise'!L28-'Berechnung Produktpreise'!$B$28)*(1+'Steuer- und Abgabensätze'!L5)</f>
        <v>19.108667759999996</v>
      </c>
      <c r="O85" s="181">
        <f>('Berechnung Produktpreise'!M28-'Berechnung Produktpreise'!$B$28)*(1+'Steuer- und Abgabensätze'!M5)</f>
        <v>19.108667759999996</v>
      </c>
    </row>
    <row r="86" spans="2:15" ht="13.5" thickBot="1">
      <c r="B86" s="138" t="s">
        <v>409</v>
      </c>
      <c r="C86" s="139"/>
      <c r="D86" s="178">
        <f t="shared" ref="D86:O86" si="19">D58-$D$58</f>
        <v>0</v>
      </c>
      <c r="E86" s="178">
        <f t="shared" si="19"/>
        <v>0.35153448759027572</v>
      </c>
      <c r="F86" s="178">
        <f t="shared" si="19"/>
        <v>9.7033537487014598E-2</v>
      </c>
      <c r="G86" s="178">
        <f t="shared" si="19"/>
        <v>-2.6834147337446539</v>
      </c>
      <c r="H86" s="178">
        <f t="shared" si="19"/>
        <v>-7.3981327254571951</v>
      </c>
      <c r="I86" s="178">
        <f t="shared" si="19"/>
        <v>-6.6730009867794857</v>
      </c>
      <c r="J86" s="178">
        <f t="shared" si="19"/>
        <v>-8.0643302019896694</v>
      </c>
      <c r="K86" s="178">
        <f t="shared" si="19"/>
        <v>-8.7985320394801629</v>
      </c>
      <c r="L86" s="178">
        <f t="shared" si="19"/>
        <v>-9.0983927662087147</v>
      </c>
      <c r="M86" s="178">
        <f t="shared" si="19"/>
        <v>-9.2139375069130889</v>
      </c>
      <c r="N86" s="178">
        <f t="shared" si="19"/>
        <v>-9.3483754030631125</v>
      </c>
      <c r="O86" s="179">
        <f t="shared" si="19"/>
        <v>-9.5803670282854938</v>
      </c>
    </row>
    <row r="87" spans="2:15">
      <c r="B87" s="130"/>
      <c r="C87" s="130"/>
      <c r="D87" s="133"/>
      <c r="E87" s="133"/>
      <c r="F87" s="133"/>
      <c r="G87" s="133"/>
      <c r="H87" s="133"/>
      <c r="I87" s="133"/>
      <c r="J87" s="133"/>
      <c r="K87" s="133"/>
      <c r="L87" s="133"/>
      <c r="M87" s="133"/>
      <c r="N87" s="133"/>
      <c r="O87" s="133"/>
    </row>
    <row r="88" spans="2:15">
      <c r="B88" s="130"/>
      <c r="C88" s="130"/>
      <c r="D88" s="133"/>
      <c r="E88" s="133"/>
      <c r="F88" s="133"/>
      <c r="G88" s="133"/>
      <c r="H88" s="133"/>
      <c r="I88" s="133"/>
      <c r="J88" s="133"/>
      <c r="K88" s="133"/>
      <c r="L88" s="133"/>
      <c r="M88" s="133"/>
      <c r="N88" s="133"/>
      <c r="O88" s="133"/>
    </row>
    <row r="89" spans="2:15">
      <c r="B89" s="248"/>
      <c r="C89" s="130"/>
      <c r="D89" s="133"/>
      <c r="E89" s="133"/>
      <c r="F89" s="133"/>
      <c r="G89" s="133"/>
      <c r="H89" s="133"/>
      <c r="I89" s="133"/>
      <c r="J89" s="133"/>
      <c r="K89" s="133"/>
      <c r="L89" s="133"/>
      <c r="M89" s="133"/>
      <c r="N89" s="133"/>
      <c r="O89" s="133"/>
    </row>
    <row r="90" spans="2:15">
      <c r="B90" s="130"/>
      <c r="C90" s="130"/>
      <c r="D90" s="133"/>
      <c r="E90" s="133"/>
      <c r="F90" s="133"/>
      <c r="G90" s="133"/>
      <c r="H90" s="133"/>
      <c r="I90" s="133"/>
      <c r="J90" s="133"/>
      <c r="K90" s="133"/>
      <c r="L90" s="133"/>
      <c r="M90" s="133"/>
      <c r="N90" s="133"/>
      <c r="O90" s="133"/>
    </row>
    <row r="96" spans="2:15" s="130" customFormat="1"/>
    <row r="97" spans="1:15" s="130" customFormat="1"/>
    <row r="98" spans="1:15" s="130" customFormat="1">
      <c r="D98" s="136"/>
      <c r="E98" s="136"/>
      <c r="F98" s="136"/>
      <c r="G98" s="136"/>
      <c r="H98" s="136"/>
      <c r="I98" s="136"/>
      <c r="J98" s="136"/>
      <c r="K98" s="136"/>
      <c r="L98" s="136"/>
      <c r="M98" s="136"/>
      <c r="N98" s="136"/>
      <c r="O98" s="136"/>
    </row>
    <row r="99" spans="1:15" s="130" customFormat="1">
      <c r="D99" s="136"/>
      <c r="E99" s="136"/>
      <c r="F99" s="136"/>
      <c r="G99" s="136"/>
      <c r="H99" s="136"/>
      <c r="I99" s="136"/>
      <c r="J99" s="136"/>
      <c r="K99" s="136"/>
      <c r="L99" s="136"/>
      <c r="M99" s="136"/>
      <c r="N99" s="136"/>
      <c r="O99" s="136"/>
    </row>
    <row r="100" spans="1:15" s="130" customFormat="1">
      <c r="D100" s="136"/>
      <c r="E100" s="136"/>
      <c r="F100" s="136"/>
      <c r="G100" s="136"/>
      <c r="H100" s="136"/>
      <c r="I100" s="136"/>
      <c r="J100" s="136"/>
      <c r="K100" s="136"/>
      <c r="L100" s="136"/>
      <c r="M100" s="136"/>
      <c r="N100" s="136"/>
      <c r="O100" s="136"/>
    </row>
    <row r="101" spans="1:15" s="130" customFormat="1">
      <c r="B101" s="137"/>
      <c r="D101" s="136"/>
      <c r="E101" s="136"/>
      <c r="F101" s="136"/>
      <c r="G101" s="136"/>
      <c r="H101" s="136"/>
      <c r="I101" s="136"/>
      <c r="J101" s="136"/>
      <c r="K101" s="136"/>
      <c r="L101" s="136"/>
      <c r="M101" s="136"/>
      <c r="N101" s="136"/>
      <c r="O101" s="136"/>
    </row>
    <row r="102" spans="1:15" s="130" customFormat="1">
      <c r="D102" s="136"/>
      <c r="E102" s="136"/>
      <c r="F102" s="136"/>
      <c r="G102" s="136"/>
      <c r="H102" s="136"/>
      <c r="I102" s="136"/>
      <c r="J102" s="136"/>
      <c r="K102" s="136"/>
      <c r="L102" s="136"/>
      <c r="M102" s="136"/>
      <c r="N102" s="136"/>
      <c r="O102" s="136"/>
    </row>
    <row r="103" spans="1:15" s="130" customFormat="1">
      <c r="D103" s="136"/>
      <c r="E103" s="136"/>
      <c r="F103" s="136"/>
      <c r="G103" s="136"/>
      <c r="H103" s="136"/>
      <c r="I103" s="136"/>
      <c r="J103" s="136"/>
      <c r="K103" s="136"/>
      <c r="L103" s="136"/>
      <c r="M103" s="136"/>
      <c r="N103" s="136"/>
      <c r="O103" s="136"/>
    </row>
    <row r="106" spans="1:15">
      <c r="A106" s="130"/>
      <c r="B106" s="130"/>
      <c r="C106" s="130"/>
      <c r="D106" s="136"/>
      <c r="E106" s="136"/>
      <c r="F106" s="136"/>
      <c r="G106" s="136"/>
      <c r="H106" s="136"/>
      <c r="I106" s="136"/>
      <c r="J106" s="136"/>
      <c r="K106" s="136"/>
      <c r="L106" s="136"/>
      <c r="M106" s="136"/>
      <c r="N106" s="136"/>
      <c r="O106" s="136"/>
    </row>
    <row r="107" spans="1:15">
      <c r="A107" s="130"/>
      <c r="B107" s="130"/>
      <c r="C107" s="130"/>
      <c r="D107" s="136"/>
      <c r="E107" s="136"/>
      <c r="F107" s="136"/>
      <c r="G107" s="136"/>
      <c r="H107" s="136"/>
      <c r="I107" s="136"/>
      <c r="J107" s="136"/>
      <c r="K107" s="136"/>
      <c r="L107" s="136"/>
      <c r="M107" s="136"/>
      <c r="N107" s="136"/>
      <c r="O107" s="136"/>
    </row>
    <row r="108" spans="1:15">
      <c r="A108" s="130"/>
      <c r="B108" s="130"/>
      <c r="C108" s="130"/>
      <c r="D108" s="136"/>
      <c r="E108" s="136"/>
      <c r="F108" s="136"/>
      <c r="G108" s="136"/>
      <c r="H108" s="136"/>
      <c r="I108" s="136"/>
      <c r="J108" s="136"/>
      <c r="K108" s="136"/>
      <c r="L108" s="136"/>
      <c r="M108" s="136"/>
      <c r="N108" s="136"/>
      <c r="O108" s="136"/>
    </row>
    <row r="109" spans="1:15">
      <c r="A109" s="130"/>
      <c r="B109" s="130"/>
      <c r="C109" s="130"/>
      <c r="D109" s="136"/>
      <c r="E109" s="136"/>
      <c r="F109" s="136"/>
      <c r="G109" s="136"/>
      <c r="H109" s="136"/>
      <c r="I109" s="136"/>
      <c r="J109" s="136"/>
      <c r="K109" s="136"/>
      <c r="L109" s="136"/>
      <c r="M109" s="136"/>
      <c r="N109" s="136"/>
      <c r="O109" s="136"/>
    </row>
    <row r="110" spans="1:15">
      <c r="A110" s="130"/>
      <c r="B110" s="130"/>
      <c r="C110" s="130"/>
      <c r="D110" s="136"/>
      <c r="E110" s="136"/>
      <c r="F110" s="136"/>
      <c r="G110" s="136"/>
      <c r="H110" s="136"/>
      <c r="I110" s="136"/>
      <c r="J110" s="136"/>
      <c r="K110" s="136"/>
      <c r="L110" s="136"/>
      <c r="M110" s="136"/>
      <c r="N110" s="136"/>
      <c r="O110" s="136"/>
    </row>
    <row r="111" spans="1:15">
      <c r="A111" s="130"/>
      <c r="B111" s="130"/>
      <c r="C111" s="130"/>
      <c r="D111" s="136"/>
      <c r="E111" s="136"/>
      <c r="F111" s="136"/>
      <c r="G111" s="136"/>
      <c r="H111" s="136"/>
      <c r="I111" s="136"/>
      <c r="J111" s="136"/>
      <c r="K111" s="136"/>
      <c r="L111" s="136"/>
      <c r="M111" s="136"/>
      <c r="N111" s="136"/>
      <c r="O111" s="136"/>
    </row>
    <row r="112" spans="1:15">
      <c r="A112" s="130"/>
      <c r="B112" s="130"/>
      <c r="C112" s="130"/>
      <c r="D112" s="136"/>
      <c r="E112" s="136"/>
      <c r="F112" s="136"/>
      <c r="G112" s="136"/>
      <c r="H112" s="136"/>
      <c r="I112" s="136"/>
      <c r="J112" s="136"/>
      <c r="K112" s="136"/>
      <c r="L112" s="136"/>
      <c r="M112" s="136"/>
      <c r="N112" s="136"/>
      <c r="O112" s="136"/>
    </row>
    <row r="113" spans="1:15">
      <c r="A113" s="130"/>
      <c r="B113" s="130"/>
      <c r="C113" s="130"/>
      <c r="D113" s="136"/>
      <c r="E113" s="136"/>
      <c r="F113" s="136"/>
      <c r="G113" s="136"/>
      <c r="H113" s="136"/>
      <c r="I113" s="136"/>
      <c r="J113" s="136"/>
      <c r="K113" s="136"/>
      <c r="L113" s="136"/>
      <c r="M113" s="136"/>
      <c r="N113" s="136"/>
      <c r="O113" s="136"/>
    </row>
    <row r="114" spans="1:15">
      <c r="A114" s="130"/>
      <c r="B114" s="130"/>
      <c r="C114" s="130"/>
      <c r="D114" s="130"/>
      <c r="E114" s="130"/>
      <c r="F114" s="130"/>
      <c r="G114" s="130"/>
      <c r="H114" s="130"/>
      <c r="I114" s="130"/>
      <c r="J114" s="130"/>
      <c r="K114" s="130"/>
      <c r="L114" s="130"/>
      <c r="M114" s="130"/>
      <c r="N114" s="130"/>
      <c r="O114" s="130"/>
    </row>
    <row r="115" spans="1:15">
      <c r="A115" s="130"/>
      <c r="B115" s="130"/>
      <c r="C115" s="130"/>
      <c r="D115" s="130"/>
      <c r="E115" s="130"/>
      <c r="F115" s="130"/>
      <c r="G115" s="130"/>
      <c r="H115" s="130"/>
      <c r="I115" s="130"/>
      <c r="J115" s="130"/>
      <c r="K115" s="130"/>
      <c r="L115" s="130"/>
      <c r="M115" s="130"/>
      <c r="N115" s="130"/>
      <c r="O115" s="130"/>
    </row>
    <row r="116" spans="1:15">
      <c r="A116" s="130"/>
      <c r="B116" s="130"/>
      <c r="C116" s="130"/>
      <c r="D116" s="136"/>
      <c r="E116" s="136"/>
      <c r="F116" s="136"/>
      <c r="G116" s="136"/>
      <c r="H116" s="136"/>
      <c r="I116" s="136"/>
      <c r="J116" s="136"/>
      <c r="K116" s="136"/>
      <c r="L116" s="136"/>
      <c r="M116" s="136"/>
      <c r="N116" s="136"/>
      <c r="O116" s="136"/>
    </row>
    <row r="117" spans="1:15">
      <c r="A117" s="130"/>
      <c r="B117" s="130"/>
      <c r="C117" s="130"/>
      <c r="D117" s="136"/>
      <c r="E117" s="136"/>
      <c r="F117" s="136"/>
      <c r="G117" s="136"/>
      <c r="H117" s="136"/>
      <c r="I117" s="136"/>
      <c r="J117" s="136"/>
      <c r="K117" s="136"/>
      <c r="L117" s="136"/>
      <c r="M117" s="136"/>
      <c r="N117" s="136"/>
      <c r="O117" s="136"/>
    </row>
    <row r="118" spans="1:15">
      <c r="A118" s="130"/>
      <c r="B118" s="130"/>
      <c r="C118" s="130"/>
      <c r="D118" s="136"/>
      <c r="E118" s="136"/>
      <c r="F118" s="136"/>
      <c r="G118" s="136"/>
      <c r="H118" s="136"/>
      <c r="I118" s="136"/>
      <c r="J118" s="136"/>
      <c r="K118" s="136"/>
      <c r="L118" s="136"/>
      <c r="M118" s="136"/>
      <c r="N118" s="136"/>
      <c r="O118" s="136"/>
    </row>
    <row r="119" spans="1:15">
      <c r="A119" s="130"/>
      <c r="B119" s="130"/>
      <c r="C119" s="130"/>
      <c r="D119" s="136"/>
      <c r="E119" s="136"/>
      <c r="F119" s="136"/>
      <c r="G119" s="136"/>
      <c r="H119" s="136"/>
      <c r="I119" s="136"/>
      <c r="J119" s="136"/>
      <c r="K119" s="136"/>
      <c r="L119" s="136"/>
      <c r="M119" s="136"/>
      <c r="N119" s="136"/>
      <c r="O119" s="136"/>
    </row>
    <row r="120" spans="1:15">
      <c r="A120" s="130"/>
      <c r="B120" s="130"/>
      <c r="C120" s="130"/>
      <c r="D120" s="130"/>
      <c r="E120" s="130"/>
      <c r="F120" s="130"/>
      <c r="G120" s="130"/>
      <c r="H120" s="130"/>
      <c r="I120" s="130"/>
      <c r="J120" s="130"/>
      <c r="K120" s="130"/>
      <c r="L120" s="130"/>
      <c r="M120" s="130"/>
      <c r="N120" s="130"/>
      <c r="O120" s="130"/>
    </row>
    <row r="121" spans="1:15">
      <c r="A121" s="130"/>
      <c r="B121" s="130"/>
      <c r="C121" s="130"/>
      <c r="D121" s="227"/>
      <c r="E121" s="227"/>
      <c r="F121" s="227"/>
      <c r="G121" s="227"/>
      <c r="H121" s="227"/>
      <c r="I121" s="227"/>
      <c r="J121" s="227"/>
      <c r="K121" s="227"/>
      <c r="L121" s="227"/>
      <c r="M121" s="227"/>
      <c r="N121" s="227"/>
      <c r="O121" s="227"/>
    </row>
    <row r="122" spans="1:15">
      <c r="A122" s="130"/>
      <c r="B122" s="130"/>
      <c r="C122" s="130"/>
      <c r="D122" s="136"/>
      <c r="E122" s="136"/>
      <c r="F122" s="136"/>
      <c r="G122" s="136"/>
      <c r="H122" s="136"/>
      <c r="I122" s="136"/>
      <c r="J122" s="136"/>
      <c r="K122" s="136"/>
      <c r="L122" s="136"/>
      <c r="M122" s="136"/>
      <c r="N122" s="136"/>
      <c r="O122" s="136"/>
    </row>
    <row r="123" spans="1:15">
      <c r="A123" s="130"/>
      <c r="B123" s="130"/>
      <c r="C123" s="130"/>
      <c r="D123" s="130"/>
      <c r="E123" s="130"/>
      <c r="F123" s="130"/>
      <c r="G123" s="130"/>
      <c r="H123" s="130"/>
      <c r="I123" s="130"/>
      <c r="J123" s="130"/>
      <c r="K123" s="130"/>
      <c r="L123" s="130"/>
      <c r="M123" s="130"/>
      <c r="N123" s="130"/>
      <c r="O123" s="130"/>
    </row>
    <row r="124" spans="1:15">
      <c r="A124" s="130"/>
      <c r="B124" s="130"/>
      <c r="C124" s="130"/>
      <c r="D124" s="130"/>
      <c r="E124" s="130"/>
      <c r="F124" s="130"/>
      <c r="G124" s="130"/>
      <c r="H124" s="130"/>
      <c r="I124" s="130"/>
      <c r="J124" s="130"/>
      <c r="K124" s="130"/>
      <c r="L124" s="130"/>
      <c r="M124" s="130"/>
      <c r="N124" s="130"/>
      <c r="O124" s="130"/>
    </row>
    <row r="125" spans="1:15">
      <c r="A125" s="130"/>
      <c r="B125" s="130"/>
      <c r="C125" s="130"/>
      <c r="D125" s="130"/>
      <c r="E125" s="130"/>
      <c r="F125" s="130"/>
      <c r="G125" s="130"/>
      <c r="H125" s="130"/>
      <c r="I125" s="130"/>
      <c r="J125" s="130"/>
      <c r="K125" s="130"/>
      <c r="L125" s="130"/>
      <c r="M125" s="130"/>
      <c r="N125" s="130"/>
      <c r="O125" s="130"/>
    </row>
  </sheetData>
  <sheetProtection algorithmName="SHA-512" hashValue="3b/mMpF0VKpodSYiXf6V8o3FAfgL+j4JDrYxyFIPijZ42h6PB76avrhNLn17j68r9G8BYDIT8jwW/UiuLi3pxg==" saltValue="qju8J2v+dXeLur+qDAL3MA==" spinCount="100000" sheet="1" formatRows="0" selectLockedCells="1"/>
  <conditionalFormatting sqref="G5:O5">
    <cfRule type="expression" dxfId="3" priority="2">
      <formula>$C$6&lt;&gt;"manuelle Eingabe"</formula>
    </cfRule>
  </conditionalFormatting>
  <conditionalFormatting sqref="D42:O42">
    <cfRule type="expression" dxfId="2" priority="1">
      <formula>$D$42&lt;&gt;""</formula>
    </cfRule>
  </conditionalFormatting>
  <pageMargins left="0.7" right="0.7" top="0.78740157499999996" bottom="0.78740157499999996" header="0.3" footer="0.3"/>
  <pageSetup orientation="portrait" r:id="rId1"/>
  <customProperties>
    <customPr name="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2052" r:id="rId5" name="Scroll Bar 4">
              <controlPr defaultSize="0" autoPict="0">
                <anchor moveWithCells="1">
                  <from>
                    <xdr:col>33</xdr:col>
                    <xdr:colOff>9525</xdr:colOff>
                    <xdr:row>3</xdr:row>
                    <xdr:rowOff>19050</xdr:rowOff>
                  </from>
                  <to>
                    <xdr:col>34</xdr:col>
                    <xdr:colOff>819150</xdr:colOff>
                    <xdr:row>3</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12F48E74-1A28-430B-A5D0-3DCEB7442B1A}">
          <x14:formula1>
            <xm:f>'Dropdown-Struktur'!$F$2:$F$16</xm:f>
          </x14:formula1>
          <xm:sqref>C19</xm:sqref>
        </x14:dataValidation>
        <x14:dataValidation type="list" allowBlank="1" showInputMessage="1" showErrorMessage="1" xr:uid="{0BCF323E-C5C9-4E93-B85B-E6CB92699B31}">
          <x14:formula1>
            <xm:f>'Dropdown-Struktur'!$E$2:$E$3</xm:f>
          </x14:formula1>
          <xm:sqref>C21 C23:C25 C27:C38</xm:sqref>
        </x14:dataValidation>
        <x14:dataValidation type="list" allowBlank="1" showInputMessage="1" showErrorMessage="1" xr:uid="{0EB0561A-9804-4D50-91E5-D6DB5E405E33}">
          <x14:formula1>
            <xm:f>'Dropdown-Struktur'!$A$2:$A$16</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7F4-D140-4933-ABC1-80DA47A30432}">
  <sheetPr codeName="Tabelle21"/>
  <dimension ref="A2:V34"/>
  <sheetViews>
    <sheetView workbookViewId="0"/>
  </sheetViews>
  <sheetFormatPr baseColWidth="10" defaultRowHeight="14.25"/>
  <cols>
    <col min="1" max="1" width="26.5" customWidth="1"/>
  </cols>
  <sheetData>
    <row r="2" spans="1:22" ht="15">
      <c r="B2" s="360">
        <v>2010</v>
      </c>
      <c r="C2" s="360">
        <f>B2+1</f>
        <v>2011</v>
      </c>
      <c r="D2" s="360">
        <f t="shared" ref="D2:U2" si="0">C2+1</f>
        <v>2012</v>
      </c>
      <c r="E2" s="360">
        <f t="shared" si="0"/>
        <v>2013</v>
      </c>
      <c r="F2" s="360">
        <f t="shared" si="0"/>
        <v>2014</v>
      </c>
      <c r="G2" s="360">
        <f t="shared" si="0"/>
        <v>2015</v>
      </c>
      <c r="H2" s="360">
        <f t="shared" si="0"/>
        <v>2016</v>
      </c>
      <c r="I2" s="360">
        <f t="shared" si="0"/>
        <v>2017</v>
      </c>
      <c r="J2" s="360">
        <f t="shared" si="0"/>
        <v>2018</v>
      </c>
      <c r="K2" s="360">
        <f t="shared" si="0"/>
        <v>2019</v>
      </c>
      <c r="L2" s="360">
        <f t="shared" si="0"/>
        <v>2020</v>
      </c>
      <c r="M2" s="360">
        <f t="shared" si="0"/>
        <v>2021</v>
      </c>
      <c r="N2" s="360">
        <f t="shared" si="0"/>
        <v>2022</v>
      </c>
      <c r="O2" s="360">
        <f t="shared" si="0"/>
        <v>2023</v>
      </c>
      <c r="P2" s="360">
        <f t="shared" si="0"/>
        <v>2024</v>
      </c>
      <c r="Q2" s="360">
        <f t="shared" si="0"/>
        <v>2025</v>
      </c>
      <c r="R2" s="360">
        <f t="shared" si="0"/>
        <v>2026</v>
      </c>
      <c r="S2" s="360">
        <f>R2+1</f>
        <v>2027</v>
      </c>
      <c r="T2" s="360">
        <f t="shared" si="0"/>
        <v>2028</v>
      </c>
      <c r="U2" s="360">
        <f t="shared" si="0"/>
        <v>2029</v>
      </c>
      <c r="V2" s="360">
        <f>U2+1</f>
        <v>2030</v>
      </c>
    </row>
    <row r="3" spans="1:22">
      <c r="A3" t="s">
        <v>299</v>
      </c>
      <c r="B3">
        <f>'[7]MOD-Berechnungen'!F$7/10</f>
        <v>5.3650479999999998</v>
      </c>
      <c r="C3">
        <f>'[7]MOD-Berechnungen'!G$7/10</f>
        <v>5.0739089999999996</v>
      </c>
      <c r="D3">
        <f>'[7]MOD-Berechnungen'!H$7/10</f>
        <v>5.5220000000000002</v>
      </c>
      <c r="E3">
        <f>'[7]MOD-Berechnungen'!I$7/10</f>
        <v>5.1150000000000002</v>
      </c>
      <c r="F3">
        <f>'[7]MOD-Berechnungen'!J$7/10</f>
        <v>4.1450000000000005</v>
      </c>
      <c r="G3">
        <f>'[7]MOD-Berechnungen'!K$7/10</f>
        <v>3.5670000000000002</v>
      </c>
      <c r="H3">
        <f>'[7]MOD-Berechnungen'!L$7/10</f>
        <v>3.1260000000000003</v>
      </c>
      <c r="I3">
        <f>'[7]MOD-Berechnungen'!M$7/10</f>
        <v>2.6749999999999998</v>
      </c>
      <c r="J3">
        <f>'[7]MOD-Berechnungen'!N$7/10</f>
        <v>3.222</v>
      </c>
      <c r="K3">
        <f>'[7]MOD-Berechnungen'!O$7/10</f>
        <v>4.6280000000000001</v>
      </c>
      <c r="L3">
        <f>'[7]MOD-Berechnungen'!P$7/10</f>
        <v>4.9340000000000002</v>
      </c>
      <c r="M3">
        <f>'[7]MOD-Berechnungen'!Q$7/10</f>
        <v>4.0739999999999998</v>
      </c>
      <c r="N3">
        <f>'Interface EEG-CO2-Preis-Rechner'!E2/10</f>
        <v>7.8400000000000007</v>
      </c>
      <c r="O3">
        <f>'Interface EEG-CO2-Preis-Rechner'!F2/10</f>
        <v>8.7519999999999989</v>
      </c>
      <c r="P3">
        <f>'Interface EEG-CO2-Preis-Rechner'!G2/10</f>
        <v>7.2530000000000001</v>
      </c>
      <c r="Q3">
        <f>'Interface EEG-CO2-Preis-Rechner'!H2/10</f>
        <v>7.1599999999999993</v>
      </c>
      <c r="R3">
        <f>'Interface EEG-CO2-Preis-Rechner'!I2/10</f>
        <v>7.0620000000000003</v>
      </c>
      <c r="S3">
        <f>'Interface EEG-CO2-Preis-Rechner'!J2/10</f>
        <v>7.035000000000001</v>
      </c>
      <c r="T3">
        <f>'Interface EEG-CO2-Preis-Rechner'!K2/10</f>
        <v>6.9610000000000003</v>
      </c>
      <c r="U3">
        <f>'Interface EEG-CO2-Preis-Rechner'!L2/10</f>
        <v>6.8930000000000007</v>
      </c>
      <c r="V3">
        <f>'Interface EEG-CO2-Preis-Rechner'!M2/10</f>
        <v>6.8579999999999997</v>
      </c>
    </row>
    <row r="4" spans="1:22">
      <c r="A4" t="s">
        <v>170</v>
      </c>
      <c r="B4" s="7">
        <f>'[7]GrD-Grafikdaten'!F104</f>
        <v>2.0469999999999997</v>
      </c>
      <c r="C4" s="7">
        <f>'[7]GrD-Grafikdaten'!G104</f>
        <v>3.5300000000000007</v>
      </c>
      <c r="D4" s="7">
        <f>'[7]GrD-Grafikdaten'!H104</f>
        <v>3.5920000000000005</v>
      </c>
      <c r="E4" s="7">
        <f>'[7]GrD-Grafikdaten'!I104</f>
        <v>5.2769999999999992</v>
      </c>
      <c r="F4" s="7">
        <f>'[7]GrD-Grafikdaten'!J104</f>
        <v>6.2399999999999993</v>
      </c>
      <c r="G4" s="7">
        <f>'[7]GrD-Grafikdaten'!K104</f>
        <v>6.1695706877643843</v>
      </c>
      <c r="H4" s="7">
        <f>'[7]GrD-Grafikdaten'!L104</f>
        <v>6.3382686397238945</v>
      </c>
      <c r="I4" s="7">
        <f>'[7]GrD-Grafikdaten'!M104</f>
        <v>6.8602264368703567</v>
      </c>
      <c r="J4" s="7">
        <f>'[7]GrD-Grafikdaten'!N104</f>
        <v>6.7788048363237206</v>
      </c>
      <c r="K4" s="6">
        <f>'Start - Ergebnisse'!D$60</f>
        <v>6.406581826229905</v>
      </c>
      <c r="L4" s="6">
        <f>'Start - Ergebnisse'!E$60</f>
        <v>6.7581163138201807</v>
      </c>
      <c r="M4" s="6">
        <f>'Start - Ergebnisse'!F$60</f>
        <v>6.5036153637169196</v>
      </c>
      <c r="N4" s="6">
        <f>'Start - Ergebnisse'!G$60</f>
        <v>3.7231670924852511</v>
      </c>
      <c r="O4" s="6">
        <f>'Start - Ergebnisse'!H$60</f>
        <v>0</v>
      </c>
      <c r="P4" s="6">
        <f>'Start - Ergebnisse'!I$60</f>
        <v>0</v>
      </c>
      <c r="Q4" s="6">
        <f>'Start - Ergebnisse'!J$60</f>
        <v>0</v>
      </c>
      <c r="R4" s="6">
        <f>'Start - Ergebnisse'!K$60</f>
        <v>0</v>
      </c>
      <c r="S4" s="6">
        <f>'Start - Ergebnisse'!L$60</f>
        <v>0</v>
      </c>
      <c r="T4" s="6">
        <f>'Start - Ergebnisse'!M$60</f>
        <v>0</v>
      </c>
      <c r="U4" s="6">
        <f>'Start - Ergebnisse'!N$60</f>
        <v>0</v>
      </c>
      <c r="V4" s="6">
        <f>'Start - Ergebnisse'!O$60</f>
        <v>0</v>
      </c>
    </row>
    <row r="5" spans="1:22">
      <c r="A5" t="s">
        <v>300</v>
      </c>
      <c r="B5" s="7">
        <f>B3+B4</f>
        <v>7.4120479999999995</v>
      </c>
      <c r="C5" s="7">
        <f t="shared" ref="C5:V5" si="1">C3+C4</f>
        <v>8.6039089999999998</v>
      </c>
      <c r="D5" s="7">
        <f t="shared" si="1"/>
        <v>9.1140000000000008</v>
      </c>
      <c r="E5" s="7">
        <f t="shared" si="1"/>
        <v>10.391999999999999</v>
      </c>
      <c r="F5" s="7">
        <f t="shared" si="1"/>
        <v>10.385</v>
      </c>
      <c r="G5" s="7">
        <f t="shared" si="1"/>
        <v>9.7365706877643845</v>
      </c>
      <c r="H5" s="7">
        <f t="shared" si="1"/>
        <v>9.464268639723894</v>
      </c>
      <c r="I5" s="7">
        <f t="shared" si="1"/>
        <v>9.5352264368703565</v>
      </c>
      <c r="J5" s="7">
        <f t="shared" si="1"/>
        <v>10.00080483632372</v>
      </c>
      <c r="K5" s="7">
        <f t="shared" si="1"/>
        <v>11.034581826229905</v>
      </c>
      <c r="L5" s="7">
        <f t="shared" si="1"/>
        <v>11.692116313820181</v>
      </c>
      <c r="M5" s="7">
        <f t="shared" si="1"/>
        <v>10.577615363716919</v>
      </c>
      <c r="N5" s="7">
        <f t="shared" si="1"/>
        <v>11.563167092485251</v>
      </c>
      <c r="O5" s="7">
        <f t="shared" si="1"/>
        <v>8.7519999999999989</v>
      </c>
      <c r="P5" s="7">
        <f t="shared" si="1"/>
        <v>7.2530000000000001</v>
      </c>
      <c r="Q5" s="7">
        <f t="shared" si="1"/>
        <v>7.1599999999999993</v>
      </c>
      <c r="R5" s="7">
        <f t="shared" si="1"/>
        <v>7.0620000000000003</v>
      </c>
      <c r="S5" s="7">
        <f t="shared" si="1"/>
        <v>7.035000000000001</v>
      </c>
      <c r="T5" s="7">
        <f t="shared" si="1"/>
        <v>6.9610000000000003</v>
      </c>
      <c r="U5" s="7">
        <f t="shared" si="1"/>
        <v>6.8930000000000007</v>
      </c>
      <c r="V5" s="7">
        <f t="shared" si="1"/>
        <v>6.8579999999999997</v>
      </c>
    </row>
    <row r="7" spans="1:22">
      <c r="A7" t="s">
        <v>301</v>
      </c>
      <c r="K7" s="18">
        <f>'Start - Ergebnisse'!D$75</f>
        <v>47317.282100257238</v>
      </c>
      <c r="L7" s="18">
        <f>'Start - Ergebnisse'!E$75</f>
        <v>44010.068107793035</v>
      </c>
      <c r="M7" s="18">
        <f>'Start - Ergebnisse'!F$75</f>
        <v>52072.752966578795</v>
      </c>
      <c r="N7" s="18">
        <f>'Start - Ergebnisse'!G$75</f>
        <v>57724.504207773331</v>
      </c>
      <c r="O7" s="18">
        <f>'Start - Ergebnisse'!H$75</f>
        <v>59451.851356762287</v>
      </c>
      <c r="P7" s="18">
        <f>'Start - Ergebnisse'!I$75</f>
        <v>62906.545654740199</v>
      </c>
      <c r="Q7" s="18">
        <f>'Start - Ergebnisse'!J$75</f>
        <v>66361.239952718111</v>
      </c>
      <c r="R7" s="18">
        <f>'Start - Ergebnisse'!K$75</f>
        <v>68088.587101707075</v>
      </c>
      <c r="S7" s="18">
        <f>'Start - Ergebnisse'!L$75</f>
        <v>68088.587101707075</v>
      </c>
      <c r="T7" s="18">
        <f>'Start - Ergebnisse'!M$75</f>
        <v>68088.587101707075</v>
      </c>
      <c r="U7" s="18">
        <f>'Start - Ergebnisse'!N$75</f>
        <v>68088.587101707075</v>
      </c>
      <c r="V7" s="18">
        <f>'Start - Ergebnisse'!O$75</f>
        <v>68088.587101707075</v>
      </c>
    </row>
    <row r="8" spans="1:22">
      <c r="A8" t="s">
        <v>302</v>
      </c>
      <c r="K8" s="18">
        <f>-1*('Start - Ergebnisse'!D$76+'Start - Ergebnisse'!D$77)</f>
        <v>0</v>
      </c>
      <c r="L8" s="18">
        <f>-1*('Start - Ergebnisse'!E$76+'Start - Ergebnisse'!E$77)</f>
        <v>0</v>
      </c>
      <c r="M8" s="18">
        <f>-1*('Start - Ergebnisse'!F$76+'Start - Ergebnisse'!F$77)</f>
        <v>-11080</v>
      </c>
      <c r="N8" s="18">
        <f>-1*('Start - Ergebnisse'!G$76+'Start - Ergebnisse'!G$77)</f>
        <v>-3729</v>
      </c>
      <c r="O8" s="18">
        <f>-1*('Start - Ergebnisse'!H$76+'Start - Ergebnisse'!H$77)</f>
        <v>-8316.8783583680779</v>
      </c>
      <c r="P8" s="18">
        <f>-1*('Start - Ergebnisse'!I$76+'Start - Ergebnisse'!I$77)</f>
        <v>-14448.392564570979</v>
      </c>
      <c r="Q8" s="18">
        <f>-1*('Start - Ergebnisse'!J$76+'Start - Ergebnisse'!J$77)</f>
        <v>-12749.588914179392</v>
      </c>
      <c r="R8" s="18">
        <f>-1*('Start - Ergebnisse'!K$76+'Start - Ergebnisse'!K$77)</f>
        <v>-11554.398355351845</v>
      </c>
      <c r="S8" s="18">
        <f>-1*('Start - Ergebnisse'!L$76+'Start - Ergebnisse'!L$77)</f>
        <v>-10191.724349610675</v>
      </c>
      <c r="T8" s="18">
        <f>-1*('Start - Ergebnisse'!M$76+'Start - Ergebnisse'!M$77)</f>
        <v>-9505.5221016662217</v>
      </c>
      <c r="U8" s="18">
        <f>-1*('Start - Ergebnisse'!N$76+'Start - Ergebnisse'!N$77)</f>
        <v>-8721.4538544018305</v>
      </c>
      <c r="V8" s="18">
        <f>-1*('Start - Ergebnisse'!O$76+'Start - Ergebnisse'!O$77)</f>
        <v>-7509.8551702974128</v>
      </c>
    </row>
    <row r="9" spans="1:22">
      <c r="A9" t="s">
        <v>286</v>
      </c>
      <c r="K9" s="18">
        <f>K7+K8</f>
        <v>47317.282100257238</v>
      </c>
      <c r="L9" s="18">
        <f t="shared" ref="L9:V9" si="2">L7+L8</f>
        <v>44010.068107793035</v>
      </c>
      <c r="M9" s="18">
        <f t="shared" si="2"/>
        <v>40992.752966578795</v>
      </c>
      <c r="N9" s="18">
        <f t="shared" si="2"/>
        <v>53995.504207773331</v>
      </c>
      <c r="O9" s="18">
        <f t="shared" si="2"/>
        <v>51134.972998394209</v>
      </c>
      <c r="P9" s="18">
        <f t="shared" si="2"/>
        <v>48458.153090169217</v>
      </c>
      <c r="Q9" s="18">
        <f t="shared" si="2"/>
        <v>53611.651038538723</v>
      </c>
      <c r="R9" s="18">
        <f t="shared" si="2"/>
        <v>56534.188746355227</v>
      </c>
      <c r="S9" s="18">
        <f t="shared" si="2"/>
        <v>57896.8627520964</v>
      </c>
      <c r="T9" s="18">
        <f t="shared" si="2"/>
        <v>58583.06500004085</v>
      </c>
      <c r="U9" s="18">
        <f t="shared" si="2"/>
        <v>59367.133247305246</v>
      </c>
      <c r="V9" s="18">
        <f t="shared" si="2"/>
        <v>60578.73193140966</v>
      </c>
    </row>
    <row r="11" spans="1:22">
      <c r="A11" t="s">
        <v>423</v>
      </c>
      <c r="B11" t="s">
        <v>0</v>
      </c>
      <c r="C11">
        <f>'Start - Ergebnisse'!$AI$3</f>
        <v>2022</v>
      </c>
      <c r="D11">
        <f>MATCH('Graphikdaten 1'!C11,'Start - Ergebnisse'!$D$2:$O$2)</f>
        <v>4</v>
      </c>
    </row>
    <row r="12" spans="1:22">
      <c r="A12" t="s">
        <v>425</v>
      </c>
      <c r="B12" s="8" cm="1">
        <f t="array" ref="B12">INDEX('Start - Ergebnisse'!$D$46:$O$46,'Graphikdaten 1'!D11)</f>
        <v>3250</v>
      </c>
    </row>
    <row r="13" spans="1:22">
      <c r="A13" t="s">
        <v>424</v>
      </c>
      <c r="B13" s="8" cm="1">
        <f t="array" ref="B13">INDEX('Start - Ergebnisse'!$D$21:$O$21,'Graphikdaten 1'!D11)*'Start - Ergebnisse'!P21</f>
        <v>0</v>
      </c>
    </row>
    <row r="14" spans="1:22">
      <c r="A14" t="s">
        <v>426</v>
      </c>
      <c r="B14">
        <f>SUMPRODUCT(B18:B34,C18:C34)</f>
        <v>479</v>
      </c>
    </row>
    <row r="15" spans="1:22">
      <c r="A15" t="s">
        <v>427</v>
      </c>
      <c r="B15" s="8" cm="1">
        <f t="array" ref="B15">INDEX('Start - Ergebnisse'!D62:O62,'Graphikdaten 1'!D11)</f>
        <v>0</v>
      </c>
    </row>
    <row r="18" spans="1:3">
      <c r="A18" t="str">
        <f>'Start - Ergebnisse'!B22</f>
        <v>Mit Beschlussfassung des BEHG zugesagt:</v>
      </c>
      <c r="B18" cm="1">
        <f t="array" ref="B18">INDEX('Start - Ergebnisse'!D22:O22,'Graphikdaten 1'!$D$11)</f>
        <v>0</v>
      </c>
      <c r="C18">
        <f>'Start - Ergebnisse'!P22</f>
        <v>0</v>
      </c>
    </row>
    <row r="19" spans="1:3">
      <c r="A19" t="str">
        <f>'Start - Ergebnisse'!B23</f>
        <v>Erhöhung Pendlerpauschale</v>
      </c>
      <c r="B19" cm="1">
        <f t="array" ref="B19">INDEX('Start - Ergebnisse'!D23:O23,'Graphikdaten 1'!$D$11)</f>
        <v>169</v>
      </c>
      <c r="C19">
        <f>'Start - Ergebnisse'!P23</f>
        <v>1</v>
      </c>
    </row>
    <row r="20" spans="1:3">
      <c r="A20" t="str">
        <f>'Start - Ergebnisse'!B24</f>
        <v>Erhöhung Wohngeld</v>
      </c>
      <c r="B20" cm="1">
        <f t="array" ref="B20">INDEX('Start - Ergebnisse'!D24:O24,'Graphikdaten 1'!$D$11)</f>
        <v>60</v>
      </c>
      <c r="C20">
        <f>'Start - Ergebnisse'!P24</f>
        <v>1</v>
      </c>
    </row>
    <row r="21" spans="1:3">
      <c r="A21" t="str">
        <f>'Start - Ergebnisse'!B25</f>
        <v>Carbon-Leakage Ausgaben</v>
      </c>
      <c r="B21" cm="1">
        <f t="array" ref="B21">INDEX('Start - Ergebnisse'!D25:O25,'Graphikdaten 1'!$D$11)</f>
        <v>250</v>
      </c>
      <c r="C21">
        <f>'Start - Ergebnisse'!P25</f>
        <v>1</v>
      </c>
    </row>
    <row r="22" spans="1:3">
      <c r="A22" t="str">
        <f>'Start - Ergebnisse'!B26</f>
        <v>Weitere diskutierte Einnahmeverwendungen:</v>
      </c>
      <c r="B22" cm="1">
        <f t="array" ref="B22">INDEX('Start - Ergebnisse'!D26:O26,'Graphikdaten 1'!$D$11)</f>
        <v>0</v>
      </c>
      <c r="C22">
        <f>'Start - Ergebnisse'!P26</f>
        <v>0</v>
      </c>
    </row>
    <row r="23" spans="1:3">
      <c r="A23" t="str">
        <f>'Start - Ergebnisse'!B27</f>
        <v>Förderung E-Dienstwagen</v>
      </c>
      <c r="B23" cm="1">
        <f t="array" ref="B23">INDEX('Start - Ergebnisse'!D27:O27,'Graphikdaten 1'!$D$11)</f>
        <v>0</v>
      </c>
      <c r="C23">
        <f>'Start - Ergebnisse'!P27</f>
        <v>0</v>
      </c>
    </row>
    <row r="24" spans="1:3">
      <c r="A24" t="str">
        <f>'Start - Ergebnisse'!B28</f>
        <v>7% auf Bahntickets</v>
      </c>
      <c r="B24" cm="1">
        <f t="array" ref="B24">INDEX('Start - Ergebnisse'!D28:O28,'Graphikdaten 1'!$D$11)</f>
        <v>0</v>
      </c>
      <c r="C24">
        <f>'Start - Ergebnisse'!P28</f>
        <v>0</v>
      </c>
    </row>
    <row r="25" spans="1:3">
      <c r="A25" t="str">
        <f>'Start - Ergebnisse'!B29</f>
        <v>E-Mobilitätsförderung</v>
      </c>
      <c r="B25" cm="1">
        <f t="array" ref="B25">INDEX('Start - Ergebnisse'!D29:O29,'Graphikdaten 1'!$D$11)</f>
        <v>0</v>
      </c>
      <c r="C25">
        <f>'Start - Ergebnisse'!P29</f>
        <v>0</v>
      </c>
    </row>
    <row r="26" spans="1:3">
      <c r="A26" t="str">
        <f>'Start - Ergebnisse'!B30</f>
        <v>Zusätzliche Klimaschutzmaßnahmen</v>
      </c>
      <c r="B26" cm="1">
        <f t="array" ref="B26">INDEX('Start - Ergebnisse'!D30:O30,'Graphikdaten 1'!$D$11)</f>
        <v>0</v>
      </c>
      <c r="C26">
        <f>'Start - Ergebnisse'!P30</f>
        <v>0</v>
      </c>
    </row>
    <row r="27" spans="1:3">
      <c r="A27" t="str">
        <f>'Start - Ergebnisse'!B31</f>
        <v>Stromsteuersenkung auf EU Mindestsatz</v>
      </c>
      <c r="B27" cm="1">
        <f t="array" ref="B27">INDEX('Start - Ergebnisse'!D31:O31,'Graphikdaten 1'!$D$11)</f>
        <v>0</v>
      </c>
      <c r="C27">
        <f>'Start - Ergebnisse'!P31</f>
        <v>0</v>
      </c>
    </row>
    <row r="28" spans="1:3">
      <c r="A28" t="str">
        <f>'Start - Ergebnisse'!B32</f>
        <v>Gebäudesanierung</v>
      </c>
      <c r="B28" cm="1">
        <f t="array" ref="B28">INDEX('Start - Ergebnisse'!D32:O32,'Graphikdaten 1'!$D$11)</f>
        <v>0</v>
      </c>
      <c r="C28">
        <f>'Start - Ergebnisse'!P32</f>
        <v>0</v>
      </c>
    </row>
    <row r="29" spans="1:3">
      <c r="A29" t="str">
        <f>'Start - Ergebnisse'!B33</f>
        <v>Teilerstattung CO2-Steuer für denkmalgeschützte Wohngebäude</v>
      </c>
      <c r="B29" cm="1">
        <f t="array" ref="B29">INDEX('Start - Ergebnisse'!D33:O33,'Graphikdaten 1'!$D$11)</f>
        <v>0</v>
      </c>
      <c r="C29">
        <f>'Start - Ergebnisse'!P33</f>
        <v>0</v>
      </c>
    </row>
    <row r="30" spans="1:3">
      <c r="A30" t="str">
        <f>'Start - Ergebnisse'!B34</f>
        <v>[Optional]</v>
      </c>
      <c r="B30" cm="1">
        <f t="array" ref="B30">INDEX('Start - Ergebnisse'!D34:O34,'Graphikdaten 1'!$D$11)</f>
        <v>0</v>
      </c>
      <c r="C30">
        <f>'Start - Ergebnisse'!P34</f>
        <v>0</v>
      </c>
    </row>
    <row r="31" spans="1:3">
      <c r="A31" t="str">
        <f>'Start - Ergebnisse'!B35</f>
        <v>[Optional]</v>
      </c>
      <c r="B31" cm="1">
        <f t="array" ref="B31">INDEX('Start - Ergebnisse'!D35:O35,'Graphikdaten 1'!$D$11)</f>
        <v>0</v>
      </c>
      <c r="C31">
        <f>'Start - Ergebnisse'!P35</f>
        <v>0</v>
      </c>
    </row>
    <row r="32" spans="1:3">
      <c r="A32" t="str">
        <f>'Start - Ergebnisse'!B36</f>
        <v>[Optional]</v>
      </c>
      <c r="B32" cm="1">
        <f t="array" ref="B32">INDEX('Start - Ergebnisse'!D36:O36,'Graphikdaten 1'!$D$11)</f>
        <v>0</v>
      </c>
      <c r="C32">
        <f>'Start - Ergebnisse'!P36</f>
        <v>0</v>
      </c>
    </row>
    <row r="33" spans="1:3">
      <c r="A33" t="str">
        <f>'Start - Ergebnisse'!B37</f>
        <v>[Optional]</v>
      </c>
      <c r="B33" cm="1">
        <f t="array" ref="B33">INDEX('Start - Ergebnisse'!D37:O37,'Graphikdaten 1'!$D$11)</f>
        <v>0</v>
      </c>
      <c r="C33">
        <f>'Start - Ergebnisse'!P37</f>
        <v>0</v>
      </c>
    </row>
    <row r="34" spans="1:3">
      <c r="A34" t="str">
        <f>'Start - Ergebnisse'!B38</f>
        <v>[Optional]</v>
      </c>
      <c r="B34" cm="1">
        <f t="array" ref="B34">INDEX('Start - Ergebnisse'!D38:O38,'Graphikdaten 1'!$D$11)</f>
        <v>0</v>
      </c>
      <c r="C34">
        <f>'Start - Ergebnisse'!P38</f>
        <v>0</v>
      </c>
    </row>
  </sheetData>
  <sheetProtection algorithmName="SHA-512" hashValue="0/KKDq+UyOCNhrQskpi/1rYLmx71B4CIaquGA0LTa3tfTCDbw8SXqM/6qOqqIwAwxRQmARQ6qtOferVXNzZhkg==" saltValue="LKmJ0J1VP+mm6CuSfJxS5w==" spinCount="100000" sheet="1" objects="1" scenarios="1" formatRows="0"/>
  <pageMargins left="0.7" right="0.7" top="0.78740157499999996" bottom="0.78740157499999996" header="0.3" footer="0.3"/>
  <customProperties>
    <customPr name="ID" r:id="rId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BE3DA-F259-4A60-BCC3-F29B4E2CAB4D}">
  <sheetPr codeName="Tabelle24">
    <tabColor theme="5"/>
  </sheetPr>
  <dimension ref="A2:AR89"/>
  <sheetViews>
    <sheetView topLeftCell="A4" workbookViewId="0"/>
  </sheetViews>
  <sheetFormatPr baseColWidth="10" defaultColWidth="10.625" defaultRowHeight="12.75"/>
  <cols>
    <col min="1" max="2" width="10.625" style="50"/>
    <col min="3" max="17" width="6" style="50" customWidth="1"/>
    <col min="18" max="16384" width="10.625" style="50"/>
  </cols>
  <sheetData>
    <row r="2" spans="1:24">
      <c r="B2" s="51" t="s">
        <v>220</v>
      </c>
      <c r="C2" s="369" t="s">
        <v>303</v>
      </c>
      <c r="D2" s="369"/>
      <c r="E2" s="369"/>
      <c r="F2" s="369"/>
      <c r="G2" s="369"/>
    </row>
    <row r="3" spans="1:24">
      <c r="B3" s="51" t="s">
        <v>221</v>
      </c>
      <c r="C3" s="369" t="s">
        <v>304</v>
      </c>
      <c r="D3" s="369"/>
      <c r="E3" s="369"/>
      <c r="F3" s="369"/>
      <c r="G3" s="369"/>
    </row>
    <row r="4" spans="1:24" ht="14.25">
      <c r="B4" s="52" t="s">
        <v>222</v>
      </c>
      <c r="C4" s="370" t="s">
        <v>305</v>
      </c>
      <c r="D4" s="370"/>
      <c r="E4" s="370"/>
      <c r="F4" s="370"/>
      <c r="G4" s="370"/>
      <c r="I4" s="53" cm="1">
        <f t="array" ref="I4">INDEX('Berechnung Produktpreise'!A6:M6,1,S4)</f>
        <v>51</v>
      </c>
      <c r="J4" s="50" t="s">
        <v>306</v>
      </c>
      <c r="Q4" s="50" t="s">
        <v>0</v>
      </c>
      <c r="R4" s="127">
        <f>'Start - Ergebnisse'!AI3</f>
        <v>2022</v>
      </c>
      <c r="S4" s="50">
        <f>MATCH(R4,'Berechnung Produktpreise'!A2:M2)</f>
        <v>5</v>
      </c>
    </row>
    <row r="5" spans="1:24">
      <c r="B5" s="51" t="s">
        <v>224</v>
      </c>
      <c r="C5" s="371" t="s">
        <v>307</v>
      </c>
      <c r="D5" s="371"/>
      <c r="E5" s="371"/>
      <c r="F5" s="371"/>
      <c r="G5" s="371"/>
      <c r="I5" s="50" t="str">
        <f>"CO2-Zertifikate EU-ETS 
(≙ "&amp;INT(I4)&amp;" €/EUA)"</f>
        <v>CO2-Zertifikate EU-ETS 
(≙ 51 €/EUA)</v>
      </c>
    </row>
    <row r="6" spans="1:24">
      <c r="B6" s="51" t="s">
        <v>225</v>
      </c>
      <c r="C6" s="372"/>
      <c r="D6" s="369"/>
      <c r="E6" s="369"/>
      <c r="F6" s="369"/>
      <c r="G6" s="369"/>
      <c r="I6" s="50" t="str">
        <f>"CO2-Zertifikate BEHG 
(≙ "&amp;INT(Q25)&amp;" €/t_CO2)"</f>
        <v>CO2-Zertifikate BEHG 
(≙ 30 €/t_CO2)</v>
      </c>
    </row>
    <row r="8" spans="1:24">
      <c r="E8" s="54" t="s">
        <v>138</v>
      </c>
      <c r="F8" s="55"/>
      <c r="G8" s="55"/>
      <c r="H8" s="55"/>
      <c r="I8" s="55"/>
      <c r="J8" s="55"/>
      <c r="K8" s="55"/>
      <c r="L8" s="56"/>
      <c r="M8" s="54" t="s">
        <v>308</v>
      </c>
      <c r="N8" s="56"/>
      <c r="S8" s="50" t="s">
        <v>309</v>
      </c>
    </row>
    <row r="9" spans="1:24" s="57" customFormat="1" ht="114.75">
      <c r="C9" s="58" t="s">
        <v>310</v>
      </c>
      <c r="D9" s="58" t="s">
        <v>83</v>
      </c>
      <c r="E9" s="59" t="s">
        <v>311</v>
      </c>
      <c r="F9" s="60" t="s">
        <v>170</v>
      </c>
      <c r="G9" s="61" t="s">
        <v>312</v>
      </c>
      <c r="H9" s="60" t="s">
        <v>313</v>
      </c>
      <c r="I9" s="60" t="str">
        <f>I5</f>
        <v>CO2-Zertifikate EU-ETS 
(≙ 51 €/EUA)</v>
      </c>
      <c r="J9" s="60" t="str">
        <f>I6</f>
        <v>CO2-Zertifikate BEHG 
(≙ 30 €/t_CO2)</v>
      </c>
      <c r="K9" s="60" t="s">
        <v>14</v>
      </c>
      <c r="L9" s="60" t="s">
        <v>15</v>
      </c>
      <c r="M9" s="60" t="s">
        <v>16</v>
      </c>
      <c r="N9" s="60" t="s">
        <v>30</v>
      </c>
      <c r="O9" s="61" t="s">
        <v>314</v>
      </c>
      <c r="P9" s="60" t="s">
        <v>315</v>
      </c>
      <c r="Q9" s="60" t="s">
        <v>316</v>
      </c>
      <c r="R9" s="62" t="s">
        <v>317</v>
      </c>
      <c r="S9" s="63" t="s">
        <v>162</v>
      </c>
      <c r="T9" s="64" t="s">
        <v>318</v>
      </c>
      <c r="U9" s="64" t="s">
        <v>319</v>
      </c>
      <c r="V9" s="50"/>
      <c r="W9" s="50"/>
    </row>
    <row r="10" spans="1:24">
      <c r="A10" s="50" t="s">
        <v>11</v>
      </c>
      <c r="B10" s="50" t="s">
        <v>42</v>
      </c>
      <c r="C10" s="65"/>
      <c r="D10" s="65"/>
      <c r="E10" s="66"/>
      <c r="F10" s="67"/>
      <c r="G10" s="67"/>
      <c r="H10" s="67"/>
      <c r="I10" s="67"/>
      <c r="J10" s="67"/>
      <c r="K10" s="67"/>
      <c r="L10" s="67"/>
      <c r="M10" s="67"/>
      <c r="N10" s="67"/>
      <c r="O10" s="67"/>
      <c r="P10" s="67"/>
      <c r="Q10" s="67"/>
      <c r="R10" s="68"/>
      <c r="S10" s="66"/>
      <c r="T10" s="69"/>
      <c r="U10" s="69"/>
      <c r="X10" s="70"/>
    </row>
    <row r="11" spans="1:24">
      <c r="A11" s="373" t="s">
        <v>11</v>
      </c>
      <c r="B11" s="71" t="s">
        <v>320</v>
      </c>
      <c r="C11" s="65"/>
      <c r="D11" s="65"/>
      <c r="E11" s="66"/>
      <c r="F11" s="67"/>
      <c r="G11" s="67"/>
      <c r="H11" s="67"/>
      <c r="I11" s="67">
        <f>$I$4*AK22/10</f>
        <v>2.0451000000000001</v>
      </c>
      <c r="J11" s="67"/>
      <c r="K11" s="67"/>
      <c r="L11" s="67"/>
      <c r="M11" s="67"/>
      <c r="N11" s="67"/>
      <c r="O11" s="67"/>
      <c r="P11" s="67"/>
      <c r="Q11" s="67"/>
      <c r="R11" s="68">
        <f t="shared" ref="R11:R12" si="0">SUBTOTAL(109,K11:M11)</f>
        <v>0</v>
      </c>
      <c r="S11" s="66">
        <f>(SUBTOTAL(109,D11:R11)-E11-G11)*0.19</f>
        <v>0.38856900000000005</v>
      </c>
      <c r="T11" s="69">
        <f>SUBTOTAL(109,D11:R11)-E11-G11</f>
        <v>2.0451000000000001</v>
      </c>
      <c r="U11" s="69">
        <f t="shared" ref="U11:U21" si="1">SUBTOTAL(109,D11:R11)-E11-G11+S11</f>
        <v>2.4336690000000001</v>
      </c>
      <c r="X11" s="70"/>
    </row>
    <row r="12" spans="1:24">
      <c r="A12" s="373"/>
      <c r="B12" s="62" t="s">
        <v>49</v>
      </c>
      <c r="C12" s="125" cm="1">
        <f t="array" ref="C12">INDEX('Berechnung Produktpreise'!A36:M36,1,S4)+INDEX('Berechnung Produktpreise'!A45:M45,1,S4)-I12</f>
        <v>8.7949000000000002</v>
      </c>
      <c r="D12" s="125" cm="1">
        <f t="array" ref="D12">INDEX('Berechnung Produktpreise'!A38:M38,1,S4)</f>
        <v>2.0499999999999998</v>
      </c>
      <c r="E12" s="73"/>
      <c r="F12" s="126" cm="1">
        <f t="array" ref="F12">INDEX('Berechnung Produktpreise'!A37:M37,1,S4)</f>
        <v>3.7231670924852511</v>
      </c>
      <c r="G12" s="75"/>
      <c r="H12" s="126" cm="1">
        <f t="array" ref="H12">INDEX('Berechnung Produktpreise'!A39:M39,1,S4)</f>
        <v>0.254</v>
      </c>
      <c r="I12" s="74">
        <f>$I$4*AK22/10</f>
        <v>2.0451000000000001</v>
      </c>
      <c r="J12" s="74"/>
      <c r="K12" s="126" cm="1">
        <f t="array" ref="K12">INDEX('Berechnung Produktpreise'!A40:M40,1,S4)</f>
        <v>0.40471806950975447</v>
      </c>
      <c r="L12" s="126" cm="1">
        <f t="array" ref="L12">INDEX('Berechnung Produktpreise'!A41:M41,1,S4)</f>
        <v>0.40914879317362302</v>
      </c>
      <c r="M12" s="126" cm="1">
        <f t="array" ref="M12">INDEX('Berechnung Produktpreise'!A42:M42,1,S4)</f>
        <v>8.0612580505828625E-3</v>
      </c>
      <c r="N12" s="74"/>
      <c r="O12" s="74"/>
      <c r="P12" s="126" cm="1">
        <f t="array" ref="P12">INDEX('Berechnung Produktpreise'!A44:M44,1,S4)</f>
        <v>7.8</v>
      </c>
      <c r="Q12" s="126">
        <f>'Berechnung Produktpreise'!$D$43</f>
        <v>1.7</v>
      </c>
      <c r="R12" s="76">
        <f t="shared" si="0"/>
        <v>0.82192812073396038</v>
      </c>
      <c r="S12" s="77">
        <f>(SUBTOTAL(109,D12:R12)-E12-G12)*0.19</f>
        <v>3.4948970905116497</v>
      </c>
      <c r="T12" s="78">
        <f>SUBTOTAL(109,D12:R12)-E12-G12</f>
        <v>18.394195213219209</v>
      </c>
      <c r="U12" s="78">
        <f t="shared" si="1"/>
        <v>21.889092303730859</v>
      </c>
      <c r="X12" s="70"/>
    </row>
    <row r="13" spans="1:24">
      <c r="A13" s="50" t="s">
        <v>52</v>
      </c>
      <c r="B13" s="50" t="s">
        <v>42</v>
      </c>
      <c r="C13" s="79"/>
      <c r="D13" s="79"/>
      <c r="E13" s="80"/>
      <c r="F13" s="81"/>
      <c r="G13" s="81"/>
      <c r="H13" s="81"/>
      <c r="I13" s="81">
        <f>$I$4*AK22/10</f>
        <v>2.0451000000000001</v>
      </c>
      <c r="J13" s="81"/>
      <c r="K13" s="81"/>
      <c r="L13" s="81"/>
      <c r="M13" s="81"/>
      <c r="N13" s="81"/>
      <c r="O13" s="81"/>
      <c r="P13" s="81"/>
      <c r="Q13" s="81"/>
      <c r="R13" s="82"/>
      <c r="S13" s="80"/>
      <c r="T13" s="83"/>
      <c r="U13" s="83">
        <f t="shared" si="1"/>
        <v>2.0451000000000001</v>
      </c>
      <c r="X13" s="70"/>
    </row>
    <row r="14" spans="1:24" ht="38.25">
      <c r="A14" s="361" t="s">
        <v>52</v>
      </c>
      <c r="B14" s="58" t="s">
        <v>321</v>
      </c>
      <c r="C14" s="79">
        <f>AA26</f>
        <v>8.8434238958689999</v>
      </c>
      <c r="D14" s="79">
        <f t="shared" ref="D14" si="2">2.05-E14</f>
        <v>2.0499999999999998</v>
      </c>
      <c r="E14" s="84">
        <f>$E$12</f>
        <v>0</v>
      </c>
      <c r="F14" s="81">
        <f>$F$12-G14</f>
        <v>3.7231670924852511</v>
      </c>
      <c r="G14" s="85">
        <f>G12</f>
        <v>0</v>
      </c>
      <c r="H14" s="81">
        <f>$H$12</f>
        <v>0.254</v>
      </c>
      <c r="I14" s="81">
        <f>$I$4*AK22/10</f>
        <v>2.0451000000000001</v>
      </c>
      <c r="J14" s="81"/>
      <c r="K14" s="81">
        <f>K$12</f>
        <v>0.40471806950975447</v>
      </c>
      <c r="L14" s="81">
        <f t="shared" ref="L14:M14" si="3">L$12</f>
        <v>0.40914879317362302</v>
      </c>
      <c r="M14" s="81">
        <f t="shared" si="3"/>
        <v>8.0612580505828625E-3</v>
      </c>
      <c r="N14" s="81"/>
      <c r="O14" s="81"/>
      <c r="P14" s="81">
        <f>$P$12*$AP$28</f>
        <v>3.9</v>
      </c>
      <c r="Q14" s="81">
        <f>$Q$19</f>
        <v>0.51</v>
      </c>
      <c r="R14" s="82">
        <f t="shared" ref="R14" si="4">SUBTOTAL(109,K14:M14)</f>
        <v>0.82192812073396038</v>
      </c>
      <c r="S14" s="80">
        <f>(SUBTOTAL(109,D14:R14)-E14-G14)*0.19</f>
        <v>2.5277970905116502</v>
      </c>
      <c r="T14" s="83">
        <f>SUBTOTAL(109,D14:R14)-E14-G14</f>
        <v>13.304195213219211</v>
      </c>
      <c r="U14" s="83">
        <f t="shared" si="1"/>
        <v>15.831992303730861</v>
      </c>
      <c r="X14" s="70"/>
    </row>
    <row r="15" spans="1:24">
      <c r="A15" s="362"/>
      <c r="B15" s="58" t="s">
        <v>322</v>
      </c>
      <c r="C15" s="65">
        <f>Z26</f>
        <v>8.3047387094097722</v>
      </c>
      <c r="D15" s="65">
        <f>2.05-E15</f>
        <v>2.0499999999999998</v>
      </c>
      <c r="E15" s="86">
        <f>$E$12</f>
        <v>0</v>
      </c>
      <c r="F15" s="67">
        <f>$F$12-G15</f>
        <v>3.7231670924852511</v>
      </c>
      <c r="G15" s="87">
        <f>G12</f>
        <v>0</v>
      </c>
      <c r="H15" s="67">
        <f>$H$12</f>
        <v>0.254</v>
      </c>
      <c r="I15" s="67">
        <f>$I$4*AK22/10</f>
        <v>2.0451000000000001</v>
      </c>
      <c r="J15" s="67"/>
      <c r="K15" s="67">
        <f t="shared" ref="K15:M15" si="5">K$12</f>
        <v>0.40471806950975447</v>
      </c>
      <c r="L15" s="67">
        <f t="shared" si="5"/>
        <v>0.40914879317362302</v>
      </c>
      <c r="M15" s="67">
        <f t="shared" si="5"/>
        <v>8.0612580505828625E-3</v>
      </c>
      <c r="N15" s="67"/>
      <c r="O15" s="67"/>
      <c r="P15" s="67">
        <f>$P$12*$AP$28</f>
        <v>3.9</v>
      </c>
      <c r="Q15" s="67">
        <f>$Q$19</f>
        <v>0.51</v>
      </c>
      <c r="R15" s="68">
        <f>SUBTOTAL(109,K15:M15)</f>
        <v>0.82192812073396038</v>
      </c>
      <c r="S15" s="66">
        <f>(SUBTOTAL(109,D15:R15)-E15-G15)*0.19</f>
        <v>2.5277970905116502</v>
      </c>
      <c r="T15" s="69">
        <f>SUBTOTAL(109,D15:R15)-E15-G15</f>
        <v>13.304195213219211</v>
      </c>
      <c r="U15" s="69">
        <f t="shared" si="1"/>
        <v>15.831992303730861</v>
      </c>
      <c r="X15" s="70"/>
    </row>
    <row r="16" spans="1:24">
      <c r="A16" s="362"/>
      <c r="B16" s="71" t="s">
        <v>6</v>
      </c>
      <c r="C16" s="79">
        <f>C40-SUM(D16:Q16)</f>
        <v>6.1002488313134098</v>
      </c>
      <c r="D16" s="79"/>
      <c r="E16" s="80"/>
      <c r="F16" s="81"/>
      <c r="G16" s="81"/>
      <c r="H16" s="81"/>
      <c r="I16" s="81"/>
      <c r="J16" s="81">
        <f>N25/$N$32</f>
        <v>0.78953128070453527</v>
      </c>
      <c r="K16" s="81"/>
      <c r="L16" s="81"/>
      <c r="M16" s="81"/>
      <c r="N16" s="193" cm="1">
        <f t="array" ref="N16">(INDEX('Steuer- und Abgabensätze'!A9:M9,1,S4)+INDEX('Steuer- und Abgabensätze'!A10:M10,1,S4))/N32</f>
        <v>7.3427706333865901</v>
      </c>
      <c r="O16" s="85"/>
      <c r="P16" s="81"/>
      <c r="Q16" s="81"/>
      <c r="R16" s="82">
        <f t="shared" ref="R16:R17" si="6">SUBTOTAL(109,K16:M16)</f>
        <v>0</v>
      </c>
      <c r="S16" s="80">
        <f>(SUBTOTAL(109,D16:R16)-E16-G16)*0.19</f>
        <v>1.5451373636773136</v>
      </c>
      <c r="T16" s="83">
        <f>SUBTOTAL(109,D16:R16)-E16-G16</f>
        <v>8.1323019140911246</v>
      </c>
      <c r="U16" s="83">
        <f t="shared" si="1"/>
        <v>9.677439277768439</v>
      </c>
      <c r="X16" s="70"/>
    </row>
    <row r="17" spans="1:44">
      <c r="A17" s="363"/>
      <c r="B17" s="71" t="s">
        <v>7</v>
      </c>
      <c r="C17" s="72">
        <f>C41-SUM(D17:Q17)</f>
        <v>5.7733143548220589</v>
      </c>
      <c r="D17" s="72"/>
      <c r="E17" s="77"/>
      <c r="F17" s="74"/>
      <c r="G17" s="74"/>
      <c r="H17" s="74"/>
      <c r="I17" s="74"/>
      <c r="J17" s="74">
        <f>N26/$N$33</f>
        <v>0.7994865292550698</v>
      </c>
      <c r="K17" s="74"/>
      <c r="L17" s="74"/>
      <c r="M17" s="74"/>
      <c r="N17" s="74" cm="1">
        <f t="array" ref="N17">(INDEX('Steuer- und Abgabensätze'!A13:M13,1,S4)+INDEX('Steuer- und Abgabensätze'!A14:M14,1,S4))/N33</f>
        <v>4.757103666808467</v>
      </c>
      <c r="O17" s="88"/>
      <c r="P17" s="74"/>
      <c r="Q17" s="74"/>
      <c r="R17" s="76">
        <f t="shared" si="6"/>
        <v>0</v>
      </c>
      <c r="S17" s="77">
        <f>(SUBTOTAL(109,D17:R17)-E17-G17)*0.19</f>
        <v>1.055752137252072</v>
      </c>
      <c r="T17" s="78">
        <f>SUBTOTAL(109,D17:R17)-E17-G17</f>
        <v>5.5565901960635369</v>
      </c>
      <c r="U17" s="78">
        <f t="shared" si="1"/>
        <v>6.6123423333156088</v>
      </c>
      <c r="X17" s="70"/>
    </row>
    <row r="18" spans="1:44">
      <c r="A18" s="89" t="s">
        <v>323</v>
      </c>
      <c r="B18" s="90"/>
      <c r="C18" s="91"/>
      <c r="D18" s="91"/>
      <c r="E18" s="92"/>
      <c r="F18" s="93"/>
      <c r="G18" s="93"/>
      <c r="H18" s="93"/>
      <c r="I18" s="93"/>
      <c r="J18" s="93"/>
      <c r="K18" s="93"/>
      <c r="L18" s="93"/>
      <c r="M18" s="93"/>
      <c r="N18" s="93"/>
      <c r="O18" s="93"/>
      <c r="P18" s="93"/>
      <c r="Q18" s="93"/>
      <c r="R18" s="94"/>
      <c r="S18" s="92"/>
      <c r="T18" s="95"/>
      <c r="U18" s="95">
        <f t="shared" si="1"/>
        <v>0</v>
      </c>
      <c r="X18" s="70"/>
    </row>
    <row r="19" spans="1:44" ht="25.5">
      <c r="A19" s="364" t="s">
        <v>323</v>
      </c>
      <c r="B19" s="62" t="s">
        <v>324</v>
      </c>
      <c r="C19" s="65">
        <v>4.8099999999999996</v>
      </c>
      <c r="D19" s="65">
        <f>2.05-E19</f>
        <v>2.0499999999999998</v>
      </c>
      <c r="E19" s="86">
        <f>$E$12</f>
        <v>0</v>
      </c>
      <c r="F19" s="67">
        <f>$F$12-G19</f>
        <v>3.7231670924852511</v>
      </c>
      <c r="G19" s="87">
        <f>G12</f>
        <v>0</v>
      </c>
      <c r="H19" s="67">
        <f>$H$12</f>
        <v>0.254</v>
      </c>
      <c r="I19" s="67">
        <f>$I$4*AK22/10</f>
        <v>2.0451000000000001</v>
      </c>
      <c r="J19" s="67"/>
      <c r="K19" s="67">
        <f t="shared" ref="K19:M19" si="7">K$12</f>
        <v>0.40471806950975447</v>
      </c>
      <c r="L19" s="67">
        <f t="shared" si="7"/>
        <v>0.40914879317362302</v>
      </c>
      <c r="M19" s="67">
        <f t="shared" si="7"/>
        <v>8.0612580505828625E-3</v>
      </c>
      <c r="N19" s="67"/>
      <c r="O19" s="67"/>
      <c r="P19" s="67">
        <f>$P$12*$AP$28</f>
        <v>3.9</v>
      </c>
      <c r="Q19" s="67">
        <v>0.51</v>
      </c>
      <c r="R19" s="68">
        <f t="shared" ref="R19:R21" si="8">SUBTOTAL(109,K19:M19)</f>
        <v>0.82192812073396038</v>
      </c>
      <c r="S19" s="66">
        <f>(SUBTOTAL(109,D19:R19)-E19-G19)*0.19</f>
        <v>2.5277970905116502</v>
      </c>
      <c r="T19" s="69">
        <f>SUBTOTAL(109,D19:R19)-E19-G19</f>
        <v>13.304195213219211</v>
      </c>
      <c r="U19" s="69">
        <f t="shared" si="1"/>
        <v>15.831992303730861</v>
      </c>
      <c r="X19" s="70"/>
    </row>
    <row r="20" spans="1:44">
      <c r="A20" s="365"/>
      <c r="B20" s="71" t="s">
        <v>10</v>
      </c>
      <c r="C20" s="79">
        <f>C42-SUM(D20:Q20)</f>
        <v>2.1806368320778731</v>
      </c>
      <c r="D20" s="79"/>
      <c r="E20" s="80"/>
      <c r="F20" s="81"/>
      <c r="G20" s="81"/>
      <c r="H20" s="81"/>
      <c r="I20" s="81"/>
      <c r="J20" s="81">
        <f>+N27</f>
        <v>0.60410826996635003</v>
      </c>
      <c r="K20" s="81"/>
      <c r="L20" s="81"/>
      <c r="M20" s="81"/>
      <c r="N20" s="81">
        <v>0.60948581560283699</v>
      </c>
      <c r="O20" s="85"/>
      <c r="P20" s="81">
        <v>1.56</v>
      </c>
      <c r="Q20" s="81">
        <v>0.03</v>
      </c>
      <c r="R20" s="82">
        <f t="shared" si="8"/>
        <v>0</v>
      </c>
      <c r="S20" s="80">
        <f>(SUBTOTAL(109,D20:R20)-E20-G20)*0.19</f>
        <v>0.53268287625814548</v>
      </c>
      <c r="T20" s="83">
        <f>SUBTOTAL(109,D20:R20)-E20-G20</f>
        <v>2.8035940855691868</v>
      </c>
      <c r="U20" s="83">
        <f t="shared" si="1"/>
        <v>3.3362769618273322</v>
      </c>
    </row>
    <row r="21" spans="1:44" ht="25.5">
      <c r="A21" s="366"/>
      <c r="B21" s="62" t="s">
        <v>325</v>
      </c>
      <c r="C21" s="72">
        <f>C43-SUM(D21:Q21)</f>
        <v>4.7610524427761032</v>
      </c>
      <c r="D21" s="72"/>
      <c r="E21" s="77"/>
      <c r="F21" s="74"/>
      <c r="G21" s="74"/>
      <c r="H21" s="74"/>
      <c r="I21" s="74"/>
      <c r="J21" s="74">
        <f>N28/$N$35</f>
        <v>0.79941600000000002</v>
      </c>
      <c r="K21" s="74"/>
      <c r="L21" s="74"/>
      <c r="M21" s="74"/>
      <c r="N21" s="74">
        <v>0.61400348285594186</v>
      </c>
      <c r="O21" s="88"/>
      <c r="P21" s="74"/>
      <c r="Q21" s="74"/>
      <c r="R21" s="76">
        <f t="shared" si="8"/>
        <v>0</v>
      </c>
      <c r="S21" s="77">
        <f>(SUBTOTAL(109,D21:R21)-E21-G21)*0.19</f>
        <v>0.26854970174262893</v>
      </c>
      <c r="T21" s="78">
        <f>SUBTOTAL(109,D21:R21)-E21-G21</f>
        <v>1.4134194828559419</v>
      </c>
      <c r="U21" s="78">
        <f t="shared" si="1"/>
        <v>1.6819691845985707</v>
      </c>
      <c r="AI21" s="228" t="s">
        <v>459</v>
      </c>
      <c r="AJ21" s="228" t="s">
        <v>460</v>
      </c>
      <c r="AK21" s="228" t="s">
        <v>461</v>
      </c>
    </row>
    <row r="22" spans="1:44" ht="14.25">
      <c r="A22" s="96"/>
      <c r="B22" s="96"/>
      <c r="C22" s="67"/>
      <c r="D22" s="67"/>
      <c r="E22" s="67"/>
      <c r="F22" s="67"/>
      <c r="G22" s="67"/>
      <c r="H22" s="67"/>
      <c r="I22" s="67"/>
      <c r="J22" s="67"/>
      <c r="K22" s="67"/>
      <c r="L22" s="67"/>
      <c r="M22" s="67"/>
      <c r="N22" s="67"/>
      <c r="O22" s="67"/>
      <c r="P22" s="67"/>
      <c r="Q22" s="67"/>
      <c r="R22" s="67"/>
      <c r="S22" s="67"/>
      <c r="T22" s="97"/>
      <c r="U22" s="98"/>
      <c r="AI22" s="374" t="s">
        <v>11</v>
      </c>
      <c r="AJ22" s="228" t="s">
        <v>462</v>
      </c>
      <c r="AK22" s="229">
        <v>0.40100000000000002</v>
      </c>
    </row>
    <row r="23" spans="1:44" ht="14.25">
      <c r="D23" s="70">
        <f t="shared" ref="D23:T23" si="9">D15-D19</f>
        <v>0</v>
      </c>
      <c r="E23" s="70">
        <f t="shared" si="9"/>
        <v>0</v>
      </c>
      <c r="F23" s="70">
        <f t="shared" si="9"/>
        <v>0</v>
      </c>
      <c r="G23" s="70">
        <f t="shared" si="9"/>
        <v>0</v>
      </c>
      <c r="H23" s="70">
        <f t="shared" si="9"/>
        <v>0</v>
      </c>
      <c r="I23" s="70">
        <f t="shared" si="9"/>
        <v>0</v>
      </c>
      <c r="J23" s="70"/>
      <c r="K23" s="70">
        <f t="shared" si="9"/>
        <v>0</v>
      </c>
      <c r="L23" s="70">
        <f t="shared" si="9"/>
        <v>0</v>
      </c>
      <c r="M23" s="70">
        <f t="shared" si="9"/>
        <v>0</v>
      </c>
      <c r="N23" s="70">
        <f t="shared" si="9"/>
        <v>0</v>
      </c>
      <c r="O23" s="70">
        <f t="shared" si="9"/>
        <v>0</v>
      </c>
      <c r="P23" s="70">
        <f t="shared" si="9"/>
        <v>0</v>
      </c>
      <c r="Q23" s="70">
        <f t="shared" si="9"/>
        <v>0</v>
      </c>
      <c r="R23" s="70">
        <f t="shared" si="9"/>
        <v>0</v>
      </c>
      <c r="S23" s="70">
        <f t="shared" si="9"/>
        <v>0</v>
      </c>
      <c r="T23" s="70">
        <f t="shared" si="9"/>
        <v>0</v>
      </c>
      <c r="U23" s="70"/>
      <c r="V23" s="70"/>
      <c r="W23" s="70"/>
      <c r="AI23" s="375"/>
      <c r="AJ23" s="228" t="s">
        <v>463</v>
      </c>
      <c r="AK23" s="229">
        <v>0</v>
      </c>
    </row>
    <row r="24" spans="1:44" ht="14.25">
      <c r="X24" s="99" t="s">
        <v>326</v>
      </c>
      <c r="AI24" s="376" t="s">
        <v>52</v>
      </c>
      <c r="AJ24" s="228" t="s">
        <v>6</v>
      </c>
      <c r="AK24" s="229">
        <v>0.26317709356817842</v>
      </c>
    </row>
    <row r="25" spans="1:44" ht="14.25">
      <c r="B25" s="99" t="s">
        <v>327</v>
      </c>
      <c r="M25" s="100" t="s">
        <v>6</v>
      </c>
      <c r="N25" s="101">
        <f t="shared" ref="N25:N28" si="10">$Q$25*Q32/1000*N32*100</f>
        <v>7.0665418216898024</v>
      </c>
      <c r="O25" s="50" t="s">
        <v>328</v>
      </c>
      <c r="Q25" s="53" cm="1">
        <f t="array" ref="Q25">INDEX('Start - Ergebnisse'!C6:O6,1,S4)</f>
        <v>30</v>
      </c>
      <c r="R25" s="50" t="s">
        <v>329</v>
      </c>
      <c r="X25" s="50" t="s">
        <v>330</v>
      </c>
      <c r="Y25" s="50" t="s">
        <v>331</v>
      </c>
      <c r="Z25" s="50" t="s">
        <v>332</v>
      </c>
      <c r="AA25" s="50" t="s">
        <v>333</v>
      </c>
      <c r="AI25" s="376"/>
      <c r="AJ25" s="228" t="s">
        <v>7</v>
      </c>
      <c r="AK25" s="229">
        <v>0.26649550975168995</v>
      </c>
    </row>
    <row r="26" spans="1:44" ht="14.25">
      <c r="B26" s="100" t="s">
        <v>11</v>
      </c>
      <c r="C26" s="230">
        <f>'Berechnung Produktpreise'!D34</f>
        <v>31.89</v>
      </c>
      <c r="D26" s="50" t="s">
        <v>330</v>
      </c>
      <c r="F26" s="50">
        <f>C26</f>
        <v>31.89</v>
      </c>
      <c r="G26" s="50" t="s">
        <v>330</v>
      </c>
      <c r="M26" s="100" t="s">
        <v>7</v>
      </c>
      <c r="N26" s="101">
        <f t="shared" si="10"/>
        <v>7.9560368967798754</v>
      </c>
      <c r="O26" s="50" t="s">
        <v>328</v>
      </c>
      <c r="X26" s="100" t="s">
        <v>334</v>
      </c>
      <c r="Y26" s="103">
        <f>C12</f>
        <v>8.7949000000000002</v>
      </c>
      <c r="Z26" s="104">
        <f t="shared" ref="Z26:AA26" si="11">SUM(Z27:Z28)</f>
        <v>8.3047387094097722</v>
      </c>
      <c r="AA26" s="104">
        <f t="shared" si="11"/>
        <v>8.8434238958689999</v>
      </c>
      <c r="AI26" s="376" t="s">
        <v>464</v>
      </c>
      <c r="AJ26" s="228" t="s">
        <v>10</v>
      </c>
      <c r="AK26" s="229">
        <v>0.20136942332211669</v>
      </c>
    </row>
    <row r="27" spans="1:44" ht="14.25">
      <c r="B27" s="100" t="s">
        <v>6</v>
      </c>
      <c r="C27" s="102" cm="1">
        <f t="array" ref="C27">INDEX('Berechnung Produktpreise'!B10:M10,1,S4)+INDEX('Berechnung Produktpreise'!B11:M11,1,S4)+INDEX('Berechnung Produktpreise'!B13:M13,1,S4)+INDEX('Berechnung Produktpreise'!B14:M14,1,S4)</f>
        <v>151.58886273454709</v>
      </c>
      <c r="D27" s="50" t="s">
        <v>328</v>
      </c>
      <c r="F27" s="50">
        <f t="shared" ref="F27:F30" si="12">C27/N32</f>
        <v>16.936735387031394</v>
      </c>
      <c r="G27" s="50" t="s">
        <v>330</v>
      </c>
      <c r="M27" s="100" t="s">
        <v>10</v>
      </c>
      <c r="N27" s="101">
        <f t="shared" si="10"/>
        <v>0.60410826996635003</v>
      </c>
      <c r="O27" s="50" t="s">
        <v>330</v>
      </c>
      <c r="X27" s="100" t="s">
        <v>335</v>
      </c>
      <c r="Y27" s="103">
        <f>Y32/10</f>
        <v>3.0787407075162587</v>
      </c>
      <c r="Z27" s="103">
        <f>Y27*(1+AA33)</f>
        <v>2.5885794169260308</v>
      </c>
      <c r="AA27" s="103">
        <f>Y27*(1+AA34)</f>
        <v>3.1272646033852589</v>
      </c>
      <c r="AI27" s="376"/>
      <c r="AJ27" s="228" t="s">
        <v>157</v>
      </c>
      <c r="AK27" s="229">
        <v>0.26647199999999999</v>
      </c>
    </row>
    <row r="28" spans="1:44">
      <c r="B28" s="100" t="s">
        <v>7</v>
      </c>
      <c r="C28" s="102" cm="1">
        <f t="array" ref="C28">INDEX('Berechnung Produktpreise'!B18:M18,1,S4)+INDEX('Berechnung Produktpreise'!B19:M19,1,S4)+INDEX('Berechnung Produktpreise'!B21:M21,1,S4)+INDEX('Berechnung Produktpreise'!B22:M22,1,S4)</f>
        <v>134.17105987528984</v>
      </c>
      <c r="D28" s="50" t="s">
        <v>328</v>
      </c>
      <c r="F28" s="50">
        <f t="shared" si="12"/>
        <v>13.482586415553859</v>
      </c>
      <c r="G28" s="50" t="s">
        <v>330</v>
      </c>
      <c r="M28" s="100" t="s">
        <v>336</v>
      </c>
      <c r="N28" s="101">
        <f t="shared" si="10"/>
        <v>7.9876047887999997</v>
      </c>
      <c r="O28" s="50" t="s">
        <v>328</v>
      </c>
      <c r="X28" s="100" t="s">
        <v>337</v>
      </c>
      <c r="Y28" s="103">
        <f>Y26-Y27</f>
        <v>5.7161592924837414</v>
      </c>
      <c r="Z28" s="103">
        <f t="shared" ref="Z28:AA28" si="13">Y28</f>
        <v>5.7161592924837414</v>
      </c>
      <c r="AA28" s="103">
        <f t="shared" si="13"/>
        <v>5.7161592924837414</v>
      </c>
      <c r="AO28" s="100" t="s">
        <v>338</v>
      </c>
      <c r="AP28" s="105">
        <v>0.5</v>
      </c>
    </row>
    <row r="29" spans="1:44">
      <c r="B29" s="100" t="s">
        <v>10</v>
      </c>
      <c r="C29" s="192" cm="1">
        <f t="array" ref="C29">INDEX('Berechnung Produktpreise'!B59:M59,1,S4)-INDEX('Berechnung Produktpreise'!B56:M56,1,S4)</f>
        <v>5.9312347920000006</v>
      </c>
      <c r="D29" s="50" t="s">
        <v>330</v>
      </c>
      <c r="F29" s="50">
        <f t="shared" si="12"/>
        <v>5.9312347920000006</v>
      </c>
      <c r="G29" s="50" t="s">
        <v>330</v>
      </c>
    </row>
    <row r="30" spans="1:44" ht="127.5">
      <c r="B30" s="100" t="s">
        <v>336</v>
      </c>
      <c r="C30" s="192" cm="1">
        <f t="array" ref="C30">INDEX('Berechnung Produktpreise'!B31:M31,1,S4)-INDEX('Berechnung Produktpreise'!B28:M28,1,S4)</f>
        <v>73.415965417971009</v>
      </c>
      <c r="D30" s="50" t="s">
        <v>328</v>
      </c>
      <c r="F30" s="50">
        <f t="shared" si="12"/>
        <v>7.3476215915021328</v>
      </c>
      <c r="G30" s="50" t="s">
        <v>330</v>
      </c>
      <c r="X30" s="106" t="s">
        <v>339</v>
      </c>
      <c r="Y30" s="107" t="s">
        <v>340</v>
      </c>
      <c r="Z30" s="107" t="s">
        <v>341</v>
      </c>
      <c r="AA30" s="107" t="s">
        <v>342</v>
      </c>
      <c r="AO30" s="367" t="s">
        <v>343</v>
      </c>
      <c r="AP30" s="367"/>
      <c r="AQ30" s="367"/>
      <c r="AR30" s="367"/>
    </row>
    <row r="31" spans="1:44" ht="39" thickBot="1">
      <c r="M31" s="108" t="s">
        <v>344</v>
      </c>
      <c r="Q31" s="99" t="s">
        <v>471</v>
      </c>
      <c r="X31" s="109" t="s">
        <v>345</v>
      </c>
      <c r="Y31" s="98">
        <v>28.982568306010929</v>
      </c>
      <c r="Z31" s="110"/>
      <c r="AA31" s="110">
        <v>-5.8622629854648944E-2</v>
      </c>
      <c r="AO31" s="111"/>
      <c r="AP31" s="112" t="s">
        <v>331</v>
      </c>
      <c r="AQ31" s="112" t="s">
        <v>346</v>
      </c>
      <c r="AR31" s="113" t="s">
        <v>347</v>
      </c>
    </row>
    <row r="32" spans="1:44" ht="116.25" thickTop="1" thickBot="1">
      <c r="B32" s="99" t="s">
        <v>348</v>
      </c>
      <c r="M32" s="50" t="s">
        <v>6</v>
      </c>
      <c r="N32" s="114">
        <v>8.9503000000000004</v>
      </c>
      <c r="O32" s="50" t="s">
        <v>349</v>
      </c>
      <c r="Q32" s="50">
        <v>0.26317709356817842</v>
      </c>
      <c r="R32" s="50" t="s">
        <v>470</v>
      </c>
      <c r="X32" s="109" t="s">
        <v>350</v>
      </c>
      <c r="Y32" s="98">
        <v>30.787407075162587</v>
      </c>
      <c r="Z32" s="110">
        <v>6.2273251635098781E-2</v>
      </c>
      <c r="AA32" s="110"/>
      <c r="AO32" s="115"/>
      <c r="AP32" s="116" t="s">
        <v>351</v>
      </c>
      <c r="AQ32" s="116" t="s">
        <v>351</v>
      </c>
      <c r="AR32" s="117" t="s">
        <v>352</v>
      </c>
    </row>
    <row r="33" spans="2:44" ht="65.25" thickTop="1" thickBot="1">
      <c r="B33" s="100" t="s">
        <v>11</v>
      </c>
      <c r="C33" s="101">
        <f t="shared" ref="C33:C37" si="14">C26/1.19</f>
        <v>26.798319327731093</v>
      </c>
      <c r="D33" s="50" t="s">
        <v>330</v>
      </c>
      <c r="E33" s="50">
        <f>C26-C33</f>
        <v>5.0916806722689074</v>
      </c>
      <c r="M33" s="50" t="s">
        <v>7</v>
      </c>
      <c r="N33" s="114">
        <v>9.9514333333333322</v>
      </c>
      <c r="O33" s="50" t="s">
        <v>349</v>
      </c>
      <c r="Q33" s="50">
        <v>0.26649550975168995</v>
      </c>
      <c r="R33" s="50" t="s">
        <v>470</v>
      </c>
      <c r="X33" s="109" t="s">
        <v>353</v>
      </c>
      <c r="Y33" s="98">
        <v>25.885794169260308</v>
      </c>
      <c r="Z33" s="110">
        <v>-0.10684954156075799</v>
      </c>
      <c r="AA33" s="110">
        <v>-0.15920837029035173</v>
      </c>
      <c r="AO33" s="118" t="s">
        <v>354</v>
      </c>
      <c r="AP33" s="119">
        <v>204.14</v>
      </c>
      <c r="AQ33" s="119">
        <v>145.69</v>
      </c>
      <c r="AR33" s="120">
        <v>0.28999999999999998</v>
      </c>
    </row>
    <row r="34" spans="2:44" ht="65.25" thickTop="1" thickBot="1">
      <c r="B34" s="100" t="s">
        <v>6</v>
      </c>
      <c r="C34" s="101">
        <f t="shared" si="14"/>
        <v>127.38559893659421</v>
      </c>
      <c r="D34" s="50" t="s">
        <v>328</v>
      </c>
      <c r="M34" s="50" t="s">
        <v>10</v>
      </c>
      <c r="N34" s="114">
        <v>1</v>
      </c>
      <c r="Q34" s="50">
        <v>0.20136942332211669</v>
      </c>
      <c r="R34" s="50" t="s">
        <v>470</v>
      </c>
      <c r="X34" s="109" t="s">
        <v>355</v>
      </c>
      <c r="Y34" s="98">
        <v>31.272646033852588</v>
      </c>
      <c r="Z34" s="110">
        <v>7.9015693283700505E-2</v>
      </c>
      <c r="AA34" s="110">
        <v>1.5760955688972622E-2</v>
      </c>
      <c r="AO34" s="118" t="s">
        <v>356</v>
      </c>
      <c r="AP34" s="119">
        <v>293.67</v>
      </c>
      <c r="AQ34" s="119">
        <v>189.02</v>
      </c>
      <c r="AR34" s="120">
        <v>0.36</v>
      </c>
    </row>
    <row r="35" spans="2:44" ht="15" thickTop="1" thickBot="1">
      <c r="B35" s="100" t="s">
        <v>7</v>
      </c>
      <c r="C35" s="101">
        <f t="shared" si="14"/>
        <v>112.74878981116794</v>
      </c>
      <c r="D35" s="50" t="s">
        <v>328</v>
      </c>
      <c r="M35" s="50" t="s">
        <v>336</v>
      </c>
      <c r="N35" s="114">
        <v>9.9917999999999996</v>
      </c>
      <c r="O35" s="50" t="s">
        <v>349</v>
      </c>
      <c r="Q35" s="50">
        <v>0.26647199999999999</v>
      </c>
      <c r="R35" s="50" t="s">
        <v>470</v>
      </c>
      <c r="AO35" s="118" t="s">
        <v>357</v>
      </c>
      <c r="AP35" s="119">
        <v>269.75</v>
      </c>
      <c r="AQ35" s="119">
        <v>148.9</v>
      </c>
      <c r="AR35" s="120">
        <v>0.45</v>
      </c>
    </row>
    <row r="36" spans="2:44" ht="15" thickTop="1" thickBot="1">
      <c r="B36" s="100" t="s">
        <v>10</v>
      </c>
      <c r="C36" s="101">
        <f t="shared" si="14"/>
        <v>4.9842309176470598</v>
      </c>
      <c r="D36" s="50" t="s">
        <v>330</v>
      </c>
      <c r="AO36" s="118" t="s">
        <v>358</v>
      </c>
      <c r="AP36" s="119">
        <v>251.6</v>
      </c>
      <c r="AQ36" s="119">
        <v>121.5</v>
      </c>
      <c r="AR36" s="120">
        <v>0.52</v>
      </c>
    </row>
    <row r="37" spans="2:44" ht="15" thickTop="1" thickBot="1">
      <c r="B37" s="100" t="s">
        <v>336</v>
      </c>
      <c r="C37" s="101">
        <f t="shared" si="14"/>
        <v>61.694088586530263</v>
      </c>
      <c r="D37" s="50" t="s">
        <v>328</v>
      </c>
      <c r="AO37" s="118" t="s">
        <v>359</v>
      </c>
      <c r="AP37" s="119">
        <v>163.97</v>
      </c>
      <c r="AQ37" s="119">
        <v>77.22</v>
      </c>
      <c r="AR37" s="120">
        <v>0.53</v>
      </c>
    </row>
    <row r="38" spans="2:44" ht="15" thickTop="1" thickBot="1">
      <c r="AO38" s="118" t="s">
        <v>360</v>
      </c>
      <c r="AP38" s="119">
        <v>263.61</v>
      </c>
      <c r="AQ38" s="119">
        <v>102.86</v>
      </c>
      <c r="AR38" s="120">
        <v>0.61</v>
      </c>
    </row>
    <row r="39" spans="2:44" ht="15" thickTop="1" thickBot="1">
      <c r="B39" s="100" t="s">
        <v>11</v>
      </c>
      <c r="C39" s="121">
        <f>C33</f>
        <v>26.798319327731093</v>
      </c>
      <c r="D39" s="50" t="s">
        <v>330</v>
      </c>
      <c r="AO39" s="118" t="s">
        <v>361</v>
      </c>
      <c r="AP39" s="119">
        <v>272.25</v>
      </c>
      <c r="AQ39" s="119">
        <v>78.599999999999994</v>
      </c>
      <c r="AR39" s="120">
        <v>0.71</v>
      </c>
    </row>
    <row r="40" spans="2:44" ht="15" thickTop="1" thickBot="1">
      <c r="B40" s="100" t="s">
        <v>6</v>
      </c>
      <c r="C40" s="121">
        <f>C34/N32</f>
        <v>14.232550745404534</v>
      </c>
      <c r="D40" s="50" t="s">
        <v>330</v>
      </c>
      <c r="AO40" s="118" t="s">
        <v>362</v>
      </c>
      <c r="AP40" s="119">
        <v>336.54</v>
      </c>
      <c r="AQ40" s="119">
        <v>96.34</v>
      </c>
      <c r="AR40" s="120">
        <v>0.71</v>
      </c>
    </row>
    <row r="41" spans="2:44" ht="15" thickTop="1" thickBot="1">
      <c r="B41" s="100" t="s">
        <v>7</v>
      </c>
      <c r="C41" s="121">
        <f>C35/N33</f>
        <v>11.329904550885596</v>
      </c>
      <c r="D41" s="50" t="s">
        <v>330</v>
      </c>
      <c r="AO41" s="118" t="s">
        <v>363</v>
      </c>
      <c r="AP41" s="119">
        <v>243.28</v>
      </c>
      <c r="AQ41" s="119">
        <v>64.28</v>
      </c>
      <c r="AR41" s="120">
        <v>0.74</v>
      </c>
    </row>
    <row r="42" spans="2:44" ht="14.25" thickTop="1">
      <c r="B42" s="100" t="s">
        <v>10</v>
      </c>
      <c r="C42" s="121">
        <f>C36/N34</f>
        <v>4.9842309176470598</v>
      </c>
      <c r="D42" s="50" t="s">
        <v>330</v>
      </c>
      <c r="AO42" s="122" t="s">
        <v>364</v>
      </c>
      <c r="AP42" s="123">
        <v>205.39</v>
      </c>
      <c r="AQ42" s="123">
        <v>40.78</v>
      </c>
      <c r="AR42" s="124">
        <v>0.8</v>
      </c>
    </row>
    <row r="43" spans="2:44">
      <c r="B43" s="100" t="s">
        <v>336</v>
      </c>
      <c r="C43" s="121">
        <f>C37/N35</f>
        <v>6.1744719256320453</v>
      </c>
      <c r="D43" s="50" t="s">
        <v>330</v>
      </c>
      <c r="AO43" s="368" t="s">
        <v>365</v>
      </c>
      <c r="AP43" s="368"/>
      <c r="AQ43" s="368"/>
      <c r="AR43" s="368"/>
    </row>
    <row r="89" spans="25:25">
      <c r="Y89" s="50" t="s">
        <v>366</v>
      </c>
    </row>
  </sheetData>
  <sheetProtection algorithmName="SHA-512" hashValue="TvOcUVTcvCsFpcs32m2d5C2t06zxK6t3Q07u+Liylf0knmBd7sxBvWU5bjKzMYGY7Ab3a7xXbb82/VwWOBit4A==" saltValue="Bp7D3x1b9aonHECHntSakw==" spinCount="100000" sheet="1" objects="1" scenarios="1" formatRows="0"/>
  <mergeCells count="13">
    <mergeCell ref="A14:A17"/>
    <mergeCell ref="A19:A21"/>
    <mergeCell ref="AO30:AR30"/>
    <mergeCell ref="AO43:AR43"/>
    <mergeCell ref="C2:G2"/>
    <mergeCell ref="C3:G3"/>
    <mergeCell ref="C4:G4"/>
    <mergeCell ref="C5:G5"/>
    <mergeCell ref="C6:G6"/>
    <mergeCell ref="A11:A12"/>
    <mergeCell ref="AI22:AI23"/>
    <mergeCell ref="AI24:AI25"/>
    <mergeCell ref="AI26:AI27"/>
  </mergeCells>
  <pageMargins left="0.7" right="0.7" top="0.78740157499999996" bottom="0.78740157499999996" header="0.3" footer="0.3"/>
  <pageSetup paperSize="9" orientation="portrait" horizontalDpi="1200" verticalDpi="1200" r:id="rId1"/>
  <customProperties>
    <customPr name="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3746B-AEC2-45DA-A2C0-439CFEAA1F75}">
  <sheetPr codeName="Tabelle22"/>
  <dimension ref="A2:T51"/>
  <sheetViews>
    <sheetView topLeftCell="A11" workbookViewId="0"/>
  </sheetViews>
  <sheetFormatPr baseColWidth="10" defaultColWidth="11.375" defaultRowHeight="12.75"/>
  <cols>
    <col min="1" max="1" width="18.5" style="22" customWidth="1"/>
    <col min="2" max="2" width="26" style="22" customWidth="1"/>
    <col min="3" max="16" width="8.875" style="22" customWidth="1"/>
    <col min="17" max="17" width="30.875" style="22" customWidth="1"/>
    <col min="18" max="16384" width="11.375" style="22"/>
  </cols>
  <sheetData>
    <row r="2" spans="1:17">
      <c r="B2" s="23" t="s">
        <v>220</v>
      </c>
      <c r="C2" s="377"/>
      <c r="D2" s="377"/>
      <c r="E2" s="377"/>
      <c r="F2" s="377"/>
      <c r="G2" s="42"/>
      <c r="H2" s="42"/>
    </row>
    <row r="3" spans="1:17">
      <c r="B3" s="23" t="s">
        <v>221</v>
      </c>
      <c r="C3" s="377"/>
      <c r="D3" s="377"/>
      <c r="E3" s="377"/>
      <c r="F3" s="377"/>
      <c r="G3" s="42"/>
      <c r="H3" s="42"/>
    </row>
    <row r="4" spans="1:17" ht="14.25">
      <c r="B4" s="24" t="s">
        <v>222</v>
      </c>
      <c r="C4" s="378" t="s">
        <v>223</v>
      </c>
      <c r="D4" s="378"/>
      <c r="E4" s="378"/>
      <c r="F4" s="378"/>
      <c r="G4" s="43"/>
      <c r="H4" s="43"/>
    </row>
    <row r="5" spans="1:17">
      <c r="B5" s="23" t="s">
        <v>224</v>
      </c>
      <c r="C5" s="379">
        <v>43396</v>
      </c>
      <c r="D5" s="379"/>
      <c r="E5" s="379"/>
      <c r="F5" s="379"/>
      <c r="G5" s="44"/>
      <c r="H5" s="44"/>
    </row>
    <row r="6" spans="1:17">
      <c r="B6" s="23" t="s">
        <v>225</v>
      </c>
      <c r="C6" s="377"/>
      <c r="D6" s="377"/>
      <c r="E6" s="377"/>
      <c r="F6" s="377"/>
      <c r="G6" s="42"/>
      <c r="H6" s="42"/>
    </row>
    <row r="7" spans="1:17">
      <c r="C7" s="25"/>
    </row>
    <row r="8" spans="1:17">
      <c r="C8" s="25"/>
    </row>
    <row r="11" spans="1:17">
      <c r="B11" s="26"/>
      <c r="C11" s="26"/>
      <c r="D11" s="26"/>
      <c r="E11" s="26"/>
    </row>
    <row r="12" spans="1:17">
      <c r="B12" s="27" t="s">
        <v>226</v>
      </c>
      <c r="C12" s="27">
        <v>2017</v>
      </c>
      <c r="D12" s="27">
        <v>2018</v>
      </c>
      <c r="E12" s="27">
        <v>2019</v>
      </c>
      <c r="F12" s="27">
        <v>2020</v>
      </c>
      <c r="G12" s="27">
        <f>F12+1</f>
        <v>2021</v>
      </c>
      <c r="H12" s="27">
        <f t="shared" ref="H12:I12" si="0">G12+1</f>
        <v>2022</v>
      </c>
      <c r="I12" s="27">
        <f t="shared" si="0"/>
        <v>2023</v>
      </c>
      <c r="J12" s="27">
        <v>2024</v>
      </c>
      <c r="K12" s="27">
        <v>2025</v>
      </c>
      <c r="L12" s="27">
        <f>K12+1</f>
        <v>2026</v>
      </c>
      <c r="M12" s="27">
        <f t="shared" ref="M12:O12" si="1">L12+1</f>
        <v>2027</v>
      </c>
      <c r="N12" s="27">
        <f t="shared" si="1"/>
        <v>2028</v>
      </c>
      <c r="O12" s="27">
        <f t="shared" si="1"/>
        <v>2029</v>
      </c>
      <c r="P12" s="27">
        <v>2030</v>
      </c>
      <c r="Q12" s="27" t="s">
        <v>227</v>
      </c>
    </row>
    <row r="13" spans="1:17">
      <c r="A13" s="22" t="s">
        <v>138</v>
      </c>
      <c r="B13" s="22" t="s">
        <v>170</v>
      </c>
      <c r="C13" s="28"/>
      <c r="D13" s="28">
        <v>25.57</v>
      </c>
      <c r="E13" s="28">
        <v>24.75</v>
      </c>
      <c r="F13" s="28"/>
      <c r="G13" s="28"/>
      <c r="H13" s="28"/>
      <c r="I13" s="28"/>
      <c r="J13" s="28"/>
      <c r="K13" s="28"/>
      <c r="L13" s="28"/>
      <c r="M13" s="28"/>
      <c r="N13" s="28"/>
      <c r="O13" s="28"/>
      <c r="P13" s="28"/>
    </row>
    <row r="14" spans="1:17">
      <c r="A14" s="22" t="s">
        <v>138</v>
      </c>
      <c r="B14" s="22" t="s">
        <v>13</v>
      </c>
      <c r="C14" s="28"/>
      <c r="D14" s="28">
        <v>1.27</v>
      </c>
      <c r="E14" s="29">
        <f t="shared" ref="E14:E15" si="2">D14</f>
        <v>1.27</v>
      </c>
      <c r="F14" s="28"/>
      <c r="G14" s="28"/>
      <c r="H14" s="28"/>
      <c r="I14" s="28"/>
      <c r="J14" s="28"/>
      <c r="K14" s="28"/>
      <c r="L14" s="28"/>
      <c r="M14" s="28"/>
      <c r="N14" s="28"/>
      <c r="O14" s="28"/>
      <c r="P14" s="28"/>
      <c r="Q14" s="22" t="s">
        <v>228</v>
      </c>
    </row>
    <row r="15" spans="1:17">
      <c r="A15" s="22" t="s">
        <v>138</v>
      </c>
      <c r="B15" s="22" t="s">
        <v>14</v>
      </c>
      <c r="C15" s="28"/>
      <c r="D15" s="28">
        <v>1.18</v>
      </c>
      <c r="E15" s="29">
        <f t="shared" si="2"/>
        <v>1.18</v>
      </c>
      <c r="F15" s="28"/>
      <c r="G15" s="28"/>
      <c r="H15" s="28"/>
      <c r="I15" s="28"/>
      <c r="J15" s="28"/>
      <c r="K15" s="28"/>
      <c r="L15" s="28"/>
      <c r="M15" s="28"/>
      <c r="N15" s="28"/>
      <c r="O15" s="28"/>
      <c r="P15" s="28"/>
      <c r="Q15" s="22" t="s">
        <v>228</v>
      </c>
    </row>
    <row r="16" spans="1:17">
      <c r="A16" s="22" t="s">
        <v>138</v>
      </c>
      <c r="B16" s="22" t="s">
        <v>229</v>
      </c>
      <c r="C16" s="28"/>
      <c r="D16" s="28">
        <v>0.11</v>
      </c>
      <c r="E16" s="28">
        <v>0</v>
      </c>
      <c r="F16" s="28"/>
      <c r="G16" s="28"/>
      <c r="H16" s="28"/>
      <c r="I16" s="28"/>
      <c r="J16" s="28"/>
      <c r="K16" s="28"/>
      <c r="L16" s="28"/>
      <c r="M16" s="28"/>
      <c r="N16" s="28"/>
      <c r="O16" s="28"/>
      <c r="P16" s="28"/>
    </row>
    <row r="17" spans="1:20">
      <c r="A17" s="22" t="s">
        <v>138</v>
      </c>
      <c r="B17" s="22" t="s">
        <v>15</v>
      </c>
      <c r="C17" s="28"/>
      <c r="D17" s="28">
        <v>0</v>
      </c>
      <c r="E17" s="28">
        <v>1.69</v>
      </c>
      <c r="F17" s="28"/>
      <c r="G17" s="28"/>
      <c r="H17" s="28"/>
      <c r="I17" s="28"/>
      <c r="J17" s="28"/>
      <c r="K17" s="28"/>
      <c r="L17" s="28"/>
      <c r="M17" s="28"/>
      <c r="N17" s="28"/>
      <c r="O17" s="28"/>
      <c r="P17" s="28"/>
      <c r="T17" s="22" t="s">
        <v>270</v>
      </c>
    </row>
    <row r="18" spans="1:20">
      <c r="A18" s="22" t="s">
        <v>138</v>
      </c>
      <c r="B18" s="22" t="s">
        <v>16</v>
      </c>
      <c r="C18" s="28"/>
      <c r="D18" s="28">
        <v>0.03</v>
      </c>
      <c r="E18" s="29">
        <f>D18</f>
        <v>0.03</v>
      </c>
      <c r="F18" s="28"/>
      <c r="G18" s="28"/>
      <c r="H18" s="28"/>
      <c r="I18" s="28"/>
      <c r="J18" s="28"/>
      <c r="K18" s="28"/>
      <c r="L18" s="28"/>
      <c r="M18" s="28"/>
      <c r="N18" s="28"/>
      <c r="O18" s="28"/>
      <c r="P18" s="28"/>
      <c r="Q18" s="22" t="s">
        <v>228</v>
      </c>
    </row>
    <row r="19" spans="1:20">
      <c r="B19" s="30" t="s">
        <v>230</v>
      </c>
      <c r="C19" s="31">
        <f t="shared" ref="C19:E19" si="3">SUBTOTAL(109,C13:C18)</f>
        <v>0</v>
      </c>
      <c r="D19" s="31">
        <f t="shared" si="3"/>
        <v>28.16</v>
      </c>
      <c r="E19" s="32">
        <f t="shared" si="3"/>
        <v>28.92</v>
      </c>
      <c r="F19" s="31"/>
      <c r="G19" s="31"/>
      <c r="H19" s="31"/>
      <c r="I19" s="31"/>
      <c r="J19" s="31"/>
      <c r="K19" s="31"/>
      <c r="L19" s="31"/>
      <c r="M19" s="31"/>
      <c r="N19" s="31"/>
      <c r="O19" s="31"/>
      <c r="P19" s="31"/>
      <c r="Q19" s="30"/>
    </row>
    <row r="20" spans="1:20">
      <c r="B20" s="30" t="s">
        <v>83</v>
      </c>
      <c r="C20" s="31">
        <v>6.6</v>
      </c>
      <c r="D20" s="32">
        <f t="shared" ref="D20:D24" si="4">C20</f>
        <v>6.6</v>
      </c>
      <c r="E20" s="32">
        <f>'Berechnung Steuereinnahmen'!B26/1000/1000/1000</f>
        <v>6.6887819409999993</v>
      </c>
      <c r="F20" s="32">
        <f>'Berechnung Steuereinnahmen'!C26/1000/1000/1000</f>
        <v>6.4485186030857991</v>
      </c>
      <c r="G20" s="32">
        <f>'Berechnung Steuereinnahmen'!D26/1000/1000/1000</f>
        <v>6.6725984001042251</v>
      </c>
      <c r="H20" s="32">
        <f>'Berechnung Steuereinnahmen'!E26/1000/1000/1000</f>
        <v>6.6725984001042251</v>
      </c>
      <c r="I20" s="32">
        <f>'Berechnung Steuereinnahmen'!F26/1000/1000/1000</f>
        <v>6.6725984001042251</v>
      </c>
      <c r="J20" s="32">
        <f>'Berechnung Steuereinnahmen'!G26/1000/1000/1000</f>
        <v>6.6725984001042251</v>
      </c>
      <c r="K20" s="32">
        <f>'Berechnung Steuereinnahmen'!H26/1000/1000/1000</f>
        <v>6.6725984001042251</v>
      </c>
      <c r="L20" s="32">
        <f>'Berechnung Steuereinnahmen'!I26/1000/1000/1000</f>
        <v>6.6725984001042251</v>
      </c>
      <c r="M20" s="32">
        <f>'Berechnung Steuereinnahmen'!J26/1000/1000/1000</f>
        <v>6.6725984001042251</v>
      </c>
      <c r="N20" s="32">
        <f>'Berechnung Steuereinnahmen'!K26/1000/1000/1000</f>
        <v>6.6725984001042251</v>
      </c>
      <c r="O20" s="32">
        <f>'Berechnung Steuereinnahmen'!L26/1000/1000/1000</f>
        <v>6.6725984001042251</v>
      </c>
      <c r="P20" s="32">
        <f>'Berechnung Steuereinnahmen'!M26/1000/1000/1000</f>
        <v>6.6725984001042251</v>
      </c>
      <c r="Q20" s="30" t="s">
        <v>231</v>
      </c>
    </row>
    <row r="21" spans="1:20">
      <c r="A21" s="22" t="s">
        <v>232</v>
      </c>
      <c r="B21" s="22" t="s">
        <v>6</v>
      </c>
      <c r="C21" s="28">
        <v>16.072055153000001</v>
      </c>
      <c r="D21" s="29">
        <f t="shared" si="4"/>
        <v>16.072055153000001</v>
      </c>
      <c r="E21" s="29">
        <f>'Berechnung Steuereinnahmen'!B10/1000/1000/1000</f>
        <v>15.574424785430462</v>
      </c>
      <c r="F21" s="29">
        <f>'Berechnung Steuereinnahmen'!C10/1000/1000/1000</f>
        <v>14.059084774834439</v>
      </c>
      <c r="G21" s="29">
        <f>'Berechnung Steuereinnahmen'!D10/1000/1000/1000</f>
        <v>14.049554692852251</v>
      </c>
      <c r="H21" s="29">
        <f>'Berechnung Steuereinnahmen'!E10/1000/1000/1000</f>
        <v>15.574424785430462</v>
      </c>
      <c r="I21" s="29">
        <f>'Berechnung Steuereinnahmen'!F10/1000/1000/1000</f>
        <v>15.574424785430462</v>
      </c>
      <c r="J21" s="29">
        <f>'Berechnung Steuereinnahmen'!G10/1000/1000/1000</f>
        <v>15.574424785430462</v>
      </c>
      <c r="K21" s="29">
        <f>'Berechnung Steuereinnahmen'!H10/1000/1000/1000</f>
        <v>15.574424785430462</v>
      </c>
      <c r="L21" s="29">
        <f>'Berechnung Steuereinnahmen'!I10/1000/1000/1000</f>
        <v>15.574424785430462</v>
      </c>
      <c r="M21" s="29">
        <f>'Berechnung Steuereinnahmen'!J10/1000/1000/1000</f>
        <v>15.574424785430462</v>
      </c>
      <c r="N21" s="29">
        <f>'Berechnung Steuereinnahmen'!K10/1000/1000/1000</f>
        <v>15.574424785430462</v>
      </c>
      <c r="O21" s="29">
        <f>'Berechnung Steuereinnahmen'!L10/1000/1000/1000</f>
        <v>15.574424785430462</v>
      </c>
      <c r="P21" s="29">
        <f>'Berechnung Steuereinnahmen'!M10/1000/1000/1000</f>
        <v>15.574424785430462</v>
      </c>
      <c r="Q21" s="22" t="s">
        <v>228</v>
      </c>
    </row>
    <row r="22" spans="1:20">
      <c r="A22" s="22" t="s">
        <v>232</v>
      </c>
      <c r="B22" s="22" t="s">
        <v>7</v>
      </c>
      <c r="C22" s="28">
        <v>20.358710198400004</v>
      </c>
      <c r="D22" s="29">
        <f t="shared" si="4"/>
        <v>20.358710198400004</v>
      </c>
      <c r="E22" s="29">
        <f>'Berechnung Steuereinnahmen'!B11/1000/1000/1000</f>
        <v>21.069562258934916</v>
      </c>
      <c r="F22" s="29">
        <f>'Berechnung Steuereinnahmen'!C11/1000/1000/1000</f>
        <v>19.574924432662723</v>
      </c>
      <c r="G22" s="29">
        <f>'Berechnung Steuereinnahmen'!D11/1000/1000/1000</f>
        <v>19.562063816844553</v>
      </c>
      <c r="H22" s="29">
        <f>'Berechnung Steuereinnahmen'!E11/1000/1000/1000</f>
        <v>21.069562258934916</v>
      </c>
      <c r="I22" s="29">
        <f>'Berechnung Steuereinnahmen'!F11/1000/1000/1000</f>
        <v>21.069562258934916</v>
      </c>
      <c r="J22" s="29">
        <f>'Berechnung Steuereinnahmen'!G11/1000/1000/1000</f>
        <v>21.069562258934916</v>
      </c>
      <c r="K22" s="29">
        <f>'Berechnung Steuereinnahmen'!H11/1000/1000/1000</f>
        <v>21.069562258934916</v>
      </c>
      <c r="L22" s="29">
        <f>'Berechnung Steuereinnahmen'!I11/1000/1000/1000</f>
        <v>21.069562258934916</v>
      </c>
      <c r="M22" s="29">
        <f>'Berechnung Steuereinnahmen'!J11/1000/1000/1000</f>
        <v>21.069562258934916</v>
      </c>
      <c r="N22" s="29">
        <f>'Berechnung Steuereinnahmen'!K11/1000/1000/1000</f>
        <v>21.069562258934916</v>
      </c>
      <c r="O22" s="29">
        <f>'Berechnung Steuereinnahmen'!L11/1000/1000/1000</f>
        <v>21.069562258934916</v>
      </c>
      <c r="P22" s="29">
        <f>'Berechnung Steuereinnahmen'!M11/1000/1000/1000</f>
        <v>21.069562258934916</v>
      </c>
      <c r="Q22" s="22" t="s">
        <v>228</v>
      </c>
    </row>
    <row r="23" spans="1:20">
      <c r="A23" s="22" t="s">
        <v>232</v>
      </c>
      <c r="B23" s="22" t="s">
        <v>157</v>
      </c>
      <c r="C23" s="28">
        <v>1.2028776708</v>
      </c>
      <c r="D23" s="29">
        <f t="shared" si="4"/>
        <v>1.2028776708</v>
      </c>
      <c r="E23" s="29">
        <f>'Berechnung Steuereinnahmen'!B21/1000/1000/1000+'Berechnung Steuereinnahmen'!B23/1000/1000/1000+'Berechnung Steuereinnahmen'!B13/1000/1000/1000</f>
        <v>1.119338996972929</v>
      </c>
      <c r="F23" s="29">
        <f>'Berechnung Steuereinnahmen'!C21/1000/1000/1000+'Berechnung Steuereinnahmen'!C23/1000/1000/1000+'Berechnung Steuereinnahmen'!C13/1000/1000/1000</f>
        <v>1.1465650834840238</v>
      </c>
      <c r="G23" s="29">
        <f>'Berechnung Steuereinnahmen'!D21/1000/1000/1000+'Berechnung Steuereinnahmen'!D23/1000/1000/1000+'Berechnung Steuereinnahmen'!D13/1000/1000/1000</f>
        <v>0.86952182849751591</v>
      </c>
      <c r="H23" s="29">
        <f>'Berechnung Steuereinnahmen'!E21/1000/1000/1000+'Berechnung Steuereinnahmen'!E23/1000/1000/1000+'Berechnung Steuereinnahmen'!E13/1000/1000/1000</f>
        <v>1.119338996972929</v>
      </c>
      <c r="I23" s="29">
        <f>'Berechnung Steuereinnahmen'!F21/1000/1000/1000+'Berechnung Steuereinnahmen'!F23/1000/1000/1000+'Berechnung Steuereinnahmen'!F13/1000/1000/1000</f>
        <v>1.119338996972929</v>
      </c>
      <c r="J23" s="29">
        <f>'Berechnung Steuereinnahmen'!G21/1000/1000/1000+'Berechnung Steuereinnahmen'!G23/1000/1000/1000+'Berechnung Steuereinnahmen'!G13/1000/1000/1000</f>
        <v>1.119338996972929</v>
      </c>
      <c r="K23" s="29">
        <f>'Berechnung Steuereinnahmen'!H21/1000/1000/1000+'Berechnung Steuereinnahmen'!H23/1000/1000/1000+'Berechnung Steuereinnahmen'!H13/1000/1000/1000</f>
        <v>1.119338996972929</v>
      </c>
      <c r="L23" s="29">
        <f>'Berechnung Steuereinnahmen'!I21/1000/1000/1000+'Berechnung Steuereinnahmen'!I23/1000/1000/1000+'Berechnung Steuereinnahmen'!I13/1000/1000/1000</f>
        <v>1.119338996972929</v>
      </c>
      <c r="M23" s="29">
        <f>'Berechnung Steuereinnahmen'!J21/1000/1000/1000+'Berechnung Steuereinnahmen'!J23/1000/1000/1000+'Berechnung Steuereinnahmen'!J13/1000/1000/1000</f>
        <v>1.119338996972929</v>
      </c>
      <c r="N23" s="29">
        <f>'Berechnung Steuereinnahmen'!K21/1000/1000/1000+'Berechnung Steuereinnahmen'!K23/1000/1000/1000+'Berechnung Steuereinnahmen'!K13/1000/1000/1000</f>
        <v>1.119338996972929</v>
      </c>
      <c r="O23" s="29">
        <f>'Berechnung Steuereinnahmen'!L21/1000/1000/1000+'Berechnung Steuereinnahmen'!L23/1000/1000/1000+'Berechnung Steuereinnahmen'!L13/1000/1000/1000</f>
        <v>1.119338996972929</v>
      </c>
      <c r="P23" s="29">
        <f>'Berechnung Steuereinnahmen'!M21/1000/1000/1000+'Berechnung Steuereinnahmen'!M23/1000/1000/1000+'Berechnung Steuereinnahmen'!M13/1000/1000/1000</f>
        <v>1.119338996972929</v>
      </c>
      <c r="Q23" s="22" t="s">
        <v>228</v>
      </c>
    </row>
    <row r="24" spans="1:20">
      <c r="A24" s="22" t="s">
        <v>232</v>
      </c>
      <c r="B24" s="22" t="s">
        <v>10</v>
      </c>
      <c r="C24" s="28">
        <v>2.8036347517730498</v>
      </c>
      <c r="D24" s="29">
        <f t="shared" si="4"/>
        <v>2.8036347517730498</v>
      </c>
      <c r="E24" s="29">
        <f>'Berechnung Steuereinnahmen'!B16/1000/1000/1000+'Berechnung Steuereinnahmen'!B12/1000/1000/1000+'Berechnung Steuereinnahmen'!B22/1000/1000/1000</f>
        <v>2.9578897201179335</v>
      </c>
      <c r="F24" s="29">
        <f>'Berechnung Steuereinnahmen'!C16/1000/1000/1000+'Berechnung Steuereinnahmen'!C12/1000/1000/1000+'Berechnung Steuereinnahmen'!C22/1000/1000/1000</f>
        <v>2.8648312015322484</v>
      </c>
      <c r="G24" s="29">
        <f>'Berechnung Steuereinnahmen'!D16/1000/1000/1000+'Berechnung Steuereinnahmen'!D12/1000/1000/1000+'Berechnung Steuereinnahmen'!D22/1000/1000/1000</f>
        <v>2.9968158592569587</v>
      </c>
      <c r="H24" s="29">
        <f>'Berechnung Steuereinnahmen'!E16/1000/1000/1000+'Berechnung Steuereinnahmen'!E12/1000/1000/1000+'Berechnung Steuereinnahmen'!E22/1000/1000/1000</f>
        <v>3.0172124745960582</v>
      </c>
      <c r="I24" s="29">
        <f>'Berechnung Steuereinnahmen'!F16/1000/1000/1000+'Berechnung Steuereinnahmen'!F12/1000/1000/1000+'Berechnung Steuereinnahmen'!F22/1000/1000/1000</f>
        <v>3.0172124745960582</v>
      </c>
      <c r="J24" s="29">
        <f>'Berechnung Steuereinnahmen'!G16/1000/1000/1000+'Berechnung Steuereinnahmen'!G12/1000/1000/1000+'Berechnung Steuereinnahmen'!G22/1000/1000/1000</f>
        <v>3.0172124745960582</v>
      </c>
      <c r="K24" s="29">
        <f>'Berechnung Steuereinnahmen'!H16/1000/1000/1000+'Berechnung Steuereinnahmen'!H12/1000/1000/1000+'Berechnung Steuereinnahmen'!H22/1000/1000/1000</f>
        <v>3.0172124745960582</v>
      </c>
      <c r="L24" s="29">
        <f>'Berechnung Steuereinnahmen'!I16/1000/1000/1000+'Berechnung Steuereinnahmen'!I12/1000/1000/1000+'Berechnung Steuereinnahmen'!I22/1000/1000/1000</f>
        <v>3.0172124745960582</v>
      </c>
      <c r="M24" s="29">
        <f>'Berechnung Steuereinnahmen'!J16/1000/1000/1000+'Berechnung Steuereinnahmen'!J12/1000/1000/1000+'Berechnung Steuereinnahmen'!J22/1000/1000/1000</f>
        <v>3.0172124745960582</v>
      </c>
      <c r="N24" s="29">
        <f>'Berechnung Steuereinnahmen'!K16/1000/1000/1000+'Berechnung Steuereinnahmen'!K12/1000/1000/1000+'Berechnung Steuereinnahmen'!K22/1000/1000/1000</f>
        <v>3.0172124745960582</v>
      </c>
      <c r="O24" s="29">
        <f>'Berechnung Steuereinnahmen'!L16/1000/1000/1000+'Berechnung Steuereinnahmen'!L12/1000/1000/1000+'Berechnung Steuereinnahmen'!L22/1000/1000/1000</f>
        <v>3.0172124745960582</v>
      </c>
      <c r="P24" s="29">
        <f>'Berechnung Steuereinnahmen'!M16/1000/1000/1000+'Berechnung Steuereinnahmen'!M12/1000/1000/1000+'Berechnung Steuereinnahmen'!M22/1000/1000/1000</f>
        <v>3.0172124745960582</v>
      </c>
      <c r="Q24" s="22" t="s">
        <v>228</v>
      </c>
    </row>
    <row r="25" spans="1:20">
      <c r="B25" s="30" t="s">
        <v>233</v>
      </c>
      <c r="C25" s="34">
        <f t="shared" ref="C25:P25" si="5">SUBTOTAL(109,C20:C24)</f>
        <v>47.037277773973059</v>
      </c>
      <c r="D25" s="34">
        <f t="shared" si="5"/>
        <v>47.037277773973059</v>
      </c>
      <c r="E25" s="34">
        <f t="shared" si="5"/>
        <v>47.409997702456238</v>
      </c>
      <c r="F25" s="34">
        <f t="shared" si="5"/>
        <v>44.093924095599228</v>
      </c>
      <c r="G25" s="34">
        <f t="shared" si="5"/>
        <v>44.150554597555512</v>
      </c>
      <c r="H25" s="34">
        <f t="shared" si="5"/>
        <v>47.453136916038588</v>
      </c>
      <c r="I25" s="34">
        <f t="shared" si="5"/>
        <v>47.453136916038588</v>
      </c>
      <c r="J25" s="34">
        <f t="shared" si="5"/>
        <v>47.453136916038588</v>
      </c>
      <c r="K25" s="34">
        <f t="shared" si="5"/>
        <v>47.453136916038588</v>
      </c>
      <c r="L25" s="34">
        <f t="shared" si="5"/>
        <v>47.453136916038588</v>
      </c>
      <c r="M25" s="34">
        <f t="shared" si="5"/>
        <v>47.453136916038588</v>
      </c>
      <c r="N25" s="34">
        <f t="shared" si="5"/>
        <v>47.453136916038588</v>
      </c>
      <c r="O25" s="34">
        <f t="shared" si="5"/>
        <v>47.453136916038588</v>
      </c>
      <c r="P25" s="34">
        <f t="shared" si="5"/>
        <v>47.453136916038588</v>
      </c>
      <c r="Q25" s="30"/>
    </row>
    <row r="26" spans="1:20">
      <c r="B26" s="30" t="s">
        <v>11</v>
      </c>
      <c r="C26" s="31">
        <f t="shared" ref="C26:P26" si="6">180*C41/10^6*10^9*C42/10^9</f>
        <v>56.870100000000001</v>
      </c>
      <c r="D26" s="32">
        <f t="shared" si="6"/>
        <v>54.802972160248331</v>
      </c>
      <c r="E26" s="32">
        <f t="shared" si="6"/>
        <v>52.72741562712195</v>
      </c>
      <c r="F26" s="33">
        <f t="shared" si="6"/>
        <v>50.643430400620836</v>
      </c>
      <c r="G26" s="33"/>
      <c r="H26" s="33"/>
      <c r="I26" s="33"/>
      <c r="J26" s="33">
        <f t="shared" ref="J26" si="7">180*J41/10^6*10^9*J42/10^9</f>
        <v>0</v>
      </c>
      <c r="K26" s="33">
        <f t="shared" si="6"/>
        <v>40.097073867494437</v>
      </c>
      <c r="L26" s="33"/>
      <c r="M26" s="33"/>
      <c r="N26" s="33"/>
      <c r="O26" s="33"/>
      <c r="P26" s="33">
        <f t="shared" si="6"/>
        <v>29.339999999999996</v>
      </c>
      <c r="Q26" s="30"/>
    </row>
    <row r="27" spans="1:20">
      <c r="B27" s="22" t="s">
        <v>6</v>
      </c>
      <c r="C27" s="35">
        <v>0</v>
      </c>
      <c r="D27" s="29">
        <v>0</v>
      </c>
      <c r="E27" s="29">
        <f>'Berechnung Steuereinnahmen'!B29/1000/1000/1000</f>
        <v>0</v>
      </c>
      <c r="F27" s="29">
        <f>'Berechnung Steuereinnahmen'!C29/1000/1000/1000</f>
        <v>0</v>
      </c>
      <c r="G27" s="29">
        <f>'Berechnung Steuereinnahmen'!D29/1000/1000/1000</f>
        <v>1.2883875</v>
      </c>
      <c r="H27" s="29">
        <f>'Berechnung Steuereinnahmen'!E29/1000/1000/1000</f>
        <v>1.713867348987</v>
      </c>
      <c r="I27" s="29">
        <f>'Berechnung Steuereinnahmen'!F29/1000/1000/1000</f>
        <v>1.9995119071515</v>
      </c>
      <c r="J27" s="29">
        <f>'Berechnung Steuereinnahmen'!G29/1000/1000/1000</f>
        <v>2.5708010234805001</v>
      </c>
      <c r="K27" s="29">
        <f>'Berechnung Steuereinnahmen'!H29/1000/1000/1000</f>
        <v>3.1420901398094996</v>
      </c>
      <c r="L27" s="29">
        <f>'Berechnung Steuereinnahmen'!I29/1000/1000/1000</f>
        <v>3.427734697974</v>
      </c>
      <c r="M27" s="29">
        <f>'Berechnung Steuereinnahmen'!J29/1000/1000/1000</f>
        <v>3.427734697974</v>
      </c>
      <c r="N27" s="29">
        <f>'Berechnung Steuereinnahmen'!K29/1000/1000/1000</f>
        <v>3.427734697974</v>
      </c>
      <c r="O27" s="29">
        <f>'Berechnung Steuereinnahmen'!L29/1000/1000/1000</f>
        <v>3.427734697974</v>
      </c>
      <c r="P27" s="29">
        <f>'Berechnung Steuereinnahmen'!M29/1000/1000/1000</f>
        <v>3.427734697974</v>
      </c>
    </row>
    <row r="28" spans="1:20">
      <c r="B28" s="22" t="s">
        <v>7</v>
      </c>
      <c r="C28" s="35">
        <v>0</v>
      </c>
      <c r="D28" s="29">
        <v>0</v>
      </c>
      <c r="E28" s="29">
        <f>'Berechnung Steuereinnahmen'!B30/1000/1000/1000</f>
        <v>0</v>
      </c>
      <c r="F28" s="29">
        <f>'Berechnung Steuereinnahmen'!C30/1000/1000/1000</f>
        <v>0</v>
      </c>
      <c r="G28" s="29">
        <f>'Berechnung Steuereinnahmen'!D30/1000/1000/1000</f>
        <v>2.7824</v>
      </c>
      <c r="H28" s="29">
        <f>'Berechnung Steuereinnahmen'!E30/1000/1000/1000</f>
        <v>3.5961819107520001</v>
      </c>
      <c r="I28" s="29">
        <f>'Berechnung Steuereinnahmen'!F30/1000/1000/1000</f>
        <v>4.195545562543999</v>
      </c>
      <c r="J28" s="29">
        <f>'Berechnung Steuereinnahmen'!G30/1000/1000/1000</f>
        <v>5.3942728661279995</v>
      </c>
      <c r="K28" s="29">
        <f>'Berechnung Steuereinnahmen'!H30/1000/1000/1000</f>
        <v>6.5930001697119991</v>
      </c>
      <c r="L28" s="29">
        <f>'Berechnung Steuereinnahmen'!I30/1000/1000/1000</f>
        <v>7.1923638215040002</v>
      </c>
      <c r="M28" s="29">
        <f>'Berechnung Steuereinnahmen'!J30/1000/1000/1000</f>
        <v>7.1923638215040002</v>
      </c>
      <c r="N28" s="29">
        <f>'Berechnung Steuereinnahmen'!K30/1000/1000/1000</f>
        <v>7.1923638215040002</v>
      </c>
      <c r="O28" s="29">
        <f>'Berechnung Steuereinnahmen'!L30/1000/1000/1000</f>
        <v>7.1923638215040002</v>
      </c>
      <c r="P28" s="29">
        <f>'Berechnung Steuereinnahmen'!M30/1000/1000/1000</f>
        <v>7.1923638215040002</v>
      </c>
    </row>
    <row r="29" spans="1:20">
      <c r="B29" s="22" t="s">
        <v>157</v>
      </c>
      <c r="C29" s="35">
        <v>0</v>
      </c>
      <c r="D29" s="29">
        <v>0</v>
      </c>
      <c r="E29" s="29">
        <f>'Berechnung Steuereinnahmen'!B32/1000/1000/1000+'Berechnung Steuereinnahmen'!B34/1000/1000/1000</f>
        <v>0</v>
      </c>
      <c r="F29" s="29">
        <f>'Berechnung Steuereinnahmen'!C32/1000/1000/1000+'Berechnung Steuereinnahmen'!C34/1000/1000/1000</f>
        <v>0</v>
      </c>
      <c r="G29" s="29">
        <f>'Berechnung Steuereinnahmen'!D32/1000/1000/1000+'Berechnung Steuereinnahmen'!D34/1000/1000/1000</f>
        <v>0.98653599223937505</v>
      </c>
      <c r="H29" s="29">
        <f>'Berechnung Steuereinnahmen'!E32/1000/1000/1000+'Berechnung Steuereinnahmen'!E34/1000/1000/1000</f>
        <v>1.5049250594152497</v>
      </c>
      <c r="I29" s="29">
        <f>'Berechnung Steuereinnahmen'!F32/1000/1000/1000+'Berechnung Steuereinnahmen'!F34/1000/1000/1000</f>
        <v>1.7557459026511244</v>
      </c>
      <c r="J29" s="29">
        <f>'Berechnung Steuereinnahmen'!G32/1000/1000/1000+'Berechnung Steuereinnahmen'!G34/1000/1000/1000</f>
        <v>2.257387589122875</v>
      </c>
      <c r="K29" s="29">
        <f>'Berechnung Steuereinnahmen'!H32/1000/1000/1000+'Berechnung Steuereinnahmen'!H34/1000/1000/1000</f>
        <v>2.759029275594624</v>
      </c>
      <c r="L29" s="29">
        <f>'Berechnung Steuereinnahmen'!I32/1000/1000/1000+'Berechnung Steuereinnahmen'!I34/1000/1000/1000</f>
        <v>3.0098501188304994</v>
      </c>
      <c r="M29" s="29">
        <f>'Berechnung Steuereinnahmen'!J32/1000/1000/1000+'Berechnung Steuereinnahmen'!J34/1000/1000/1000</f>
        <v>3.0098501188304994</v>
      </c>
      <c r="N29" s="29">
        <f>'Berechnung Steuereinnahmen'!K32/1000/1000/1000+'Berechnung Steuereinnahmen'!K34/1000/1000/1000</f>
        <v>3.0098501188304994</v>
      </c>
      <c r="O29" s="29">
        <f>'Berechnung Steuereinnahmen'!L32/1000/1000/1000+'Berechnung Steuereinnahmen'!L34/1000/1000/1000</f>
        <v>3.0098501188304994</v>
      </c>
      <c r="P29" s="29">
        <f>'Berechnung Steuereinnahmen'!M32/1000/1000/1000+'Berechnung Steuereinnahmen'!M34/1000/1000/1000</f>
        <v>3.0098501188304994</v>
      </c>
    </row>
    <row r="30" spans="1:20">
      <c r="B30" s="22" t="s">
        <v>10</v>
      </c>
      <c r="C30" s="35">
        <v>0</v>
      </c>
      <c r="D30" s="29">
        <v>0</v>
      </c>
      <c r="E30" s="29">
        <f>'Berechnung Steuereinnahmen'!B31/1000/1000/1000</f>
        <v>0</v>
      </c>
      <c r="F30" s="29">
        <f>'Berechnung Steuereinnahmen'!C31/1000/1000/1000</f>
        <v>0</v>
      </c>
      <c r="G30" s="29">
        <f>'Berechnung Steuereinnahmen'!D31/1000/1000/1000+'Berechnung Steuereinnahmen'!D33/1000/1000/1000</f>
        <v>2.9575904789829113</v>
      </c>
      <c r="H30" s="29">
        <f>'Berechnung Steuereinnahmen'!E31/1000/1000/1000+'Berechnung Steuereinnahmen'!E33/1000/1000/1000</f>
        <v>3.5491085747794942</v>
      </c>
      <c r="I30" s="29">
        <f>'Berechnung Steuereinnahmen'!F31/1000/1000/1000+'Berechnung Steuereinnahmen'!F33/1000/1000/1000</f>
        <v>4.1406266705760766</v>
      </c>
      <c r="J30" s="29">
        <f>'Berechnung Steuereinnahmen'!G31/1000/1000/1000+'Berechnung Steuereinnahmen'!G33/1000/1000/1000</f>
        <v>5.3236628621692406</v>
      </c>
      <c r="K30" s="29">
        <f>'Berechnung Steuereinnahmen'!H31/1000/1000/1000+'Berechnung Steuereinnahmen'!H33/1000/1000/1000</f>
        <v>6.5066990537624054</v>
      </c>
      <c r="L30" s="29">
        <f>'Berechnung Steuereinnahmen'!I31/1000/1000/1000+'Berechnung Steuereinnahmen'!I33/1000/1000/1000</f>
        <v>7.0982171495589883</v>
      </c>
      <c r="M30" s="29">
        <f>'Berechnung Steuereinnahmen'!J31/1000/1000/1000+'Berechnung Steuereinnahmen'!J33/1000/1000/1000</f>
        <v>7.0982171495589883</v>
      </c>
      <c r="N30" s="29">
        <f>'Berechnung Steuereinnahmen'!K31/1000/1000/1000+'Berechnung Steuereinnahmen'!K33/1000/1000/1000</f>
        <v>7.0982171495589883</v>
      </c>
      <c r="O30" s="29">
        <f>'Berechnung Steuereinnahmen'!L31/1000/1000/1000+'Berechnung Steuereinnahmen'!L33/1000/1000/1000</f>
        <v>7.0982171495589883</v>
      </c>
      <c r="P30" s="29">
        <f>'Berechnung Steuereinnahmen'!M31/1000/1000/1000+'Berechnung Steuereinnahmen'!M33/1000/1000/1000</f>
        <v>7.0982171495589883</v>
      </c>
    </row>
    <row r="31" spans="1:20">
      <c r="B31" s="30" t="s">
        <v>36</v>
      </c>
      <c r="C31" s="31">
        <f>SUM(C27:C30)</f>
        <v>0</v>
      </c>
      <c r="D31" s="31">
        <f t="shared" ref="D31:P31" si="8">SUM(D27:D30)</f>
        <v>0</v>
      </c>
      <c r="E31" s="31">
        <f t="shared" si="8"/>
        <v>0</v>
      </c>
      <c r="F31" s="31">
        <f t="shared" si="8"/>
        <v>0</v>
      </c>
      <c r="G31" s="31">
        <f t="shared" si="8"/>
        <v>8.0149139712222865</v>
      </c>
      <c r="H31" s="31">
        <f t="shared" si="8"/>
        <v>10.364082893933745</v>
      </c>
      <c r="I31" s="31">
        <f t="shared" si="8"/>
        <v>12.091430042922699</v>
      </c>
      <c r="J31" s="31">
        <f t="shared" si="8"/>
        <v>15.546124340900615</v>
      </c>
      <c r="K31" s="31">
        <f t="shared" si="8"/>
        <v>19.000818638878528</v>
      </c>
      <c r="L31" s="31">
        <f t="shared" si="8"/>
        <v>20.728165787867489</v>
      </c>
      <c r="M31" s="31">
        <f t="shared" si="8"/>
        <v>20.728165787867489</v>
      </c>
      <c r="N31" s="31">
        <f t="shared" si="8"/>
        <v>20.728165787867489</v>
      </c>
      <c r="O31" s="31">
        <f t="shared" si="8"/>
        <v>20.728165787867489</v>
      </c>
      <c r="P31" s="31">
        <f t="shared" si="8"/>
        <v>20.728165787867489</v>
      </c>
      <c r="Q31" s="30"/>
    </row>
    <row r="32" spans="1:20">
      <c r="B32" s="30" t="s">
        <v>86</v>
      </c>
      <c r="C32" s="34">
        <f>C25+C31</f>
        <v>47.037277773973059</v>
      </c>
      <c r="D32" s="34">
        <f t="shared" ref="D32:P32" si="9">D25+D31</f>
        <v>47.037277773973059</v>
      </c>
      <c r="E32" s="34">
        <f t="shared" si="9"/>
        <v>47.409997702456238</v>
      </c>
      <c r="F32" s="34">
        <f t="shared" si="9"/>
        <v>44.093924095599228</v>
      </c>
      <c r="G32" s="34">
        <f t="shared" si="9"/>
        <v>52.165468568777797</v>
      </c>
      <c r="H32" s="34">
        <f t="shared" si="9"/>
        <v>57.817219809972329</v>
      </c>
      <c r="I32" s="34">
        <f t="shared" si="9"/>
        <v>59.544566958961283</v>
      </c>
      <c r="J32" s="34">
        <f t="shared" si="9"/>
        <v>62.999261256939207</v>
      </c>
      <c r="K32" s="34">
        <f t="shared" si="9"/>
        <v>66.453955554917115</v>
      </c>
      <c r="L32" s="34">
        <f t="shared" si="9"/>
        <v>68.181302703906084</v>
      </c>
      <c r="M32" s="34">
        <f t="shared" si="9"/>
        <v>68.181302703906084</v>
      </c>
      <c r="N32" s="34">
        <f t="shared" si="9"/>
        <v>68.181302703906084</v>
      </c>
      <c r="O32" s="34">
        <f t="shared" si="9"/>
        <v>68.181302703906084</v>
      </c>
      <c r="P32" s="34">
        <f t="shared" si="9"/>
        <v>68.181302703906084</v>
      </c>
      <c r="Q32" s="30"/>
    </row>
    <row r="33" spans="1:16">
      <c r="C33" s="28"/>
      <c r="D33" s="28"/>
      <c r="E33" s="28"/>
      <c r="F33" s="28"/>
      <c r="G33" s="28"/>
      <c r="H33" s="28"/>
      <c r="I33" s="28"/>
      <c r="J33" s="28"/>
      <c r="K33" s="28"/>
      <c r="L33" s="28"/>
      <c r="M33" s="28"/>
      <c r="N33" s="28"/>
      <c r="O33" s="28"/>
      <c r="P33" s="28"/>
    </row>
    <row r="34" spans="1:16">
      <c r="B34" s="27" t="s">
        <v>235</v>
      </c>
      <c r="C34" s="28"/>
      <c r="D34" s="28"/>
      <c r="E34" s="28"/>
      <c r="F34" s="28"/>
      <c r="G34" s="28"/>
      <c r="H34" s="28"/>
      <c r="I34" s="28"/>
      <c r="J34" s="28"/>
      <c r="K34" s="28"/>
      <c r="L34" s="28"/>
      <c r="M34" s="28"/>
      <c r="N34" s="28"/>
      <c r="O34" s="28"/>
      <c r="P34" s="28"/>
    </row>
    <row r="35" spans="1:16">
      <c r="B35" s="22" t="s">
        <v>11</v>
      </c>
      <c r="C35" s="36">
        <v>1</v>
      </c>
      <c r="D35" s="37">
        <f t="shared" ref="D35:F39" si="10">C35+($P35-$C35)/13</f>
        <v>1.0019392372333549</v>
      </c>
      <c r="E35" s="37">
        <f t="shared" si="10"/>
        <v>1.0038784744667097</v>
      </c>
      <c r="F35" s="37">
        <f t="shared" si="10"/>
        <v>1.0058177117000646</v>
      </c>
      <c r="G35" s="37"/>
      <c r="H35" s="37"/>
      <c r="I35" s="38"/>
      <c r="J35" s="38"/>
      <c r="K35" s="37">
        <f>F35+5*($P35-$C35)/13</f>
        <v>1.015513897866839</v>
      </c>
      <c r="L35" s="37"/>
      <c r="M35" s="37"/>
      <c r="N35" s="37"/>
      <c r="O35" s="37"/>
      <c r="P35" s="36">
        <f>610/595</f>
        <v>1.0252100840336134</v>
      </c>
    </row>
    <row r="36" spans="1:16">
      <c r="B36" s="22" t="s">
        <v>6</v>
      </c>
      <c r="C36" s="36">
        <v>1</v>
      </c>
      <c r="D36" s="37">
        <f t="shared" si="10"/>
        <v>0.96153846153846156</v>
      </c>
      <c r="E36" s="37">
        <f t="shared" si="10"/>
        <v>0.92307692307692313</v>
      </c>
      <c r="F36" s="37">
        <f t="shared" si="10"/>
        <v>0.88461538461538469</v>
      </c>
      <c r="G36" s="37"/>
      <c r="H36" s="37"/>
      <c r="I36" s="38"/>
      <c r="J36" s="38"/>
      <c r="K36" s="37">
        <f>F36+5*($P36-$C36)/13</f>
        <v>0.6923076923076924</v>
      </c>
      <c r="L36" s="37"/>
      <c r="M36" s="37"/>
      <c r="N36" s="37"/>
      <c r="O36" s="37"/>
      <c r="P36" s="36">
        <v>0.5</v>
      </c>
    </row>
    <row r="37" spans="1:16">
      <c r="B37" s="22" t="s">
        <v>7</v>
      </c>
      <c r="C37" s="36">
        <v>1</v>
      </c>
      <c r="D37" s="37">
        <f t="shared" si="10"/>
        <v>0.96153846153846156</v>
      </c>
      <c r="E37" s="37">
        <f t="shared" si="10"/>
        <v>0.92307692307692313</v>
      </c>
      <c r="F37" s="37">
        <f t="shared" si="10"/>
        <v>0.88461538461538469</v>
      </c>
      <c r="G37" s="37"/>
      <c r="H37" s="37"/>
      <c r="I37" s="38"/>
      <c r="J37" s="38"/>
      <c r="K37" s="37">
        <f>F37+5*($P37-$C37)/13</f>
        <v>0.6923076923076924</v>
      </c>
      <c r="L37" s="37"/>
      <c r="M37" s="37"/>
      <c r="N37" s="37"/>
      <c r="O37" s="37"/>
      <c r="P37" s="36">
        <v>0.5</v>
      </c>
    </row>
    <row r="38" spans="1:16">
      <c r="B38" s="22" t="s">
        <v>157</v>
      </c>
      <c r="C38" s="36">
        <v>1</v>
      </c>
      <c r="D38" s="37">
        <f t="shared" si="10"/>
        <v>0.96153846153846156</v>
      </c>
      <c r="E38" s="37">
        <f t="shared" si="10"/>
        <v>0.92307692307692313</v>
      </c>
      <c r="F38" s="37">
        <f t="shared" si="10"/>
        <v>0.88461538461538469</v>
      </c>
      <c r="G38" s="37"/>
      <c r="H38" s="37"/>
      <c r="I38" s="38"/>
      <c r="J38" s="38"/>
      <c r="K38" s="37">
        <f>F38+5*($P38-$C38)/13</f>
        <v>0.6923076923076924</v>
      </c>
      <c r="L38" s="37"/>
      <c r="M38" s="37"/>
      <c r="N38" s="37"/>
      <c r="O38" s="37"/>
      <c r="P38" s="36">
        <v>0.5</v>
      </c>
    </row>
    <row r="39" spans="1:16">
      <c r="B39" s="22" t="s">
        <v>10</v>
      </c>
      <c r="C39" s="36">
        <v>1</v>
      </c>
      <c r="D39" s="37">
        <f t="shared" si="10"/>
        <v>0.98461538461538467</v>
      </c>
      <c r="E39" s="37">
        <f t="shared" si="10"/>
        <v>0.96923076923076934</v>
      </c>
      <c r="F39" s="37">
        <f t="shared" si="10"/>
        <v>0.95384615384615401</v>
      </c>
      <c r="G39" s="37"/>
      <c r="H39" s="37"/>
      <c r="I39" s="38"/>
      <c r="J39" s="38"/>
      <c r="K39" s="37">
        <f>F39+5*($P39-$C39)/13</f>
        <v>0.87692307692307714</v>
      </c>
      <c r="L39" s="37"/>
      <c r="M39" s="37"/>
      <c r="N39" s="37"/>
      <c r="O39" s="37"/>
      <c r="P39" s="36">
        <v>0.8</v>
      </c>
    </row>
    <row r="41" spans="1:16">
      <c r="B41" s="27" t="s">
        <v>236</v>
      </c>
      <c r="C41" s="39">
        <v>531</v>
      </c>
      <c r="D41" s="40">
        <f>C41+($P$41-$C$41)/13</f>
        <v>510.70870113493066</v>
      </c>
      <c r="E41" s="40">
        <f>D41+($P$41-$C$41)/13</f>
        <v>490.41740226986133</v>
      </c>
      <c r="F41" s="40">
        <f>E41+($P$41-$C$41)/13</f>
        <v>470.12610340479199</v>
      </c>
      <c r="G41" s="40"/>
      <c r="H41" s="40"/>
      <c r="K41" s="40">
        <f>F41+5*($P$41-$C$41)/13</f>
        <v>368.66960907944519</v>
      </c>
      <c r="L41" s="40"/>
      <c r="M41" s="40"/>
      <c r="N41" s="40"/>
      <c r="O41" s="40"/>
      <c r="P41" s="39">
        <f>163*1000/610</f>
        <v>267.21311475409834</v>
      </c>
    </row>
    <row r="42" spans="1:16">
      <c r="B42" s="27" t="s">
        <v>78</v>
      </c>
      <c r="C42" s="39">
        <v>595</v>
      </c>
      <c r="D42" s="40">
        <f>C42+($P42-$C42)/13</f>
        <v>596.15384615384619</v>
      </c>
      <c r="E42" s="40">
        <f>D42+($P42-$C42)/13</f>
        <v>597.30769230769238</v>
      </c>
      <c r="F42" s="40">
        <f>E42+($P42-$C42)/13</f>
        <v>598.46153846153857</v>
      </c>
      <c r="G42" s="40"/>
      <c r="H42" s="40"/>
      <c r="K42" s="40">
        <f>F42+5*($P42-$C42)/13</f>
        <v>604.23076923076928</v>
      </c>
      <c r="L42" s="40"/>
      <c r="M42" s="40"/>
      <c r="N42" s="40"/>
      <c r="O42" s="40"/>
      <c r="P42" s="39">
        <v>610</v>
      </c>
    </row>
    <row r="44" spans="1:16">
      <c r="A44" s="22" t="s">
        <v>234</v>
      </c>
      <c r="B44" s="27" t="s">
        <v>237</v>
      </c>
      <c r="C44" s="41">
        <f t="shared" ref="C44:P44" si="11">180*100/10^6*C41</f>
        <v>9.5579999999999998</v>
      </c>
      <c r="D44" s="41">
        <f t="shared" si="11"/>
        <v>9.1927566204287512</v>
      </c>
      <c r="E44" s="41">
        <f t="shared" si="11"/>
        <v>8.8275132408575026</v>
      </c>
      <c r="F44" s="41">
        <f t="shared" si="11"/>
        <v>8.4622698612862557</v>
      </c>
      <c r="G44" s="41"/>
      <c r="H44" s="41"/>
      <c r="I44" s="41"/>
      <c r="J44" s="41"/>
      <c r="K44" s="41">
        <f t="shared" si="11"/>
        <v>6.6360529634300134</v>
      </c>
      <c r="L44" s="41"/>
      <c r="M44" s="41"/>
      <c r="N44" s="41"/>
      <c r="O44" s="41"/>
      <c r="P44" s="41">
        <f t="shared" si="11"/>
        <v>4.8098360655737702</v>
      </c>
    </row>
    <row r="46" spans="1:16">
      <c r="B46" s="22" t="s">
        <v>170</v>
      </c>
      <c r="C46" s="41">
        <f t="shared" ref="C46:C51" si="12">D13*10^9*100/D$42/10^9</f>
        <v>4.2891612903225802</v>
      </c>
    </row>
    <row r="47" spans="1:16">
      <c r="B47" s="22" t="s">
        <v>13</v>
      </c>
      <c r="C47" s="41">
        <f t="shared" si="12"/>
        <v>0.21303225806451612</v>
      </c>
    </row>
    <row r="48" spans="1:16">
      <c r="B48" s="22" t="s">
        <v>14</v>
      </c>
      <c r="C48" s="41">
        <f t="shared" si="12"/>
        <v>0.19793548387096771</v>
      </c>
    </row>
    <row r="49" spans="2:3">
      <c r="B49" s="22" t="s">
        <v>229</v>
      </c>
      <c r="C49" s="41">
        <f t="shared" si="12"/>
        <v>1.8451612903225806E-2</v>
      </c>
    </row>
    <row r="50" spans="2:3">
      <c r="B50" s="22" t="s">
        <v>15</v>
      </c>
      <c r="C50" s="41">
        <f t="shared" si="12"/>
        <v>0</v>
      </c>
    </row>
    <row r="51" spans="2:3">
      <c r="B51" s="22" t="s">
        <v>16</v>
      </c>
      <c r="C51" s="41">
        <f t="shared" si="12"/>
        <v>5.0322580645161289E-3</v>
      </c>
    </row>
  </sheetData>
  <sheetProtection algorithmName="SHA-512" hashValue="ZYszin36NVl2HyfFqLIbvg7OeN8uEUBy9VLpE4ZvtIMJomRpOSt4Dgs4orUSYboQNC8CApZvbeBIrBtSuUXm6Q==" saltValue="t05+Xn2ktuLntHL/PWbqEg==" spinCount="100000" sheet="1" objects="1" scenarios="1" formatRows="0"/>
  <mergeCells count="5">
    <mergeCell ref="C2:F2"/>
    <mergeCell ref="C3:F3"/>
    <mergeCell ref="C4:F4"/>
    <mergeCell ref="C5:F5"/>
    <mergeCell ref="C6:F6"/>
  </mergeCells>
  <pageMargins left="0.7" right="0.7" top="0.78740157499999996" bottom="0.78740157499999996" header="0.3" footer="0.3"/>
  <pageSetup paperSize="9" orientation="portrait" horizontalDpi="4294967293" verticalDpi="4294967293" r:id="rId1"/>
  <customProperties>
    <customPr name="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B181-E9E6-4318-B162-06ADAF86DCB2}">
  <sheetPr codeName="Tabelle23"/>
  <dimension ref="A1:O17"/>
  <sheetViews>
    <sheetView workbookViewId="0"/>
  </sheetViews>
  <sheetFormatPr baseColWidth="10" defaultRowHeight="14.25"/>
  <cols>
    <col min="1" max="1" width="17.5" customWidth="1"/>
    <col min="6" max="6" width="29.125" customWidth="1"/>
    <col min="7" max="16" width="24.375" customWidth="1"/>
    <col min="17" max="21" width="22" customWidth="1"/>
  </cols>
  <sheetData>
    <row r="1" spans="1:15">
      <c r="A1" t="s">
        <v>207</v>
      </c>
      <c r="C1" t="s">
        <v>207</v>
      </c>
      <c r="F1" t="str">
        <f>'Konfiguration Szenarien'!A37</f>
        <v>Rückverteilung pro Kopf [€/Person/a]</v>
      </c>
      <c r="G1" t="str">
        <f>'Konfiguration Szenarien'!A55</f>
        <v>Nettostromverbrauch [TWh]</v>
      </c>
      <c r="H1" t="str">
        <f>'Konfiguration Szenarien'!A73</f>
        <v>Energieverbrauch Erdgas [PJ]</v>
      </c>
      <c r="I1" t="str">
        <f>'Konfiguration Szenarien'!A91</f>
        <v>Stromerzeugung aus Erdgas [TWh]</v>
      </c>
      <c r="J1" t="str">
        <f>'Konfiguration Szenarien'!A109</f>
        <v>Fernwärmeerzeugung aus Erdgas [TWh]</v>
      </c>
      <c r="K1" t="str" cm="1">
        <f t="array" ref="K1:K16">'Konfiguration Szenarien'!A127:A142</f>
        <v>Benzin [PJ]</v>
      </c>
      <c r="L1" t="str" cm="1">
        <f t="array" ref="L1:L16">'Konfiguration Szenarien'!A145:A160</f>
        <v>Diesel [PJ]</v>
      </c>
      <c r="M1" t="str" cm="1">
        <f t="array" ref="M1:M16">'Konfiguration Szenarien'!A163:A178</f>
        <v>Heizöl EL [PJ]</v>
      </c>
      <c r="N1" t="str" cm="1">
        <f t="array" ref="N1:N16">'Konfiguration Szenarien'!A181:A196</f>
        <v>Flüssiggas [PJ]</v>
      </c>
      <c r="O1" t="str" cm="1">
        <f t="array" ref="O1:O16">'Konfiguration Szenarien'!A199:A214</f>
        <v>Heizöl S [PJ]</v>
      </c>
    </row>
    <row r="2" spans="1:15">
      <c r="A2" s="15" t="str">
        <f>'Konfiguration Szenarien'!A20</f>
        <v>CO2-Preis BEHG Stand 3.11.2020</v>
      </c>
      <c r="C2" s="15" t="s">
        <v>257</v>
      </c>
      <c r="E2" t="s">
        <v>257</v>
      </c>
      <c r="F2" t="str">
        <f>'Konfiguration Szenarien'!A38</f>
        <v>manuelle Eingabe</v>
      </c>
      <c r="G2" t="str">
        <f>'Konfiguration Szenarien'!A56</f>
        <v>KNDE</v>
      </c>
      <c r="H2" t="str">
        <f>'Konfiguration Szenarien'!A74</f>
        <v>KNDE</v>
      </c>
      <c r="I2" t="str">
        <f>'Konfiguration Szenarien'!A92</f>
        <v>KNDE</v>
      </c>
      <c r="J2" t="str">
        <f>'Konfiguration Szenarien'!A110</f>
        <v>KNDE</v>
      </c>
      <c r="K2" t="str">
        <v>KNDE</v>
      </c>
      <c r="L2" t="str">
        <v>KNDE</v>
      </c>
      <c r="M2" t="str">
        <v>KNDE</v>
      </c>
      <c r="N2" t="str">
        <v>KNDE</v>
      </c>
      <c r="O2" t="str">
        <v>KNDE</v>
      </c>
    </row>
    <row r="3" spans="1:15">
      <c r="A3" s="15" t="str">
        <f>'Konfiguration Szenarien'!A21</f>
        <v>manuelle Eingabe</v>
      </c>
      <c r="C3" s="15" t="s">
        <v>258</v>
      </c>
      <c r="E3" t="s">
        <v>258</v>
      </c>
      <c r="F3" t="str">
        <f>'Konfiguration Szenarien'!A39</f>
        <v>Agora 50 Maßnahmen</v>
      </c>
      <c r="G3" t="str">
        <f>'Konfiguration Szenarien'!A57</f>
        <v>2019 fortgeschrieben</v>
      </c>
      <c r="H3" t="str">
        <f>'Konfiguration Szenarien'!A75</f>
        <v>2019 fortgeschrieben</v>
      </c>
      <c r="I3" t="str">
        <f>'Konfiguration Szenarien'!A93</f>
        <v>2019 fortgeschrieben</v>
      </c>
      <c r="J3" t="str">
        <f>'Konfiguration Szenarien'!A111</f>
        <v>2019 fortgeschrieben</v>
      </c>
      <c r="K3" t="str">
        <v>2019 fortgeschrieben (Corona Effekt in 2020/2021)</v>
      </c>
      <c r="L3" t="str">
        <v>2019 fortgeschrieben (Corona Effekt in 2020/2021)</v>
      </c>
      <c r="M3" t="str">
        <v>2019 fortgeschrieben (Corona und BEHG Effekt in 2020/2021)</v>
      </c>
      <c r="N3" t="str">
        <v>2019 fortgeschrieben</v>
      </c>
      <c r="O3" t="str">
        <v>2019 fortgeschrieben</v>
      </c>
    </row>
    <row r="4" spans="1:15">
      <c r="A4" s="15" t="str">
        <f>'Konfiguration Szenarien'!A22</f>
        <v>Agora 50 Maßnahmen max</v>
      </c>
      <c r="C4" s="15"/>
      <c r="F4" t="str">
        <f>'Konfiguration Szenarien'!A40</f>
        <v>Keine Rückverteilung pro Kopf</v>
      </c>
      <c r="G4" t="str">
        <f>'Konfiguration Szenarien'!A58</f>
        <v>BEE</v>
      </c>
      <c r="H4" t="str">
        <f>'Konfiguration Szenarien'!A76</f>
        <v>0,5% Minderung p.a. ggü. 2019</v>
      </c>
      <c r="I4" t="str">
        <f>'Konfiguration Szenarien'!A94</f>
        <v>0,5% Steigerung p.a. ggü. 2019</v>
      </c>
      <c r="J4" t="str">
        <f>'Konfiguration Szenarien'!A112</f>
        <v>0,5% Steigerung p.a. ggü. 2019</v>
      </c>
      <c r="K4" t="str">
        <v>0,5% Minderung p.a. ggü. 2019</v>
      </c>
      <c r="L4" t="str">
        <v>0,5% Minderung p.a. ggü. 2019</v>
      </c>
      <c r="M4" t="str">
        <v>0,5% Minderung p.a. ggü. 2019</v>
      </c>
      <c r="N4" t="str">
        <v>0,5% Minderung p.a. ggü. 2019</v>
      </c>
      <c r="O4" t="str">
        <v>0,5% Minderung p.a. ggü. 2019</v>
      </c>
    </row>
    <row r="5" spans="1:15">
      <c r="A5" s="15" t="str">
        <f>'Konfiguration Szenarien'!A23</f>
        <v>Agora 50 Maßnahmen min</v>
      </c>
      <c r="C5" s="15"/>
      <c r="F5" t="str">
        <f>'Konfiguration Szenarien'!A41</f>
        <v>Pauschal 75€ ab 2023</v>
      </c>
      <c r="G5" t="str">
        <f>'Konfiguration Szenarien'!A59</f>
        <v>[Eigenes Szenario 4]</v>
      </c>
      <c r="H5" t="str">
        <f>'Konfiguration Szenarien'!A77</f>
        <v>1% Minderung p.a. ggü. 2019</v>
      </c>
      <c r="I5" t="str">
        <f>'Konfiguration Szenarien'!A95</f>
        <v>1% Steigerung p.a. ggü. 2019</v>
      </c>
      <c r="J5" t="str">
        <f>'Konfiguration Szenarien'!A113</f>
        <v>1% Steigerung p.a. ggü. 2019</v>
      </c>
      <c r="K5" t="str">
        <v>1% Minderung p.a. ggü. 2019</v>
      </c>
      <c r="L5" t="str">
        <v>1% Minderung p.a. ggü. 2019</v>
      </c>
      <c r="M5" t="str">
        <v>1% Minderung p.a. ggü. 2019</v>
      </c>
      <c r="N5" t="str">
        <v>1% Minderung p.a. ggü. 2019</v>
      </c>
      <c r="O5" t="str">
        <v>1% Minderung p.a. ggü. 2019</v>
      </c>
    </row>
    <row r="6" spans="1:15">
      <c r="A6" s="15" t="str">
        <f>'Konfiguration Szenarien'!A24</f>
        <v>DNR, NABU, BUND et al.</v>
      </c>
      <c r="C6" s="15"/>
      <c r="F6" t="str">
        <f>'Konfiguration Szenarien'!A42</f>
        <v>Pauschal 100€ ab 2023</v>
      </c>
      <c r="G6" t="str">
        <f>'Konfiguration Szenarien'!A60</f>
        <v>[Eigenes Szenario 5]</v>
      </c>
      <c r="H6" t="str">
        <f>'Konfiguration Szenarien'!A78</f>
        <v>2% Minderung p.a. ggü. 2019</v>
      </c>
      <c r="I6" t="str">
        <f>'Konfiguration Szenarien'!A96</f>
        <v>2% Steigerung p.a. ggü. 2019</v>
      </c>
      <c r="J6" t="str">
        <f>'Konfiguration Szenarien'!A114</f>
        <v>2% Steigerung p.a. ggü. 2019</v>
      </c>
      <c r="K6" t="str">
        <v>2,5% Minderung p.a. ggü. 2019</v>
      </c>
      <c r="L6" t="str">
        <v>2,5% Minderung p.a. ggü. 2019</v>
      </c>
      <c r="M6" t="str">
        <v>2,5% Minderung p.a. ggü. 2019</v>
      </c>
      <c r="N6" t="str">
        <v>2,5% Minderung p.a. ggü. 2019</v>
      </c>
      <c r="O6" t="str">
        <v>2,5% Minderung p.a. ggü. 2019</v>
      </c>
    </row>
    <row r="7" spans="1:15">
      <c r="A7" s="15" t="str">
        <f>'Konfiguration Szenarien'!A25</f>
        <v>EEG-Umlage auf Null (KNDE)</v>
      </c>
      <c r="C7" s="15"/>
      <c r="F7" t="str">
        <f>'Konfiguration Szenarien'!A43</f>
        <v>[Eigenes Szenario 6]</v>
      </c>
      <c r="G7" t="str">
        <f>'Konfiguration Szenarien'!A61</f>
        <v>[Eigenes Szenario 6]</v>
      </c>
      <c r="H7" t="str">
        <f>'Konfiguration Szenarien'!A79</f>
        <v>3% Minderung p.a. ggü. 2019</v>
      </c>
      <c r="I7" t="str">
        <f>'Konfiguration Szenarien'!A97</f>
        <v>3% Steigerung p.a. ggü. 2019</v>
      </c>
      <c r="J7" t="str">
        <f>'Konfiguration Szenarien'!A115</f>
        <v>3% Steigerung p.a. ggü. 2019</v>
      </c>
      <c r="K7" t="str">
        <v>5% Minderung p.a. ggü. 2019</v>
      </c>
      <c r="L7" t="str">
        <v>5% Minderung p.a. ggü. 2019</v>
      </c>
      <c r="M7" t="str">
        <v>5% Minderung p.a. ggü. 2019</v>
      </c>
      <c r="N7" t="str">
        <v>5% Minderung p.a. ggü. 2019</v>
      </c>
      <c r="O7" t="str">
        <v>5% Minderung p.a. ggü. 2019</v>
      </c>
    </row>
    <row r="8" spans="1:15">
      <c r="A8" s="15" t="str">
        <f>'Konfiguration Szenarien'!A26</f>
        <v>EEG-Umlage auf Null (Referenz)</v>
      </c>
      <c r="C8" s="15"/>
      <c r="F8" t="str">
        <f>'Konfiguration Szenarien'!A44</f>
        <v>[Eigenes Szenario 7]</v>
      </c>
      <c r="G8" t="str">
        <f>'Konfiguration Szenarien'!A62</f>
        <v>[Eigenes Szenario 7]</v>
      </c>
      <c r="H8" t="str">
        <f>'Konfiguration Szenarien'!A80</f>
        <v>[Eigenes Szenario 7]</v>
      </c>
      <c r="I8" t="str">
        <f>'Konfiguration Szenarien'!A98</f>
        <v>[Eigenes Szenario 7]</v>
      </c>
      <c r="J8" t="str">
        <f>'Konfiguration Szenarien'!A116</f>
        <v>[Eigenes Szenario 7]</v>
      </c>
      <c r="K8" t="str">
        <v>0,5% Steigerung p.a. ggü. 2019</v>
      </c>
      <c r="L8" t="str">
        <v>0,5% Steigerung p.a. ggü. 2019</v>
      </c>
      <c r="M8" t="str">
        <v>0,5% Steigerung p.a. ggü. 2019</v>
      </c>
      <c r="N8" t="str">
        <v>0,5% Steigerung p.a. ggü. 2019</v>
      </c>
      <c r="O8" t="str">
        <v>0,5% Steigerung p.a. ggü. 2019</v>
      </c>
    </row>
    <row r="9" spans="1:15">
      <c r="A9" s="15" t="str">
        <f>'Konfiguration Szenarien'!A27</f>
        <v>[Eigenes Szenario 8]</v>
      </c>
      <c r="F9" t="str">
        <f>'Konfiguration Szenarien'!A45</f>
        <v>[Eigenes Szenario 8]</v>
      </c>
      <c r="G9" t="str">
        <f>'Konfiguration Szenarien'!A63</f>
        <v>[Eigenes Szenario 8]</v>
      </c>
      <c r="H9" t="str">
        <f>'Konfiguration Szenarien'!A81</f>
        <v>[Eigenes Szenario 8]</v>
      </c>
      <c r="I9" t="str">
        <f>'Konfiguration Szenarien'!A99</f>
        <v>[Eigenes Szenario 8]</v>
      </c>
      <c r="J9" t="str">
        <f>'Konfiguration Szenarien'!A117</f>
        <v>[Eigenes Szenario 8]</v>
      </c>
      <c r="K9" t="str">
        <v>1% Steigerung p.a. ggü. 2019</v>
      </c>
      <c r="L9" t="str">
        <v>1% Steigerung p.a. ggü. 2019</v>
      </c>
      <c r="M9" t="str">
        <v>1% Steigerung p.a. ggü. 2019</v>
      </c>
      <c r="N9" t="str">
        <v>1% Steigerung p.a. ggü. 2019</v>
      </c>
      <c r="O9" t="str">
        <v>1% Steigerung p.a. ggü. 2019</v>
      </c>
    </row>
    <row r="10" spans="1:15">
      <c r="A10" s="15" t="str">
        <f>'Konfiguration Szenarien'!A28</f>
        <v>[Eigenes Szenario 9]</v>
      </c>
      <c r="F10" t="str">
        <f>'Konfiguration Szenarien'!A46</f>
        <v>[Eigenes Szenario 9]</v>
      </c>
      <c r="G10" t="str">
        <f>'Konfiguration Szenarien'!A64</f>
        <v>[Eigenes Szenario 9]</v>
      </c>
      <c r="H10" t="str">
        <f>'Konfiguration Szenarien'!A82</f>
        <v>[Eigenes Szenario 9]</v>
      </c>
      <c r="I10" t="str">
        <f>'Konfiguration Szenarien'!A100</f>
        <v>[Eigenes Szenario 9]</v>
      </c>
      <c r="J10" t="str">
        <f>'Konfiguration Szenarien'!A118</f>
        <v>[Eigenes Szenario 9]</v>
      </c>
      <c r="K10" t="str">
        <v>2,5% Steigerung p.a. ggü. 2019</v>
      </c>
      <c r="L10" t="str">
        <v>2,5% Steigerung p.a. ggü. 2019</v>
      </c>
      <c r="M10" t="str">
        <v>2,5% Steigerung p.a. ggü. 2019</v>
      </c>
      <c r="N10" t="str">
        <v>2,5% Steigerung p.a. ggü. 2019</v>
      </c>
      <c r="O10" t="str">
        <v>2,5% Steigerung p.a. ggü. 2019</v>
      </c>
    </row>
    <row r="11" spans="1:15">
      <c r="A11" s="15" t="str">
        <f>'Konfiguration Szenarien'!A29</f>
        <v>[Eigenes Szenario 10]</v>
      </c>
      <c r="F11" t="str">
        <f>'Konfiguration Szenarien'!A47</f>
        <v>[Eigenes Szenario 10]</v>
      </c>
      <c r="G11" t="str">
        <f>'Konfiguration Szenarien'!A65</f>
        <v>[Eigenes Szenario 10]</v>
      </c>
      <c r="H11" t="str">
        <f>'Konfiguration Szenarien'!A83</f>
        <v>[Eigenes Szenario 10]</v>
      </c>
      <c r="I11" t="str">
        <f>'Konfiguration Szenarien'!A101</f>
        <v>[Eigenes Szenario 10]</v>
      </c>
      <c r="J11" t="str">
        <f>'Konfiguration Szenarien'!A119</f>
        <v>[Eigenes Szenario 10]</v>
      </c>
      <c r="K11" t="str">
        <v>[Eigenes Szenario 10]</v>
      </c>
      <c r="L11" t="str">
        <v>[Eigenes Szenario 10]</v>
      </c>
      <c r="M11" t="str">
        <v>[Eigenes Szenario 10]</v>
      </c>
      <c r="N11" t="str">
        <v>[Eigenes Szenario 10]</v>
      </c>
      <c r="O11" t="str">
        <v>[Eigenes Szenario 10]</v>
      </c>
    </row>
    <row r="12" spans="1:15">
      <c r="A12" s="15" t="str">
        <f>'Konfiguration Szenarien'!A30</f>
        <v>[Eigenes Szenario 11]</v>
      </c>
      <c r="F12" t="str">
        <f>'Konfiguration Szenarien'!A48</f>
        <v>[Eigenes Szenario 11]</v>
      </c>
      <c r="G12" t="str">
        <f>'Konfiguration Szenarien'!A66</f>
        <v>[Eigenes Szenario 11]</v>
      </c>
      <c r="H12" t="str">
        <f>'Konfiguration Szenarien'!A84</f>
        <v>[Eigenes Szenario 11]</v>
      </c>
      <c r="I12" t="str">
        <f>'Konfiguration Szenarien'!A102</f>
        <v>[Eigenes Szenario 11]</v>
      </c>
      <c r="J12" t="str">
        <f>'Konfiguration Szenarien'!A120</f>
        <v>[Eigenes Szenario 11]</v>
      </c>
      <c r="K12" t="str">
        <v>[Eigenes Szenario 11]</v>
      </c>
      <c r="L12" t="str">
        <v>[Eigenes Szenario 11]</v>
      </c>
      <c r="M12" t="str">
        <v>[Eigenes Szenario 11]</v>
      </c>
      <c r="N12" t="str">
        <v>[Eigenes Szenario 11]</v>
      </c>
      <c r="O12" t="str">
        <v>[Eigenes Szenario 11]</v>
      </c>
    </row>
    <row r="13" spans="1:15">
      <c r="A13" s="15" t="str">
        <f>'Konfiguration Szenarien'!A31</f>
        <v>[Eigenes Szenario 12]</v>
      </c>
      <c r="F13" t="str">
        <f>'Konfiguration Szenarien'!A49</f>
        <v>[Eigenes Szenario 12]</v>
      </c>
      <c r="G13" t="str">
        <f>'Konfiguration Szenarien'!A67</f>
        <v>[Eigenes Szenario 12]</v>
      </c>
      <c r="H13" t="str">
        <f>'Konfiguration Szenarien'!A85</f>
        <v>[Eigenes Szenario 12]</v>
      </c>
      <c r="I13" t="str">
        <f>'Konfiguration Szenarien'!A103</f>
        <v>[Eigenes Szenario 12]</v>
      </c>
      <c r="J13" t="str">
        <f>'Konfiguration Szenarien'!A121</f>
        <v>[Eigenes Szenario 12]</v>
      </c>
      <c r="K13" t="str">
        <v>[Eigenes Szenario 12]</v>
      </c>
      <c r="L13" t="str">
        <v>[Eigenes Szenario 12]</v>
      </c>
      <c r="M13" t="str">
        <v>[Eigenes Szenario 12]</v>
      </c>
      <c r="N13" t="str">
        <v>[Eigenes Szenario 12]</v>
      </c>
      <c r="O13" t="str">
        <v>[Eigenes Szenario 12]</v>
      </c>
    </row>
    <row r="14" spans="1:15">
      <c r="A14" s="15" t="str">
        <f>'Konfiguration Szenarien'!A32</f>
        <v>[Eigenes Szenario 13]</v>
      </c>
      <c r="F14" t="str">
        <f>'Konfiguration Szenarien'!A50</f>
        <v>[Eigenes Szenario 13]</v>
      </c>
      <c r="G14" t="str">
        <f>'Konfiguration Szenarien'!A68</f>
        <v>[Eigenes Szenario 13]</v>
      </c>
      <c r="H14" t="str">
        <f>'Konfiguration Szenarien'!A86</f>
        <v>[Eigenes Szenario 13]</v>
      </c>
      <c r="I14" t="str">
        <f>'Konfiguration Szenarien'!A104</f>
        <v>[Eigenes Szenario 13]</v>
      </c>
      <c r="J14" t="str">
        <f>'Konfiguration Szenarien'!A122</f>
        <v>[Eigenes Szenario 13]</v>
      </c>
      <c r="K14" t="str">
        <v>[Eigenes Szenario 13]</v>
      </c>
      <c r="L14" t="str">
        <v>[Eigenes Szenario 13]</v>
      </c>
      <c r="M14" t="str">
        <v>[Eigenes Szenario 13]</v>
      </c>
      <c r="N14" t="str">
        <v>[Eigenes Szenario 13]</v>
      </c>
      <c r="O14" t="str">
        <v>[Eigenes Szenario 13]</v>
      </c>
    </row>
    <row r="15" spans="1:15">
      <c r="A15" s="15" t="str">
        <f>'Konfiguration Szenarien'!A33</f>
        <v>[Eigenes Szenario 14]</v>
      </c>
      <c r="F15" t="str">
        <f>'Konfiguration Szenarien'!A51</f>
        <v>[Eigenes Szenario 14]</v>
      </c>
      <c r="G15" t="str">
        <f>'Konfiguration Szenarien'!A69</f>
        <v>[Eigenes Szenario 14]</v>
      </c>
      <c r="H15" t="str">
        <f>'Konfiguration Szenarien'!A87</f>
        <v>[Eigenes Szenario 14]</v>
      </c>
      <c r="I15" t="str">
        <f>'Konfiguration Szenarien'!A105</f>
        <v>[Eigenes Szenario 14]</v>
      </c>
      <c r="J15" t="str">
        <f>'Konfiguration Szenarien'!A123</f>
        <v>[Eigenes Szenario 14]</v>
      </c>
      <c r="K15" t="str">
        <v>[Eigenes Szenario 14]</v>
      </c>
      <c r="L15" t="str">
        <v>[Eigenes Szenario 14]</v>
      </c>
      <c r="M15" t="str">
        <v>[Eigenes Szenario 14]</v>
      </c>
      <c r="N15" t="str">
        <v>[Eigenes Szenario 14]</v>
      </c>
      <c r="O15" t="str">
        <v>[Eigenes Szenario 14]</v>
      </c>
    </row>
    <row r="16" spans="1:15">
      <c r="A16" s="15" t="str">
        <f>'Konfiguration Szenarien'!A34</f>
        <v>[Eigenes Szenario 15]</v>
      </c>
      <c r="F16" t="str">
        <f>'Konfiguration Szenarien'!A52</f>
        <v>[Eigenes Szenario 15]</v>
      </c>
      <c r="G16" t="str">
        <f>'Konfiguration Szenarien'!A70</f>
        <v>[Eigenes Szenario 15]</v>
      </c>
      <c r="H16" t="str">
        <f>'Konfiguration Szenarien'!A88</f>
        <v>[Eigenes Szenario 15]</v>
      </c>
      <c r="I16" t="str">
        <f>'Konfiguration Szenarien'!A106</f>
        <v>[Eigenes Szenario 15]</v>
      </c>
      <c r="J16" t="str">
        <f>'Konfiguration Szenarien'!A124</f>
        <v>[Eigenes Szenario 15]</v>
      </c>
      <c r="K16" t="str">
        <v>[Eigenes Szenario 15]</v>
      </c>
      <c r="L16" t="str">
        <v>[Eigenes Szenario 15]</v>
      </c>
      <c r="M16" t="str">
        <v>[Eigenes Szenario 15]</v>
      </c>
      <c r="N16" t="str">
        <v>[Eigenes Szenario 15]</v>
      </c>
      <c r="O16" t="str">
        <v>[Eigenes Szenario 15]</v>
      </c>
    </row>
    <row r="17" spans="1:1">
      <c r="A17" s="15"/>
    </row>
  </sheetData>
  <sheetProtection algorithmName="SHA-512" hashValue="7wGa71rsuC7U6KwbOp/EgLvifKEB74fijR0/hVSTJLul55P2RlJxzCFtj/5w1g9LT56qCUCsXW3FZpNlEONVUQ==" saltValue="tQiXLGuHHDvj6U0+ABrYRg==" spinCount="100000" sheet="1" objects="1" scenarios="1" formatRows="0"/>
  <pageMargins left="0.7" right="0.7" top="0.78740157499999996" bottom="0.78740157499999996" header="0.3" footer="0.3"/>
  <customProperties>
    <customPr name="ID" r:id="rId1"/>
  </customProperties>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6CA6E-E692-450E-B9AA-2917C5F7E520}">
  <sheetPr codeName="Tabelle3">
    <tabColor theme="6"/>
  </sheetPr>
  <dimension ref="A1:O232"/>
  <sheetViews>
    <sheetView zoomScale="80" zoomScaleNormal="80" workbookViewId="0">
      <selection activeCell="B9" sqref="B9"/>
    </sheetView>
  </sheetViews>
  <sheetFormatPr baseColWidth="10" defaultColWidth="11.25" defaultRowHeight="14.25"/>
  <cols>
    <col min="1" max="1" width="48.25" style="182" customWidth="1"/>
    <col min="2" max="2" width="47.5" style="182" customWidth="1"/>
    <col min="3" max="3" width="15.75" style="182" customWidth="1"/>
    <col min="4" max="4" width="10.75" style="182" customWidth="1"/>
    <col min="5" max="14" width="11.25" style="182"/>
    <col min="15" max="15" width="11.25" style="182" customWidth="1"/>
    <col min="16" max="16384" width="11.25" style="182"/>
  </cols>
  <sheetData>
    <row r="1" spans="1:15" ht="15" thickBot="1"/>
    <row r="2" spans="1:15" ht="15" thickBot="1">
      <c r="A2" s="151" t="s">
        <v>256</v>
      </c>
      <c r="B2" s="169" t="str">
        <f>'Interface EEG-CO2-Preis-Rechner'!B16</f>
        <v>KNDE 2045</v>
      </c>
      <c r="F2" s="158" t="s">
        <v>259</v>
      </c>
      <c r="G2" s="158"/>
      <c r="H2" s="304">
        <v>82.03</v>
      </c>
      <c r="I2" s="305" t="s">
        <v>260</v>
      </c>
    </row>
    <row r="3" spans="1:15" ht="15" thickBot="1">
      <c r="A3" s="151" t="s">
        <v>268</v>
      </c>
      <c r="B3" s="169" t="str">
        <f>'Interface EEG-CO2-Preis-Rechner'!B17</f>
        <v>Referenz</v>
      </c>
    </row>
    <row r="4" spans="1:15">
      <c r="A4" s="151" t="s">
        <v>436</v>
      </c>
      <c r="B4" s="299" t="str">
        <f>'Interface EEG-CO2-Preis-Rechner'!B18</f>
        <v>Referenz</v>
      </c>
    </row>
    <row r="5" spans="1:15">
      <c r="B5" s="303"/>
      <c r="C5" s="303">
        <v>1</v>
      </c>
      <c r="D5" s="303">
        <f>C5+1</f>
        <v>2</v>
      </c>
      <c r="E5" s="303">
        <f t="shared" ref="E5:N5" si="0">D5+1</f>
        <v>3</v>
      </c>
      <c r="F5" s="303">
        <f t="shared" si="0"/>
        <v>4</v>
      </c>
      <c r="G5" s="303">
        <f t="shared" si="0"/>
        <v>5</v>
      </c>
      <c r="H5" s="303">
        <f t="shared" si="0"/>
        <v>6</v>
      </c>
      <c r="I5" s="303">
        <f t="shared" si="0"/>
        <v>7</v>
      </c>
      <c r="J5" s="303">
        <f t="shared" si="0"/>
        <v>8</v>
      </c>
      <c r="K5" s="303">
        <f t="shared" si="0"/>
        <v>9</v>
      </c>
      <c r="L5" s="303">
        <f t="shared" si="0"/>
        <v>10</v>
      </c>
      <c r="M5" s="303">
        <f t="shared" si="0"/>
        <v>11</v>
      </c>
      <c r="N5" s="303">
        <f t="shared" si="0"/>
        <v>12</v>
      </c>
    </row>
    <row r="6" spans="1:15" ht="15" thickBot="1">
      <c r="B6" s="300" t="s">
        <v>369</v>
      </c>
      <c r="C6" s="301">
        <v>2019</v>
      </c>
      <c r="D6" s="301">
        <f>C6+1</f>
        <v>2020</v>
      </c>
      <c r="E6" s="301">
        <f t="shared" ref="E6:N6" si="1">D6+1</f>
        <v>2021</v>
      </c>
      <c r="F6" s="301">
        <f t="shared" si="1"/>
        <v>2022</v>
      </c>
      <c r="G6" s="301">
        <f t="shared" si="1"/>
        <v>2023</v>
      </c>
      <c r="H6" s="301">
        <f t="shared" si="1"/>
        <v>2024</v>
      </c>
      <c r="I6" s="301">
        <f t="shared" si="1"/>
        <v>2025</v>
      </c>
      <c r="J6" s="301">
        <f t="shared" si="1"/>
        <v>2026</v>
      </c>
      <c r="K6" s="301">
        <f t="shared" si="1"/>
        <v>2027</v>
      </c>
      <c r="L6" s="301">
        <f t="shared" si="1"/>
        <v>2028</v>
      </c>
      <c r="M6" s="301">
        <f t="shared" si="1"/>
        <v>2029</v>
      </c>
      <c r="N6" s="302">
        <f t="shared" si="1"/>
        <v>2030</v>
      </c>
    </row>
    <row r="7" spans="1:15" ht="15.75" thickBot="1">
      <c r="A7" s="157" t="s">
        <v>163</v>
      </c>
      <c r="B7" s="144" t="str">
        <f>'Start - Ergebnisse'!C6</f>
        <v>CO2-Preis BEHG Stand 3.11.2020</v>
      </c>
      <c r="C7" s="152" cm="1">
        <f t="array" ref="C7">INDEX($C20:$N34,$O$7,C$5)</f>
        <v>0</v>
      </c>
      <c r="D7" s="152" cm="1">
        <f t="array" ref="D7">INDEX($C20:$N34,$O$7,D$5)</f>
        <v>0</v>
      </c>
      <c r="E7" s="152" cm="1">
        <f t="array" ref="E7">INDEX($C20:$N34,$O$7,E$5)</f>
        <v>25</v>
      </c>
      <c r="F7" s="152" cm="1">
        <f t="array" ref="F7">INDEX($C20:$N34,$O$7,F$5)</f>
        <v>30</v>
      </c>
      <c r="G7" s="152" cm="1">
        <f t="array" ref="G7">INDEX($C20:$N34,$O$7,G$5)</f>
        <v>35</v>
      </c>
      <c r="H7" s="152" cm="1">
        <f t="array" ref="H7">INDEX($C20:$N34,$O$7,H$5)</f>
        <v>45</v>
      </c>
      <c r="I7" s="152" cm="1">
        <f t="array" ref="I7">INDEX($C20:$N34,$O$7,I$5)</f>
        <v>55</v>
      </c>
      <c r="J7" s="152" cm="1">
        <f t="array" ref="J7">INDEX($C20:$N34,$O$7,J$5)</f>
        <v>60</v>
      </c>
      <c r="K7" s="152" cm="1">
        <f t="array" ref="K7">INDEX($C20:$N34,$O$7,K$5)</f>
        <v>60</v>
      </c>
      <c r="L7" s="152" cm="1">
        <f t="array" ref="L7">INDEX($C20:$N34,$O$7,L$5)</f>
        <v>60</v>
      </c>
      <c r="M7" s="152" cm="1">
        <f t="array" ref="M7">INDEX($C20:$N34,$O$7,M$5)</f>
        <v>60</v>
      </c>
      <c r="N7" s="153" cm="1">
        <f t="array" ref="N7">INDEX($C20:$N34,$O$7,N$5)</f>
        <v>60</v>
      </c>
      <c r="O7" s="297">
        <f>MATCH(B7,A20:A26,0)</f>
        <v>1</v>
      </c>
    </row>
    <row r="8" spans="1:15">
      <c r="A8" s="151" t="s">
        <v>367</v>
      </c>
      <c r="B8" s="144" t="str">
        <f>'Start - Ergebnisse'!C19</f>
        <v>manuelle Eingabe</v>
      </c>
      <c r="C8" s="152" cm="1">
        <f t="array" ref="C8">INDEX($C$38:$N$52,$O$8,C$5)</f>
        <v>0</v>
      </c>
      <c r="D8" s="152" cm="1">
        <f t="array" ref="D8">INDEX($C$38:$N$52,$O$8,D$5)</f>
        <v>0</v>
      </c>
      <c r="E8" s="152" cm="1">
        <f t="array" ref="E8">INDEX($C$38:$N$52,$O$8,E$5)</f>
        <v>0</v>
      </c>
      <c r="F8" s="152" cm="1">
        <f t="array" ref="F8">INDEX($C$38:$N$52,$O$8,F$5)</f>
        <v>0</v>
      </c>
      <c r="G8" s="152" cm="1">
        <f t="array" ref="G8">INDEX($C$38:$N$52,$O$8,G$5)</f>
        <v>0</v>
      </c>
      <c r="H8" s="152" cm="1">
        <f t="array" ref="H8">INDEX($C$38:$N$52,$O$8,H$5)</f>
        <v>0</v>
      </c>
      <c r="I8" s="152" cm="1">
        <f t="array" ref="I8">INDEX($C$38:$N$52,$O$8,I$5)</f>
        <v>0</v>
      </c>
      <c r="J8" s="152" cm="1">
        <f t="array" ref="J8">INDEX($C$38:$N$52,$O$8,J$5)</f>
        <v>0</v>
      </c>
      <c r="K8" s="152" cm="1">
        <f t="array" ref="K8">INDEX($C$38:$N$52,$O$8,K$5)</f>
        <v>0</v>
      </c>
      <c r="L8" s="152" cm="1">
        <f t="array" ref="L8">INDEX($C$38:$N$52,$O$8,L$5)</f>
        <v>0</v>
      </c>
      <c r="M8" s="152" cm="1">
        <f t="array" ref="M8">INDEX($C$38:$N$52,$O$8,M$5)</f>
        <v>0</v>
      </c>
      <c r="N8" s="153" cm="1">
        <f t="array" ref="N8">INDEX($C$38:$N$52,$O$8,N$5)</f>
        <v>0</v>
      </c>
      <c r="O8" s="297">
        <f>MATCH(B8,A38:A52,0)</f>
        <v>1</v>
      </c>
    </row>
    <row r="9" spans="1:15">
      <c r="A9" s="151" t="s">
        <v>209</v>
      </c>
      <c r="B9" s="261" t="s">
        <v>376</v>
      </c>
      <c r="C9" s="152" cm="1">
        <f t="array" ref="C9">INDEX($C56:$N70,$O$9,C$5)</f>
        <v>536</v>
      </c>
      <c r="D9" s="152" cm="1">
        <f t="array" ref="D9">INDEX($C56:$N70,$O$9,D$5)</f>
        <v>488</v>
      </c>
      <c r="E9" s="152" cm="1">
        <f t="array" ref="E9">INDEX($C56:$N70,$O$9,E$5)</f>
        <v>536</v>
      </c>
      <c r="F9" s="152" cm="1">
        <f t="array" ref="F9">INDEX($C56:$N70,$O$9,F$5)</f>
        <v>536</v>
      </c>
      <c r="G9" s="152" cm="1">
        <f t="array" ref="G9">INDEX($C56:$N70,$O$9,G$5)</f>
        <v>536</v>
      </c>
      <c r="H9" s="152" cm="1">
        <f t="array" ref="H9">INDEX($C56:$N70,$O$9,H$5)</f>
        <v>536</v>
      </c>
      <c r="I9" s="152" cm="1">
        <f t="array" ref="I9">INDEX($C56:$N70,$O$9,I$5)</f>
        <v>536</v>
      </c>
      <c r="J9" s="152" cm="1">
        <f t="array" ref="J9">INDEX($C56:$N70,$O$9,J$5)</f>
        <v>536</v>
      </c>
      <c r="K9" s="152" cm="1">
        <f t="array" ref="K9">INDEX($C56:$N70,$O$9,K$5)</f>
        <v>536</v>
      </c>
      <c r="L9" s="152" cm="1">
        <f t="array" ref="L9">INDEX($C56:$N70,$O$9,L$5)</f>
        <v>536</v>
      </c>
      <c r="M9" s="152" cm="1">
        <f t="array" ref="M9">INDEX($C56:$N70,$O$9,M$5)</f>
        <v>536</v>
      </c>
      <c r="N9" s="153" cm="1">
        <f t="array" ref="N9">INDEX($C56:$N70,$O$9,N$5)</f>
        <v>536</v>
      </c>
      <c r="O9" s="298">
        <f>MATCH(B9,A56:A70,0)</f>
        <v>2</v>
      </c>
    </row>
    <row r="10" spans="1:15">
      <c r="A10" s="151" t="s">
        <v>238</v>
      </c>
      <c r="B10" s="261" t="s">
        <v>376</v>
      </c>
      <c r="C10" s="152" cm="1">
        <f t="array" ref="C10">INDEX($C74:$N88,$O$10,C$5)</f>
        <v>2182</v>
      </c>
      <c r="D10" s="152" cm="1">
        <f t="array" ref="D10">INDEX($C74:$N88,$O$10,D$5)</f>
        <v>2182</v>
      </c>
      <c r="E10" s="152" cm="1">
        <f t="array" ref="E10">INDEX($C74:$N88,$O$10,E$5)</f>
        <v>2182</v>
      </c>
      <c r="F10" s="152" cm="1">
        <f t="array" ref="F10">INDEX($C74:$N88,$O$10,F$5)</f>
        <v>2182</v>
      </c>
      <c r="G10" s="152" cm="1">
        <f t="array" ref="G10">INDEX($C74:$N88,$O$10,G$5)</f>
        <v>2182</v>
      </c>
      <c r="H10" s="152" cm="1">
        <f t="array" ref="H10">INDEX($C74:$N88,$O$10,H$5)</f>
        <v>2182</v>
      </c>
      <c r="I10" s="152" cm="1">
        <f t="array" ref="I10">INDEX($C74:$N88,$O$10,I$5)</f>
        <v>2182</v>
      </c>
      <c r="J10" s="152" cm="1">
        <f t="array" ref="J10">INDEX($C74:$N88,$O$10,J$5)</f>
        <v>2182</v>
      </c>
      <c r="K10" s="152" cm="1">
        <f t="array" ref="K10">INDEX($C74:$N88,$O$10,K$5)</f>
        <v>2182</v>
      </c>
      <c r="L10" s="152" cm="1">
        <f t="array" ref="L10">INDEX($C74:$N88,$O$10,L$5)</f>
        <v>2182</v>
      </c>
      <c r="M10" s="152" cm="1">
        <f t="array" ref="M10">INDEX($C74:$N88,$O$10,M$5)</f>
        <v>2182</v>
      </c>
      <c r="N10" s="153" cm="1">
        <f t="array" ref="N10">INDEX($C74:$N88,$O$10,N$5)</f>
        <v>2182</v>
      </c>
      <c r="O10" s="298">
        <f>MATCH(B10,A74:A88,0)</f>
        <v>2</v>
      </c>
    </row>
    <row r="11" spans="1:15">
      <c r="A11" s="151" t="s">
        <v>242</v>
      </c>
      <c r="B11" s="261" t="s">
        <v>376</v>
      </c>
      <c r="C11" s="152" cm="1">
        <f t="array" ref="C11">INDEX($C$92:$N$106,$O$11,C$5)</f>
        <v>80</v>
      </c>
      <c r="D11" s="152" cm="1">
        <f t="array" ref="D11">INDEX($C$92:$N$106,$O$11,D$5)</f>
        <v>80</v>
      </c>
      <c r="E11" s="152" cm="1">
        <f t="array" ref="E11">INDEX($C$92:$N$106,$O$11,E$5)</f>
        <v>80</v>
      </c>
      <c r="F11" s="152" cm="1">
        <f t="array" ref="F11">INDEX($C$92:$N$106,$O$11,F$5)</f>
        <v>80</v>
      </c>
      <c r="G11" s="152" cm="1">
        <f t="array" ref="G11">INDEX($C$92:$N$106,$O$11,G$5)</f>
        <v>80</v>
      </c>
      <c r="H11" s="152" cm="1">
        <f t="array" ref="H11">INDEX($C$92:$N$106,$O$11,H$5)</f>
        <v>80</v>
      </c>
      <c r="I11" s="152" cm="1">
        <f t="array" ref="I11">INDEX($C$92:$N$106,$O$11,I$5)</f>
        <v>80</v>
      </c>
      <c r="J11" s="152" cm="1">
        <f t="array" ref="J11">INDEX($C$92:$N$106,$O$11,J$5)</f>
        <v>80</v>
      </c>
      <c r="K11" s="152" cm="1">
        <f t="array" ref="K11">INDEX($C$92:$N$106,$O$11,K$5)</f>
        <v>80</v>
      </c>
      <c r="L11" s="152" cm="1">
        <f t="array" ref="L11">INDEX($C$92:$N$106,$O$11,L$5)</f>
        <v>80</v>
      </c>
      <c r="M11" s="152" cm="1">
        <f t="array" ref="M11">INDEX($C$92:$N$106,$O$11,M$5)</f>
        <v>80</v>
      </c>
      <c r="N11" s="153" cm="1">
        <f t="array" ref="N11">INDEX($C$92:$N$106,$O$11,N$5)</f>
        <v>80</v>
      </c>
      <c r="O11" s="298">
        <f>MATCH(B11,A92:A106,0)</f>
        <v>2</v>
      </c>
    </row>
    <row r="12" spans="1:15">
      <c r="A12" s="151" t="s">
        <v>243</v>
      </c>
      <c r="B12" s="261" t="s">
        <v>376</v>
      </c>
      <c r="C12" s="152" cm="1">
        <f t="array" ref="C12">INDEX($C$110:$N$124,$O$12,C$5)</f>
        <v>55.380833333333335</v>
      </c>
      <c r="D12" s="152" cm="1">
        <f t="array" ref="D12">INDEX($C$110:$N$124,$O$12,D$5)</f>
        <v>55.380833333333335</v>
      </c>
      <c r="E12" s="152" cm="1">
        <f t="array" ref="E12">INDEX($C$110:$N$124,$O$12,E$5)</f>
        <v>55.380833333333335</v>
      </c>
      <c r="F12" s="152" cm="1">
        <f t="array" ref="F12">INDEX($C$110:$N$124,$O$12,F$5)</f>
        <v>55.380833333333335</v>
      </c>
      <c r="G12" s="152" cm="1">
        <f t="array" ref="G12">INDEX($C$110:$N$124,$O$12,G$5)</f>
        <v>55.380833333333335</v>
      </c>
      <c r="H12" s="152" cm="1">
        <f t="array" ref="H12">INDEX($C$110:$N$124,$O$12,H$5)</f>
        <v>55.380833333333335</v>
      </c>
      <c r="I12" s="152" cm="1">
        <f t="array" ref="I12">INDEX($C$110:$N$124,$O$12,I$5)</f>
        <v>55.380833333333335</v>
      </c>
      <c r="J12" s="152" cm="1">
        <f t="array" ref="J12">INDEX($C$110:$N$124,$O$12,J$5)</f>
        <v>55.380833333333335</v>
      </c>
      <c r="K12" s="152" cm="1">
        <f t="array" ref="K12">INDEX($C$110:$N$124,$O$12,K$5)</f>
        <v>55.380833333333335</v>
      </c>
      <c r="L12" s="152" cm="1">
        <f t="array" ref="L12">INDEX($C$110:$N$124,$O$12,L$5)</f>
        <v>55.380833333333335</v>
      </c>
      <c r="M12" s="152" cm="1">
        <f t="array" ref="M12">INDEX($C$110:$N$124,$O$12,M$5)</f>
        <v>55.380833333333335</v>
      </c>
      <c r="N12" s="153" cm="1">
        <f t="array" ref="N12">INDEX($C$110:$N$124,$O$12,N$5)</f>
        <v>55.380833333333335</v>
      </c>
      <c r="O12" s="298">
        <f>MATCH(B12,A110:A124,0)</f>
        <v>2</v>
      </c>
    </row>
    <row r="13" spans="1:15">
      <c r="A13" s="151" t="s">
        <v>18</v>
      </c>
      <c r="B13" s="261" t="s">
        <v>508</v>
      </c>
      <c r="C13" s="152" cm="1">
        <f t="array" ref="C13">INDEX($C$128:$N$142,$O$13,C$5)</f>
        <v>781.51725899999997</v>
      </c>
      <c r="D13" s="152" cm="1">
        <f t="array" ref="D13">INDEX($C$128:$N$142,$O$13,D$5)</f>
        <v>705</v>
      </c>
      <c r="E13" s="152" cm="1">
        <f t="array" ref="E13">INDEX($C$128:$N$142,$O$13,E$5)</f>
        <v>705</v>
      </c>
      <c r="F13" s="152" cm="1">
        <f t="array" ref="F13">INDEX($C$128:$N$142,$O$13,F$5)</f>
        <v>781.51725899999997</v>
      </c>
      <c r="G13" s="152" cm="1">
        <f t="array" ref="G13">INDEX($C$128:$N$142,$O$13,G$5)</f>
        <v>781.51725899999997</v>
      </c>
      <c r="H13" s="152" cm="1">
        <f t="array" ref="H13">INDEX($C$128:$N$142,$O$13,H$5)</f>
        <v>781.51725899999997</v>
      </c>
      <c r="I13" s="152" cm="1">
        <f t="array" ref="I13">INDEX($C$128:$N$142,$O$13,I$5)</f>
        <v>781.51725899999997</v>
      </c>
      <c r="J13" s="152" cm="1">
        <f t="array" ref="J13">INDEX($C$128:$N$142,$O$13,J$5)</f>
        <v>781.51725899999997</v>
      </c>
      <c r="K13" s="152" cm="1">
        <f t="array" ref="K13">INDEX($C$128:$N$142,$O$13,K$5)</f>
        <v>781.51725899999997</v>
      </c>
      <c r="L13" s="152" cm="1">
        <f t="array" ref="L13">INDEX($C$128:$N$142,$O$13,L$5)</f>
        <v>781.51725899999997</v>
      </c>
      <c r="M13" s="152" cm="1">
        <f t="array" ref="M13">INDEX($C$128:$N$142,$O$13,M$5)</f>
        <v>781.51725899999997</v>
      </c>
      <c r="N13" s="153" cm="1">
        <f t="array" ref="N13">INDEX($C$128:$N$142,$O$13,N$5)</f>
        <v>781.51725899999997</v>
      </c>
      <c r="O13" s="298">
        <f>MATCH(B13,A128:A142,0)</f>
        <v>2</v>
      </c>
    </row>
    <row r="14" spans="1:15">
      <c r="A14" s="151" t="s">
        <v>19</v>
      </c>
      <c r="B14" s="261" t="s">
        <v>508</v>
      </c>
      <c r="C14" s="152" cm="1">
        <f t="array" ref="C14">INDEX($C$146:$N$160,$O$14,C$5)</f>
        <v>1619.9017615999999</v>
      </c>
      <c r="D14" s="152" cm="1">
        <f t="array" ref="D14">INDEX($C$146:$N$160,$O$14,D$5)</f>
        <v>1504</v>
      </c>
      <c r="E14" s="152" cm="1">
        <f t="array" ref="E14">INDEX($C$146:$N$160,$O$14,E$5)</f>
        <v>1504</v>
      </c>
      <c r="F14" s="152" cm="1">
        <f t="array" ref="F14">INDEX($C$146:$N$160,$O$14,F$5)</f>
        <v>1619.9017615999999</v>
      </c>
      <c r="G14" s="152" cm="1">
        <f t="array" ref="G14">INDEX($C$146:$N$160,$O$14,G$5)</f>
        <v>1619.9017615999999</v>
      </c>
      <c r="H14" s="152" cm="1">
        <f t="array" ref="H14">INDEX($C$146:$N$160,$O$14,H$5)</f>
        <v>1619.9017615999999</v>
      </c>
      <c r="I14" s="152" cm="1">
        <f t="array" ref="I14">INDEX($C$146:$N$160,$O$14,I$5)</f>
        <v>1619.9017615999999</v>
      </c>
      <c r="J14" s="152" cm="1">
        <f t="array" ref="J14">INDEX($C$146:$N$160,$O$14,J$5)</f>
        <v>1619.9017615999999</v>
      </c>
      <c r="K14" s="152" cm="1">
        <f t="array" ref="K14">INDEX($C$146:$N$160,$O$14,K$5)</f>
        <v>1619.9017615999999</v>
      </c>
      <c r="L14" s="152" cm="1">
        <f t="array" ref="L14">INDEX($C$146:$N$160,$O$14,L$5)</f>
        <v>1619.9017615999999</v>
      </c>
      <c r="M14" s="152" cm="1">
        <f t="array" ref="M14">INDEX($C$146:$N$160,$O$14,M$5)</f>
        <v>1619.9017615999999</v>
      </c>
      <c r="N14" s="153" cm="1">
        <f t="array" ref="N14">INDEX($C$146:$N$160,$O$14,N$5)</f>
        <v>1619.9017615999999</v>
      </c>
      <c r="O14" s="298">
        <f>MATCH(B14,A146:A160,0)</f>
        <v>2</v>
      </c>
    </row>
    <row r="15" spans="1:15">
      <c r="A15" s="151" t="s">
        <v>216</v>
      </c>
      <c r="B15" s="261" t="s">
        <v>509</v>
      </c>
      <c r="C15" s="152" cm="1">
        <f t="array" ref="C15">INDEX($C$164:$N$178,$O$15,C$5)</f>
        <v>644.63147240000001</v>
      </c>
      <c r="D15" s="152" cm="1">
        <f t="array" ref="D15">INDEX($C$164:$N$178,$O$15,D$5)</f>
        <v>665</v>
      </c>
      <c r="E15" s="152" cm="1">
        <f t="array" ref="E15">INDEX($C$164:$N$178,$O$15,E$5)</f>
        <v>500</v>
      </c>
      <c r="F15" s="152" cm="1">
        <f t="array" ref="F15">INDEX($C$164:$N$178,$O$15,F$5)</f>
        <v>644.63147240000001</v>
      </c>
      <c r="G15" s="152" cm="1">
        <f t="array" ref="G15">INDEX($C$164:$N$178,$O$15,G$5)</f>
        <v>644.63147240000001</v>
      </c>
      <c r="H15" s="152" cm="1">
        <f t="array" ref="H15">INDEX($C$164:$N$178,$O$15,H$5)</f>
        <v>644.63147240000001</v>
      </c>
      <c r="I15" s="152" cm="1">
        <f t="array" ref="I15">INDEX($C$164:$N$178,$O$15,I$5)</f>
        <v>644.63147240000001</v>
      </c>
      <c r="J15" s="152" cm="1">
        <f t="array" ref="J15">INDEX($C$164:$N$178,$O$15,J$5)</f>
        <v>644.63147240000001</v>
      </c>
      <c r="K15" s="152" cm="1">
        <f t="array" ref="K15">INDEX($C$164:$N$178,$O$15,K$5)</f>
        <v>644.63147240000001</v>
      </c>
      <c r="L15" s="152" cm="1">
        <f t="array" ref="L15">INDEX($C$164:$N$178,$O$15,L$5)</f>
        <v>644.63147240000001</v>
      </c>
      <c r="M15" s="152" cm="1">
        <f t="array" ref="M15">INDEX($C$164:$N$178,$O$15,M$5)</f>
        <v>644.63147240000001</v>
      </c>
      <c r="N15" s="153" cm="1">
        <f t="array" ref="N15">INDEX($C$164:$N$178,$O$15,N$5)</f>
        <v>644.63147240000001</v>
      </c>
      <c r="O15" s="298">
        <f>MATCH(B15,A164:A178,0)</f>
        <v>2</v>
      </c>
    </row>
    <row r="16" spans="1:15">
      <c r="A16" s="151" t="str">
        <f>A181</f>
        <v>Flüssiggas [PJ]</v>
      </c>
      <c r="B16" s="261" t="s">
        <v>376</v>
      </c>
      <c r="C16" s="152" cm="1">
        <f t="array" ref="C16">INDEX($C$182:$N$196,$O$16,C$5)</f>
        <v>177.73963899999998</v>
      </c>
      <c r="D16" s="152" cm="1">
        <f t="array" ref="D16">INDEX($C$182:$N$196,$O$16,D$5)</f>
        <v>177.73963899999998</v>
      </c>
      <c r="E16" s="152" cm="1">
        <f t="array" ref="E16">INDEX($C$182:$N$196,$O$16,E$5)</f>
        <v>177.73963899999998</v>
      </c>
      <c r="F16" s="152" cm="1">
        <f t="array" ref="F16">INDEX($C$182:$N$196,$O$16,F$5)</f>
        <v>177.73963899999998</v>
      </c>
      <c r="G16" s="152" cm="1">
        <f t="array" ref="G16">INDEX($C$182:$N$196,$O$16,G$5)</f>
        <v>177.73963899999998</v>
      </c>
      <c r="H16" s="152" cm="1">
        <f t="array" ref="H16">INDEX($C$182:$N$196,$O$16,H$5)</f>
        <v>177.73963899999998</v>
      </c>
      <c r="I16" s="152" cm="1">
        <f t="array" ref="I16">INDEX($C$182:$N$196,$O$16,I$5)</f>
        <v>177.73963899999998</v>
      </c>
      <c r="J16" s="152" cm="1">
        <f t="array" ref="J16">INDEX($C$182:$N$196,$O$16,J$5)</f>
        <v>177.73963899999998</v>
      </c>
      <c r="K16" s="152" cm="1">
        <f t="array" ref="K16">INDEX($C$182:$N$196,$O$16,K$5)</f>
        <v>177.73963899999998</v>
      </c>
      <c r="L16" s="152" cm="1">
        <f t="array" ref="L16">INDEX($C$182:$N$196,$O$16,L$5)</f>
        <v>177.73963899999998</v>
      </c>
      <c r="M16" s="152" cm="1">
        <f t="array" ref="M16">INDEX($C$182:$N$196,$O$16,M$5)</f>
        <v>177.73963899999998</v>
      </c>
      <c r="N16" s="153" cm="1">
        <f t="array" ref="N16">INDEX($C$182:$N$196,$O$16,N$5)</f>
        <v>177.73963899999998</v>
      </c>
      <c r="O16" s="298">
        <f>MATCH(B16,A182:A196,0)</f>
        <v>2</v>
      </c>
    </row>
    <row r="17" spans="1:15">
      <c r="A17" s="151" t="str">
        <f>A199</f>
        <v>Heizöl S [PJ]</v>
      </c>
      <c r="B17" s="261" t="s">
        <v>376</v>
      </c>
      <c r="C17" s="152" cm="1">
        <f t="array" ref="C17">INDEX($C$200:$N$214,$O$17,C$5)</f>
        <v>61.613008500000007</v>
      </c>
      <c r="D17" s="152" cm="1">
        <f t="array" ref="D17">INDEX($C$200:$N$214,$O$17,D$5)</f>
        <v>61.613008500000007</v>
      </c>
      <c r="E17" s="152" cm="1">
        <f t="array" ref="E17">INDEX($C$200:$N$214,$O$17,E$5)</f>
        <v>61.613008500000007</v>
      </c>
      <c r="F17" s="152" cm="1">
        <f t="array" ref="F17">INDEX($C$200:$N$214,$O$17,F$5)</f>
        <v>61.613008500000007</v>
      </c>
      <c r="G17" s="152" cm="1">
        <f t="array" ref="G17">INDEX($C$200:$N$214,$O$17,G$5)</f>
        <v>61.613008500000007</v>
      </c>
      <c r="H17" s="152" cm="1">
        <f t="array" ref="H17">INDEX($C$200:$N$214,$O$17,H$5)</f>
        <v>61.613008500000007</v>
      </c>
      <c r="I17" s="152" cm="1">
        <f t="array" ref="I17">INDEX($C$200:$N$214,$O$17,I$5)</f>
        <v>61.613008500000007</v>
      </c>
      <c r="J17" s="152" cm="1">
        <f t="array" ref="J17">INDEX($C$200:$N$214,$O$17,J$5)</f>
        <v>61.613008500000007</v>
      </c>
      <c r="K17" s="152" cm="1">
        <f t="array" ref="K17">INDEX($C$200:$N$214,$O$17,K$5)</f>
        <v>61.613008500000007</v>
      </c>
      <c r="L17" s="152" cm="1">
        <f t="array" ref="L17">INDEX($C$200:$N$214,$O$17,L$5)</f>
        <v>61.613008500000007</v>
      </c>
      <c r="M17" s="152" cm="1">
        <f t="array" ref="M17">INDEX($C$200:$N$214,$O$17,M$5)</f>
        <v>61.613008500000007</v>
      </c>
      <c r="N17" s="153" cm="1">
        <f t="array" ref="N17">INDEX($C$200:$N$214,$O$17,N$5)</f>
        <v>61.613008500000007</v>
      </c>
      <c r="O17" s="298">
        <f>MATCH(B17,A200:A214,0)</f>
        <v>2</v>
      </c>
    </row>
    <row r="18" spans="1:15" ht="15" thickBot="1">
      <c r="O18" s="297"/>
    </row>
    <row r="19" spans="1:15" ht="15.75" thickBot="1">
      <c r="A19" s="157" t="s">
        <v>254</v>
      </c>
      <c r="C19" s="146">
        <v>2019</v>
      </c>
      <c r="D19" s="146">
        <f>C19+1</f>
        <v>2020</v>
      </c>
      <c r="E19" s="146">
        <f t="shared" ref="E19" si="2">D19+1</f>
        <v>2021</v>
      </c>
      <c r="F19" s="146">
        <f t="shared" ref="F19" si="3">E19+1</f>
        <v>2022</v>
      </c>
      <c r="G19" s="146">
        <f t="shared" ref="G19" si="4">F19+1</f>
        <v>2023</v>
      </c>
      <c r="H19" s="146">
        <f t="shared" ref="H19" si="5">G19+1</f>
        <v>2024</v>
      </c>
      <c r="I19" s="146">
        <f t="shared" ref="I19" si="6">H19+1</f>
        <v>2025</v>
      </c>
      <c r="J19" s="146">
        <f t="shared" ref="J19" si="7">I19+1</f>
        <v>2026</v>
      </c>
      <c r="K19" s="146">
        <f t="shared" ref="K19" si="8">J19+1</f>
        <v>2027</v>
      </c>
      <c r="L19" s="146">
        <f t="shared" ref="L19" si="9">K19+1</f>
        <v>2028</v>
      </c>
      <c r="M19" s="146">
        <f t="shared" ref="M19" si="10">L19+1</f>
        <v>2029</v>
      </c>
      <c r="N19" s="147">
        <f t="shared" ref="N19" si="11">M19+1</f>
        <v>2030</v>
      </c>
    </row>
    <row r="20" spans="1:15" ht="15" thickBot="1">
      <c r="A20" s="261" t="s">
        <v>368</v>
      </c>
      <c r="B20" s="144"/>
      <c r="C20" s="261">
        <v>0</v>
      </c>
      <c r="D20" s="261">
        <v>0</v>
      </c>
      <c r="E20" s="261">
        <v>25</v>
      </c>
      <c r="F20" s="261">
        <v>30</v>
      </c>
      <c r="G20" s="261">
        <v>35</v>
      </c>
      <c r="H20" s="261">
        <v>45</v>
      </c>
      <c r="I20" s="261">
        <v>55</v>
      </c>
      <c r="J20" s="261">
        <v>60</v>
      </c>
      <c r="K20" s="261">
        <v>60</v>
      </c>
      <c r="L20" s="261">
        <v>60</v>
      </c>
      <c r="M20" s="261">
        <v>60</v>
      </c>
      <c r="N20" s="261">
        <v>60</v>
      </c>
    </row>
    <row r="21" spans="1:15" ht="15" thickBot="1">
      <c r="A21" s="261" t="s">
        <v>390</v>
      </c>
      <c r="B21" s="144"/>
      <c r="C21" s="261">
        <f>'Start - Ergebnisse'!D5</f>
        <v>0</v>
      </c>
      <c r="D21" s="261">
        <f>'Start - Ergebnisse'!E5</f>
        <v>0</v>
      </c>
      <c r="E21" s="261">
        <f>'Start - Ergebnisse'!F5</f>
        <v>25</v>
      </c>
      <c r="F21" s="261">
        <f>'Start - Ergebnisse'!G5</f>
        <v>30</v>
      </c>
      <c r="G21" s="261">
        <f>'Start - Ergebnisse'!H5</f>
        <v>35</v>
      </c>
      <c r="H21" s="261">
        <f>'Start - Ergebnisse'!I5</f>
        <v>45</v>
      </c>
      <c r="I21" s="261">
        <f>'Start - Ergebnisse'!J5</f>
        <v>55</v>
      </c>
      <c r="J21" s="261">
        <f>'Start - Ergebnisse'!K5</f>
        <v>60</v>
      </c>
      <c r="K21" s="261">
        <f>'Start - Ergebnisse'!L5</f>
        <v>60</v>
      </c>
      <c r="L21" s="261">
        <f>'Start - Ergebnisse'!M5</f>
        <v>60</v>
      </c>
      <c r="M21" s="261">
        <f>'Start - Ergebnisse'!N5</f>
        <v>60</v>
      </c>
      <c r="N21" s="261">
        <f>'Start - Ergebnisse'!O5</f>
        <v>60</v>
      </c>
    </row>
    <row r="22" spans="1:15" ht="15" thickBot="1">
      <c r="A22" s="261" t="s">
        <v>370</v>
      </c>
      <c r="B22" s="144"/>
      <c r="C22" s="261">
        <v>0</v>
      </c>
      <c r="D22" s="261">
        <v>0</v>
      </c>
      <c r="E22" s="261">
        <v>25</v>
      </c>
      <c r="F22" s="261">
        <v>30</v>
      </c>
      <c r="G22" s="261">
        <v>60</v>
      </c>
      <c r="H22" s="261">
        <v>80</v>
      </c>
      <c r="I22" s="261">
        <v>100</v>
      </c>
      <c r="J22" s="261">
        <v>110</v>
      </c>
      <c r="K22" s="261">
        <v>120</v>
      </c>
      <c r="L22" s="261">
        <v>130</v>
      </c>
      <c r="M22" s="261">
        <v>140</v>
      </c>
      <c r="N22" s="261">
        <v>150</v>
      </c>
    </row>
    <row r="23" spans="1:15" ht="15" thickBot="1">
      <c r="A23" s="261" t="s">
        <v>371</v>
      </c>
      <c r="B23" s="144"/>
      <c r="C23" s="261">
        <v>0</v>
      </c>
      <c r="D23" s="261">
        <v>0</v>
      </c>
      <c r="E23" s="261">
        <v>25</v>
      </c>
      <c r="F23" s="261">
        <v>30</v>
      </c>
      <c r="G23" s="261">
        <v>60</v>
      </c>
      <c r="H23" s="261">
        <v>60</v>
      </c>
      <c r="I23" s="261">
        <v>80</v>
      </c>
      <c r="J23" s="261">
        <v>80</v>
      </c>
      <c r="K23" s="261">
        <v>80</v>
      </c>
      <c r="L23" s="261">
        <v>80</v>
      </c>
      <c r="M23" s="261">
        <v>80</v>
      </c>
      <c r="N23" s="261">
        <v>80</v>
      </c>
    </row>
    <row r="24" spans="1:15" ht="15" thickBot="1">
      <c r="A24" s="261" t="s">
        <v>372</v>
      </c>
      <c r="B24" s="144"/>
      <c r="C24" s="306">
        <v>0</v>
      </c>
      <c r="D24" s="306">
        <v>0</v>
      </c>
      <c r="E24" s="306">
        <v>25</v>
      </c>
      <c r="F24" s="306">
        <v>70</v>
      </c>
      <c r="G24" s="306">
        <v>85.625</v>
      </c>
      <c r="H24" s="306">
        <v>101.25</v>
      </c>
      <c r="I24" s="306">
        <v>116.875</v>
      </c>
      <c r="J24" s="306">
        <v>132.5</v>
      </c>
      <c r="K24" s="306">
        <v>148.125</v>
      </c>
      <c r="L24" s="306">
        <v>163.75</v>
      </c>
      <c r="M24" s="306">
        <v>179.375</v>
      </c>
      <c r="N24" s="306">
        <v>195</v>
      </c>
    </row>
    <row r="25" spans="1:15" ht="15" thickBot="1">
      <c r="A25" s="261" t="s">
        <v>468</v>
      </c>
      <c r="B25" s="144"/>
      <c r="C25" s="261">
        <v>0</v>
      </c>
      <c r="D25" s="261">
        <v>0</v>
      </c>
      <c r="E25" s="261">
        <v>25</v>
      </c>
      <c r="F25" s="261">
        <v>50</v>
      </c>
      <c r="G25" s="261">
        <v>33</v>
      </c>
      <c r="H25" s="261">
        <v>56</v>
      </c>
      <c r="I25" s="261">
        <v>53</v>
      </c>
      <c r="J25" s="261">
        <v>50</v>
      </c>
      <c r="K25" s="261">
        <v>45</v>
      </c>
      <c r="L25" s="261">
        <v>43</v>
      </c>
      <c r="M25" s="261">
        <v>42</v>
      </c>
      <c r="N25" s="261">
        <v>37</v>
      </c>
    </row>
    <row r="26" spans="1:15" ht="15" thickBot="1">
      <c r="A26" s="261" t="s">
        <v>469</v>
      </c>
      <c r="B26" s="144"/>
      <c r="C26" s="261">
        <v>0</v>
      </c>
      <c r="D26" s="261">
        <v>0</v>
      </c>
      <c r="E26" s="261">
        <v>25</v>
      </c>
      <c r="F26" s="261">
        <v>50</v>
      </c>
      <c r="G26" s="261">
        <v>35</v>
      </c>
      <c r="H26" s="261">
        <v>57</v>
      </c>
      <c r="I26" s="261">
        <v>56</v>
      </c>
      <c r="J26" s="261">
        <v>51</v>
      </c>
      <c r="K26" s="261">
        <v>47</v>
      </c>
      <c r="L26" s="261">
        <v>44</v>
      </c>
      <c r="M26" s="261">
        <v>41</v>
      </c>
      <c r="N26" s="261">
        <v>37</v>
      </c>
    </row>
    <row r="27" spans="1:15" ht="15" thickBot="1">
      <c r="A27" s="261" t="s">
        <v>290</v>
      </c>
      <c r="B27" s="144"/>
      <c r="C27" s="261"/>
      <c r="D27" s="261"/>
      <c r="E27" s="261"/>
      <c r="F27" s="261"/>
      <c r="G27" s="261"/>
      <c r="H27" s="261"/>
      <c r="I27" s="261"/>
      <c r="J27" s="261"/>
      <c r="K27" s="261"/>
      <c r="L27" s="261"/>
      <c r="M27" s="261"/>
      <c r="N27" s="261"/>
    </row>
    <row r="28" spans="1:15" ht="15" thickBot="1">
      <c r="A28" s="261" t="s">
        <v>291</v>
      </c>
      <c r="B28" s="144"/>
      <c r="C28" s="261"/>
      <c r="D28" s="261"/>
      <c r="E28" s="261"/>
      <c r="F28" s="261"/>
      <c r="G28" s="261"/>
      <c r="H28" s="261"/>
      <c r="I28" s="261"/>
      <c r="J28" s="261"/>
      <c r="K28" s="261"/>
      <c r="L28" s="261"/>
      <c r="M28" s="261"/>
      <c r="N28" s="261"/>
    </row>
    <row r="29" spans="1:15" ht="15" thickBot="1">
      <c r="A29" s="261" t="s">
        <v>292</v>
      </c>
      <c r="B29" s="144"/>
      <c r="C29" s="261"/>
      <c r="D29" s="261"/>
      <c r="E29" s="261"/>
      <c r="F29" s="261"/>
      <c r="G29" s="261"/>
      <c r="H29" s="261"/>
      <c r="I29" s="261"/>
      <c r="J29" s="261"/>
      <c r="K29" s="261"/>
      <c r="L29" s="261"/>
      <c r="M29" s="261"/>
      <c r="N29" s="261"/>
    </row>
    <row r="30" spans="1:15" ht="15" thickBot="1">
      <c r="A30" s="261" t="s">
        <v>293</v>
      </c>
      <c r="B30" s="144"/>
      <c r="C30" s="261"/>
      <c r="D30" s="261"/>
      <c r="E30" s="261"/>
      <c r="F30" s="261"/>
      <c r="G30" s="261"/>
      <c r="H30" s="261"/>
      <c r="I30" s="261"/>
      <c r="J30" s="261"/>
      <c r="K30" s="261"/>
      <c r="L30" s="261"/>
      <c r="M30" s="261"/>
      <c r="N30" s="261"/>
    </row>
    <row r="31" spans="1:15" ht="15" thickBot="1">
      <c r="A31" s="261" t="s">
        <v>294</v>
      </c>
      <c r="B31" s="144"/>
      <c r="C31" s="261"/>
      <c r="D31" s="261"/>
      <c r="E31" s="261"/>
      <c r="F31" s="261"/>
      <c r="G31" s="261"/>
      <c r="H31" s="261"/>
      <c r="I31" s="261"/>
      <c r="J31" s="261"/>
      <c r="K31" s="261"/>
      <c r="L31" s="261"/>
      <c r="M31" s="261"/>
      <c r="N31" s="261"/>
    </row>
    <row r="32" spans="1:15" ht="15" thickBot="1">
      <c r="A32" s="261" t="s">
        <v>295</v>
      </c>
      <c r="B32" s="144"/>
      <c r="C32" s="261"/>
      <c r="D32" s="261"/>
      <c r="E32" s="261"/>
      <c r="F32" s="261"/>
      <c r="G32" s="261"/>
      <c r="H32" s="261"/>
      <c r="I32" s="261"/>
      <c r="J32" s="261"/>
      <c r="K32" s="261"/>
      <c r="L32" s="261"/>
      <c r="M32" s="261"/>
      <c r="N32" s="261"/>
    </row>
    <row r="33" spans="1:14" ht="15" thickBot="1">
      <c r="A33" s="261" t="s">
        <v>296</v>
      </c>
      <c r="B33" s="144"/>
      <c r="C33" s="261"/>
      <c r="D33" s="261"/>
      <c r="E33" s="261"/>
      <c r="F33" s="261"/>
      <c r="G33" s="261"/>
      <c r="H33" s="261"/>
      <c r="I33" s="261"/>
      <c r="J33" s="261"/>
      <c r="K33" s="261"/>
      <c r="L33" s="261"/>
      <c r="M33" s="261"/>
      <c r="N33" s="261"/>
    </row>
    <row r="34" spans="1:14">
      <c r="A34" s="261" t="s">
        <v>297</v>
      </c>
      <c r="B34" s="144"/>
      <c r="C34" s="261"/>
      <c r="D34" s="261"/>
      <c r="E34" s="261"/>
      <c r="F34" s="261"/>
      <c r="G34" s="261"/>
      <c r="H34" s="261"/>
      <c r="I34" s="261"/>
      <c r="J34" s="261"/>
      <c r="K34" s="261"/>
      <c r="L34" s="261"/>
      <c r="M34" s="261"/>
      <c r="N34" s="261"/>
    </row>
    <row r="35" spans="1:14">
      <c r="A35" s="186"/>
      <c r="B35" s="188"/>
      <c r="C35" s="188"/>
      <c r="D35" s="188"/>
      <c r="E35" s="188"/>
      <c r="F35" s="188"/>
      <c r="G35" s="188"/>
      <c r="H35" s="188"/>
      <c r="I35" s="188"/>
      <c r="J35" s="188"/>
      <c r="K35" s="188"/>
      <c r="L35" s="188"/>
      <c r="M35" s="188"/>
      <c r="N35" s="188"/>
    </row>
    <row r="36" spans="1:14" ht="15" thickBot="1">
      <c r="A36" s="186"/>
      <c r="B36" s="188"/>
      <c r="C36" s="188"/>
      <c r="D36" s="188"/>
      <c r="E36" s="188"/>
      <c r="F36" s="188"/>
      <c r="G36" s="188"/>
      <c r="H36" s="188"/>
      <c r="I36" s="188"/>
      <c r="J36" s="188"/>
      <c r="K36" s="188"/>
      <c r="L36" s="188"/>
      <c r="M36" s="188"/>
      <c r="N36" s="188"/>
    </row>
    <row r="37" spans="1:14" ht="15.75" thickBot="1">
      <c r="A37" s="157" t="s">
        <v>367</v>
      </c>
      <c r="C37" s="146">
        <v>2019</v>
      </c>
      <c r="D37" s="146">
        <f>C37+1</f>
        <v>2020</v>
      </c>
      <c r="E37" s="146">
        <f t="shared" ref="E37" si="12">D37+1</f>
        <v>2021</v>
      </c>
      <c r="F37" s="146">
        <f t="shared" ref="F37" si="13">E37+1</f>
        <v>2022</v>
      </c>
      <c r="G37" s="146">
        <f t="shared" ref="G37" si="14">F37+1</f>
        <v>2023</v>
      </c>
      <c r="H37" s="146">
        <f t="shared" ref="H37" si="15">G37+1</f>
        <v>2024</v>
      </c>
      <c r="I37" s="146">
        <f t="shared" ref="I37" si="16">H37+1</f>
        <v>2025</v>
      </c>
      <c r="J37" s="146">
        <f t="shared" ref="J37" si="17">I37+1</f>
        <v>2026</v>
      </c>
      <c r="K37" s="146">
        <f t="shared" ref="K37" si="18">J37+1</f>
        <v>2027</v>
      </c>
      <c r="L37" s="146">
        <f t="shared" ref="L37" si="19">K37+1</f>
        <v>2028</v>
      </c>
      <c r="M37" s="146">
        <f t="shared" ref="M37" si="20">L37+1</f>
        <v>2029</v>
      </c>
      <c r="N37" s="147">
        <f t="shared" ref="N37" si="21">M37+1</f>
        <v>2030</v>
      </c>
    </row>
    <row r="38" spans="1:14" ht="15" thickBot="1">
      <c r="A38" s="261" t="s">
        <v>390</v>
      </c>
      <c r="B38" s="144"/>
      <c r="C38" s="261">
        <v>0</v>
      </c>
      <c r="D38" s="261">
        <v>0</v>
      </c>
      <c r="E38" s="261">
        <v>0</v>
      </c>
      <c r="F38" s="261">
        <v>0</v>
      </c>
      <c r="G38" s="261">
        <v>0</v>
      </c>
      <c r="H38" s="261">
        <v>0</v>
      </c>
      <c r="I38" s="261">
        <v>0</v>
      </c>
      <c r="J38" s="261">
        <v>0</v>
      </c>
      <c r="K38" s="261">
        <v>0</v>
      </c>
      <c r="L38" s="261">
        <v>0</v>
      </c>
      <c r="M38" s="261">
        <v>0</v>
      </c>
      <c r="N38" s="261">
        <v>0</v>
      </c>
    </row>
    <row r="39" spans="1:14" ht="15" thickBot="1">
      <c r="A39" s="261" t="s">
        <v>394</v>
      </c>
      <c r="B39" s="144"/>
      <c r="C39" s="261">
        <v>0</v>
      </c>
      <c r="D39" s="261">
        <v>0</v>
      </c>
      <c r="E39" s="261">
        <v>0</v>
      </c>
      <c r="F39" s="261">
        <v>0</v>
      </c>
      <c r="G39" s="261">
        <v>0</v>
      </c>
      <c r="H39" s="261">
        <v>0</v>
      </c>
      <c r="I39" s="261">
        <v>0</v>
      </c>
      <c r="J39" s="261">
        <v>0</v>
      </c>
      <c r="K39" s="261">
        <v>0</v>
      </c>
      <c r="L39" s="261">
        <v>0</v>
      </c>
      <c r="M39" s="261">
        <v>0</v>
      </c>
      <c r="N39" s="261">
        <v>0</v>
      </c>
    </row>
    <row r="40" spans="1:14" ht="15" thickBot="1">
      <c r="A40" s="261" t="s">
        <v>375</v>
      </c>
      <c r="B40" s="144"/>
      <c r="C40" s="261">
        <v>0</v>
      </c>
      <c r="D40" s="261">
        <v>0</v>
      </c>
      <c r="E40" s="261">
        <v>0</v>
      </c>
      <c r="F40" s="261">
        <v>0</v>
      </c>
      <c r="G40" s="261">
        <v>0</v>
      </c>
      <c r="H40" s="261">
        <v>0</v>
      </c>
      <c r="I40" s="261">
        <v>0</v>
      </c>
      <c r="J40" s="261">
        <v>0</v>
      </c>
      <c r="K40" s="261">
        <v>0</v>
      </c>
      <c r="L40" s="261">
        <v>0</v>
      </c>
      <c r="M40" s="261">
        <v>0</v>
      </c>
      <c r="N40" s="261">
        <v>0</v>
      </c>
    </row>
    <row r="41" spans="1:14" ht="15" thickBot="1">
      <c r="A41" s="261" t="s">
        <v>374</v>
      </c>
      <c r="B41" s="144"/>
      <c r="C41" s="261">
        <v>0</v>
      </c>
      <c r="D41" s="261">
        <v>0</v>
      </c>
      <c r="E41" s="261">
        <v>0</v>
      </c>
      <c r="F41" s="261">
        <v>0</v>
      </c>
      <c r="G41" s="261">
        <v>75</v>
      </c>
      <c r="H41" s="261">
        <v>75</v>
      </c>
      <c r="I41" s="261">
        <v>75</v>
      </c>
      <c r="J41" s="261">
        <v>75</v>
      </c>
      <c r="K41" s="261">
        <v>75</v>
      </c>
      <c r="L41" s="261">
        <v>75</v>
      </c>
      <c r="M41" s="261">
        <v>75</v>
      </c>
      <c r="N41" s="261">
        <v>75</v>
      </c>
    </row>
    <row r="42" spans="1:14" ht="15" thickBot="1">
      <c r="A42" s="261" t="s">
        <v>373</v>
      </c>
      <c r="B42" s="144"/>
      <c r="C42" s="261">
        <v>0</v>
      </c>
      <c r="D42" s="261">
        <v>0</v>
      </c>
      <c r="E42" s="261">
        <v>0</v>
      </c>
      <c r="F42" s="261">
        <v>0</v>
      </c>
      <c r="G42" s="261">
        <v>100</v>
      </c>
      <c r="H42" s="261">
        <v>100</v>
      </c>
      <c r="I42" s="261">
        <v>100</v>
      </c>
      <c r="J42" s="261">
        <v>100</v>
      </c>
      <c r="K42" s="261">
        <v>100</v>
      </c>
      <c r="L42" s="261">
        <v>100</v>
      </c>
      <c r="M42" s="261">
        <v>100</v>
      </c>
      <c r="N42" s="261">
        <v>100</v>
      </c>
    </row>
    <row r="43" spans="1:14" ht="15" thickBot="1">
      <c r="A43" s="261" t="s">
        <v>288</v>
      </c>
      <c r="B43" s="144"/>
      <c r="C43" s="261"/>
      <c r="D43" s="261"/>
      <c r="E43" s="261"/>
      <c r="F43" s="261"/>
      <c r="G43" s="261"/>
      <c r="H43" s="261"/>
      <c r="I43" s="261"/>
      <c r="J43" s="261"/>
      <c r="K43" s="261"/>
      <c r="L43" s="261"/>
      <c r="M43" s="261"/>
      <c r="N43" s="261"/>
    </row>
    <row r="44" spans="1:14" ht="15" thickBot="1">
      <c r="A44" s="261" t="s">
        <v>289</v>
      </c>
      <c r="B44" s="144"/>
      <c r="C44" s="261"/>
      <c r="D44" s="261"/>
      <c r="E44" s="261"/>
      <c r="F44" s="261"/>
      <c r="G44" s="261"/>
      <c r="H44" s="261"/>
      <c r="I44" s="261"/>
      <c r="J44" s="261"/>
      <c r="K44" s="261"/>
      <c r="L44" s="261"/>
      <c r="M44" s="261"/>
      <c r="N44" s="261"/>
    </row>
    <row r="45" spans="1:14" ht="15" thickBot="1">
      <c r="A45" s="261" t="s">
        <v>290</v>
      </c>
      <c r="B45" s="144"/>
      <c r="C45" s="261"/>
      <c r="D45" s="261"/>
      <c r="E45" s="261"/>
      <c r="F45" s="261"/>
      <c r="G45" s="261"/>
      <c r="H45" s="261"/>
      <c r="I45" s="261"/>
      <c r="J45" s="261"/>
      <c r="K45" s="261"/>
      <c r="L45" s="261"/>
      <c r="M45" s="261"/>
      <c r="N45" s="261"/>
    </row>
    <row r="46" spans="1:14" ht="15" thickBot="1">
      <c r="A46" s="261" t="s">
        <v>291</v>
      </c>
      <c r="B46" s="144"/>
      <c r="C46" s="261"/>
      <c r="D46" s="261"/>
      <c r="E46" s="261"/>
      <c r="F46" s="261"/>
      <c r="G46" s="261"/>
      <c r="H46" s="261"/>
      <c r="I46" s="261"/>
      <c r="J46" s="261"/>
      <c r="K46" s="261"/>
      <c r="L46" s="261"/>
      <c r="M46" s="261"/>
      <c r="N46" s="261"/>
    </row>
    <row r="47" spans="1:14" ht="15" thickBot="1">
      <c r="A47" s="261" t="s">
        <v>292</v>
      </c>
      <c r="B47" s="144"/>
      <c r="C47" s="261"/>
      <c r="D47" s="261"/>
      <c r="E47" s="261"/>
      <c r="F47" s="261"/>
      <c r="G47" s="261"/>
      <c r="H47" s="261"/>
      <c r="I47" s="261"/>
      <c r="J47" s="261"/>
      <c r="K47" s="261"/>
      <c r="L47" s="261"/>
      <c r="M47" s="261"/>
      <c r="N47" s="261"/>
    </row>
    <row r="48" spans="1:14" ht="15" thickBot="1">
      <c r="A48" s="261" t="s">
        <v>293</v>
      </c>
      <c r="B48" s="144"/>
      <c r="C48" s="261"/>
      <c r="D48" s="261"/>
      <c r="E48" s="261"/>
      <c r="F48" s="261"/>
      <c r="G48" s="261"/>
      <c r="H48" s="261"/>
      <c r="I48" s="261"/>
      <c r="J48" s="261"/>
      <c r="K48" s="261"/>
      <c r="L48" s="261"/>
      <c r="M48" s="261"/>
      <c r="N48" s="261"/>
    </row>
    <row r="49" spans="1:14" ht="15" thickBot="1">
      <c r="A49" s="261" t="s">
        <v>294</v>
      </c>
      <c r="B49" s="144"/>
      <c r="C49" s="261"/>
      <c r="D49" s="261"/>
      <c r="E49" s="261"/>
      <c r="F49" s="261"/>
      <c r="G49" s="261"/>
      <c r="H49" s="261"/>
      <c r="I49" s="261"/>
      <c r="J49" s="261"/>
      <c r="K49" s="261"/>
      <c r="L49" s="261"/>
      <c r="M49" s="261"/>
      <c r="N49" s="261"/>
    </row>
    <row r="50" spans="1:14" ht="15" thickBot="1">
      <c r="A50" s="261" t="s">
        <v>295</v>
      </c>
      <c r="B50" s="144"/>
      <c r="C50" s="261"/>
      <c r="D50" s="261"/>
      <c r="E50" s="261"/>
      <c r="F50" s="261"/>
      <c r="G50" s="261"/>
      <c r="H50" s="261"/>
      <c r="I50" s="261"/>
      <c r="J50" s="261"/>
      <c r="K50" s="261"/>
      <c r="L50" s="261"/>
      <c r="M50" s="261"/>
      <c r="N50" s="261"/>
    </row>
    <row r="51" spans="1:14" ht="15" thickBot="1">
      <c r="A51" s="261" t="s">
        <v>296</v>
      </c>
      <c r="B51" s="144"/>
      <c r="C51" s="261"/>
      <c r="D51" s="261"/>
      <c r="E51" s="261"/>
      <c r="F51" s="261"/>
      <c r="G51" s="261"/>
      <c r="H51" s="261"/>
      <c r="I51" s="261"/>
      <c r="J51" s="261"/>
      <c r="K51" s="261"/>
      <c r="L51" s="261"/>
      <c r="M51" s="261"/>
      <c r="N51" s="261"/>
    </row>
    <row r="52" spans="1:14">
      <c r="A52" s="261" t="s">
        <v>297</v>
      </c>
      <c r="B52" s="144"/>
      <c r="C52" s="261"/>
      <c r="D52" s="261"/>
      <c r="E52" s="261"/>
      <c r="F52" s="261"/>
      <c r="G52" s="261"/>
      <c r="H52" s="261"/>
      <c r="I52" s="261"/>
      <c r="J52" s="261"/>
      <c r="K52" s="261"/>
      <c r="L52" s="261"/>
      <c r="M52" s="261"/>
      <c r="N52" s="261"/>
    </row>
    <row r="53" spans="1:14">
      <c r="A53" s="186"/>
    </row>
    <row r="54" spans="1:14" ht="15" thickBot="1"/>
    <row r="55" spans="1:14" ht="15.75" thickBot="1">
      <c r="A55" s="157" t="s">
        <v>209</v>
      </c>
      <c r="C55" s="146">
        <v>2019</v>
      </c>
      <c r="D55" s="146">
        <f>C55+1</f>
        <v>2020</v>
      </c>
      <c r="E55" s="146">
        <f t="shared" ref="E55" si="22">D55+1</f>
        <v>2021</v>
      </c>
      <c r="F55" s="146">
        <f t="shared" ref="F55" si="23">E55+1</f>
        <v>2022</v>
      </c>
      <c r="G55" s="146">
        <f t="shared" ref="G55" si="24">F55+1</f>
        <v>2023</v>
      </c>
      <c r="H55" s="146">
        <f t="shared" ref="H55" si="25">G55+1</f>
        <v>2024</v>
      </c>
      <c r="I55" s="146">
        <f t="shared" ref="I55" si="26">H55+1</f>
        <v>2025</v>
      </c>
      <c r="J55" s="146">
        <f t="shared" ref="J55" si="27">I55+1</f>
        <v>2026</v>
      </c>
      <c r="K55" s="146">
        <f t="shared" ref="K55" si="28">J55+1</f>
        <v>2027</v>
      </c>
      <c r="L55" s="146">
        <f t="shared" ref="L55" si="29">K55+1</f>
        <v>2028</v>
      </c>
      <c r="M55" s="146">
        <f t="shared" ref="M55" si="30">L55+1</f>
        <v>2029</v>
      </c>
      <c r="N55" s="147">
        <f t="shared" ref="N55" si="31">M55+1</f>
        <v>2030</v>
      </c>
    </row>
    <row r="56" spans="1:14" ht="15" thickBot="1">
      <c r="A56" s="261" t="s">
        <v>194</v>
      </c>
      <c r="B56" s="144"/>
      <c r="C56" s="262">
        <v>536.23646499999995</v>
      </c>
      <c r="D56" s="262">
        <v>488</v>
      </c>
      <c r="E56" s="262">
        <v>518.52683000000002</v>
      </c>
      <c r="F56" s="262">
        <v>527.57940444444444</v>
      </c>
      <c r="G56" s="262">
        <v>536.63197888888885</v>
      </c>
      <c r="H56" s="262">
        <v>545.68455333333327</v>
      </c>
      <c r="I56" s="262">
        <v>554.73712777777769</v>
      </c>
      <c r="J56" s="262">
        <v>563.7897022222221</v>
      </c>
      <c r="K56" s="262">
        <v>572.84227666666652</v>
      </c>
      <c r="L56" s="262">
        <v>581.89485111111105</v>
      </c>
      <c r="M56" s="262">
        <v>590.94742555555558</v>
      </c>
      <c r="N56" s="262">
        <v>600</v>
      </c>
    </row>
    <row r="57" spans="1:14" ht="15" thickBot="1">
      <c r="A57" s="261" t="s">
        <v>376</v>
      </c>
      <c r="B57" s="144"/>
      <c r="C57" s="262">
        <v>536</v>
      </c>
      <c r="D57" s="262">
        <v>488</v>
      </c>
      <c r="E57" s="262">
        <v>536</v>
      </c>
      <c r="F57" s="262">
        <v>536</v>
      </c>
      <c r="G57" s="262">
        <v>536</v>
      </c>
      <c r="H57" s="262">
        <v>536</v>
      </c>
      <c r="I57" s="262">
        <v>536</v>
      </c>
      <c r="J57" s="262">
        <v>536</v>
      </c>
      <c r="K57" s="262">
        <v>536</v>
      </c>
      <c r="L57" s="262">
        <v>536</v>
      </c>
      <c r="M57" s="262">
        <v>536</v>
      </c>
      <c r="N57" s="262">
        <v>536</v>
      </c>
    </row>
    <row r="58" spans="1:14" ht="15" thickBot="1">
      <c r="A58" s="261" t="s">
        <v>380</v>
      </c>
      <c r="B58" s="144"/>
      <c r="C58" s="262">
        <v>536</v>
      </c>
      <c r="D58" s="262">
        <v>488</v>
      </c>
      <c r="E58" s="262">
        <v>565.79999999999995</v>
      </c>
      <c r="F58" s="262">
        <v>580.69999999999993</v>
      </c>
      <c r="G58" s="262">
        <v>595.59999999999991</v>
      </c>
      <c r="H58" s="262">
        <v>610.49999999999989</v>
      </c>
      <c r="I58" s="262">
        <v>625.39999999999986</v>
      </c>
      <c r="J58" s="262">
        <v>640.29999999999984</v>
      </c>
      <c r="K58" s="262">
        <v>655.19999999999982</v>
      </c>
      <c r="L58" s="262">
        <v>670.0999999999998</v>
      </c>
      <c r="M58" s="262">
        <v>684.99999999999977</v>
      </c>
      <c r="N58" s="262">
        <v>699.89999999999975</v>
      </c>
    </row>
    <row r="59" spans="1:14" ht="15" thickBot="1">
      <c r="A59" s="261" t="s">
        <v>217</v>
      </c>
      <c r="B59" s="144"/>
      <c r="C59" s="261"/>
      <c r="D59" s="261"/>
      <c r="E59" s="261"/>
      <c r="F59" s="261"/>
      <c r="G59" s="261"/>
      <c r="H59" s="261"/>
      <c r="I59" s="261"/>
      <c r="J59" s="261"/>
      <c r="K59" s="261"/>
      <c r="L59" s="261"/>
      <c r="M59" s="261"/>
      <c r="N59" s="261"/>
    </row>
    <row r="60" spans="1:14" ht="15" thickBot="1">
      <c r="A60" s="261" t="s">
        <v>218</v>
      </c>
      <c r="B60" s="144"/>
      <c r="C60" s="261"/>
      <c r="D60" s="261"/>
      <c r="E60" s="261"/>
      <c r="F60" s="261"/>
      <c r="G60" s="261"/>
      <c r="H60" s="261"/>
      <c r="I60" s="261"/>
      <c r="J60" s="261"/>
      <c r="K60" s="261"/>
      <c r="L60" s="261"/>
      <c r="M60" s="261"/>
      <c r="N60" s="261"/>
    </row>
    <row r="61" spans="1:14" ht="15" thickBot="1">
      <c r="A61" s="261" t="s">
        <v>288</v>
      </c>
      <c r="B61" s="144"/>
      <c r="C61" s="261"/>
      <c r="D61" s="261"/>
      <c r="E61" s="261"/>
      <c r="F61" s="261"/>
      <c r="G61" s="261"/>
      <c r="H61" s="261"/>
      <c r="I61" s="261"/>
      <c r="J61" s="261"/>
      <c r="K61" s="261"/>
      <c r="L61" s="261"/>
      <c r="M61" s="261"/>
      <c r="N61" s="261"/>
    </row>
    <row r="62" spans="1:14" ht="15" thickBot="1">
      <c r="A62" s="261" t="s">
        <v>289</v>
      </c>
      <c r="B62" s="144"/>
      <c r="C62" s="261"/>
      <c r="D62" s="261"/>
      <c r="E62" s="261"/>
      <c r="F62" s="261"/>
      <c r="G62" s="261"/>
      <c r="H62" s="261"/>
      <c r="I62" s="261"/>
      <c r="J62" s="261"/>
      <c r="K62" s="261"/>
      <c r="L62" s="261"/>
      <c r="M62" s="261"/>
      <c r="N62" s="261"/>
    </row>
    <row r="63" spans="1:14" ht="15" thickBot="1">
      <c r="A63" s="261" t="s">
        <v>290</v>
      </c>
      <c r="B63" s="144"/>
      <c r="C63" s="261"/>
      <c r="D63" s="261"/>
      <c r="E63" s="261"/>
      <c r="F63" s="261"/>
      <c r="G63" s="261"/>
      <c r="H63" s="261"/>
      <c r="I63" s="261"/>
      <c r="J63" s="261"/>
      <c r="K63" s="261"/>
      <c r="L63" s="261"/>
      <c r="M63" s="261"/>
      <c r="N63" s="261"/>
    </row>
    <row r="64" spans="1:14" ht="15" thickBot="1">
      <c r="A64" s="261" t="s">
        <v>291</v>
      </c>
      <c r="B64" s="144"/>
      <c r="C64" s="261"/>
      <c r="D64" s="261"/>
      <c r="E64" s="261"/>
      <c r="F64" s="261"/>
      <c r="G64" s="261"/>
      <c r="H64" s="261"/>
      <c r="I64" s="261"/>
      <c r="J64" s="261"/>
      <c r="K64" s="261"/>
      <c r="L64" s="261"/>
      <c r="M64" s="261"/>
      <c r="N64" s="261"/>
    </row>
    <row r="65" spans="1:14" ht="15" thickBot="1">
      <c r="A65" s="261" t="s">
        <v>292</v>
      </c>
      <c r="B65" s="144"/>
      <c r="C65" s="261"/>
      <c r="D65" s="261"/>
      <c r="E65" s="261"/>
      <c r="F65" s="261"/>
      <c r="G65" s="261"/>
      <c r="H65" s="261"/>
      <c r="I65" s="261"/>
      <c r="J65" s="261"/>
      <c r="K65" s="261"/>
      <c r="L65" s="261"/>
      <c r="M65" s="261"/>
      <c r="N65" s="261"/>
    </row>
    <row r="66" spans="1:14" ht="15" thickBot="1">
      <c r="A66" s="261" t="s">
        <v>293</v>
      </c>
      <c r="B66" s="144"/>
      <c r="C66" s="261"/>
      <c r="D66" s="261"/>
      <c r="E66" s="261"/>
      <c r="F66" s="261"/>
      <c r="G66" s="261"/>
      <c r="H66" s="261"/>
      <c r="I66" s="261"/>
      <c r="J66" s="261"/>
      <c r="K66" s="261"/>
      <c r="L66" s="261"/>
      <c r="M66" s="261"/>
      <c r="N66" s="261"/>
    </row>
    <row r="67" spans="1:14" ht="15" thickBot="1">
      <c r="A67" s="261" t="s">
        <v>294</v>
      </c>
      <c r="B67" s="144"/>
      <c r="C67" s="261"/>
      <c r="D67" s="261"/>
      <c r="E67" s="261"/>
      <c r="F67" s="261"/>
      <c r="G67" s="261"/>
      <c r="H67" s="261"/>
      <c r="I67" s="261"/>
      <c r="J67" s="261"/>
      <c r="K67" s="261"/>
      <c r="L67" s="261"/>
      <c r="M67" s="261"/>
      <c r="N67" s="261"/>
    </row>
    <row r="68" spans="1:14" ht="15" thickBot="1">
      <c r="A68" s="261" t="s">
        <v>295</v>
      </c>
      <c r="B68" s="144"/>
      <c r="C68" s="261"/>
      <c r="D68" s="261"/>
      <c r="E68" s="261"/>
      <c r="F68" s="261"/>
      <c r="G68" s="261"/>
      <c r="H68" s="261"/>
      <c r="I68" s="261"/>
      <c r="J68" s="261"/>
      <c r="K68" s="261"/>
      <c r="L68" s="261"/>
      <c r="M68" s="261"/>
      <c r="N68" s="261"/>
    </row>
    <row r="69" spans="1:14" ht="15" thickBot="1">
      <c r="A69" s="261" t="s">
        <v>296</v>
      </c>
      <c r="B69" s="144"/>
      <c r="C69" s="261"/>
      <c r="D69" s="261"/>
      <c r="E69" s="261"/>
      <c r="F69" s="261"/>
      <c r="G69" s="261"/>
      <c r="H69" s="261"/>
      <c r="I69" s="261"/>
      <c r="J69" s="261"/>
      <c r="K69" s="261"/>
      <c r="L69" s="261"/>
      <c r="M69" s="261"/>
      <c r="N69" s="261"/>
    </row>
    <row r="70" spans="1:14">
      <c r="A70" s="261" t="s">
        <v>297</v>
      </c>
      <c r="B70" s="144"/>
      <c r="C70" s="261"/>
      <c r="D70" s="261"/>
      <c r="E70" s="261"/>
      <c r="F70" s="261"/>
      <c r="G70" s="261"/>
      <c r="H70" s="261"/>
      <c r="I70" s="261"/>
      <c r="J70" s="261"/>
      <c r="K70" s="261"/>
      <c r="L70" s="261"/>
      <c r="M70" s="261"/>
      <c r="N70" s="261"/>
    </row>
    <row r="71" spans="1:14">
      <c r="A71" s="188"/>
      <c r="B71" s="188"/>
      <c r="C71" s="188"/>
      <c r="D71" s="188"/>
      <c r="E71" s="188"/>
      <c r="F71" s="188"/>
      <c r="G71" s="188"/>
      <c r="H71" s="188"/>
      <c r="I71" s="188"/>
      <c r="J71" s="188"/>
      <c r="K71" s="188"/>
      <c r="L71" s="188"/>
      <c r="M71" s="188"/>
      <c r="N71" s="188"/>
    </row>
    <row r="72" spans="1:14" ht="15" thickBot="1">
      <c r="A72" s="186"/>
    </row>
    <row r="73" spans="1:14" ht="15.75" thickBot="1">
      <c r="A73" s="157" t="s">
        <v>239</v>
      </c>
      <c r="C73" s="146">
        <v>2019</v>
      </c>
      <c r="D73" s="146">
        <f>C73+1</f>
        <v>2020</v>
      </c>
      <c r="E73" s="146">
        <f t="shared" ref="E73" si="32">D73+1</f>
        <v>2021</v>
      </c>
      <c r="F73" s="146">
        <f t="shared" ref="F73" si="33">E73+1</f>
        <v>2022</v>
      </c>
      <c r="G73" s="146">
        <f t="shared" ref="G73" si="34">F73+1</f>
        <v>2023</v>
      </c>
      <c r="H73" s="146">
        <f t="shared" ref="H73" si="35">G73+1</f>
        <v>2024</v>
      </c>
      <c r="I73" s="146">
        <f t="shared" ref="I73" si="36">H73+1</f>
        <v>2025</v>
      </c>
      <c r="J73" s="146">
        <f t="shared" ref="J73" si="37">I73+1</f>
        <v>2026</v>
      </c>
      <c r="K73" s="146">
        <f t="shared" ref="K73" si="38">J73+1</f>
        <v>2027</v>
      </c>
      <c r="L73" s="146">
        <f t="shared" ref="L73" si="39">K73+1</f>
        <v>2028</v>
      </c>
      <c r="M73" s="146">
        <f t="shared" ref="M73" si="40">L73+1</f>
        <v>2029</v>
      </c>
      <c r="N73" s="147">
        <f t="shared" ref="N73" si="41">M73+1</f>
        <v>2030</v>
      </c>
    </row>
    <row r="74" spans="1:14" ht="15" thickBot="1">
      <c r="A74" s="261" t="s">
        <v>194</v>
      </c>
      <c r="B74" s="144"/>
      <c r="C74" s="262">
        <v>2182.4720000000002</v>
      </c>
      <c r="D74" s="262">
        <v>2137.1766666666667</v>
      </c>
      <c r="E74" s="262">
        <v>2091.8813333333333</v>
      </c>
      <c r="F74" s="262">
        <v>2046.5859999999998</v>
      </c>
      <c r="G74" s="262">
        <v>2001.2906666666663</v>
      </c>
      <c r="H74" s="262">
        <v>1955.9953333333328</v>
      </c>
      <c r="I74" s="262">
        <v>1910.7</v>
      </c>
      <c r="J74" s="262">
        <v>1833.74</v>
      </c>
      <c r="K74" s="262">
        <v>1756.78</v>
      </c>
      <c r="L74" s="262">
        <v>1679.82</v>
      </c>
      <c r="M74" s="262">
        <v>1602.86</v>
      </c>
      <c r="N74" s="262">
        <v>1525.9</v>
      </c>
    </row>
    <row r="75" spans="1:14" ht="15" thickBot="1">
      <c r="A75" s="261" t="s">
        <v>376</v>
      </c>
      <c r="B75" s="144"/>
      <c r="C75" s="262">
        <v>2182</v>
      </c>
      <c r="D75" s="262">
        <v>2182</v>
      </c>
      <c r="E75" s="262">
        <v>2182</v>
      </c>
      <c r="F75" s="262">
        <v>2182</v>
      </c>
      <c r="G75" s="262">
        <v>2182</v>
      </c>
      <c r="H75" s="262">
        <v>2182</v>
      </c>
      <c r="I75" s="262">
        <v>2182</v>
      </c>
      <c r="J75" s="262">
        <v>2182</v>
      </c>
      <c r="K75" s="262">
        <v>2182</v>
      </c>
      <c r="L75" s="262">
        <v>2182</v>
      </c>
      <c r="M75" s="262">
        <v>2182</v>
      </c>
      <c r="N75" s="262">
        <v>2182</v>
      </c>
    </row>
    <row r="76" spans="1:14" ht="15" thickBot="1">
      <c r="A76" s="261" t="s">
        <v>381</v>
      </c>
      <c r="B76" s="144"/>
      <c r="C76" s="262">
        <v>2182</v>
      </c>
      <c r="D76" s="262">
        <v>2171.09</v>
      </c>
      <c r="E76" s="262">
        <v>2160.2345500000001</v>
      </c>
      <c r="F76" s="262">
        <v>2149.4333772499999</v>
      </c>
      <c r="G76" s="262">
        <v>2138.68621036375</v>
      </c>
      <c r="H76" s="262">
        <v>2127.9927793119314</v>
      </c>
      <c r="I76" s="262">
        <v>2117.3528154153719</v>
      </c>
      <c r="J76" s="262">
        <v>2106.7660513382948</v>
      </c>
      <c r="K76" s="262">
        <v>2096.2322210816033</v>
      </c>
      <c r="L76" s="262">
        <v>2085.7510599761954</v>
      </c>
      <c r="M76" s="262">
        <v>2075.3223046763146</v>
      </c>
      <c r="N76" s="262">
        <v>2064.945693152933</v>
      </c>
    </row>
    <row r="77" spans="1:14" ht="15" thickBot="1">
      <c r="A77" s="261" t="s">
        <v>377</v>
      </c>
      <c r="B77" s="144"/>
      <c r="C77" s="262">
        <v>2182</v>
      </c>
      <c r="D77" s="262">
        <v>2160.1799999999998</v>
      </c>
      <c r="E77" s="262">
        <v>2138.5781999999999</v>
      </c>
      <c r="F77" s="262">
        <v>2117.1924180000001</v>
      </c>
      <c r="G77" s="262">
        <v>2096.02049382</v>
      </c>
      <c r="H77" s="262">
        <v>2075.0602888817998</v>
      </c>
      <c r="I77" s="262">
        <v>2054.3096859929819</v>
      </c>
      <c r="J77" s="262">
        <v>2033.7665891330521</v>
      </c>
      <c r="K77" s="262">
        <v>2013.4289232417216</v>
      </c>
      <c r="L77" s="262">
        <v>1993.2946340093044</v>
      </c>
      <c r="M77" s="262">
        <v>1973.3616876692113</v>
      </c>
      <c r="N77" s="262">
        <v>1953.6280707925191</v>
      </c>
    </row>
    <row r="78" spans="1:14" ht="15" thickBot="1">
      <c r="A78" s="261" t="s">
        <v>378</v>
      </c>
      <c r="B78" s="144"/>
      <c r="C78" s="262">
        <v>2182</v>
      </c>
      <c r="D78" s="262">
        <v>2138.36</v>
      </c>
      <c r="E78" s="262">
        <v>2095.5927999999999</v>
      </c>
      <c r="F78" s="262">
        <v>2053.6809439999997</v>
      </c>
      <c r="G78" s="262">
        <v>2012.6073251199996</v>
      </c>
      <c r="H78" s="262">
        <v>1972.3551786175994</v>
      </c>
      <c r="I78" s="262">
        <v>1932.9080750452474</v>
      </c>
      <c r="J78" s="262">
        <v>1894.2499135443425</v>
      </c>
      <c r="K78" s="262">
        <v>1856.3649152734556</v>
      </c>
      <c r="L78" s="262">
        <v>1819.2376169679865</v>
      </c>
      <c r="M78" s="262">
        <v>1782.8528646286268</v>
      </c>
      <c r="N78" s="262">
        <v>1747.1958073360543</v>
      </c>
    </row>
    <row r="79" spans="1:14" ht="15" thickBot="1">
      <c r="A79" s="261" t="s">
        <v>379</v>
      </c>
      <c r="B79" s="144"/>
      <c r="C79" s="262">
        <v>2182</v>
      </c>
      <c r="D79" s="262">
        <v>2116.54</v>
      </c>
      <c r="E79" s="262">
        <v>2053.0437999999999</v>
      </c>
      <c r="F79" s="262">
        <v>1991.4524859999999</v>
      </c>
      <c r="G79" s="262">
        <v>1931.7089114199998</v>
      </c>
      <c r="H79" s="262">
        <v>1873.7576440773998</v>
      </c>
      <c r="I79" s="262">
        <v>1817.5449147550778</v>
      </c>
      <c r="J79" s="262">
        <v>1763.0185673124254</v>
      </c>
      <c r="K79" s="262">
        <v>1710.1280102930525</v>
      </c>
      <c r="L79" s="262">
        <v>1658.8241699842608</v>
      </c>
      <c r="M79" s="262">
        <v>1609.059444884733</v>
      </c>
      <c r="N79" s="262">
        <v>1560.7876615381911</v>
      </c>
    </row>
    <row r="80" spans="1:14" ht="15" thickBot="1">
      <c r="A80" s="261" t="s">
        <v>289</v>
      </c>
      <c r="B80" s="144"/>
      <c r="C80" s="261"/>
      <c r="D80" s="261"/>
      <c r="E80" s="261"/>
      <c r="F80" s="261"/>
      <c r="G80" s="261"/>
      <c r="H80" s="261"/>
      <c r="I80" s="261"/>
      <c r="J80" s="261"/>
      <c r="K80" s="261"/>
      <c r="L80" s="261"/>
      <c r="M80" s="261"/>
      <c r="N80" s="261"/>
    </row>
    <row r="81" spans="1:14" ht="15" thickBot="1">
      <c r="A81" s="261" t="s">
        <v>290</v>
      </c>
      <c r="B81" s="144"/>
      <c r="C81" s="261"/>
      <c r="D81" s="261"/>
      <c r="E81" s="261"/>
      <c r="F81" s="261"/>
      <c r="G81" s="261"/>
      <c r="H81" s="261"/>
      <c r="I81" s="261"/>
      <c r="J81" s="261"/>
      <c r="K81" s="261"/>
      <c r="L81" s="261"/>
      <c r="M81" s="261"/>
      <c r="N81" s="261"/>
    </row>
    <row r="82" spans="1:14" ht="15" thickBot="1">
      <c r="A82" s="261" t="s">
        <v>291</v>
      </c>
      <c r="B82" s="144"/>
      <c r="C82" s="261"/>
      <c r="D82" s="261"/>
      <c r="E82" s="261"/>
      <c r="F82" s="261"/>
      <c r="G82" s="261"/>
      <c r="H82" s="261"/>
      <c r="I82" s="261"/>
      <c r="J82" s="261"/>
      <c r="K82" s="261"/>
      <c r="L82" s="261"/>
      <c r="M82" s="261"/>
      <c r="N82" s="261"/>
    </row>
    <row r="83" spans="1:14" ht="15" thickBot="1">
      <c r="A83" s="261" t="s">
        <v>292</v>
      </c>
      <c r="B83" s="144"/>
      <c r="C83" s="261"/>
      <c r="D83" s="261"/>
      <c r="E83" s="261"/>
      <c r="F83" s="261"/>
      <c r="G83" s="261"/>
      <c r="H83" s="261"/>
      <c r="I83" s="261"/>
      <c r="J83" s="261"/>
      <c r="K83" s="261"/>
      <c r="L83" s="261"/>
      <c r="M83" s="261"/>
      <c r="N83" s="261"/>
    </row>
    <row r="84" spans="1:14" ht="15" thickBot="1">
      <c r="A84" s="261" t="s">
        <v>293</v>
      </c>
      <c r="B84" s="144"/>
      <c r="C84" s="261"/>
      <c r="D84" s="261"/>
      <c r="E84" s="261"/>
      <c r="F84" s="261"/>
      <c r="G84" s="261"/>
      <c r="H84" s="261"/>
      <c r="I84" s="261"/>
      <c r="J84" s="261"/>
      <c r="K84" s="261"/>
      <c r="L84" s="261"/>
      <c r="M84" s="261"/>
      <c r="N84" s="261"/>
    </row>
    <row r="85" spans="1:14" ht="15" thickBot="1">
      <c r="A85" s="261" t="s">
        <v>294</v>
      </c>
      <c r="B85" s="144"/>
      <c r="C85" s="261"/>
      <c r="D85" s="261"/>
      <c r="E85" s="261"/>
      <c r="F85" s="261"/>
      <c r="G85" s="261"/>
      <c r="H85" s="261"/>
      <c r="I85" s="261"/>
      <c r="J85" s="261"/>
      <c r="K85" s="261"/>
      <c r="L85" s="261"/>
      <c r="M85" s="261"/>
      <c r="N85" s="261"/>
    </row>
    <row r="86" spans="1:14" ht="15" thickBot="1">
      <c r="A86" s="261" t="s">
        <v>295</v>
      </c>
      <c r="B86" s="144"/>
      <c r="C86" s="261"/>
      <c r="D86" s="261"/>
      <c r="E86" s="261"/>
      <c r="F86" s="261"/>
      <c r="G86" s="261"/>
      <c r="H86" s="261"/>
      <c r="I86" s="261"/>
      <c r="J86" s="261"/>
      <c r="K86" s="261"/>
      <c r="L86" s="261"/>
      <c r="M86" s="261"/>
      <c r="N86" s="261"/>
    </row>
    <row r="87" spans="1:14" ht="15" thickBot="1">
      <c r="A87" s="261" t="s">
        <v>296</v>
      </c>
      <c r="B87" s="144"/>
      <c r="C87" s="261"/>
      <c r="D87" s="261"/>
      <c r="E87" s="261"/>
      <c r="F87" s="261"/>
      <c r="G87" s="261"/>
      <c r="H87" s="261"/>
      <c r="I87" s="261"/>
      <c r="J87" s="261"/>
      <c r="K87" s="261"/>
      <c r="L87" s="261"/>
      <c r="M87" s="261"/>
      <c r="N87" s="261"/>
    </row>
    <row r="88" spans="1:14">
      <c r="A88" s="261" t="s">
        <v>297</v>
      </c>
      <c r="B88" s="144"/>
      <c r="C88" s="261"/>
      <c r="D88" s="261"/>
      <c r="E88" s="261"/>
      <c r="F88" s="261"/>
      <c r="G88" s="261"/>
      <c r="H88" s="261"/>
      <c r="I88" s="261"/>
      <c r="J88" s="261"/>
      <c r="K88" s="261"/>
      <c r="L88" s="261"/>
      <c r="M88" s="261"/>
      <c r="N88" s="261"/>
    </row>
    <row r="89" spans="1:14">
      <c r="A89" s="188"/>
      <c r="B89" s="188"/>
      <c r="C89" s="188"/>
      <c r="D89" s="188"/>
      <c r="E89" s="188"/>
      <c r="F89" s="188"/>
      <c r="G89" s="188"/>
      <c r="H89" s="188"/>
      <c r="I89" s="188"/>
      <c r="J89" s="188"/>
      <c r="K89" s="188"/>
      <c r="L89" s="188"/>
      <c r="M89" s="188"/>
      <c r="N89" s="188"/>
    </row>
    <row r="90" spans="1:14" ht="15" thickBot="1"/>
    <row r="91" spans="1:14" ht="15.75" thickBot="1">
      <c r="A91" s="157" t="s">
        <v>242</v>
      </c>
      <c r="C91" s="146">
        <v>2019</v>
      </c>
      <c r="D91" s="146">
        <f>C91+1</f>
        <v>2020</v>
      </c>
      <c r="E91" s="146">
        <f t="shared" ref="E91" si="42">D91+1</f>
        <v>2021</v>
      </c>
      <c r="F91" s="146">
        <f t="shared" ref="F91" si="43">E91+1</f>
        <v>2022</v>
      </c>
      <c r="G91" s="146">
        <f t="shared" ref="G91" si="44">F91+1</f>
        <v>2023</v>
      </c>
      <c r="H91" s="146">
        <f t="shared" ref="H91" si="45">G91+1</f>
        <v>2024</v>
      </c>
      <c r="I91" s="146">
        <f t="shared" ref="I91" si="46">H91+1</f>
        <v>2025</v>
      </c>
      <c r="J91" s="146">
        <f t="shared" ref="J91" si="47">I91+1</f>
        <v>2026</v>
      </c>
      <c r="K91" s="146">
        <f t="shared" ref="K91" si="48">J91+1</f>
        <v>2027</v>
      </c>
      <c r="L91" s="146">
        <f t="shared" ref="L91" si="49">K91+1</f>
        <v>2028</v>
      </c>
      <c r="M91" s="146">
        <f t="shared" ref="M91" si="50">L91+1</f>
        <v>2029</v>
      </c>
      <c r="N91" s="147">
        <f t="shared" ref="N91" si="51">M91+1</f>
        <v>2030</v>
      </c>
    </row>
    <row r="92" spans="1:14" ht="15" thickBot="1">
      <c r="A92" s="261" t="s">
        <v>194</v>
      </c>
      <c r="B92" s="144"/>
      <c r="C92" s="262">
        <v>80</v>
      </c>
      <c r="D92" s="262">
        <v>83.6</v>
      </c>
      <c r="E92" s="262">
        <v>87.199999999999989</v>
      </c>
      <c r="F92" s="262">
        <v>90.799999999999983</v>
      </c>
      <c r="G92" s="262">
        <v>94.399999999999977</v>
      </c>
      <c r="H92" s="262">
        <v>97.999999999999972</v>
      </c>
      <c r="I92" s="262">
        <v>101.6</v>
      </c>
      <c r="J92" s="262">
        <v>108.17999999999999</v>
      </c>
      <c r="K92" s="262">
        <v>114.75999999999999</v>
      </c>
      <c r="L92" s="262">
        <v>121.33999999999999</v>
      </c>
      <c r="M92" s="262">
        <v>127.91999999999999</v>
      </c>
      <c r="N92" s="262">
        <v>134.5</v>
      </c>
    </row>
    <row r="93" spans="1:14" ht="15" thickBot="1">
      <c r="A93" s="261" t="s">
        <v>376</v>
      </c>
      <c r="B93" s="144"/>
      <c r="C93" s="262">
        <v>80</v>
      </c>
      <c r="D93" s="262">
        <v>80</v>
      </c>
      <c r="E93" s="262">
        <v>80</v>
      </c>
      <c r="F93" s="262">
        <v>80</v>
      </c>
      <c r="G93" s="262">
        <v>80</v>
      </c>
      <c r="H93" s="262">
        <v>80</v>
      </c>
      <c r="I93" s="262">
        <v>80</v>
      </c>
      <c r="J93" s="262">
        <v>80</v>
      </c>
      <c r="K93" s="262">
        <v>80</v>
      </c>
      <c r="L93" s="262">
        <v>80</v>
      </c>
      <c r="M93" s="262">
        <v>80</v>
      </c>
      <c r="N93" s="262">
        <v>80</v>
      </c>
    </row>
    <row r="94" spans="1:14" ht="15" thickBot="1">
      <c r="A94" s="261" t="s">
        <v>382</v>
      </c>
      <c r="B94" s="144"/>
      <c r="C94" s="262">
        <v>80</v>
      </c>
      <c r="D94" s="262">
        <v>80.399999999999991</v>
      </c>
      <c r="E94" s="262">
        <v>80.801999999999978</v>
      </c>
      <c r="F94" s="262">
        <v>81.206009999999964</v>
      </c>
      <c r="G94" s="262">
        <v>81.612040049999962</v>
      </c>
      <c r="H94" s="262">
        <v>82.020100250249953</v>
      </c>
      <c r="I94" s="262">
        <v>82.430200751501189</v>
      </c>
      <c r="J94" s="262">
        <v>82.84235175525869</v>
      </c>
      <c r="K94" s="262">
        <v>83.25656351403498</v>
      </c>
      <c r="L94" s="262">
        <v>83.672846331605143</v>
      </c>
      <c r="M94" s="262">
        <v>84.091210563263161</v>
      </c>
      <c r="N94" s="262">
        <v>84.511666616079467</v>
      </c>
    </row>
    <row r="95" spans="1:14" ht="15" thickBot="1">
      <c r="A95" s="261" t="s">
        <v>383</v>
      </c>
      <c r="B95" s="144"/>
      <c r="C95" s="262">
        <v>80</v>
      </c>
      <c r="D95" s="262">
        <v>80.8</v>
      </c>
      <c r="E95" s="262">
        <v>81.608000000000004</v>
      </c>
      <c r="F95" s="262">
        <v>82.424080000000004</v>
      </c>
      <c r="G95" s="262">
        <v>83.248320800000002</v>
      </c>
      <c r="H95" s="262">
        <v>84.080804008000001</v>
      </c>
      <c r="I95" s="262">
        <v>84.921612048080007</v>
      </c>
      <c r="J95" s="262">
        <v>85.770828168560811</v>
      </c>
      <c r="K95" s="262">
        <v>86.628536450246415</v>
      </c>
      <c r="L95" s="262">
        <v>87.494821814748875</v>
      </c>
      <c r="M95" s="262">
        <v>88.369770032896369</v>
      </c>
      <c r="N95" s="262">
        <v>89.253467733225335</v>
      </c>
    </row>
    <row r="96" spans="1:14" ht="15" thickBot="1">
      <c r="A96" s="261" t="s">
        <v>384</v>
      </c>
      <c r="B96" s="144"/>
      <c r="C96" s="262">
        <v>80</v>
      </c>
      <c r="D96" s="262">
        <v>81.599999999999994</v>
      </c>
      <c r="E96" s="262">
        <v>83.231999999999999</v>
      </c>
      <c r="F96" s="262">
        <v>84.896640000000005</v>
      </c>
      <c r="G96" s="262">
        <v>86.594572800000009</v>
      </c>
      <c r="H96" s="262">
        <v>88.326464256000008</v>
      </c>
      <c r="I96" s="262">
        <v>90.092993541120009</v>
      </c>
      <c r="J96" s="262">
        <v>91.894853411942407</v>
      </c>
      <c r="K96" s="262">
        <v>93.732750480181252</v>
      </c>
      <c r="L96" s="262">
        <v>95.607405489784881</v>
      </c>
      <c r="M96" s="262">
        <v>97.519553599580576</v>
      </c>
      <c r="N96" s="262">
        <v>99.469944671572193</v>
      </c>
    </row>
    <row r="97" spans="1:14" ht="15" thickBot="1">
      <c r="A97" s="261" t="s">
        <v>385</v>
      </c>
      <c r="B97" s="144"/>
      <c r="C97" s="262">
        <v>80</v>
      </c>
      <c r="D97" s="262">
        <v>82.4</v>
      </c>
      <c r="E97" s="262">
        <v>84.872000000000014</v>
      </c>
      <c r="F97" s="262">
        <v>87.418160000000015</v>
      </c>
      <c r="G97" s="262">
        <v>90.040704800000015</v>
      </c>
      <c r="H97" s="262">
        <v>92.741925944000016</v>
      </c>
      <c r="I97" s="262">
        <v>95.524183722320018</v>
      </c>
      <c r="J97" s="262">
        <v>98.389909233989627</v>
      </c>
      <c r="K97" s="262">
        <v>101.34160651100932</v>
      </c>
      <c r="L97" s="262">
        <v>104.3818547063396</v>
      </c>
      <c r="M97" s="262">
        <v>107.51331034752978</v>
      </c>
      <c r="N97" s="262">
        <v>110.73870965795568</v>
      </c>
    </row>
    <row r="98" spans="1:14" ht="15" thickBot="1">
      <c r="A98" s="261" t="s">
        <v>289</v>
      </c>
      <c r="B98" s="144"/>
      <c r="C98" s="261"/>
      <c r="D98" s="261"/>
      <c r="E98" s="261"/>
      <c r="F98" s="261"/>
      <c r="G98" s="261"/>
      <c r="H98" s="261"/>
      <c r="I98" s="261"/>
      <c r="J98" s="261"/>
      <c r="K98" s="261"/>
      <c r="L98" s="261"/>
      <c r="M98" s="261"/>
      <c r="N98" s="261"/>
    </row>
    <row r="99" spans="1:14" ht="15" thickBot="1">
      <c r="A99" s="261" t="s">
        <v>290</v>
      </c>
      <c r="B99" s="144"/>
      <c r="C99" s="261"/>
      <c r="D99" s="261"/>
      <c r="E99" s="261"/>
      <c r="F99" s="261"/>
      <c r="G99" s="261"/>
      <c r="H99" s="261"/>
      <c r="I99" s="261"/>
      <c r="J99" s="261"/>
      <c r="K99" s="261"/>
      <c r="L99" s="261"/>
      <c r="M99" s="261"/>
      <c r="N99" s="261"/>
    </row>
    <row r="100" spans="1:14" ht="15" thickBot="1">
      <c r="A100" s="261" t="s">
        <v>291</v>
      </c>
      <c r="B100" s="144"/>
      <c r="C100" s="261"/>
      <c r="D100" s="261"/>
      <c r="E100" s="261"/>
      <c r="F100" s="261"/>
      <c r="G100" s="261"/>
      <c r="H100" s="261"/>
      <c r="I100" s="261"/>
      <c r="J100" s="261"/>
      <c r="K100" s="261"/>
      <c r="L100" s="261"/>
      <c r="M100" s="261"/>
      <c r="N100" s="261"/>
    </row>
    <row r="101" spans="1:14" ht="15" thickBot="1">
      <c r="A101" s="261" t="s">
        <v>292</v>
      </c>
      <c r="B101" s="144"/>
      <c r="C101" s="261"/>
      <c r="D101" s="261"/>
      <c r="E101" s="261"/>
      <c r="F101" s="261"/>
      <c r="G101" s="261"/>
      <c r="H101" s="261"/>
      <c r="I101" s="261"/>
      <c r="J101" s="261"/>
      <c r="K101" s="261"/>
      <c r="L101" s="261"/>
      <c r="M101" s="261"/>
      <c r="N101" s="261"/>
    </row>
    <row r="102" spans="1:14" ht="15" thickBot="1">
      <c r="A102" s="261" t="s">
        <v>293</v>
      </c>
      <c r="B102" s="144"/>
      <c r="C102" s="261"/>
      <c r="D102" s="261"/>
      <c r="E102" s="261"/>
      <c r="F102" s="261"/>
      <c r="G102" s="261"/>
      <c r="H102" s="261"/>
      <c r="I102" s="261"/>
      <c r="J102" s="261"/>
      <c r="K102" s="261"/>
      <c r="L102" s="261"/>
      <c r="M102" s="261"/>
      <c r="N102" s="261"/>
    </row>
    <row r="103" spans="1:14" ht="15" thickBot="1">
      <c r="A103" s="261" t="s">
        <v>294</v>
      </c>
      <c r="B103" s="144"/>
      <c r="C103" s="261"/>
      <c r="D103" s="261"/>
      <c r="E103" s="261"/>
      <c r="F103" s="261"/>
      <c r="G103" s="261"/>
      <c r="H103" s="261"/>
      <c r="I103" s="261"/>
      <c r="J103" s="261"/>
      <c r="K103" s="261"/>
      <c r="L103" s="261"/>
      <c r="M103" s="261"/>
      <c r="N103" s="261"/>
    </row>
    <row r="104" spans="1:14" ht="15" thickBot="1">
      <c r="A104" s="261" t="s">
        <v>295</v>
      </c>
      <c r="B104" s="144"/>
      <c r="C104" s="261"/>
      <c r="D104" s="261"/>
      <c r="E104" s="261"/>
      <c r="F104" s="261"/>
      <c r="G104" s="261"/>
      <c r="H104" s="261"/>
      <c r="I104" s="261"/>
      <c r="J104" s="261"/>
      <c r="K104" s="261"/>
      <c r="L104" s="261"/>
      <c r="M104" s="261"/>
      <c r="N104" s="261"/>
    </row>
    <row r="105" spans="1:14" ht="15" thickBot="1">
      <c r="A105" s="261" t="s">
        <v>296</v>
      </c>
      <c r="B105" s="144"/>
      <c r="C105" s="261"/>
      <c r="D105" s="261"/>
      <c r="E105" s="261"/>
      <c r="F105" s="261"/>
      <c r="G105" s="261"/>
      <c r="H105" s="261"/>
      <c r="I105" s="261"/>
      <c r="J105" s="261"/>
      <c r="K105" s="261"/>
      <c r="L105" s="261"/>
      <c r="M105" s="261"/>
      <c r="N105" s="261"/>
    </row>
    <row r="106" spans="1:14">
      <c r="A106" s="261" t="s">
        <v>297</v>
      </c>
      <c r="B106" s="144"/>
      <c r="C106" s="261"/>
      <c r="D106" s="261"/>
      <c r="E106" s="261"/>
      <c r="F106" s="261"/>
      <c r="G106" s="261"/>
      <c r="H106" s="261"/>
      <c r="I106" s="261"/>
      <c r="J106" s="261"/>
      <c r="K106" s="261"/>
      <c r="L106" s="261"/>
      <c r="M106" s="261"/>
      <c r="N106" s="261"/>
    </row>
    <row r="107" spans="1:14">
      <c r="A107" s="186"/>
      <c r="B107" s="188"/>
      <c r="C107" s="188"/>
      <c r="D107" s="188"/>
      <c r="E107" s="188"/>
      <c r="F107" s="188"/>
      <c r="G107" s="188"/>
      <c r="H107" s="188"/>
      <c r="I107" s="188"/>
      <c r="J107" s="188"/>
      <c r="K107" s="188"/>
      <c r="L107" s="188"/>
      <c r="M107" s="188"/>
      <c r="N107" s="188"/>
    </row>
    <row r="108" spans="1:14" ht="15" thickBot="1">
      <c r="A108" s="186"/>
      <c r="B108" s="188"/>
    </row>
    <row r="109" spans="1:14" ht="15.75" thickBot="1">
      <c r="A109" s="157" t="s">
        <v>243</v>
      </c>
      <c r="C109" s="146">
        <v>2019</v>
      </c>
      <c r="D109" s="146">
        <f>C109+1</f>
        <v>2020</v>
      </c>
      <c r="E109" s="146">
        <f t="shared" ref="E109" si="52">D109+1</f>
        <v>2021</v>
      </c>
      <c r="F109" s="146">
        <f t="shared" ref="F109" si="53">E109+1</f>
        <v>2022</v>
      </c>
      <c r="G109" s="146">
        <f t="shared" ref="G109" si="54">F109+1</f>
        <v>2023</v>
      </c>
      <c r="H109" s="146">
        <f t="shared" ref="H109" si="55">G109+1</f>
        <v>2024</v>
      </c>
      <c r="I109" s="146">
        <f t="shared" ref="I109" si="56">H109+1</f>
        <v>2025</v>
      </c>
      <c r="J109" s="146">
        <f t="shared" ref="J109" si="57">I109+1</f>
        <v>2026</v>
      </c>
      <c r="K109" s="146">
        <f t="shared" ref="K109" si="58">J109+1</f>
        <v>2027</v>
      </c>
      <c r="L109" s="146">
        <f t="shared" ref="L109" si="59">K109+1</f>
        <v>2028</v>
      </c>
      <c r="M109" s="146">
        <f t="shared" ref="M109" si="60">L109+1</f>
        <v>2029</v>
      </c>
      <c r="N109" s="147">
        <f t="shared" ref="N109" si="61">M109+1</f>
        <v>2030</v>
      </c>
    </row>
    <row r="110" spans="1:14" ht="15" thickBot="1">
      <c r="A110" s="261" t="s">
        <v>194</v>
      </c>
      <c r="B110" s="144"/>
      <c r="C110" s="262">
        <v>55.380833333333335</v>
      </c>
      <c r="D110" s="262">
        <v>58.317361111111111</v>
      </c>
      <c r="E110" s="262">
        <v>61.253888888888888</v>
      </c>
      <c r="F110" s="262">
        <v>64.190416666666664</v>
      </c>
      <c r="G110" s="262">
        <v>67.126944444444447</v>
      </c>
      <c r="H110" s="262">
        <v>70.063472222222231</v>
      </c>
      <c r="I110" s="262">
        <v>73</v>
      </c>
      <c r="J110" s="262">
        <v>71.5</v>
      </c>
      <c r="K110" s="262">
        <v>70</v>
      </c>
      <c r="L110" s="262">
        <v>68.5</v>
      </c>
      <c r="M110" s="262">
        <v>67</v>
      </c>
      <c r="N110" s="262">
        <v>65.5</v>
      </c>
    </row>
    <row r="111" spans="1:14" ht="15" thickBot="1">
      <c r="A111" s="261" t="s">
        <v>376</v>
      </c>
      <c r="B111" s="144"/>
      <c r="C111" s="262">
        <v>55.380833333333335</v>
      </c>
      <c r="D111" s="262">
        <v>55.380833333333335</v>
      </c>
      <c r="E111" s="262">
        <v>55.380833333333335</v>
      </c>
      <c r="F111" s="262">
        <v>55.380833333333335</v>
      </c>
      <c r="G111" s="262">
        <v>55.380833333333335</v>
      </c>
      <c r="H111" s="262">
        <v>55.380833333333335</v>
      </c>
      <c r="I111" s="262">
        <v>55.380833333333335</v>
      </c>
      <c r="J111" s="262">
        <v>55.380833333333335</v>
      </c>
      <c r="K111" s="262">
        <v>55.380833333333335</v>
      </c>
      <c r="L111" s="262">
        <v>55.380833333333335</v>
      </c>
      <c r="M111" s="262">
        <v>55.380833333333335</v>
      </c>
      <c r="N111" s="262">
        <v>55.380833333333335</v>
      </c>
    </row>
    <row r="112" spans="1:14" ht="15" thickBot="1">
      <c r="A112" s="261" t="s">
        <v>382</v>
      </c>
      <c r="B112" s="144"/>
      <c r="C112" s="262">
        <v>55.380833333333335</v>
      </c>
      <c r="D112" s="262">
        <v>55.657737499999996</v>
      </c>
      <c r="E112" s="262">
        <v>55.936026187499991</v>
      </c>
      <c r="F112" s="262">
        <v>56.215706318437483</v>
      </c>
      <c r="G112" s="262">
        <v>56.496784850029663</v>
      </c>
      <c r="H112" s="262">
        <v>56.779268774279807</v>
      </c>
      <c r="I112" s="262">
        <v>57.063165118151197</v>
      </c>
      <c r="J112" s="262">
        <v>57.348480943741947</v>
      </c>
      <c r="K112" s="262">
        <v>57.635223348460649</v>
      </c>
      <c r="L112" s="262">
        <v>57.923399465202948</v>
      </c>
      <c r="M112" s="262">
        <v>58.213016462528955</v>
      </c>
      <c r="N112" s="262">
        <v>58.504081544841597</v>
      </c>
    </row>
    <row r="113" spans="1:14" ht="15" thickBot="1">
      <c r="A113" s="261" t="s">
        <v>383</v>
      </c>
      <c r="B113" s="144"/>
      <c r="C113" s="262">
        <v>55.380833333333335</v>
      </c>
      <c r="D113" s="262">
        <v>55.934641666666671</v>
      </c>
      <c r="E113" s="262">
        <v>56.493988083333342</v>
      </c>
      <c r="F113" s="262">
        <v>57.058927964166678</v>
      </c>
      <c r="G113" s="262">
        <v>57.629517243808344</v>
      </c>
      <c r="H113" s="262">
        <v>58.205812416246431</v>
      </c>
      <c r="I113" s="262">
        <v>58.787870540408896</v>
      </c>
      <c r="J113" s="262">
        <v>59.375749245812983</v>
      </c>
      <c r="K113" s="262">
        <v>59.969506738271114</v>
      </c>
      <c r="L113" s="262">
        <v>60.569201805653826</v>
      </c>
      <c r="M113" s="262">
        <v>61.174893823710363</v>
      </c>
      <c r="N113" s="262">
        <v>61.786642761947469</v>
      </c>
    </row>
    <row r="114" spans="1:14" ht="15" thickBot="1">
      <c r="A114" s="261" t="s">
        <v>384</v>
      </c>
      <c r="B114" s="144"/>
      <c r="C114" s="262">
        <v>55.380833333333335</v>
      </c>
      <c r="D114" s="262">
        <v>56.48845</v>
      </c>
      <c r="E114" s="262">
        <v>57.618219000000003</v>
      </c>
      <c r="F114" s="262">
        <v>58.770583380000005</v>
      </c>
      <c r="G114" s="262">
        <v>59.945995047600007</v>
      </c>
      <c r="H114" s="262">
        <v>61.144914948552007</v>
      </c>
      <c r="I114" s="262">
        <v>62.367813247523046</v>
      </c>
      <c r="J114" s="262">
        <v>63.615169512473507</v>
      </c>
      <c r="K114" s="262">
        <v>64.887472902722976</v>
      </c>
      <c r="L114" s="262">
        <v>66.185222360777431</v>
      </c>
      <c r="M114" s="262">
        <v>67.508926807992978</v>
      </c>
      <c r="N114" s="262">
        <v>68.859105344152837</v>
      </c>
    </row>
    <row r="115" spans="1:14" ht="15" thickBot="1">
      <c r="A115" s="261" t="s">
        <v>385</v>
      </c>
      <c r="B115" s="144"/>
      <c r="C115" s="262">
        <v>55.380833333333335</v>
      </c>
      <c r="D115" s="262">
        <v>57.042258333333336</v>
      </c>
      <c r="E115" s="262">
        <v>58.753526083333341</v>
      </c>
      <c r="F115" s="262">
        <v>60.516131865833344</v>
      </c>
      <c r="G115" s="262">
        <v>62.331615821808349</v>
      </c>
      <c r="H115" s="262">
        <v>64.201564296462607</v>
      </c>
      <c r="I115" s="262">
        <v>66.127611225356489</v>
      </c>
      <c r="J115" s="262">
        <v>68.111439562117184</v>
      </c>
      <c r="K115" s="262">
        <v>70.154782748980708</v>
      </c>
      <c r="L115" s="262">
        <v>72.259426231450135</v>
      </c>
      <c r="M115" s="262">
        <v>74.42720901839364</v>
      </c>
      <c r="N115" s="262">
        <v>76.660025288945448</v>
      </c>
    </row>
    <row r="116" spans="1:14" ht="15" thickBot="1">
      <c r="A116" s="261" t="s">
        <v>289</v>
      </c>
      <c r="B116" s="144"/>
      <c r="C116" s="261"/>
      <c r="D116" s="261"/>
      <c r="E116" s="261"/>
      <c r="F116" s="261"/>
      <c r="G116" s="261"/>
      <c r="H116" s="261"/>
      <c r="I116" s="261"/>
      <c r="J116" s="261"/>
      <c r="K116" s="261"/>
      <c r="L116" s="261"/>
      <c r="M116" s="261"/>
      <c r="N116" s="261"/>
    </row>
    <row r="117" spans="1:14" ht="15" thickBot="1">
      <c r="A117" s="261" t="s">
        <v>290</v>
      </c>
      <c r="B117" s="144"/>
      <c r="C117" s="261"/>
      <c r="D117" s="261"/>
      <c r="E117" s="261"/>
      <c r="F117" s="261"/>
      <c r="G117" s="261"/>
      <c r="H117" s="261"/>
      <c r="I117" s="261"/>
      <c r="J117" s="261"/>
      <c r="K117" s="261"/>
      <c r="L117" s="261"/>
      <c r="M117" s="261"/>
      <c r="N117" s="261"/>
    </row>
    <row r="118" spans="1:14" ht="15" thickBot="1">
      <c r="A118" s="261" t="s">
        <v>291</v>
      </c>
      <c r="B118" s="144"/>
      <c r="C118" s="261"/>
      <c r="D118" s="261"/>
      <c r="E118" s="261"/>
      <c r="F118" s="261"/>
      <c r="G118" s="261"/>
      <c r="H118" s="261"/>
      <c r="I118" s="261"/>
      <c r="J118" s="261"/>
      <c r="K118" s="261"/>
      <c r="L118" s="261"/>
      <c r="M118" s="261"/>
      <c r="N118" s="261"/>
    </row>
    <row r="119" spans="1:14" ht="15" thickBot="1">
      <c r="A119" s="261" t="s">
        <v>292</v>
      </c>
      <c r="B119" s="144"/>
      <c r="C119" s="261"/>
      <c r="D119" s="261"/>
      <c r="E119" s="261"/>
      <c r="F119" s="261"/>
      <c r="G119" s="261"/>
      <c r="H119" s="261"/>
      <c r="I119" s="261"/>
      <c r="J119" s="261"/>
      <c r="K119" s="261"/>
      <c r="L119" s="261"/>
      <c r="M119" s="261"/>
      <c r="N119" s="261"/>
    </row>
    <row r="120" spans="1:14" ht="15" thickBot="1">
      <c r="A120" s="261" t="s">
        <v>293</v>
      </c>
      <c r="B120" s="144"/>
      <c r="C120" s="261"/>
      <c r="D120" s="261"/>
      <c r="E120" s="261"/>
      <c r="F120" s="261"/>
      <c r="G120" s="261"/>
      <c r="H120" s="261"/>
      <c r="I120" s="261"/>
      <c r="J120" s="261"/>
      <c r="K120" s="261"/>
      <c r="L120" s="261"/>
      <c r="M120" s="261"/>
      <c r="N120" s="261"/>
    </row>
    <row r="121" spans="1:14" ht="15" thickBot="1">
      <c r="A121" s="261" t="s">
        <v>294</v>
      </c>
      <c r="B121" s="144"/>
      <c r="C121" s="261"/>
      <c r="D121" s="261"/>
      <c r="E121" s="261"/>
      <c r="F121" s="261"/>
      <c r="G121" s="261"/>
      <c r="H121" s="261"/>
      <c r="I121" s="261"/>
      <c r="J121" s="261"/>
      <c r="K121" s="261"/>
      <c r="L121" s="261"/>
      <c r="M121" s="261"/>
      <c r="N121" s="261"/>
    </row>
    <row r="122" spans="1:14" ht="15" thickBot="1">
      <c r="A122" s="261" t="s">
        <v>295</v>
      </c>
      <c r="B122" s="144"/>
      <c r="C122" s="261"/>
      <c r="D122" s="261"/>
      <c r="E122" s="261"/>
      <c r="F122" s="261"/>
      <c r="G122" s="261"/>
      <c r="H122" s="261"/>
      <c r="I122" s="261"/>
      <c r="J122" s="261"/>
      <c r="K122" s="261"/>
      <c r="L122" s="261"/>
      <c r="M122" s="261"/>
      <c r="N122" s="261"/>
    </row>
    <row r="123" spans="1:14" ht="15" thickBot="1">
      <c r="A123" s="261" t="s">
        <v>296</v>
      </c>
      <c r="B123" s="144"/>
      <c r="C123" s="261"/>
      <c r="D123" s="261"/>
      <c r="E123" s="261"/>
      <c r="F123" s="261"/>
      <c r="G123" s="261"/>
      <c r="H123" s="261"/>
      <c r="I123" s="261"/>
      <c r="J123" s="261"/>
      <c r="K123" s="261"/>
      <c r="L123" s="261"/>
      <c r="M123" s="261"/>
      <c r="N123" s="261"/>
    </row>
    <row r="124" spans="1:14">
      <c r="A124" s="261" t="s">
        <v>297</v>
      </c>
      <c r="B124" s="144"/>
      <c r="C124" s="261"/>
      <c r="D124" s="261"/>
      <c r="E124" s="261"/>
      <c r="F124" s="261"/>
      <c r="G124" s="261"/>
      <c r="H124" s="261"/>
      <c r="I124" s="261"/>
      <c r="J124" s="261"/>
      <c r="K124" s="261"/>
      <c r="L124" s="261"/>
      <c r="M124" s="261"/>
      <c r="N124" s="261"/>
    </row>
    <row r="125" spans="1:14">
      <c r="A125" s="186"/>
      <c r="B125" s="188"/>
      <c r="C125" s="188"/>
      <c r="D125" s="188"/>
      <c r="E125" s="188"/>
      <c r="F125" s="188"/>
      <c r="G125" s="188"/>
      <c r="H125" s="188"/>
      <c r="I125" s="188"/>
      <c r="J125" s="188"/>
      <c r="K125" s="188"/>
      <c r="L125" s="188"/>
      <c r="M125" s="188"/>
      <c r="N125" s="188"/>
    </row>
    <row r="126" spans="1:14" ht="15" thickBot="1">
      <c r="A126" s="188"/>
      <c r="B126" s="188"/>
    </row>
    <row r="127" spans="1:14" ht="15.75" thickBot="1">
      <c r="A127" s="157" t="s">
        <v>18</v>
      </c>
      <c r="C127" s="146">
        <v>2019</v>
      </c>
      <c r="D127" s="146">
        <f>C127+1</f>
        <v>2020</v>
      </c>
      <c r="E127" s="146">
        <f t="shared" ref="E127" si="62">D127+1</f>
        <v>2021</v>
      </c>
      <c r="F127" s="146">
        <f t="shared" ref="F127" si="63">E127+1</f>
        <v>2022</v>
      </c>
      <c r="G127" s="146">
        <f t="shared" ref="G127" si="64">F127+1</f>
        <v>2023</v>
      </c>
      <c r="H127" s="146">
        <f t="shared" ref="H127" si="65">G127+1</f>
        <v>2024</v>
      </c>
      <c r="I127" s="146">
        <f t="shared" ref="I127" si="66">H127+1</f>
        <v>2025</v>
      </c>
      <c r="J127" s="146">
        <f t="shared" ref="J127" si="67">I127+1</f>
        <v>2026</v>
      </c>
      <c r="K127" s="146">
        <f t="shared" ref="K127" si="68">J127+1</f>
        <v>2027</v>
      </c>
      <c r="L127" s="146">
        <f t="shared" ref="L127" si="69">K127+1</f>
        <v>2028</v>
      </c>
      <c r="M127" s="146">
        <f t="shared" ref="M127" si="70">L127+1</f>
        <v>2029</v>
      </c>
      <c r="N127" s="147">
        <f t="shared" ref="N127" si="71">M127+1</f>
        <v>2030</v>
      </c>
    </row>
    <row r="128" spans="1:14" ht="15" thickBot="1">
      <c r="A128" s="261" t="s">
        <v>194</v>
      </c>
      <c r="B128" s="144"/>
      <c r="C128" s="262">
        <v>778.33347798676982</v>
      </c>
      <c r="D128" s="262">
        <v>793.77989863569826</v>
      </c>
      <c r="E128" s="262">
        <v>755.86183919771486</v>
      </c>
      <c r="F128" s="262">
        <v>728.70194401505375</v>
      </c>
      <c r="G128" s="262">
        <v>701.8826540880641</v>
      </c>
      <c r="H128" s="262">
        <v>675.68266302008726</v>
      </c>
      <c r="I128" s="262">
        <v>650.36786544183349</v>
      </c>
      <c r="J128" s="262">
        <v>607.22346852308169</v>
      </c>
      <c r="K128" s="262">
        <v>565.35466645686233</v>
      </c>
      <c r="L128" s="262">
        <v>524.90401173643227</v>
      </c>
      <c r="M128" s="262">
        <v>485.9836676957666</v>
      </c>
      <c r="N128" s="262">
        <v>448.66756501484952</v>
      </c>
    </row>
    <row r="129" spans="1:14" ht="15" thickBot="1">
      <c r="A129" s="261" t="s">
        <v>508</v>
      </c>
      <c r="B129" s="144"/>
      <c r="C129" s="262">
        <v>781.51725899999997</v>
      </c>
      <c r="D129" s="262">
        <v>705</v>
      </c>
      <c r="E129" s="262">
        <v>705</v>
      </c>
      <c r="F129" s="262">
        <v>781.51725899999997</v>
      </c>
      <c r="G129" s="262">
        <v>781.51725899999997</v>
      </c>
      <c r="H129" s="262">
        <v>781.51725899999997</v>
      </c>
      <c r="I129" s="262">
        <v>781.51725899999997</v>
      </c>
      <c r="J129" s="262">
        <v>781.51725899999997</v>
      </c>
      <c r="K129" s="262">
        <v>781.51725899999997</v>
      </c>
      <c r="L129" s="262">
        <v>781.51725899999997</v>
      </c>
      <c r="M129" s="262">
        <v>781.51725899999997</v>
      </c>
      <c r="N129" s="262">
        <v>781.51725899999997</v>
      </c>
    </row>
    <row r="130" spans="1:14" ht="15" thickBot="1">
      <c r="A130" s="261" t="s">
        <v>381</v>
      </c>
      <c r="B130" s="144"/>
      <c r="C130" s="262">
        <v>781.51725899999997</v>
      </c>
      <c r="D130" s="262">
        <v>777.60967270499998</v>
      </c>
      <c r="E130" s="262">
        <v>773.72162434147492</v>
      </c>
      <c r="F130" s="262">
        <v>769.8530162197676</v>
      </c>
      <c r="G130" s="262">
        <v>766.0037511386688</v>
      </c>
      <c r="H130" s="262">
        <v>762.17373238297546</v>
      </c>
      <c r="I130" s="262">
        <v>758.36286372106053</v>
      </c>
      <c r="J130" s="262">
        <v>754.57104940245517</v>
      </c>
      <c r="K130" s="262">
        <v>750.79819415544284</v>
      </c>
      <c r="L130" s="262">
        <v>747.04420318466566</v>
      </c>
      <c r="M130" s="262">
        <v>743.30898216874232</v>
      </c>
      <c r="N130" s="262">
        <v>739.59243725789861</v>
      </c>
    </row>
    <row r="131" spans="1:14" ht="15" thickBot="1">
      <c r="A131" s="261" t="s">
        <v>377</v>
      </c>
      <c r="B131" s="144"/>
      <c r="C131" s="262">
        <v>781.51725899999997</v>
      </c>
      <c r="D131" s="262">
        <v>773.70208640999999</v>
      </c>
      <c r="E131" s="262">
        <v>765.96506554589996</v>
      </c>
      <c r="F131" s="262">
        <v>758.30541489044094</v>
      </c>
      <c r="G131" s="262">
        <v>750.72236074153648</v>
      </c>
      <c r="H131" s="262">
        <v>743.21513713412105</v>
      </c>
      <c r="I131" s="262">
        <v>735.78298576277984</v>
      </c>
      <c r="J131" s="262">
        <v>728.425155905152</v>
      </c>
      <c r="K131" s="262">
        <v>721.14090434610046</v>
      </c>
      <c r="L131" s="262">
        <v>713.92949530263945</v>
      </c>
      <c r="M131" s="262">
        <v>706.79020034961309</v>
      </c>
      <c r="N131" s="262">
        <v>699.72229834611699</v>
      </c>
    </row>
    <row r="132" spans="1:14" ht="15" thickBot="1">
      <c r="A132" s="261" t="s">
        <v>386</v>
      </c>
      <c r="B132" s="144"/>
      <c r="C132" s="262">
        <v>781.51725899999997</v>
      </c>
      <c r="D132" s="262">
        <v>761.97932752499992</v>
      </c>
      <c r="E132" s="262">
        <v>742.92984433687491</v>
      </c>
      <c r="F132" s="262">
        <v>724.35659822845298</v>
      </c>
      <c r="G132" s="262">
        <v>706.2476832727416</v>
      </c>
      <c r="H132" s="262">
        <v>688.59149119092308</v>
      </c>
      <c r="I132" s="262">
        <v>671.37670391115</v>
      </c>
      <c r="J132" s="262">
        <v>654.59228631337123</v>
      </c>
      <c r="K132" s="262">
        <v>638.22747915553691</v>
      </c>
      <c r="L132" s="262">
        <v>622.27179217664843</v>
      </c>
      <c r="M132" s="262">
        <v>606.71499737223223</v>
      </c>
      <c r="N132" s="262">
        <v>591.54712243792642</v>
      </c>
    </row>
    <row r="133" spans="1:14" ht="15" thickBot="1">
      <c r="A133" s="261" t="s">
        <v>387</v>
      </c>
      <c r="B133" s="144"/>
      <c r="C133" s="262">
        <v>781.51725899999997</v>
      </c>
      <c r="D133" s="262">
        <v>742.44139604999998</v>
      </c>
      <c r="E133" s="262">
        <v>705.31932624749993</v>
      </c>
      <c r="F133" s="262">
        <v>670.05335993512494</v>
      </c>
      <c r="G133" s="262">
        <v>636.55069193836869</v>
      </c>
      <c r="H133" s="262">
        <v>604.72315734145025</v>
      </c>
      <c r="I133" s="262">
        <v>574.48699947437774</v>
      </c>
      <c r="J133" s="262">
        <v>545.76264950065888</v>
      </c>
      <c r="K133" s="262">
        <v>518.47451702562591</v>
      </c>
      <c r="L133" s="262">
        <v>492.55079117434457</v>
      </c>
      <c r="M133" s="262">
        <v>467.92325161562729</v>
      </c>
      <c r="N133" s="262">
        <v>444.52708903484591</v>
      </c>
    </row>
    <row r="134" spans="1:14" ht="15" thickBot="1">
      <c r="A134" s="261" t="s">
        <v>382</v>
      </c>
      <c r="B134" s="144"/>
      <c r="C134" s="262">
        <v>781.51725899999997</v>
      </c>
      <c r="D134" s="262">
        <v>785.42484529499984</v>
      </c>
      <c r="E134" s="262">
        <v>789.35196952147476</v>
      </c>
      <c r="F134" s="262">
        <v>793.29872936908203</v>
      </c>
      <c r="G134" s="262">
        <v>797.2652230159274</v>
      </c>
      <c r="H134" s="262">
        <v>801.25154913100698</v>
      </c>
      <c r="I134" s="262">
        <v>805.2578068766619</v>
      </c>
      <c r="J134" s="262">
        <v>809.28409591104514</v>
      </c>
      <c r="K134" s="262">
        <v>813.33051639060034</v>
      </c>
      <c r="L134" s="262">
        <v>817.39716897255323</v>
      </c>
      <c r="M134" s="262">
        <v>821.48415481741586</v>
      </c>
      <c r="N134" s="262">
        <v>825.59157559150287</v>
      </c>
    </row>
    <row r="135" spans="1:14" ht="15" thickBot="1">
      <c r="A135" s="261" t="s">
        <v>383</v>
      </c>
      <c r="B135" s="144"/>
      <c r="C135" s="262">
        <v>781.51725899999997</v>
      </c>
      <c r="D135" s="262">
        <v>789.33243158999994</v>
      </c>
      <c r="E135" s="262">
        <v>797.22575590589997</v>
      </c>
      <c r="F135" s="262">
        <v>805.19801346495899</v>
      </c>
      <c r="G135" s="262">
        <v>813.24999359960862</v>
      </c>
      <c r="H135" s="262">
        <v>821.38249353560468</v>
      </c>
      <c r="I135" s="262">
        <v>829.59631847096068</v>
      </c>
      <c r="J135" s="262">
        <v>837.89228165567033</v>
      </c>
      <c r="K135" s="262">
        <v>846.27120447222705</v>
      </c>
      <c r="L135" s="262">
        <v>854.73391651694931</v>
      </c>
      <c r="M135" s="262">
        <v>863.28125568211885</v>
      </c>
      <c r="N135" s="262">
        <v>871.9140682389401</v>
      </c>
    </row>
    <row r="136" spans="1:14" ht="15" thickBot="1">
      <c r="A136" s="261" t="s">
        <v>388</v>
      </c>
      <c r="B136" s="144"/>
      <c r="C136" s="262">
        <v>781.51725899999997</v>
      </c>
      <c r="D136" s="262">
        <v>801.0551904749999</v>
      </c>
      <c r="E136" s="262">
        <v>821.08157023687488</v>
      </c>
      <c r="F136" s="262">
        <v>841.60860949279663</v>
      </c>
      <c r="G136" s="262">
        <v>862.64882473011642</v>
      </c>
      <c r="H136" s="262">
        <v>884.21504534836924</v>
      </c>
      <c r="I136" s="262">
        <v>906.32042148207836</v>
      </c>
      <c r="J136" s="262">
        <v>928.9784320191302</v>
      </c>
      <c r="K136" s="262">
        <v>952.20289281960834</v>
      </c>
      <c r="L136" s="262">
        <v>976.00796514009846</v>
      </c>
      <c r="M136" s="262">
        <v>1000.4081642686008</v>
      </c>
      <c r="N136" s="262">
        <v>1025.4183683753158</v>
      </c>
    </row>
    <row r="137" spans="1:14" ht="15" thickBot="1">
      <c r="A137" s="261" t="s">
        <v>292</v>
      </c>
      <c r="B137" s="144"/>
      <c r="C137" s="261"/>
      <c r="D137" s="261"/>
      <c r="E137" s="261"/>
      <c r="F137" s="261"/>
      <c r="G137" s="261"/>
      <c r="H137" s="261"/>
      <c r="I137" s="261"/>
      <c r="J137" s="261"/>
      <c r="K137" s="261"/>
      <c r="L137" s="261"/>
      <c r="M137" s="261"/>
      <c r="N137" s="261"/>
    </row>
    <row r="138" spans="1:14" ht="15" thickBot="1">
      <c r="A138" s="261" t="s">
        <v>293</v>
      </c>
      <c r="B138" s="144"/>
      <c r="C138" s="261"/>
      <c r="D138" s="261"/>
      <c r="E138" s="261"/>
      <c r="F138" s="261"/>
      <c r="G138" s="261"/>
      <c r="H138" s="261"/>
      <c r="I138" s="261"/>
      <c r="J138" s="261"/>
      <c r="K138" s="261"/>
      <c r="L138" s="261"/>
      <c r="M138" s="261"/>
      <c r="N138" s="261"/>
    </row>
    <row r="139" spans="1:14" ht="15" thickBot="1">
      <c r="A139" s="261" t="s">
        <v>294</v>
      </c>
      <c r="B139" s="144"/>
      <c r="C139" s="261"/>
      <c r="D139" s="261"/>
      <c r="E139" s="261"/>
      <c r="F139" s="261"/>
      <c r="G139" s="261"/>
      <c r="H139" s="261"/>
      <c r="I139" s="261"/>
      <c r="J139" s="261"/>
      <c r="K139" s="261"/>
      <c r="L139" s="261"/>
      <c r="M139" s="261"/>
      <c r="N139" s="261"/>
    </row>
    <row r="140" spans="1:14" ht="15" thickBot="1">
      <c r="A140" s="261" t="s">
        <v>295</v>
      </c>
      <c r="B140" s="144"/>
      <c r="C140" s="261"/>
      <c r="D140" s="261"/>
      <c r="E140" s="261"/>
      <c r="F140" s="261"/>
      <c r="G140" s="261"/>
      <c r="H140" s="261"/>
      <c r="I140" s="261"/>
      <c r="J140" s="261"/>
      <c r="K140" s="261"/>
      <c r="L140" s="261"/>
      <c r="M140" s="261"/>
      <c r="N140" s="261"/>
    </row>
    <row r="141" spans="1:14" ht="15" thickBot="1">
      <c r="A141" s="261" t="s">
        <v>296</v>
      </c>
      <c r="B141" s="144"/>
      <c r="C141" s="261"/>
      <c r="D141" s="261"/>
      <c r="E141" s="261"/>
      <c r="F141" s="261"/>
      <c r="G141" s="261"/>
      <c r="H141" s="261"/>
      <c r="I141" s="261"/>
      <c r="J141" s="261"/>
      <c r="K141" s="261"/>
      <c r="L141" s="261"/>
      <c r="M141" s="261"/>
      <c r="N141" s="261"/>
    </row>
    <row r="142" spans="1:14">
      <c r="A142" s="261" t="s">
        <v>297</v>
      </c>
      <c r="B142" s="144"/>
      <c r="C142" s="261"/>
      <c r="D142" s="261"/>
      <c r="E142" s="261"/>
      <c r="F142" s="261"/>
      <c r="G142" s="261"/>
      <c r="H142" s="261"/>
      <c r="I142" s="261"/>
      <c r="J142" s="261"/>
      <c r="K142" s="261"/>
      <c r="L142" s="261"/>
      <c r="M142" s="261"/>
      <c r="N142" s="261"/>
    </row>
    <row r="143" spans="1:14">
      <c r="A143" s="188"/>
      <c r="B143" s="188"/>
      <c r="C143" s="188"/>
      <c r="D143" s="188"/>
      <c r="E143" s="188"/>
      <c r="F143" s="188"/>
      <c r="G143" s="188"/>
      <c r="H143" s="188"/>
      <c r="I143" s="188"/>
      <c r="J143" s="188"/>
      <c r="K143" s="188"/>
      <c r="L143" s="188"/>
      <c r="M143" s="188"/>
      <c r="N143" s="188"/>
    </row>
    <row r="144" spans="1:14" ht="15" thickBot="1"/>
    <row r="145" spans="1:14" ht="15.75" thickBot="1">
      <c r="A145" s="157" t="s">
        <v>19</v>
      </c>
      <c r="C145" s="146">
        <v>2019</v>
      </c>
      <c r="D145" s="146">
        <f>C145+1</f>
        <v>2020</v>
      </c>
      <c r="E145" s="146">
        <f t="shared" ref="E145" si="72">D145+1</f>
        <v>2021</v>
      </c>
      <c r="F145" s="146">
        <f t="shared" ref="F145" si="73">E145+1</f>
        <v>2022</v>
      </c>
      <c r="G145" s="146">
        <f t="shared" ref="G145" si="74">F145+1</f>
        <v>2023</v>
      </c>
      <c r="H145" s="146">
        <f t="shared" ref="H145" si="75">G145+1</f>
        <v>2024</v>
      </c>
      <c r="I145" s="146">
        <f t="shared" ref="I145" si="76">H145+1</f>
        <v>2025</v>
      </c>
      <c r="J145" s="146">
        <f t="shared" ref="J145" si="77">I145+1</f>
        <v>2026</v>
      </c>
      <c r="K145" s="146">
        <f t="shared" ref="K145" si="78">J145+1</f>
        <v>2027</v>
      </c>
      <c r="L145" s="146">
        <f t="shared" ref="L145" si="79">K145+1</f>
        <v>2028</v>
      </c>
      <c r="M145" s="146">
        <f t="shared" ref="M145" si="80">L145+1</f>
        <v>2029</v>
      </c>
      <c r="N145" s="147">
        <f t="shared" ref="N145" si="81">M145+1</f>
        <v>2030</v>
      </c>
    </row>
    <row r="146" spans="1:14" ht="15" thickBot="1">
      <c r="A146" s="261" t="s">
        <v>194</v>
      </c>
      <c r="B146" s="144"/>
      <c r="C146" s="262">
        <v>1616.3006576303037</v>
      </c>
      <c r="D146" s="262">
        <v>1605.222201290557</v>
      </c>
      <c r="E146" s="262">
        <v>1574.1716321022184</v>
      </c>
      <c r="F146" s="262">
        <v>1543.1320222330023</v>
      </c>
      <c r="G146" s="262">
        <v>1510.8880290539071</v>
      </c>
      <c r="H146" s="262">
        <v>1477.6255136579575</v>
      </c>
      <c r="I146" s="262">
        <v>1445.4283244746637</v>
      </c>
      <c r="J146" s="262">
        <v>1369.880352754577</v>
      </c>
      <c r="K146" s="262">
        <v>1291.6628205723562</v>
      </c>
      <c r="L146" s="262">
        <v>1210.9237976331895</v>
      </c>
      <c r="M146" s="262">
        <v>1127.7950646562658</v>
      </c>
      <c r="N146" s="262">
        <v>1059.5667017869578</v>
      </c>
    </row>
    <row r="147" spans="1:14" ht="15" thickBot="1">
      <c r="A147" s="261" t="s">
        <v>508</v>
      </c>
      <c r="B147" s="144"/>
      <c r="C147" s="262">
        <v>1619.9017615999999</v>
      </c>
      <c r="D147" s="262">
        <v>1504</v>
      </c>
      <c r="E147" s="262">
        <v>1504</v>
      </c>
      <c r="F147" s="262">
        <v>1619.9017615999999</v>
      </c>
      <c r="G147" s="262">
        <v>1619.9017615999999</v>
      </c>
      <c r="H147" s="262">
        <v>1619.9017615999999</v>
      </c>
      <c r="I147" s="262">
        <v>1619.9017615999999</v>
      </c>
      <c r="J147" s="262">
        <v>1619.9017615999999</v>
      </c>
      <c r="K147" s="262">
        <v>1619.9017615999999</v>
      </c>
      <c r="L147" s="262">
        <v>1619.9017615999999</v>
      </c>
      <c r="M147" s="262">
        <v>1619.9017615999999</v>
      </c>
      <c r="N147" s="262">
        <v>1619.9017615999999</v>
      </c>
    </row>
    <row r="148" spans="1:14" ht="15" thickBot="1">
      <c r="A148" s="261" t="s">
        <v>381</v>
      </c>
      <c r="B148" s="144"/>
      <c r="C148" s="262">
        <v>1619.9017615999999</v>
      </c>
      <c r="D148" s="262">
        <v>1611.8022527919998</v>
      </c>
      <c r="E148" s="262">
        <v>1603.7432415280398</v>
      </c>
      <c r="F148" s="262">
        <v>1595.7245253203996</v>
      </c>
      <c r="G148" s="262">
        <v>1587.7459026937977</v>
      </c>
      <c r="H148" s="262">
        <v>1579.8071731803286</v>
      </c>
      <c r="I148" s="262">
        <v>1571.908137314427</v>
      </c>
      <c r="J148" s="262">
        <v>1564.0485966278547</v>
      </c>
      <c r="K148" s="262">
        <v>1556.2283536447155</v>
      </c>
      <c r="L148" s="262">
        <v>1548.447211876492</v>
      </c>
      <c r="M148" s="262">
        <v>1540.7049758171095</v>
      </c>
      <c r="N148" s="262">
        <v>1533.0014509380239</v>
      </c>
    </row>
    <row r="149" spans="1:14" ht="15" thickBot="1">
      <c r="A149" s="261" t="s">
        <v>377</v>
      </c>
      <c r="B149" s="144"/>
      <c r="C149" s="262">
        <v>1619.9017615999999</v>
      </c>
      <c r="D149" s="262">
        <v>1603.7027439839999</v>
      </c>
      <c r="E149" s="262">
        <v>1587.66571654416</v>
      </c>
      <c r="F149" s="262">
        <v>1571.7890593787183</v>
      </c>
      <c r="G149" s="262">
        <v>1556.0711687849312</v>
      </c>
      <c r="H149" s="262">
        <v>1540.5104570970818</v>
      </c>
      <c r="I149" s="262">
        <v>1525.1053525261109</v>
      </c>
      <c r="J149" s="262">
        <v>1509.8542990008498</v>
      </c>
      <c r="K149" s="262">
        <v>1494.7557560108412</v>
      </c>
      <c r="L149" s="262">
        <v>1479.8081984507328</v>
      </c>
      <c r="M149" s="262">
        <v>1465.0101164662256</v>
      </c>
      <c r="N149" s="262">
        <v>1450.3600153015632</v>
      </c>
    </row>
    <row r="150" spans="1:14" ht="15" thickBot="1">
      <c r="A150" s="261" t="s">
        <v>386</v>
      </c>
      <c r="B150" s="144"/>
      <c r="C150" s="262">
        <v>1619.9017615999999</v>
      </c>
      <c r="D150" s="262">
        <v>1579.4042175599998</v>
      </c>
      <c r="E150" s="262">
        <v>1539.9191121209997</v>
      </c>
      <c r="F150" s="262">
        <v>1501.4211343179747</v>
      </c>
      <c r="G150" s="262">
        <v>1463.8856059600253</v>
      </c>
      <c r="H150" s="262">
        <v>1427.2884658110247</v>
      </c>
      <c r="I150" s="262">
        <v>1391.6062541657491</v>
      </c>
      <c r="J150" s="262">
        <v>1356.8160978116052</v>
      </c>
      <c r="K150" s="262">
        <v>1322.8956953663151</v>
      </c>
      <c r="L150" s="262">
        <v>1289.8233029821572</v>
      </c>
      <c r="M150" s="262">
        <v>1257.5777204076032</v>
      </c>
      <c r="N150" s="262">
        <v>1226.138277397413</v>
      </c>
    </row>
    <row r="151" spans="1:14" ht="15" thickBot="1">
      <c r="A151" s="261" t="s">
        <v>387</v>
      </c>
      <c r="B151" s="144"/>
      <c r="C151" s="262">
        <v>1619.9017615999999</v>
      </c>
      <c r="D151" s="262">
        <v>1538.9066735199999</v>
      </c>
      <c r="E151" s="262">
        <v>1461.9613398439999</v>
      </c>
      <c r="F151" s="262">
        <v>1388.8632728517998</v>
      </c>
      <c r="G151" s="262">
        <v>1319.4201092092098</v>
      </c>
      <c r="H151" s="262">
        <v>1253.4491037487494</v>
      </c>
      <c r="I151" s="262">
        <v>1190.776648561312</v>
      </c>
      <c r="J151" s="262">
        <v>1131.2378161332463</v>
      </c>
      <c r="K151" s="262">
        <v>1074.6759253265839</v>
      </c>
      <c r="L151" s="262">
        <v>1020.9421290602546</v>
      </c>
      <c r="M151" s="262">
        <v>969.8950226072418</v>
      </c>
      <c r="N151" s="262">
        <v>921.40027147687965</v>
      </c>
    </row>
    <row r="152" spans="1:14" ht="15" thickBot="1">
      <c r="A152" s="261" t="s">
        <v>382</v>
      </c>
      <c r="B152" s="144"/>
      <c r="C152" s="262">
        <v>1619.9017615999999</v>
      </c>
      <c r="D152" s="262">
        <v>1628.0012704079998</v>
      </c>
      <c r="E152" s="262">
        <v>1636.1412767600395</v>
      </c>
      <c r="F152" s="262">
        <v>1644.3219831438396</v>
      </c>
      <c r="G152" s="262">
        <v>1652.5435930595586</v>
      </c>
      <c r="H152" s="262">
        <v>1660.8063110248563</v>
      </c>
      <c r="I152" s="262">
        <v>1669.1103425799804</v>
      </c>
      <c r="J152" s="262">
        <v>1677.4558942928802</v>
      </c>
      <c r="K152" s="262">
        <v>1685.8431737643443</v>
      </c>
      <c r="L152" s="262">
        <v>1694.2723896331659</v>
      </c>
      <c r="M152" s="262">
        <v>1702.7437515813315</v>
      </c>
      <c r="N152" s="262">
        <v>1711.2574703392379</v>
      </c>
    </row>
    <row r="153" spans="1:14" ht="15" thickBot="1">
      <c r="A153" s="261" t="s">
        <v>383</v>
      </c>
      <c r="B153" s="144"/>
      <c r="C153" s="262">
        <v>1619.9017615999999</v>
      </c>
      <c r="D153" s="262">
        <v>1636.1007792159999</v>
      </c>
      <c r="E153" s="262">
        <v>1652.4617870081599</v>
      </c>
      <c r="F153" s="262">
        <v>1668.9864048782415</v>
      </c>
      <c r="G153" s="262">
        <v>1685.676268927024</v>
      </c>
      <c r="H153" s="262">
        <v>1702.5330316162942</v>
      </c>
      <c r="I153" s="262">
        <v>1719.5583619324573</v>
      </c>
      <c r="J153" s="262">
        <v>1736.753945551782</v>
      </c>
      <c r="K153" s="262">
        <v>1754.1214850072997</v>
      </c>
      <c r="L153" s="262">
        <v>1771.6626998573727</v>
      </c>
      <c r="M153" s="262">
        <v>1789.3793268559464</v>
      </c>
      <c r="N153" s="262">
        <v>1807.2731201245058</v>
      </c>
    </row>
    <row r="154" spans="1:14" ht="15" thickBot="1">
      <c r="A154" s="261" t="s">
        <v>388</v>
      </c>
      <c r="B154" s="144"/>
      <c r="C154" s="262">
        <v>1619.9017615999999</v>
      </c>
      <c r="D154" s="262">
        <v>1660.3993056399997</v>
      </c>
      <c r="E154" s="262">
        <v>1701.9092882809996</v>
      </c>
      <c r="F154" s="262">
        <v>1744.4570204880245</v>
      </c>
      <c r="G154" s="262">
        <v>1788.0684460002249</v>
      </c>
      <c r="H154" s="262">
        <v>1832.7701571502303</v>
      </c>
      <c r="I154" s="262">
        <v>1878.5894110789859</v>
      </c>
      <c r="J154" s="262">
        <v>1925.5541463559605</v>
      </c>
      <c r="K154" s="262">
        <v>1973.6930000148593</v>
      </c>
      <c r="L154" s="262">
        <v>2023.0353250152307</v>
      </c>
      <c r="M154" s="262">
        <v>2073.6112081406113</v>
      </c>
      <c r="N154" s="262">
        <v>2125.4514883441266</v>
      </c>
    </row>
    <row r="155" spans="1:14" ht="15" thickBot="1">
      <c r="A155" s="261" t="s">
        <v>292</v>
      </c>
      <c r="B155" s="144"/>
      <c r="C155" s="261"/>
      <c r="D155" s="261"/>
      <c r="E155" s="261"/>
      <c r="F155" s="261"/>
      <c r="G155" s="261"/>
      <c r="H155" s="261"/>
      <c r="I155" s="261"/>
      <c r="J155" s="261"/>
      <c r="K155" s="261"/>
      <c r="L155" s="261"/>
      <c r="M155" s="261"/>
      <c r="N155" s="261"/>
    </row>
    <row r="156" spans="1:14" ht="15" thickBot="1">
      <c r="A156" s="261" t="s">
        <v>293</v>
      </c>
      <c r="B156" s="144"/>
      <c r="C156" s="261"/>
      <c r="D156" s="261"/>
      <c r="E156" s="261"/>
      <c r="F156" s="261"/>
      <c r="G156" s="261"/>
      <c r="H156" s="261"/>
      <c r="I156" s="261"/>
      <c r="J156" s="261"/>
      <c r="K156" s="261"/>
      <c r="L156" s="261"/>
      <c r="M156" s="261"/>
      <c r="N156" s="261"/>
    </row>
    <row r="157" spans="1:14" ht="15" thickBot="1">
      <c r="A157" s="261" t="s">
        <v>294</v>
      </c>
      <c r="B157" s="144"/>
      <c r="C157" s="261"/>
      <c r="D157" s="261"/>
      <c r="E157" s="261"/>
      <c r="F157" s="261"/>
      <c r="G157" s="261"/>
      <c r="H157" s="261"/>
      <c r="I157" s="261"/>
      <c r="J157" s="261"/>
      <c r="K157" s="261"/>
      <c r="L157" s="261"/>
      <c r="M157" s="261"/>
      <c r="N157" s="261"/>
    </row>
    <row r="158" spans="1:14" ht="15" thickBot="1">
      <c r="A158" s="261" t="s">
        <v>295</v>
      </c>
      <c r="B158" s="144"/>
      <c r="C158" s="261"/>
      <c r="D158" s="261"/>
      <c r="E158" s="261"/>
      <c r="F158" s="261"/>
      <c r="G158" s="261"/>
      <c r="H158" s="261"/>
      <c r="I158" s="261"/>
      <c r="J158" s="261"/>
      <c r="K158" s="261"/>
      <c r="L158" s="261"/>
      <c r="M158" s="261"/>
      <c r="N158" s="261"/>
    </row>
    <row r="159" spans="1:14" ht="15" thickBot="1">
      <c r="A159" s="261" t="s">
        <v>296</v>
      </c>
      <c r="B159" s="144"/>
      <c r="C159" s="261"/>
      <c r="D159" s="261"/>
      <c r="E159" s="261"/>
      <c r="F159" s="261"/>
      <c r="G159" s="261"/>
      <c r="H159" s="261"/>
      <c r="I159" s="261"/>
      <c r="J159" s="261"/>
      <c r="K159" s="261"/>
      <c r="L159" s="261"/>
      <c r="M159" s="261"/>
      <c r="N159" s="261"/>
    </row>
    <row r="160" spans="1:14">
      <c r="A160" s="261" t="s">
        <v>297</v>
      </c>
      <c r="B160" s="144"/>
      <c r="C160" s="261"/>
      <c r="D160" s="261"/>
      <c r="E160" s="261"/>
      <c r="F160" s="261"/>
      <c r="G160" s="261"/>
      <c r="H160" s="261"/>
      <c r="I160" s="261"/>
      <c r="J160" s="261"/>
      <c r="K160" s="261"/>
      <c r="L160" s="261"/>
      <c r="M160" s="261"/>
      <c r="N160" s="261"/>
    </row>
    <row r="161" spans="1:14">
      <c r="A161" s="188"/>
      <c r="B161" s="188"/>
      <c r="C161" s="188"/>
      <c r="D161" s="188"/>
      <c r="E161" s="188"/>
      <c r="F161" s="188"/>
      <c r="G161" s="188"/>
      <c r="H161" s="188"/>
      <c r="I161" s="188"/>
      <c r="J161" s="188"/>
      <c r="K161" s="188"/>
      <c r="L161" s="188"/>
      <c r="M161" s="188"/>
      <c r="N161" s="188"/>
    </row>
    <row r="162" spans="1:14" ht="15" thickBot="1"/>
    <row r="163" spans="1:14" ht="15.75" thickBot="1">
      <c r="A163" s="157" t="s">
        <v>216</v>
      </c>
      <c r="C163" s="146">
        <v>2019</v>
      </c>
      <c r="D163" s="146">
        <f>C163+1</f>
        <v>2020</v>
      </c>
      <c r="E163" s="146">
        <f t="shared" ref="E163" si="82">D163+1</f>
        <v>2021</v>
      </c>
      <c r="F163" s="146">
        <f t="shared" ref="F163" si="83">E163+1</f>
        <v>2022</v>
      </c>
      <c r="G163" s="146">
        <f t="shared" ref="G163" si="84">F163+1</f>
        <v>2023</v>
      </c>
      <c r="H163" s="146">
        <f t="shared" ref="H163" si="85">G163+1</f>
        <v>2024</v>
      </c>
      <c r="I163" s="146">
        <f t="shared" ref="I163" si="86">H163+1</f>
        <v>2025</v>
      </c>
      <c r="J163" s="146">
        <f t="shared" ref="J163" si="87">I163+1</f>
        <v>2026</v>
      </c>
      <c r="K163" s="146">
        <f t="shared" ref="K163" si="88">J163+1</f>
        <v>2027</v>
      </c>
      <c r="L163" s="146">
        <f t="shared" ref="L163" si="89">K163+1</f>
        <v>2028</v>
      </c>
      <c r="M163" s="146">
        <f t="shared" ref="M163" si="90">L163+1</f>
        <v>2029</v>
      </c>
      <c r="N163" s="147">
        <f t="shared" ref="N163" si="91">M163+1</f>
        <v>2030</v>
      </c>
    </row>
    <row r="164" spans="1:14" ht="15" thickBot="1">
      <c r="A164" s="261" t="s">
        <v>194</v>
      </c>
      <c r="B164" s="144"/>
      <c r="C164" s="262">
        <v>644.4</v>
      </c>
      <c r="D164" s="262">
        <v>608.4224799126157</v>
      </c>
      <c r="E164" s="262">
        <v>572.44495982523131</v>
      </c>
      <c r="F164" s="262">
        <v>536.46743973784703</v>
      </c>
      <c r="G164" s="262">
        <v>500.48991965046264</v>
      </c>
      <c r="H164" s="262">
        <v>464.5123995630783</v>
      </c>
      <c r="I164" s="262">
        <v>428.53487947569386</v>
      </c>
      <c r="J164" s="262">
        <v>398.13182506718175</v>
      </c>
      <c r="K164" s="262">
        <v>367.72877065866965</v>
      </c>
      <c r="L164" s="262">
        <v>337.32571625015754</v>
      </c>
      <c r="M164" s="262">
        <v>306.92266184164544</v>
      </c>
      <c r="N164" s="262">
        <v>276.51960743313339</v>
      </c>
    </row>
    <row r="165" spans="1:14" ht="15" thickBot="1">
      <c r="A165" s="261" t="s">
        <v>509</v>
      </c>
      <c r="B165" s="144"/>
      <c r="C165" s="262">
        <v>644.63147240000001</v>
      </c>
      <c r="D165" s="262">
        <v>665</v>
      </c>
      <c r="E165" s="262">
        <v>500</v>
      </c>
      <c r="F165" s="262">
        <v>644.63147240000001</v>
      </c>
      <c r="G165" s="262">
        <v>644.63147240000001</v>
      </c>
      <c r="H165" s="262">
        <v>644.63147240000001</v>
      </c>
      <c r="I165" s="262">
        <v>644.63147240000001</v>
      </c>
      <c r="J165" s="262">
        <v>644.63147240000001</v>
      </c>
      <c r="K165" s="262">
        <v>644.63147240000001</v>
      </c>
      <c r="L165" s="262">
        <v>644.63147240000001</v>
      </c>
      <c r="M165" s="262">
        <v>644.63147240000001</v>
      </c>
      <c r="N165" s="262">
        <v>644.63147240000001</v>
      </c>
    </row>
    <row r="166" spans="1:14" ht="15" thickBot="1">
      <c r="A166" s="261" t="s">
        <v>381</v>
      </c>
      <c r="B166" s="144"/>
      <c r="C166" s="262">
        <v>644.63147240000001</v>
      </c>
      <c r="D166" s="262">
        <v>641.40831503799996</v>
      </c>
      <c r="E166" s="262">
        <v>638.20127346280992</v>
      </c>
      <c r="F166" s="262">
        <v>635.01026709549592</v>
      </c>
      <c r="G166" s="262">
        <v>631.8352157600184</v>
      </c>
      <c r="H166" s="262">
        <v>628.6760396812183</v>
      </c>
      <c r="I166" s="262">
        <v>625.53265948281216</v>
      </c>
      <c r="J166" s="262">
        <v>622.40499618539809</v>
      </c>
      <c r="K166" s="262">
        <v>619.29297120447109</v>
      </c>
      <c r="L166" s="262">
        <v>616.19650634844868</v>
      </c>
      <c r="M166" s="262">
        <v>613.1155238167064</v>
      </c>
      <c r="N166" s="262">
        <v>610.04994619762283</v>
      </c>
    </row>
    <row r="167" spans="1:14" ht="15" thickBot="1">
      <c r="A167" s="261" t="s">
        <v>377</v>
      </c>
      <c r="B167" s="144"/>
      <c r="C167" s="262">
        <v>644.63147240000001</v>
      </c>
      <c r="D167" s="262">
        <v>638.18515767600002</v>
      </c>
      <c r="E167" s="262">
        <v>631.80330609923999</v>
      </c>
      <c r="F167" s="262">
        <v>625.48527303824756</v>
      </c>
      <c r="G167" s="262">
        <v>619.23042030786507</v>
      </c>
      <c r="H167" s="262">
        <v>613.03811610478647</v>
      </c>
      <c r="I167" s="262">
        <v>606.90773494373855</v>
      </c>
      <c r="J167" s="262">
        <v>600.83865759430114</v>
      </c>
      <c r="K167" s="262">
        <v>594.83027101835808</v>
      </c>
      <c r="L167" s="262">
        <v>588.88196830817446</v>
      </c>
      <c r="M167" s="262">
        <v>582.99314862509266</v>
      </c>
      <c r="N167" s="262">
        <v>577.16321713884167</v>
      </c>
    </row>
    <row r="168" spans="1:14" ht="15" thickBot="1">
      <c r="A168" s="261" t="s">
        <v>386</v>
      </c>
      <c r="B168" s="144"/>
      <c r="C168" s="262">
        <v>644.63147240000001</v>
      </c>
      <c r="D168" s="262">
        <v>628.51568558999998</v>
      </c>
      <c r="E168" s="262">
        <v>612.80279345024996</v>
      </c>
      <c r="F168" s="262">
        <v>597.4827236139937</v>
      </c>
      <c r="G168" s="262">
        <v>582.54565552364386</v>
      </c>
      <c r="H168" s="262">
        <v>567.98201413555273</v>
      </c>
      <c r="I168" s="262">
        <v>553.78246378216386</v>
      </c>
      <c r="J168" s="262">
        <v>539.93790218760978</v>
      </c>
      <c r="K168" s="262">
        <v>526.43945463291948</v>
      </c>
      <c r="L168" s="262">
        <v>513.27846826709651</v>
      </c>
      <c r="M168" s="262">
        <v>500.4465065604191</v>
      </c>
      <c r="N168" s="262">
        <v>487.9353438964086</v>
      </c>
    </row>
    <row r="169" spans="1:14" ht="15" thickBot="1">
      <c r="A169" s="261" t="s">
        <v>387</v>
      </c>
      <c r="B169" s="144"/>
      <c r="C169" s="262">
        <v>644.63147240000001</v>
      </c>
      <c r="D169" s="262">
        <v>612.39989877999994</v>
      </c>
      <c r="E169" s="262">
        <v>581.77990384099996</v>
      </c>
      <c r="F169" s="262">
        <v>552.69090864894997</v>
      </c>
      <c r="G169" s="262">
        <v>525.0563632165024</v>
      </c>
      <c r="H169" s="262">
        <v>498.80354505567726</v>
      </c>
      <c r="I169" s="262">
        <v>473.86336780289338</v>
      </c>
      <c r="J169" s="262">
        <v>450.17019941274867</v>
      </c>
      <c r="K169" s="262">
        <v>427.6616894421112</v>
      </c>
      <c r="L169" s="262">
        <v>406.27860497000563</v>
      </c>
      <c r="M169" s="262">
        <v>385.96467472150533</v>
      </c>
      <c r="N169" s="262">
        <v>366.66644098543003</v>
      </c>
    </row>
    <row r="170" spans="1:14" ht="15" thickBot="1">
      <c r="A170" s="261" t="s">
        <v>382</v>
      </c>
      <c r="B170" s="144"/>
      <c r="C170" s="262">
        <v>644.63147240000001</v>
      </c>
      <c r="D170" s="262">
        <v>647.85462976199995</v>
      </c>
      <c r="E170" s="262">
        <v>651.0939029108099</v>
      </c>
      <c r="F170" s="262">
        <v>654.34937242536387</v>
      </c>
      <c r="G170" s="262">
        <v>657.62111928749061</v>
      </c>
      <c r="H170" s="262">
        <v>660.909224883928</v>
      </c>
      <c r="I170" s="262">
        <v>664.21377100834752</v>
      </c>
      <c r="J170" s="262">
        <v>667.53483986338915</v>
      </c>
      <c r="K170" s="262">
        <v>670.87251406270605</v>
      </c>
      <c r="L170" s="262">
        <v>674.22687663301951</v>
      </c>
      <c r="M170" s="262">
        <v>677.5980110161845</v>
      </c>
      <c r="N170" s="262">
        <v>680.98600107126538</v>
      </c>
    </row>
    <row r="171" spans="1:14" ht="15" thickBot="1">
      <c r="A171" s="261" t="s">
        <v>383</v>
      </c>
      <c r="B171" s="144"/>
      <c r="C171" s="262">
        <v>644.63147240000001</v>
      </c>
      <c r="D171" s="262">
        <v>651.077787124</v>
      </c>
      <c r="E171" s="262">
        <v>657.58856499523995</v>
      </c>
      <c r="F171" s="262">
        <v>664.16445064519235</v>
      </c>
      <c r="G171" s="262">
        <v>670.80609515164429</v>
      </c>
      <c r="H171" s="262">
        <v>677.51415610316076</v>
      </c>
      <c r="I171" s="262">
        <v>684.28929766419242</v>
      </c>
      <c r="J171" s="262">
        <v>691.13219064083432</v>
      </c>
      <c r="K171" s="262">
        <v>698.0435125472427</v>
      </c>
      <c r="L171" s="262">
        <v>705.02394767271517</v>
      </c>
      <c r="M171" s="262">
        <v>712.07418714944231</v>
      </c>
      <c r="N171" s="262">
        <v>719.19492902093668</v>
      </c>
    </row>
    <row r="172" spans="1:14" ht="15" thickBot="1">
      <c r="A172" s="261" t="s">
        <v>388</v>
      </c>
      <c r="B172" s="144"/>
      <c r="C172" s="262">
        <v>644.63147240000001</v>
      </c>
      <c r="D172" s="262">
        <v>660.74725920999992</v>
      </c>
      <c r="E172" s="262">
        <v>677.26594069024986</v>
      </c>
      <c r="F172" s="262">
        <v>694.1975892075061</v>
      </c>
      <c r="G172" s="262">
        <v>711.55252893769364</v>
      </c>
      <c r="H172" s="262">
        <v>729.34134216113591</v>
      </c>
      <c r="I172" s="262">
        <v>747.57487571516424</v>
      </c>
      <c r="J172" s="262">
        <v>766.26424760804332</v>
      </c>
      <c r="K172" s="262">
        <v>785.42085379824437</v>
      </c>
      <c r="L172" s="262">
        <v>805.0563751432004</v>
      </c>
      <c r="M172" s="262">
        <v>825.18278452178038</v>
      </c>
      <c r="N172" s="262">
        <v>845.81235413482477</v>
      </c>
    </row>
    <row r="173" spans="1:14" ht="15" thickBot="1">
      <c r="A173" s="261" t="s">
        <v>292</v>
      </c>
      <c r="B173" s="144"/>
      <c r="C173" s="261"/>
      <c r="D173" s="261"/>
      <c r="E173" s="261"/>
      <c r="F173" s="261"/>
      <c r="G173" s="261"/>
      <c r="H173" s="261"/>
      <c r="I173" s="261"/>
      <c r="J173" s="261"/>
      <c r="K173" s="261"/>
      <c r="L173" s="261"/>
      <c r="M173" s="261"/>
      <c r="N173" s="261"/>
    </row>
    <row r="174" spans="1:14" ht="15" thickBot="1">
      <c r="A174" s="261" t="s">
        <v>293</v>
      </c>
      <c r="B174" s="144"/>
      <c r="C174" s="261"/>
      <c r="D174" s="261"/>
      <c r="E174" s="261"/>
      <c r="F174" s="261"/>
      <c r="G174" s="261"/>
      <c r="H174" s="261"/>
      <c r="I174" s="261"/>
      <c r="J174" s="261"/>
      <c r="K174" s="261"/>
      <c r="L174" s="261"/>
      <c r="M174" s="261"/>
      <c r="N174" s="261"/>
    </row>
    <row r="175" spans="1:14" ht="15" thickBot="1">
      <c r="A175" s="261" t="s">
        <v>294</v>
      </c>
      <c r="B175" s="144"/>
      <c r="C175" s="261"/>
      <c r="D175" s="261"/>
      <c r="E175" s="261"/>
      <c r="F175" s="261"/>
      <c r="G175" s="261"/>
      <c r="H175" s="261"/>
      <c r="I175" s="261"/>
      <c r="J175" s="261"/>
      <c r="K175" s="261"/>
      <c r="L175" s="261"/>
      <c r="M175" s="261"/>
      <c r="N175" s="261"/>
    </row>
    <row r="176" spans="1:14" ht="15" thickBot="1">
      <c r="A176" s="261" t="s">
        <v>295</v>
      </c>
      <c r="B176" s="144"/>
      <c r="C176" s="261"/>
      <c r="D176" s="261"/>
      <c r="E176" s="261"/>
      <c r="F176" s="261"/>
      <c r="G176" s="261"/>
      <c r="H176" s="261"/>
      <c r="I176" s="261"/>
      <c r="J176" s="261"/>
      <c r="K176" s="261"/>
      <c r="L176" s="261"/>
      <c r="M176" s="261"/>
      <c r="N176" s="261"/>
    </row>
    <row r="177" spans="1:14" ht="15" thickBot="1">
      <c r="A177" s="261" t="s">
        <v>296</v>
      </c>
      <c r="B177" s="144"/>
      <c r="C177" s="261"/>
      <c r="D177" s="261"/>
      <c r="E177" s="261"/>
      <c r="F177" s="261"/>
      <c r="G177" s="261"/>
      <c r="H177" s="261"/>
      <c r="I177" s="261"/>
      <c r="J177" s="261"/>
      <c r="K177" s="261"/>
      <c r="L177" s="261"/>
      <c r="M177" s="261"/>
      <c r="N177" s="261"/>
    </row>
    <row r="178" spans="1:14">
      <c r="A178" s="261" t="s">
        <v>297</v>
      </c>
      <c r="B178" s="144"/>
      <c r="C178" s="261"/>
      <c r="D178" s="261"/>
      <c r="E178" s="261"/>
      <c r="F178" s="261"/>
      <c r="G178" s="261"/>
      <c r="H178" s="261"/>
      <c r="I178" s="261"/>
      <c r="J178" s="261"/>
      <c r="K178" s="261"/>
      <c r="L178" s="261"/>
      <c r="M178" s="261"/>
      <c r="N178" s="261"/>
    </row>
    <row r="179" spans="1:14">
      <c r="A179" s="188"/>
      <c r="B179" s="188"/>
      <c r="C179" s="188"/>
      <c r="D179" s="188"/>
      <c r="E179" s="188"/>
      <c r="F179" s="188"/>
      <c r="G179" s="188"/>
      <c r="H179" s="188"/>
      <c r="I179" s="188"/>
      <c r="J179" s="188"/>
      <c r="K179" s="188"/>
      <c r="L179" s="188"/>
      <c r="M179" s="188"/>
      <c r="N179" s="188"/>
    </row>
    <row r="180" spans="1:14" ht="15" thickBot="1"/>
    <row r="181" spans="1:14" ht="15.75" thickBot="1">
      <c r="A181" s="157" t="s">
        <v>210</v>
      </c>
      <c r="C181" s="146">
        <v>2019</v>
      </c>
      <c r="D181" s="146">
        <f>C181+1</f>
        <v>2020</v>
      </c>
      <c r="E181" s="146">
        <f t="shared" ref="E181" si="92">D181+1</f>
        <v>2021</v>
      </c>
      <c r="F181" s="146">
        <f t="shared" ref="F181" si="93">E181+1</f>
        <v>2022</v>
      </c>
      <c r="G181" s="146">
        <f t="shared" ref="G181" si="94">F181+1</f>
        <v>2023</v>
      </c>
      <c r="H181" s="146">
        <f t="shared" ref="H181" si="95">G181+1</f>
        <v>2024</v>
      </c>
      <c r="I181" s="146">
        <f t="shared" ref="I181" si="96">H181+1</f>
        <v>2025</v>
      </c>
      <c r="J181" s="146">
        <f t="shared" ref="J181" si="97">I181+1</f>
        <v>2026</v>
      </c>
      <c r="K181" s="146">
        <f t="shared" ref="K181" si="98">J181+1</f>
        <v>2027</v>
      </c>
      <c r="L181" s="146">
        <f t="shared" ref="L181" si="99">K181+1</f>
        <v>2028</v>
      </c>
      <c r="M181" s="146">
        <f t="shared" ref="M181" si="100">L181+1</f>
        <v>2029</v>
      </c>
      <c r="N181" s="147">
        <f t="shared" ref="N181" si="101">M181+1</f>
        <v>2030</v>
      </c>
    </row>
    <row r="182" spans="1:14" ht="15" thickBot="1">
      <c r="A182" s="261" t="s">
        <v>194</v>
      </c>
      <c r="B182" s="144"/>
      <c r="C182" s="262">
        <v>177.73963899999998</v>
      </c>
      <c r="D182" s="262">
        <v>174.05080533109088</v>
      </c>
      <c r="E182" s="262">
        <v>170.36197166218182</v>
      </c>
      <c r="F182" s="262">
        <v>166.67313799327272</v>
      </c>
      <c r="G182" s="262">
        <v>162.98430432436365</v>
      </c>
      <c r="H182" s="262">
        <v>159.29547065545455</v>
      </c>
      <c r="I182" s="262">
        <v>155.60663698654551</v>
      </c>
      <c r="J182" s="262">
        <v>149.3390456417585</v>
      </c>
      <c r="K182" s="262">
        <v>143.07145429697147</v>
      </c>
      <c r="L182" s="262">
        <v>136.80386295218446</v>
      </c>
      <c r="M182" s="262">
        <v>130.53627160739745</v>
      </c>
      <c r="N182" s="262">
        <v>124.26868026261045</v>
      </c>
    </row>
    <row r="183" spans="1:14" ht="15" thickBot="1">
      <c r="A183" s="261" t="s">
        <v>376</v>
      </c>
      <c r="B183" s="144"/>
      <c r="C183" s="262">
        <v>177.73963899999998</v>
      </c>
      <c r="D183" s="262">
        <v>177.73963899999998</v>
      </c>
      <c r="E183" s="262">
        <v>177.73963899999998</v>
      </c>
      <c r="F183" s="262">
        <v>177.73963899999998</v>
      </c>
      <c r="G183" s="262">
        <v>177.73963899999998</v>
      </c>
      <c r="H183" s="262">
        <v>177.73963899999998</v>
      </c>
      <c r="I183" s="262">
        <v>177.73963899999998</v>
      </c>
      <c r="J183" s="262">
        <v>177.73963899999998</v>
      </c>
      <c r="K183" s="262">
        <v>177.73963899999998</v>
      </c>
      <c r="L183" s="262">
        <v>177.73963899999998</v>
      </c>
      <c r="M183" s="262">
        <v>177.73963899999998</v>
      </c>
      <c r="N183" s="262">
        <v>177.73963899999998</v>
      </c>
    </row>
    <row r="184" spans="1:14" ht="15" thickBot="1">
      <c r="A184" s="261" t="s">
        <v>381</v>
      </c>
      <c r="B184" s="144"/>
      <c r="C184" s="262">
        <v>177.73963899999998</v>
      </c>
      <c r="D184" s="262">
        <v>176.85094080499999</v>
      </c>
      <c r="E184" s="262">
        <v>175.96668610097498</v>
      </c>
      <c r="F184" s="262">
        <v>175.08685267047011</v>
      </c>
      <c r="G184" s="262">
        <v>174.21141840711775</v>
      </c>
      <c r="H184" s="262">
        <v>173.34036131508216</v>
      </c>
      <c r="I184" s="262">
        <v>172.47365950850676</v>
      </c>
      <c r="J184" s="262">
        <v>171.61129121096423</v>
      </c>
      <c r="K184" s="262">
        <v>170.75323475490941</v>
      </c>
      <c r="L184" s="262">
        <v>169.89946858113487</v>
      </c>
      <c r="M184" s="262">
        <v>169.0499712382292</v>
      </c>
      <c r="N184" s="262">
        <v>168.20472138203806</v>
      </c>
    </row>
    <row r="185" spans="1:14" ht="15" thickBot="1">
      <c r="A185" s="261" t="s">
        <v>377</v>
      </c>
      <c r="B185" s="144"/>
      <c r="C185" s="262">
        <v>177.73963899999998</v>
      </c>
      <c r="D185" s="262">
        <v>175.96224260999998</v>
      </c>
      <c r="E185" s="262">
        <v>174.20262018389997</v>
      </c>
      <c r="F185" s="262">
        <v>172.46059398206097</v>
      </c>
      <c r="G185" s="262">
        <v>170.73598804224036</v>
      </c>
      <c r="H185" s="262">
        <v>169.02862816181795</v>
      </c>
      <c r="I185" s="262">
        <v>167.33834188019978</v>
      </c>
      <c r="J185" s="262">
        <v>165.66495846139779</v>
      </c>
      <c r="K185" s="262">
        <v>164.00830887678381</v>
      </c>
      <c r="L185" s="262">
        <v>162.36822578801596</v>
      </c>
      <c r="M185" s="262">
        <v>160.74454353013581</v>
      </c>
      <c r="N185" s="262">
        <v>159.13709809483444</v>
      </c>
    </row>
    <row r="186" spans="1:14" ht="15" thickBot="1">
      <c r="A186" s="261" t="s">
        <v>386</v>
      </c>
      <c r="B186" s="144"/>
      <c r="C186" s="262">
        <v>177.73963899999998</v>
      </c>
      <c r="D186" s="262">
        <v>173.29614802499998</v>
      </c>
      <c r="E186" s="262">
        <v>168.96374432437497</v>
      </c>
      <c r="F186" s="262">
        <v>164.7396507162656</v>
      </c>
      <c r="G186" s="262">
        <v>160.62115944835895</v>
      </c>
      <c r="H186" s="262">
        <v>156.60563046214997</v>
      </c>
      <c r="I186" s="262">
        <v>152.69048970059623</v>
      </c>
      <c r="J186" s="262">
        <v>148.87322745808132</v>
      </c>
      <c r="K186" s="262">
        <v>145.15139677162929</v>
      </c>
      <c r="L186" s="262">
        <v>141.52261185233857</v>
      </c>
      <c r="M186" s="262">
        <v>137.9845465560301</v>
      </c>
      <c r="N186" s="262">
        <v>134.53493289212935</v>
      </c>
    </row>
    <row r="187" spans="1:14" ht="15" thickBot="1">
      <c r="A187" s="261" t="s">
        <v>387</v>
      </c>
      <c r="B187" s="144"/>
      <c r="C187" s="262">
        <v>177.73963899999998</v>
      </c>
      <c r="D187" s="262">
        <v>168.85265704999998</v>
      </c>
      <c r="E187" s="262">
        <v>160.41002419749998</v>
      </c>
      <c r="F187" s="262">
        <v>152.38952298762499</v>
      </c>
      <c r="G187" s="262">
        <v>144.77004683824373</v>
      </c>
      <c r="H187" s="262">
        <v>137.53154449633155</v>
      </c>
      <c r="I187" s="262">
        <v>130.65496727151498</v>
      </c>
      <c r="J187" s="262">
        <v>124.12221890793923</v>
      </c>
      <c r="K187" s="262">
        <v>117.91610796254226</v>
      </c>
      <c r="L187" s="262">
        <v>112.02030256441513</v>
      </c>
      <c r="M187" s="262">
        <v>106.41928743619437</v>
      </c>
      <c r="N187" s="262">
        <v>101.09832306438464</v>
      </c>
    </row>
    <row r="188" spans="1:14" ht="15" thickBot="1">
      <c r="A188" s="261" t="s">
        <v>382</v>
      </c>
      <c r="B188" s="144"/>
      <c r="C188" s="262">
        <v>177.73963899999998</v>
      </c>
      <c r="D188" s="262">
        <v>178.62833719499997</v>
      </c>
      <c r="E188" s="262">
        <v>179.52147888097494</v>
      </c>
      <c r="F188" s="262">
        <v>180.41908627537978</v>
      </c>
      <c r="G188" s="262">
        <v>181.32118170675668</v>
      </c>
      <c r="H188" s="262">
        <v>182.22778761529045</v>
      </c>
      <c r="I188" s="262">
        <v>183.13892655336687</v>
      </c>
      <c r="J188" s="262">
        <v>184.05462118613369</v>
      </c>
      <c r="K188" s="262">
        <v>184.97489429206433</v>
      </c>
      <c r="L188" s="262">
        <v>185.89976876352463</v>
      </c>
      <c r="M188" s="262">
        <v>186.82926760734225</v>
      </c>
      <c r="N188" s="262">
        <v>187.76341394537894</v>
      </c>
    </row>
    <row r="189" spans="1:14" ht="15" thickBot="1">
      <c r="A189" s="261" t="s">
        <v>383</v>
      </c>
      <c r="B189" s="144"/>
      <c r="C189" s="262">
        <v>177.73963899999998</v>
      </c>
      <c r="D189" s="262">
        <v>179.51703538999999</v>
      </c>
      <c r="E189" s="262">
        <v>181.31220574389999</v>
      </c>
      <c r="F189" s="262">
        <v>183.12532780133898</v>
      </c>
      <c r="G189" s="262">
        <v>184.95658107935236</v>
      </c>
      <c r="H189" s="262">
        <v>186.8061468901459</v>
      </c>
      <c r="I189" s="262">
        <v>188.67420835904736</v>
      </c>
      <c r="J189" s="262">
        <v>190.56095044263782</v>
      </c>
      <c r="K189" s="262">
        <v>192.46655994706418</v>
      </c>
      <c r="L189" s="262">
        <v>194.39122554653483</v>
      </c>
      <c r="M189" s="262">
        <v>196.33513780200019</v>
      </c>
      <c r="N189" s="262">
        <v>198.2984891800202</v>
      </c>
    </row>
    <row r="190" spans="1:14" ht="15" thickBot="1">
      <c r="A190" s="261" t="s">
        <v>388</v>
      </c>
      <c r="B190" s="144"/>
      <c r="C190" s="262">
        <v>177.73963899999998</v>
      </c>
      <c r="D190" s="262">
        <v>182.18312997499996</v>
      </c>
      <c r="E190" s="262">
        <v>186.73770822437493</v>
      </c>
      <c r="F190" s="262">
        <v>191.40615092998428</v>
      </c>
      <c r="G190" s="262">
        <v>196.19130470323387</v>
      </c>
      <c r="H190" s="262">
        <v>201.09608732081469</v>
      </c>
      <c r="I190" s="262">
        <v>206.12348950383503</v>
      </c>
      <c r="J190" s="262">
        <v>211.27657674143089</v>
      </c>
      <c r="K190" s="262">
        <v>216.55849115996665</v>
      </c>
      <c r="L190" s="262">
        <v>221.9724534389658</v>
      </c>
      <c r="M190" s="262">
        <v>227.52176477493992</v>
      </c>
      <c r="N190" s="262">
        <v>233.2098088943134</v>
      </c>
    </row>
    <row r="191" spans="1:14" ht="15" thickBot="1">
      <c r="A191" s="261" t="s">
        <v>292</v>
      </c>
      <c r="B191" s="144"/>
      <c r="C191" s="261"/>
      <c r="D191" s="261"/>
      <c r="E191" s="261"/>
      <c r="F191" s="261"/>
      <c r="G191" s="261"/>
      <c r="H191" s="261"/>
      <c r="I191" s="261"/>
      <c r="J191" s="261"/>
      <c r="K191" s="261"/>
      <c r="L191" s="261"/>
      <c r="M191" s="261"/>
      <c r="N191" s="261"/>
    </row>
    <row r="192" spans="1:14" ht="15" thickBot="1">
      <c r="A192" s="261" t="s">
        <v>293</v>
      </c>
      <c r="B192" s="144"/>
      <c r="C192" s="261"/>
      <c r="D192" s="261"/>
      <c r="E192" s="261"/>
      <c r="F192" s="261"/>
      <c r="G192" s="261"/>
      <c r="H192" s="261"/>
      <c r="I192" s="261"/>
      <c r="J192" s="261"/>
      <c r="K192" s="261"/>
      <c r="L192" s="261"/>
      <c r="M192" s="261"/>
      <c r="N192" s="261"/>
    </row>
    <row r="193" spans="1:14" ht="15" thickBot="1">
      <c r="A193" s="261" t="s">
        <v>294</v>
      </c>
      <c r="B193" s="144"/>
      <c r="C193" s="261"/>
      <c r="D193" s="261"/>
      <c r="E193" s="261"/>
      <c r="F193" s="261"/>
      <c r="G193" s="261"/>
      <c r="H193" s="261"/>
      <c r="I193" s="261"/>
      <c r="J193" s="261"/>
      <c r="K193" s="261"/>
      <c r="L193" s="261"/>
      <c r="M193" s="261"/>
      <c r="N193" s="261"/>
    </row>
    <row r="194" spans="1:14" ht="15" thickBot="1">
      <c r="A194" s="261" t="s">
        <v>295</v>
      </c>
      <c r="B194" s="144"/>
      <c r="C194" s="261"/>
      <c r="D194" s="261"/>
      <c r="E194" s="261"/>
      <c r="F194" s="261"/>
      <c r="G194" s="261"/>
      <c r="H194" s="261"/>
      <c r="I194" s="261"/>
      <c r="J194" s="261"/>
      <c r="K194" s="261"/>
      <c r="L194" s="261"/>
      <c r="M194" s="261"/>
      <c r="N194" s="261"/>
    </row>
    <row r="195" spans="1:14" ht="15" thickBot="1">
      <c r="A195" s="261" t="s">
        <v>296</v>
      </c>
      <c r="B195" s="144"/>
      <c r="C195" s="261"/>
      <c r="D195" s="261"/>
      <c r="E195" s="261"/>
      <c r="F195" s="261"/>
      <c r="G195" s="261"/>
      <c r="H195" s="261"/>
      <c r="I195" s="261"/>
      <c r="J195" s="261"/>
      <c r="K195" s="261"/>
      <c r="L195" s="261"/>
      <c r="M195" s="261"/>
      <c r="N195" s="261"/>
    </row>
    <row r="196" spans="1:14">
      <c r="A196" s="261" t="s">
        <v>297</v>
      </c>
      <c r="B196" s="144"/>
      <c r="C196" s="261"/>
      <c r="D196" s="261"/>
      <c r="E196" s="261"/>
      <c r="F196" s="261"/>
      <c r="G196" s="261"/>
      <c r="H196" s="261"/>
      <c r="I196" s="261"/>
      <c r="J196" s="261"/>
      <c r="K196" s="261"/>
      <c r="L196" s="261"/>
      <c r="M196" s="261"/>
      <c r="N196" s="261"/>
    </row>
    <row r="197" spans="1:14">
      <c r="A197" s="188"/>
      <c r="B197" s="188"/>
      <c r="C197" s="188"/>
      <c r="D197" s="188"/>
      <c r="E197" s="188"/>
      <c r="F197" s="188"/>
      <c r="G197" s="188"/>
      <c r="H197" s="188"/>
      <c r="I197" s="188"/>
      <c r="J197" s="188"/>
      <c r="K197" s="188"/>
      <c r="L197" s="188"/>
      <c r="M197" s="188"/>
      <c r="N197" s="188"/>
    </row>
    <row r="198" spans="1:14" ht="15" thickBot="1"/>
    <row r="199" spans="1:14" ht="15.75" thickBot="1">
      <c r="A199" s="157" t="s">
        <v>251</v>
      </c>
      <c r="C199" s="146">
        <v>2019</v>
      </c>
      <c r="D199" s="146">
        <f>C199+1</f>
        <v>2020</v>
      </c>
      <c r="E199" s="146">
        <f t="shared" ref="E199" si="102">D199+1</f>
        <v>2021</v>
      </c>
      <c r="F199" s="146">
        <f t="shared" ref="F199" si="103">E199+1</f>
        <v>2022</v>
      </c>
      <c r="G199" s="146">
        <f t="shared" ref="G199" si="104">F199+1</f>
        <v>2023</v>
      </c>
      <c r="H199" s="146">
        <f t="shared" ref="H199" si="105">G199+1</f>
        <v>2024</v>
      </c>
      <c r="I199" s="146">
        <f t="shared" ref="I199" si="106">H199+1</f>
        <v>2025</v>
      </c>
      <c r="J199" s="146">
        <f t="shared" ref="J199" si="107">I199+1</f>
        <v>2026</v>
      </c>
      <c r="K199" s="146">
        <f t="shared" ref="K199" si="108">J199+1</f>
        <v>2027</v>
      </c>
      <c r="L199" s="146">
        <f t="shared" ref="L199" si="109">K199+1</f>
        <v>2028</v>
      </c>
      <c r="M199" s="146">
        <f t="shared" ref="M199" si="110">L199+1</f>
        <v>2029</v>
      </c>
      <c r="N199" s="147">
        <f t="shared" ref="N199" si="111">M199+1</f>
        <v>2030</v>
      </c>
    </row>
    <row r="200" spans="1:14" ht="15" thickBot="1">
      <c r="A200" s="261" t="s">
        <v>194</v>
      </c>
      <c r="B200" s="144"/>
      <c r="C200" s="262">
        <v>61.613008500000007</v>
      </c>
      <c r="D200" s="262">
        <v>58.173090357614953</v>
      </c>
      <c r="E200" s="262">
        <v>54.733172215229892</v>
      </c>
      <c r="F200" s="262">
        <v>51.293254072844832</v>
      </c>
      <c r="G200" s="262">
        <v>47.853335930459771</v>
      </c>
      <c r="H200" s="262">
        <v>44.41341778807471</v>
      </c>
      <c r="I200" s="262">
        <v>40.973499645689643</v>
      </c>
      <c r="J200" s="262">
        <v>38.066572814998118</v>
      </c>
      <c r="K200" s="262">
        <v>35.159645984306586</v>
      </c>
      <c r="L200" s="262">
        <v>32.252719153615068</v>
      </c>
      <c r="M200" s="262">
        <v>29.345792322923536</v>
      </c>
      <c r="N200" s="262">
        <v>26.438865492232019</v>
      </c>
    </row>
    <row r="201" spans="1:14" ht="15" thickBot="1">
      <c r="A201" s="261" t="s">
        <v>376</v>
      </c>
      <c r="B201" s="144"/>
      <c r="C201" s="262">
        <v>61.613008500000007</v>
      </c>
      <c r="D201" s="262">
        <v>61.613008500000007</v>
      </c>
      <c r="E201" s="262">
        <v>61.613008500000007</v>
      </c>
      <c r="F201" s="262">
        <v>61.613008500000007</v>
      </c>
      <c r="G201" s="262">
        <v>61.613008500000007</v>
      </c>
      <c r="H201" s="262">
        <v>61.613008500000007</v>
      </c>
      <c r="I201" s="262">
        <v>61.613008500000007</v>
      </c>
      <c r="J201" s="262">
        <v>61.613008500000007</v>
      </c>
      <c r="K201" s="262">
        <v>61.613008500000007</v>
      </c>
      <c r="L201" s="262">
        <v>61.613008500000007</v>
      </c>
      <c r="M201" s="262">
        <v>61.613008500000007</v>
      </c>
      <c r="N201" s="262">
        <v>61.613008500000007</v>
      </c>
    </row>
    <row r="202" spans="1:14" ht="15" thickBot="1">
      <c r="A202" s="261" t="s">
        <v>381</v>
      </c>
      <c r="B202" s="144"/>
      <c r="C202" s="262">
        <v>61.613008500000007</v>
      </c>
      <c r="D202" s="262">
        <v>61.304943457500009</v>
      </c>
      <c r="E202" s="262">
        <v>60.998418740212507</v>
      </c>
      <c r="F202" s="262">
        <v>60.693426646511448</v>
      </c>
      <c r="G202" s="262">
        <v>60.389959513278889</v>
      </c>
      <c r="H202" s="262">
        <v>60.088009715712495</v>
      </c>
      <c r="I202" s="262">
        <v>59.78756966713393</v>
      </c>
      <c r="J202" s="262">
        <v>59.488631818798261</v>
      </c>
      <c r="K202" s="262">
        <v>59.191188659704267</v>
      </c>
      <c r="L202" s="262">
        <v>58.895232716405744</v>
      </c>
      <c r="M202" s="262">
        <v>58.600756552823718</v>
      </c>
      <c r="N202" s="262">
        <v>58.307752770059601</v>
      </c>
    </row>
    <row r="203" spans="1:14" ht="15" thickBot="1">
      <c r="A203" s="261" t="s">
        <v>377</v>
      </c>
      <c r="B203" s="144"/>
      <c r="C203" s="262">
        <v>61.613008500000007</v>
      </c>
      <c r="D203" s="262">
        <v>60.996878415000005</v>
      </c>
      <c r="E203" s="262">
        <v>60.386909630850006</v>
      </c>
      <c r="F203" s="262">
        <v>59.783040534541506</v>
      </c>
      <c r="G203" s="262">
        <v>59.185210129196093</v>
      </c>
      <c r="H203" s="262">
        <v>58.593358027904131</v>
      </c>
      <c r="I203" s="262">
        <v>58.007424447625091</v>
      </c>
      <c r="J203" s="262">
        <v>57.427350203148841</v>
      </c>
      <c r="K203" s="262">
        <v>56.853076701117352</v>
      </c>
      <c r="L203" s="262">
        <v>56.284545934106177</v>
      </c>
      <c r="M203" s="262">
        <v>55.721700474765115</v>
      </c>
      <c r="N203" s="262">
        <v>55.164483470017466</v>
      </c>
    </row>
    <row r="204" spans="1:14" ht="15" thickBot="1">
      <c r="A204" s="261" t="s">
        <v>386</v>
      </c>
      <c r="B204" s="144"/>
      <c r="C204" s="262">
        <v>61.613008500000007</v>
      </c>
      <c r="D204" s="262">
        <v>60.072683287500006</v>
      </c>
      <c r="E204" s="262">
        <v>58.570866205312505</v>
      </c>
      <c r="F204" s="262">
        <v>57.106594550179693</v>
      </c>
      <c r="G204" s="262">
        <v>55.678929686425199</v>
      </c>
      <c r="H204" s="262">
        <v>54.286956444264568</v>
      </c>
      <c r="I204" s="262">
        <v>52.929782533157955</v>
      </c>
      <c r="J204" s="262">
        <v>51.606537969829006</v>
      </c>
      <c r="K204" s="262">
        <v>50.316374520583281</v>
      </c>
      <c r="L204" s="262">
        <v>49.058465157568698</v>
      </c>
      <c r="M204" s="262">
        <v>47.832003528629478</v>
      </c>
      <c r="N204" s="262">
        <v>46.636203440413738</v>
      </c>
    </row>
    <row r="205" spans="1:14" ht="15" thickBot="1">
      <c r="A205" s="261" t="s">
        <v>387</v>
      </c>
      <c r="B205" s="144"/>
      <c r="C205" s="262">
        <v>61.613008500000007</v>
      </c>
      <c r="D205" s="262">
        <v>58.532358075000005</v>
      </c>
      <c r="E205" s="262">
        <v>55.605740171250005</v>
      </c>
      <c r="F205" s="262">
        <v>52.825453162687502</v>
      </c>
      <c r="G205" s="262">
        <v>50.184180504553126</v>
      </c>
      <c r="H205" s="262">
        <v>47.674971479325464</v>
      </c>
      <c r="I205" s="262">
        <v>45.291222905359191</v>
      </c>
      <c r="J205" s="262">
        <v>43.02666176009123</v>
      </c>
      <c r="K205" s="262">
        <v>40.875328672086667</v>
      </c>
      <c r="L205" s="262">
        <v>38.831562238482334</v>
      </c>
      <c r="M205" s="262">
        <v>36.889984126558218</v>
      </c>
      <c r="N205" s="262">
        <v>35.045484920230308</v>
      </c>
    </row>
    <row r="206" spans="1:14" ht="15" thickBot="1">
      <c r="A206" s="261" t="s">
        <v>382</v>
      </c>
      <c r="B206" s="144"/>
      <c r="C206" s="262">
        <v>61.613008500000007</v>
      </c>
      <c r="D206" s="262">
        <v>61.921073542499997</v>
      </c>
      <c r="E206" s="262">
        <v>62.23067891021249</v>
      </c>
      <c r="F206" s="262">
        <v>62.541832304763545</v>
      </c>
      <c r="G206" s="262">
        <v>62.854541466287358</v>
      </c>
      <c r="H206" s="262">
        <v>63.168814173618792</v>
      </c>
      <c r="I206" s="262">
        <v>63.48465824448688</v>
      </c>
      <c r="J206" s="262">
        <v>63.802081535709306</v>
      </c>
      <c r="K206" s="262">
        <v>64.121091943387839</v>
      </c>
      <c r="L206" s="262">
        <v>64.441697403104769</v>
      </c>
      <c r="M206" s="262">
        <v>64.763905890120284</v>
      </c>
      <c r="N206" s="262">
        <v>65.087725419570873</v>
      </c>
    </row>
    <row r="207" spans="1:14" ht="15" thickBot="1">
      <c r="A207" s="261" t="s">
        <v>383</v>
      </c>
      <c r="B207" s="144"/>
      <c r="C207" s="262">
        <v>61.613008500000007</v>
      </c>
      <c r="D207" s="262">
        <v>62.229138585000008</v>
      </c>
      <c r="E207" s="262">
        <v>62.851429970850006</v>
      </c>
      <c r="F207" s="262">
        <v>63.479944270558505</v>
      </c>
      <c r="G207" s="262">
        <v>64.11474371326409</v>
      </c>
      <c r="H207" s="262">
        <v>64.755891150396735</v>
      </c>
      <c r="I207" s="262">
        <v>65.403450061900699</v>
      </c>
      <c r="J207" s="262">
        <v>66.057484562519704</v>
      </c>
      <c r="K207" s="262">
        <v>66.718059408144896</v>
      </c>
      <c r="L207" s="262">
        <v>67.38524000222634</v>
      </c>
      <c r="M207" s="262">
        <v>68.059092402248609</v>
      </c>
      <c r="N207" s="262">
        <v>68.739683326271091</v>
      </c>
    </row>
    <row r="208" spans="1:14" ht="15" thickBot="1">
      <c r="A208" s="261" t="s">
        <v>388</v>
      </c>
      <c r="B208" s="144"/>
      <c r="C208" s="262">
        <v>61.613008500000007</v>
      </c>
      <c r="D208" s="262">
        <v>63.1533337125</v>
      </c>
      <c r="E208" s="262">
        <v>64.732167055312502</v>
      </c>
      <c r="F208" s="262">
        <v>66.350471231695309</v>
      </c>
      <c r="G208" s="262">
        <v>68.009233012487684</v>
      </c>
      <c r="H208" s="262">
        <v>69.709463837799873</v>
      </c>
      <c r="I208" s="262">
        <v>71.452200433744864</v>
      </c>
      <c r="J208" s="262">
        <v>73.238505444588483</v>
      </c>
      <c r="K208" s="262">
        <v>75.069468080703189</v>
      </c>
      <c r="L208" s="262">
        <v>76.946204782720756</v>
      </c>
      <c r="M208" s="262">
        <v>78.869859902288766</v>
      </c>
      <c r="N208" s="262">
        <v>80.841606399845972</v>
      </c>
    </row>
    <row r="209" spans="1:14" ht="15" thickBot="1">
      <c r="A209" s="261" t="s">
        <v>292</v>
      </c>
      <c r="B209" s="144"/>
      <c r="C209" s="261"/>
      <c r="D209" s="261"/>
      <c r="E209" s="261"/>
      <c r="F209" s="261"/>
      <c r="G209" s="261"/>
      <c r="H209" s="261"/>
      <c r="I209" s="261"/>
      <c r="J209" s="261"/>
      <c r="K209" s="261"/>
      <c r="L209" s="261"/>
      <c r="M209" s="261"/>
      <c r="N209" s="261"/>
    </row>
    <row r="210" spans="1:14" ht="15" thickBot="1">
      <c r="A210" s="261" t="s">
        <v>293</v>
      </c>
      <c r="B210" s="144"/>
      <c r="C210" s="261"/>
      <c r="D210" s="261"/>
      <c r="E210" s="261"/>
      <c r="F210" s="261"/>
      <c r="G210" s="261"/>
      <c r="H210" s="261"/>
      <c r="I210" s="261"/>
      <c r="J210" s="261"/>
      <c r="K210" s="261"/>
      <c r="L210" s="261"/>
      <c r="M210" s="261"/>
      <c r="N210" s="261"/>
    </row>
    <row r="211" spans="1:14" ht="15" thickBot="1">
      <c r="A211" s="261" t="s">
        <v>294</v>
      </c>
      <c r="B211" s="144"/>
      <c r="C211" s="261"/>
      <c r="D211" s="261"/>
      <c r="E211" s="261"/>
      <c r="F211" s="261"/>
      <c r="G211" s="261"/>
      <c r="H211" s="261"/>
      <c r="I211" s="261"/>
      <c r="J211" s="261"/>
      <c r="K211" s="261"/>
      <c r="L211" s="261"/>
      <c r="M211" s="261"/>
      <c r="N211" s="261"/>
    </row>
    <row r="212" spans="1:14" ht="15" thickBot="1">
      <c r="A212" s="261" t="s">
        <v>295</v>
      </c>
      <c r="B212" s="144"/>
      <c r="C212" s="261"/>
      <c r="D212" s="261"/>
      <c r="E212" s="261"/>
      <c r="F212" s="261"/>
      <c r="G212" s="261"/>
      <c r="H212" s="261"/>
      <c r="I212" s="261"/>
      <c r="J212" s="261"/>
      <c r="K212" s="261"/>
      <c r="L212" s="261"/>
      <c r="M212" s="261"/>
      <c r="N212" s="261"/>
    </row>
    <row r="213" spans="1:14" ht="15" thickBot="1">
      <c r="A213" s="261" t="s">
        <v>296</v>
      </c>
      <c r="B213" s="144"/>
      <c r="C213" s="261"/>
      <c r="D213" s="261"/>
      <c r="E213" s="261"/>
      <c r="F213" s="261"/>
      <c r="G213" s="261"/>
      <c r="H213" s="261"/>
      <c r="I213" s="261"/>
      <c r="J213" s="261"/>
      <c r="K213" s="261"/>
      <c r="L213" s="261"/>
      <c r="M213" s="261"/>
      <c r="N213" s="261"/>
    </row>
    <row r="214" spans="1:14">
      <c r="A214" s="261" t="s">
        <v>297</v>
      </c>
      <c r="B214" s="144"/>
      <c r="C214" s="261"/>
      <c r="D214" s="261"/>
      <c r="E214" s="261"/>
      <c r="F214" s="261"/>
      <c r="G214" s="261"/>
      <c r="H214" s="261"/>
      <c r="I214" s="261"/>
      <c r="J214" s="261"/>
      <c r="K214" s="261"/>
      <c r="L214" s="261"/>
      <c r="M214" s="261"/>
      <c r="N214" s="261"/>
    </row>
    <row r="216" spans="1:14" ht="15" hidden="1" thickBot="1">
      <c r="A216" s="183" t="s">
        <v>119</v>
      </c>
      <c r="B216" s="184"/>
      <c r="C216" s="184"/>
      <c r="D216" s="184"/>
      <c r="E216" s="184"/>
      <c r="F216" s="184"/>
      <c r="G216" s="184"/>
      <c r="H216" s="184"/>
      <c r="I216" s="184"/>
      <c r="J216" s="184"/>
      <c r="K216" s="184"/>
      <c r="L216" s="184"/>
      <c r="M216" s="184"/>
      <c r="N216" s="185"/>
    </row>
    <row r="217" spans="1:14" hidden="1">
      <c r="A217" s="186" t="str">
        <f>A200</f>
        <v>KNDE</v>
      </c>
      <c r="B217" s="188"/>
      <c r="C217" s="188"/>
      <c r="D217" s="188"/>
      <c r="E217" s="188"/>
      <c r="F217" s="188"/>
      <c r="G217" s="188"/>
      <c r="H217" s="188"/>
      <c r="I217" s="188"/>
      <c r="J217" s="188"/>
      <c r="K217" s="188"/>
      <c r="L217" s="188"/>
      <c r="M217" s="188"/>
      <c r="N217" s="189"/>
    </row>
    <row r="218" spans="1:14" hidden="1">
      <c r="A218" s="186" t="str">
        <f>A201</f>
        <v>2019 fortgeschrieben</v>
      </c>
      <c r="B218" s="188"/>
      <c r="C218" s="188"/>
      <c r="D218" s="188"/>
      <c r="E218" s="188"/>
      <c r="F218" s="188"/>
      <c r="G218" s="188"/>
      <c r="H218" s="188"/>
      <c r="I218" s="188"/>
      <c r="J218" s="188"/>
      <c r="K218" s="188"/>
      <c r="L218" s="188"/>
      <c r="M218" s="188"/>
      <c r="N218" s="189"/>
    </row>
    <row r="219" spans="1:14" hidden="1">
      <c r="A219" s="186" t="str">
        <f>A202</f>
        <v>0,5% Minderung p.a. ggü. 2019</v>
      </c>
      <c r="B219" s="188"/>
      <c r="C219" s="188"/>
      <c r="D219" s="188"/>
      <c r="E219" s="188"/>
      <c r="F219" s="188"/>
      <c r="G219" s="188"/>
      <c r="H219" s="188"/>
      <c r="I219" s="188"/>
      <c r="J219" s="188"/>
      <c r="K219" s="188"/>
      <c r="L219" s="188"/>
      <c r="M219" s="188"/>
      <c r="N219" s="189"/>
    </row>
    <row r="220" spans="1:14" hidden="1">
      <c r="A220" s="186" t="str">
        <f>A203</f>
        <v>1% Minderung p.a. ggü. 2019</v>
      </c>
      <c r="B220" s="188"/>
      <c r="C220" s="188"/>
      <c r="D220" s="188"/>
      <c r="E220" s="188"/>
      <c r="F220" s="188"/>
      <c r="G220" s="188"/>
      <c r="H220" s="188"/>
      <c r="I220" s="188"/>
      <c r="J220" s="188"/>
      <c r="K220" s="188"/>
      <c r="L220" s="188"/>
      <c r="M220" s="188"/>
      <c r="N220" s="189"/>
    </row>
    <row r="221" spans="1:14" hidden="1">
      <c r="A221" s="186" t="e">
        <f>#REF!</f>
        <v>#REF!</v>
      </c>
      <c r="B221" s="188"/>
      <c r="C221" s="188"/>
      <c r="D221" s="188"/>
      <c r="E221" s="188"/>
      <c r="F221" s="188"/>
      <c r="G221" s="188"/>
      <c r="H221" s="188"/>
      <c r="I221" s="188"/>
      <c r="J221" s="188"/>
      <c r="K221" s="188"/>
      <c r="L221" s="188"/>
      <c r="M221" s="188"/>
      <c r="N221" s="189"/>
    </row>
    <row r="222" spans="1:14" hidden="1">
      <c r="A222" s="186" t="e">
        <f>#REF!</f>
        <v>#REF!</v>
      </c>
      <c r="B222" s="188"/>
      <c r="C222" s="188"/>
      <c r="D222" s="188"/>
      <c r="E222" s="188"/>
      <c r="F222" s="188"/>
      <c r="G222" s="188"/>
      <c r="H222" s="188"/>
      <c r="I222" s="188"/>
      <c r="J222" s="188"/>
      <c r="K222" s="188"/>
      <c r="L222" s="188"/>
      <c r="M222" s="188"/>
      <c r="N222" s="189"/>
    </row>
    <row r="223" spans="1:14" ht="15" hidden="1" thickBot="1">
      <c r="A223" s="187" t="e">
        <f>#REF!</f>
        <v>#REF!</v>
      </c>
      <c r="B223" s="190"/>
      <c r="C223" s="190"/>
      <c r="D223" s="190"/>
      <c r="E223" s="190"/>
      <c r="F223" s="190"/>
      <c r="G223" s="190"/>
      <c r="H223" s="190"/>
      <c r="I223" s="190"/>
      <c r="J223" s="190"/>
      <c r="K223" s="190"/>
      <c r="L223" s="190"/>
      <c r="M223" s="190"/>
      <c r="N223" s="191"/>
    </row>
    <row r="224" spans="1:14" hidden="1"/>
    <row r="225" spans="1:14" ht="15" hidden="1" thickBot="1">
      <c r="A225" s="183" t="s">
        <v>132</v>
      </c>
      <c r="B225" s="184"/>
      <c r="C225" s="184"/>
      <c r="D225" s="184"/>
      <c r="E225" s="184"/>
      <c r="F225" s="184"/>
      <c r="G225" s="184"/>
      <c r="H225" s="184"/>
      <c r="I225" s="184"/>
      <c r="J225" s="184"/>
      <c r="K225" s="184"/>
      <c r="L225" s="184"/>
      <c r="M225" s="184"/>
      <c r="N225" s="185"/>
    </row>
    <row r="226" spans="1:14" hidden="1">
      <c r="A226" s="186" t="str">
        <f>A217</f>
        <v>KNDE</v>
      </c>
      <c r="B226" s="188"/>
      <c r="C226" s="188"/>
      <c r="D226" s="188"/>
      <c r="E226" s="188"/>
      <c r="F226" s="188"/>
      <c r="G226" s="188"/>
      <c r="H226" s="188"/>
      <c r="I226" s="188"/>
      <c r="J226" s="188"/>
      <c r="K226" s="188"/>
      <c r="L226" s="188"/>
      <c r="M226" s="188"/>
      <c r="N226" s="189"/>
    </row>
    <row r="227" spans="1:14" hidden="1">
      <c r="A227" s="186" t="str">
        <f t="shared" ref="A227:A232" si="112">A218</f>
        <v>2019 fortgeschrieben</v>
      </c>
      <c r="B227" s="188"/>
      <c r="C227" s="188"/>
      <c r="D227" s="188"/>
      <c r="E227" s="188"/>
      <c r="F227" s="188"/>
      <c r="G227" s="188"/>
      <c r="H227" s="188"/>
      <c r="I227" s="188"/>
      <c r="J227" s="188"/>
      <c r="K227" s="188"/>
      <c r="L227" s="188"/>
      <c r="M227" s="188"/>
      <c r="N227" s="189"/>
    </row>
    <row r="228" spans="1:14" hidden="1">
      <c r="A228" s="186" t="str">
        <f t="shared" si="112"/>
        <v>0,5% Minderung p.a. ggü. 2019</v>
      </c>
      <c r="B228" s="188"/>
      <c r="C228" s="188"/>
      <c r="D228" s="188"/>
      <c r="E228" s="188"/>
      <c r="F228" s="188"/>
      <c r="G228" s="188"/>
      <c r="H228" s="188"/>
      <c r="I228" s="188"/>
      <c r="J228" s="188"/>
      <c r="K228" s="188"/>
      <c r="L228" s="188"/>
      <c r="M228" s="188"/>
      <c r="N228" s="189"/>
    </row>
    <row r="229" spans="1:14" hidden="1">
      <c r="A229" s="186" t="str">
        <f t="shared" si="112"/>
        <v>1% Minderung p.a. ggü. 2019</v>
      </c>
      <c r="B229" s="188"/>
      <c r="C229" s="188"/>
      <c r="D229" s="188"/>
      <c r="E229" s="188"/>
      <c r="F229" s="188"/>
      <c r="G229" s="188"/>
      <c r="H229" s="188"/>
      <c r="I229" s="188"/>
      <c r="J229" s="188"/>
      <c r="K229" s="188"/>
      <c r="L229" s="188"/>
      <c r="M229" s="188"/>
      <c r="N229" s="189"/>
    </row>
    <row r="230" spans="1:14" hidden="1">
      <c r="A230" s="186" t="e">
        <f t="shared" si="112"/>
        <v>#REF!</v>
      </c>
      <c r="B230" s="188"/>
      <c r="C230" s="188"/>
      <c r="D230" s="188"/>
      <c r="E230" s="188"/>
      <c r="F230" s="188"/>
      <c r="G230" s="188"/>
      <c r="H230" s="188"/>
      <c r="I230" s="188"/>
      <c r="J230" s="188"/>
      <c r="K230" s="188"/>
      <c r="L230" s="188"/>
      <c r="M230" s="188"/>
      <c r="N230" s="189"/>
    </row>
    <row r="231" spans="1:14" hidden="1">
      <c r="A231" s="186" t="e">
        <f t="shared" si="112"/>
        <v>#REF!</v>
      </c>
      <c r="B231" s="188"/>
      <c r="C231" s="188"/>
      <c r="D231" s="188"/>
      <c r="E231" s="188"/>
      <c r="F231" s="188"/>
      <c r="G231" s="188"/>
      <c r="H231" s="188"/>
      <c r="I231" s="188"/>
      <c r="J231" s="188"/>
      <c r="K231" s="188"/>
      <c r="L231" s="188"/>
      <c r="M231" s="188"/>
      <c r="N231" s="189"/>
    </row>
    <row r="232" spans="1:14" ht="15" hidden="1" thickBot="1">
      <c r="A232" s="187" t="e">
        <f t="shared" si="112"/>
        <v>#REF!</v>
      </c>
      <c r="B232" s="190"/>
      <c r="C232" s="190"/>
      <c r="D232" s="190"/>
      <c r="E232" s="190"/>
      <c r="F232" s="190"/>
      <c r="G232" s="190"/>
      <c r="H232" s="190"/>
      <c r="I232" s="190"/>
      <c r="J232" s="190"/>
      <c r="K232" s="190"/>
      <c r="L232" s="190"/>
      <c r="M232" s="190"/>
      <c r="N232" s="191"/>
    </row>
  </sheetData>
  <sheetProtection algorithmName="SHA-512" hashValue="b/2YJ7lilTSHDKCtjQjEJFy2DhBRHURJa/lBBHe580lkX/lLnDW98atsjEDkdqdd3hbNkrlwxLLnsm/IC7GPJA==" saltValue="UE3uX5GSlKRruhQ5TzUy/Q==" spinCount="100000" sheet="1" selectLockedCells="1"/>
  <pageMargins left="0.7" right="0.7" top="0.78740157499999996" bottom="0.78740157499999996" header="0.3" footer="0.3"/>
  <customProperties>
    <customPr name="ID" r:id="rId1"/>
  </customProperties>
  <extLst>
    <ext xmlns:x14="http://schemas.microsoft.com/office/spreadsheetml/2009/9/main" uri="{CCE6A557-97BC-4b89-ADB6-D9C93CAAB3DF}">
      <x14:dataValidations xmlns:xm="http://schemas.microsoft.com/office/excel/2006/main" count="9">
        <x14:dataValidation type="list" allowBlank="1" showInputMessage="1" showErrorMessage="1" xr:uid="{0DBB8941-B3C5-4C80-83EE-54A3B49F9BA5}">
          <x14:formula1>
            <xm:f>'Dropdown-Struktur'!$H$2:$H$16</xm:f>
          </x14:formula1>
          <xm:sqref>B10</xm:sqref>
        </x14:dataValidation>
        <x14:dataValidation type="list" allowBlank="1" showInputMessage="1" showErrorMessage="1" xr:uid="{692FA9C6-C1DC-4D18-8A87-70ED7B0070CB}">
          <x14:formula1>
            <xm:f>'Dropdown-Struktur'!$I$2:$I$16</xm:f>
          </x14:formula1>
          <xm:sqref>B11</xm:sqref>
        </x14:dataValidation>
        <x14:dataValidation type="list" allowBlank="1" showInputMessage="1" showErrorMessage="1" xr:uid="{13BC7820-C8CB-4C70-8E92-C4D69FF83AFF}">
          <x14:formula1>
            <xm:f>'Dropdown-Struktur'!$J$2:$J$16</xm:f>
          </x14:formula1>
          <xm:sqref>B12</xm:sqref>
        </x14:dataValidation>
        <x14:dataValidation type="list" allowBlank="1" showInputMessage="1" showErrorMessage="1" xr:uid="{D81BDDAE-0963-43B7-80A8-CB179207F383}">
          <x14:formula1>
            <xm:f>'Dropdown-Struktur'!$K$2:$K$16</xm:f>
          </x14:formula1>
          <xm:sqref>B13</xm:sqref>
        </x14:dataValidation>
        <x14:dataValidation type="list" allowBlank="1" showInputMessage="1" showErrorMessage="1" xr:uid="{1C62E476-23AF-4D0A-9525-5265C81B69C0}">
          <x14:formula1>
            <xm:f>'Dropdown-Struktur'!$L$2:$L$16</xm:f>
          </x14:formula1>
          <xm:sqref>B14</xm:sqref>
        </x14:dataValidation>
        <x14:dataValidation type="list" allowBlank="1" showInputMessage="1" showErrorMessage="1" xr:uid="{BDB08533-72A8-42C5-924B-28C4EE6F4A4C}">
          <x14:formula1>
            <xm:f>'Dropdown-Struktur'!$M$2:$M$16</xm:f>
          </x14:formula1>
          <xm:sqref>B15</xm:sqref>
        </x14:dataValidation>
        <x14:dataValidation type="list" allowBlank="1" showInputMessage="1" showErrorMessage="1" xr:uid="{8CA66F72-6D36-4AE6-8542-972FF7D6787B}">
          <x14:formula1>
            <xm:f>'Dropdown-Struktur'!$N$2:$N$16</xm:f>
          </x14:formula1>
          <xm:sqref>B16</xm:sqref>
        </x14:dataValidation>
        <x14:dataValidation type="list" allowBlank="1" showInputMessage="1" showErrorMessage="1" xr:uid="{71C15504-1E07-4016-8646-33181570C957}">
          <x14:formula1>
            <xm:f>'Dropdown-Struktur'!$O$2:$O$16</xm:f>
          </x14:formula1>
          <xm:sqref>B17</xm:sqref>
        </x14:dataValidation>
        <x14:dataValidation type="list" allowBlank="1" showInputMessage="1" showErrorMessage="1" xr:uid="{D7BF42C2-5020-40C2-AEE0-227A2C44D49C}">
          <x14:formula1>
            <xm:f>'Dropdown-Struktur'!$G$2:$G$16</xm:f>
          </x14:formula1>
          <xm:sqref>B9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C4DA1-580A-4C52-9F74-92316CD76665}">
  <sheetPr codeName="Tabelle5">
    <tabColor theme="6"/>
  </sheetPr>
  <dimension ref="A3:M53"/>
  <sheetViews>
    <sheetView zoomScale="80" zoomScaleNormal="80" workbookViewId="0">
      <selection activeCell="B5" sqref="B5"/>
    </sheetView>
  </sheetViews>
  <sheetFormatPr baseColWidth="10" defaultColWidth="11" defaultRowHeight="14.25"/>
  <cols>
    <col min="1" max="1" width="39.875" style="188" customWidth="1"/>
    <col min="2" max="16384" width="11" style="188"/>
  </cols>
  <sheetData>
    <row r="3" spans="1:13">
      <c r="B3" s="214">
        <v>2019</v>
      </c>
      <c r="C3" s="214">
        <v>2020</v>
      </c>
      <c r="D3" s="214">
        <v>2021</v>
      </c>
      <c r="E3" s="214">
        <f>D3+1</f>
        <v>2022</v>
      </c>
      <c r="F3" s="214">
        <f t="shared" ref="F3:M3" si="0">E3+1</f>
        <v>2023</v>
      </c>
      <c r="G3" s="214">
        <f t="shared" si="0"/>
        <v>2024</v>
      </c>
      <c r="H3" s="214">
        <f t="shared" si="0"/>
        <v>2025</v>
      </c>
      <c r="I3" s="214">
        <f t="shared" si="0"/>
        <v>2026</v>
      </c>
      <c r="J3" s="214">
        <f t="shared" si="0"/>
        <v>2027</v>
      </c>
      <c r="K3" s="214">
        <f t="shared" si="0"/>
        <v>2028</v>
      </c>
      <c r="L3" s="214">
        <f t="shared" si="0"/>
        <v>2029</v>
      </c>
      <c r="M3" s="214">
        <f t="shared" si="0"/>
        <v>2030</v>
      </c>
    </row>
    <row r="4" spans="1:13">
      <c r="A4" s="215" t="s">
        <v>2</v>
      </c>
      <c r="B4" s="218">
        <f>'Start - Ergebnisse'!D6</f>
        <v>0</v>
      </c>
      <c r="C4" s="218">
        <f>'Start - Ergebnisse'!E6</f>
        <v>0</v>
      </c>
      <c r="D4" s="218">
        <f>'Start - Ergebnisse'!F6</f>
        <v>25</v>
      </c>
      <c r="E4" s="218">
        <f>'Start - Ergebnisse'!G6</f>
        <v>30</v>
      </c>
      <c r="F4" s="218">
        <f>'Start - Ergebnisse'!H6</f>
        <v>35</v>
      </c>
      <c r="G4" s="218">
        <f>'Start - Ergebnisse'!I6</f>
        <v>45</v>
      </c>
      <c r="H4" s="218">
        <f>'Start - Ergebnisse'!J6</f>
        <v>55</v>
      </c>
      <c r="I4" s="218">
        <f>'Start - Ergebnisse'!K6</f>
        <v>60</v>
      </c>
      <c r="J4" s="218">
        <f>'Start - Ergebnisse'!L6</f>
        <v>60</v>
      </c>
      <c r="K4" s="218">
        <f>'Start - Ergebnisse'!M6</f>
        <v>60</v>
      </c>
      <c r="L4" s="218">
        <f>'Start - Ergebnisse'!N6</f>
        <v>60</v>
      </c>
      <c r="M4" s="218">
        <f>'Start - Ergebnisse'!O6</f>
        <v>60</v>
      </c>
    </row>
    <row r="5" spans="1:13">
      <c r="A5" s="215" t="s">
        <v>1</v>
      </c>
      <c r="B5" s="280">
        <v>0.19</v>
      </c>
      <c r="C5" s="280">
        <v>0.17499999999999999</v>
      </c>
      <c r="D5" s="280">
        <v>0.19</v>
      </c>
      <c r="E5" s="280">
        <v>0.19</v>
      </c>
      <c r="F5" s="280">
        <v>0.19</v>
      </c>
      <c r="G5" s="280">
        <v>0.19</v>
      </c>
      <c r="H5" s="280">
        <v>0.19</v>
      </c>
      <c r="I5" s="280">
        <v>0.19</v>
      </c>
      <c r="J5" s="280">
        <v>0.19</v>
      </c>
      <c r="K5" s="280">
        <v>0.19</v>
      </c>
      <c r="L5" s="280">
        <v>0.19</v>
      </c>
      <c r="M5" s="280">
        <v>0.19</v>
      </c>
    </row>
    <row r="8" spans="1:13" ht="15">
      <c r="A8" s="175" t="s">
        <v>6</v>
      </c>
    </row>
    <row r="9" spans="1:13">
      <c r="A9" s="215" t="s">
        <v>8</v>
      </c>
      <c r="B9" s="281">
        <v>65.45</v>
      </c>
      <c r="C9" s="281">
        <v>65.45</v>
      </c>
      <c r="D9" s="281">
        <v>65.45</v>
      </c>
      <c r="E9" s="281">
        <v>65.45</v>
      </c>
      <c r="F9" s="281">
        <v>65.45</v>
      </c>
      <c r="G9" s="281">
        <v>65.45</v>
      </c>
      <c r="H9" s="281">
        <v>65.45</v>
      </c>
      <c r="I9" s="281">
        <v>65.45</v>
      </c>
      <c r="J9" s="281">
        <v>65.45</v>
      </c>
      <c r="K9" s="281">
        <v>65.45</v>
      </c>
      <c r="L9" s="281">
        <v>65.45</v>
      </c>
      <c r="M9" s="281">
        <v>65.45</v>
      </c>
    </row>
    <row r="10" spans="1:13">
      <c r="A10" s="215" t="s">
        <v>9</v>
      </c>
      <c r="B10" s="281">
        <v>0.27</v>
      </c>
      <c r="C10" s="281">
        <v>0.27</v>
      </c>
      <c r="D10" s="281">
        <v>0.27</v>
      </c>
      <c r="E10" s="281">
        <v>0.27</v>
      </c>
      <c r="F10" s="281">
        <v>0.27</v>
      </c>
      <c r="G10" s="281">
        <v>0.27</v>
      </c>
      <c r="H10" s="281">
        <v>0.27</v>
      </c>
      <c r="I10" s="281">
        <v>0.27</v>
      </c>
      <c r="J10" s="281">
        <v>0.27</v>
      </c>
      <c r="K10" s="281">
        <v>0.27</v>
      </c>
      <c r="L10" s="281">
        <v>0.27</v>
      </c>
      <c r="M10" s="281">
        <v>0.27</v>
      </c>
    </row>
    <row r="12" spans="1:13" ht="15">
      <c r="A12" s="175" t="s">
        <v>7</v>
      </c>
    </row>
    <row r="13" spans="1:13">
      <c r="A13" s="215" t="s">
        <v>8</v>
      </c>
      <c r="B13" s="281">
        <v>47.04</v>
      </c>
      <c r="C13" s="281">
        <v>47.04</v>
      </c>
      <c r="D13" s="281">
        <v>47.04</v>
      </c>
      <c r="E13" s="281">
        <v>47.04</v>
      </c>
      <c r="F13" s="281">
        <v>47.04</v>
      </c>
      <c r="G13" s="281">
        <v>47.04</v>
      </c>
      <c r="H13" s="281">
        <v>47.04</v>
      </c>
      <c r="I13" s="281">
        <v>47.04</v>
      </c>
      <c r="J13" s="281">
        <v>47.04</v>
      </c>
      <c r="K13" s="281">
        <v>47.04</v>
      </c>
      <c r="L13" s="281">
        <v>47.04</v>
      </c>
      <c r="M13" s="281">
        <v>47.04</v>
      </c>
    </row>
    <row r="14" spans="1:13">
      <c r="A14" s="215" t="s">
        <v>9</v>
      </c>
      <c r="B14" s="281">
        <v>0.3</v>
      </c>
      <c r="C14" s="281">
        <v>0.3</v>
      </c>
      <c r="D14" s="281">
        <v>0.3</v>
      </c>
      <c r="E14" s="281">
        <v>0.3</v>
      </c>
      <c r="F14" s="281">
        <v>0.3</v>
      </c>
      <c r="G14" s="281">
        <v>0.3</v>
      </c>
      <c r="H14" s="281">
        <v>0.3</v>
      </c>
      <c r="I14" s="281">
        <v>0.3</v>
      </c>
      <c r="J14" s="281">
        <v>0.3</v>
      </c>
      <c r="K14" s="281">
        <v>0.3</v>
      </c>
      <c r="L14" s="281">
        <v>0.3</v>
      </c>
      <c r="M14" s="281">
        <v>0.3</v>
      </c>
    </row>
    <row r="16" spans="1:13" ht="15">
      <c r="A16" s="175" t="s">
        <v>117</v>
      </c>
    </row>
    <row r="17" spans="1:13">
      <c r="A17" s="215" t="s">
        <v>74</v>
      </c>
      <c r="B17" s="281">
        <v>47.04</v>
      </c>
      <c r="C17" s="281">
        <v>47.04</v>
      </c>
      <c r="D17" s="281">
        <v>47.04</v>
      </c>
      <c r="E17" s="281">
        <v>47.04</v>
      </c>
      <c r="F17" s="281">
        <v>47.04</v>
      </c>
      <c r="G17" s="281">
        <v>47.04</v>
      </c>
      <c r="H17" s="281">
        <v>47.04</v>
      </c>
      <c r="I17" s="281">
        <v>47.04</v>
      </c>
      <c r="J17" s="281">
        <v>47.04</v>
      </c>
      <c r="K17" s="281">
        <v>47.04</v>
      </c>
      <c r="L17" s="281">
        <v>47.04</v>
      </c>
      <c r="M17" s="281">
        <v>47.04</v>
      </c>
    </row>
    <row r="18" spans="1:13">
      <c r="A18" s="215" t="s">
        <v>75</v>
      </c>
      <c r="B18" s="281">
        <v>48.57</v>
      </c>
      <c r="C18" s="281">
        <v>48.57</v>
      </c>
      <c r="D18" s="281">
        <v>48.57</v>
      </c>
      <c r="E18" s="281">
        <v>48.57</v>
      </c>
      <c r="F18" s="281">
        <v>48.57</v>
      </c>
      <c r="G18" s="281">
        <v>48.57</v>
      </c>
      <c r="H18" s="281">
        <v>48.57</v>
      </c>
      <c r="I18" s="281">
        <v>48.57</v>
      </c>
      <c r="J18" s="281">
        <v>48.57</v>
      </c>
      <c r="K18" s="281">
        <v>48.57</v>
      </c>
      <c r="L18" s="281">
        <v>48.57</v>
      </c>
      <c r="M18" s="281">
        <v>48.57</v>
      </c>
    </row>
    <row r="19" spans="1:13">
      <c r="A19" s="215" t="s">
        <v>116</v>
      </c>
      <c r="B19" s="281">
        <v>6.1349999999999998</v>
      </c>
      <c r="C19" s="281">
        <v>6.1349999999999998</v>
      </c>
      <c r="D19" s="281">
        <v>6.1349999999999998</v>
      </c>
      <c r="E19" s="281">
        <v>6.1349999999999998</v>
      </c>
      <c r="F19" s="281">
        <v>6.1349999999999998</v>
      </c>
      <c r="G19" s="281">
        <v>6.1349999999999998</v>
      </c>
      <c r="H19" s="281">
        <v>6.1349999999999998</v>
      </c>
      <c r="I19" s="281">
        <v>6.1349999999999998</v>
      </c>
      <c r="J19" s="281">
        <v>6.1349999999999998</v>
      </c>
      <c r="K19" s="281">
        <v>6.1349999999999998</v>
      </c>
      <c r="L19" s="281">
        <v>6.1349999999999998</v>
      </c>
      <c r="M19" s="281">
        <v>6.1349999999999998</v>
      </c>
    </row>
    <row r="20" spans="1:13">
      <c r="A20" s="215" t="s">
        <v>115</v>
      </c>
      <c r="B20" s="281">
        <v>7.6349999999999998</v>
      </c>
      <c r="C20" s="281">
        <v>7.6349999999999998</v>
      </c>
      <c r="D20" s="281">
        <v>7.6349999999999998</v>
      </c>
      <c r="E20" s="281">
        <v>7.6349999999999998</v>
      </c>
      <c r="F20" s="281">
        <v>7.6349999999999998</v>
      </c>
      <c r="G20" s="281">
        <v>7.6349999999999998</v>
      </c>
      <c r="H20" s="281">
        <v>7.6349999999999998</v>
      </c>
      <c r="I20" s="281">
        <v>7.6349999999999998</v>
      </c>
      <c r="J20" s="281">
        <v>7.6349999999999998</v>
      </c>
      <c r="K20" s="281">
        <v>7.6349999999999998</v>
      </c>
      <c r="L20" s="281">
        <v>7.6349999999999998</v>
      </c>
      <c r="M20" s="281">
        <v>7.6349999999999998</v>
      </c>
    </row>
    <row r="22" spans="1:13" ht="15">
      <c r="A22" s="175" t="s">
        <v>98</v>
      </c>
    </row>
    <row r="23" spans="1:13">
      <c r="A23" s="215" t="s">
        <v>137</v>
      </c>
      <c r="B23" s="281">
        <v>22.606000000000002</v>
      </c>
      <c r="C23" s="281">
        <v>27.178999999999998</v>
      </c>
      <c r="D23" s="281">
        <v>31.753</v>
      </c>
      <c r="E23" s="281">
        <v>36.393999999999998</v>
      </c>
      <c r="F23" s="281">
        <v>36.393999999999998</v>
      </c>
      <c r="G23" s="281">
        <v>36.393999999999998</v>
      </c>
      <c r="H23" s="281">
        <v>36.393999999999998</v>
      </c>
      <c r="I23" s="281">
        <v>36.393999999999998</v>
      </c>
      <c r="J23" s="281">
        <v>36.393999999999998</v>
      </c>
      <c r="K23" s="281">
        <v>36.393999999999998</v>
      </c>
      <c r="L23" s="281">
        <v>36.393999999999998</v>
      </c>
      <c r="M23" s="281">
        <v>36.393999999999998</v>
      </c>
    </row>
    <row r="24" spans="1:13">
      <c r="A24" s="215" t="s">
        <v>136</v>
      </c>
      <c r="B24" s="281">
        <v>6.06</v>
      </c>
      <c r="C24" s="281">
        <v>6.06</v>
      </c>
      <c r="D24" s="281">
        <v>6.06</v>
      </c>
      <c r="E24" s="281">
        <v>6.06</v>
      </c>
      <c r="F24" s="281">
        <v>6.06</v>
      </c>
      <c r="G24" s="281">
        <v>6.06</v>
      </c>
      <c r="H24" s="281">
        <v>6.06</v>
      </c>
      <c r="I24" s="281">
        <v>6.06</v>
      </c>
      <c r="J24" s="281">
        <v>6.06</v>
      </c>
      <c r="K24" s="281">
        <v>6.06</v>
      </c>
      <c r="L24" s="281">
        <v>6.06</v>
      </c>
      <c r="M24" s="281">
        <v>6.06</v>
      </c>
    </row>
    <row r="25" spans="1:13">
      <c r="A25" s="215" t="s">
        <v>99</v>
      </c>
      <c r="B25" s="281">
        <v>121.7</v>
      </c>
      <c r="C25" s="281">
        <v>121.7</v>
      </c>
      <c r="D25" s="281">
        <v>121.7</v>
      </c>
      <c r="E25" s="281">
        <v>121.7</v>
      </c>
      <c r="F25" s="281">
        <v>121.7</v>
      </c>
      <c r="G25" s="281">
        <v>121.7</v>
      </c>
      <c r="H25" s="281">
        <v>121.7</v>
      </c>
      <c r="I25" s="281">
        <v>121.7</v>
      </c>
      <c r="J25" s="281">
        <v>121.7</v>
      </c>
      <c r="K25" s="281">
        <v>121.7</v>
      </c>
      <c r="L25" s="281">
        <v>121.7</v>
      </c>
      <c r="M25" s="281">
        <v>121.7</v>
      </c>
    </row>
    <row r="27" spans="1:13" ht="15">
      <c r="A27" s="175" t="s">
        <v>123</v>
      </c>
    </row>
    <row r="28" spans="1:13">
      <c r="A28" s="215" t="s">
        <v>135</v>
      </c>
      <c r="B28" s="281">
        <v>13</v>
      </c>
      <c r="C28" s="281">
        <v>13</v>
      </c>
      <c r="D28" s="281">
        <v>13</v>
      </c>
      <c r="E28" s="281">
        <v>13</v>
      </c>
      <c r="F28" s="281">
        <v>13</v>
      </c>
      <c r="G28" s="281">
        <v>13</v>
      </c>
      <c r="H28" s="281">
        <v>13</v>
      </c>
      <c r="I28" s="281">
        <v>13</v>
      </c>
      <c r="J28" s="281">
        <v>13</v>
      </c>
      <c r="K28" s="281">
        <v>13</v>
      </c>
      <c r="L28" s="281">
        <v>13</v>
      </c>
      <c r="M28" s="281">
        <v>13</v>
      </c>
    </row>
    <row r="29" spans="1:13">
      <c r="A29" s="215" t="s">
        <v>122</v>
      </c>
      <c r="B29" s="281">
        <v>0.25</v>
      </c>
      <c r="C29" s="281">
        <v>0.25</v>
      </c>
      <c r="D29" s="281">
        <v>0.25</v>
      </c>
      <c r="E29" s="281">
        <v>0.25</v>
      </c>
      <c r="F29" s="281">
        <v>0.25</v>
      </c>
      <c r="G29" s="281">
        <v>0.25</v>
      </c>
      <c r="H29" s="281">
        <v>0.25</v>
      </c>
      <c r="I29" s="281">
        <v>0.25</v>
      </c>
      <c r="J29" s="281">
        <v>0.25</v>
      </c>
      <c r="K29" s="281">
        <v>0.25</v>
      </c>
      <c r="L29" s="281">
        <v>0.25</v>
      </c>
      <c r="M29" s="281">
        <v>0.25</v>
      </c>
    </row>
    <row r="32" spans="1:13" ht="15">
      <c r="A32" s="175" t="s">
        <v>10</v>
      </c>
    </row>
    <row r="33" spans="1:13">
      <c r="A33" s="215" t="s">
        <v>97</v>
      </c>
      <c r="B33" s="216">
        <v>1.39</v>
      </c>
      <c r="C33" s="216">
        <v>1.39</v>
      </c>
      <c r="D33" s="216">
        <v>1.39</v>
      </c>
      <c r="E33" s="216">
        <v>1.39</v>
      </c>
      <c r="F33" s="216">
        <v>1.39</v>
      </c>
      <c r="G33" s="216">
        <v>1.8380000000000001</v>
      </c>
      <c r="H33" s="216">
        <v>2.2850000000000001</v>
      </c>
      <c r="I33" s="216">
        <v>2.7330000000000001</v>
      </c>
      <c r="J33" s="216">
        <v>3.18</v>
      </c>
      <c r="K33" s="216">
        <v>3.18</v>
      </c>
      <c r="L33" s="216">
        <v>3.18</v>
      </c>
      <c r="M33" s="216">
        <v>3.18</v>
      </c>
    </row>
    <row r="34" spans="1:13">
      <c r="A34" s="215" t="s">
        <v>44</v>
      </c>
      <c r="B34" s="216">
        <v>0.55000000000000004</v>
      </c>
      <c r="C34" s="216">
        <v>0.55000000000000004</v>
      </c>
      <c r="D34" s="216">
        <v>0.55000000000000004</v>
      </c>
      <c r="E34" s="216">
        <v>0.55000000000000004</v>
      </c>
      <c r="F34" s="216">
        <v>0.55000000000000004</v>
      </c>
      <c r="G34" s="216">
        <v>0.55000000000000004</v>
      </c>
      <c r="H34" s="216">
        <v>0.55000000000000004</v>
      </c>
      <c r="I34" s="216">
        <v>0.55000000000000004</v>
      </c>
      <c r="J34" s="216">
        <v>0.55000000000000004</v>
      </c>
      <c r="K34" s="216">
        <v>0.55000000000000004</v>
      </c>
      <c r="L34" s="216">
        <v>0.55000000000000004</v>
      </c>
      <c r="M34" s="216">
        <v>0.55000000000000004</v>
      </c>
    </row>
    <row r="35" spans="1:13">
      <c r="A35" s="215" t="s">
        <v>45</v>
      </c>
      <c r="B35" s="216">
        <v>0</v>
      </c>
      <c r="C35" s="216">
        <v>0</v>
      </c>
      <c r="D35" s="216">
        <v>0</v>
      </c>
      <c r="E35" s="216">
        <v>0</v>
      </c>
      <c r="F35" s="216">
        <v>0</v>
      </c>
      <c r="G35" s="216">
        <v>0</v>
      </c>
      <c r="H35" s="216">
        <v>0</v>
      </c>
      <c r="I35" s="216">
        <v>0</v>
      </c>
      <c r="J35" s="216">
        <v>0</v>
      </c>
      <c r="K35" s="216">
        <v>0</v>
      </c>
      <c r="L35" s="216">
        <v>0</v>
      </c>
      <c r="M35" s="216">
        <v>0</v>
      </c>
    </row>
    <row r="36" spans="1:13" ht="15">
      <c r="A36" s="175" t="s">
        <v>176</v>
      </c>
    </row>
    <row r="37" spans="1:13">
      <c r="A37" s="215" t="s">
        <v>77</v>
      </c>
      <c r="B37" s="281">
        <v>0.03</v>
      </c>
      <c r="C37" s="281">
        <v>0.03</v>
      </c>
      <c r="D37" s="281">
        <v>0.03</v>
      </c>
      <c r="E37" s="281">
        <v>0.03</v>
      </c>
      <c r="F37" s="281">
        <v>0.03</v>
      </c>
      <c r="G37" s="281">
        <v>0.03</v>
      </c>
      <c r="H37" s="281">
        <v>0.03</v>
      </c>
      <c r="I37" s="281">
        <v>0.03</v>
      </c>
      <c r="J37" s="281">
        <v>0.03</v>
      </c>
      <c r="K37" s="281">
        <v>0.03</v>
      </c>
      <c r="L37" s="281">
        <v>0.03</v>
      </c>
      <c r="M37" s="281">
        <v>0.03</v>
      </c>
    </row>
    <row r="38" spans="1:13">
      <c r="A38" s="215" t="s">
        <v>168</v>
      </c>
      <c r="B38" s="281">
        <v>1.55</v>
      </c>
      <c r="C38" s="281">
        <v>1.6</v>
      </c>
      <c r="D38" s="281">
        <v>1.64</v>
      </c>
      <c r="E38" s="281">
        <v>1.7</v>
      </c>
      <c r="F38" s="281">
        <v>1.7</v>
      </c>
      <c r="G38" s="281">
        <v>1.7</v>
      </c>
      <c r="H38" s="281">
        <v>1.7</v>
      </c>
      <c r="I38" s="281">
        <v>1.7</v>
      </c>
      <c r="J38" s="281">
        <v>1.7</v>
      </c>
      <c r="K38" s="281">
        <v>1.7</v>
      </c>
      <c r="L38" s="281">
        <v>1.7</v>
      </c>
      <c r="M38" s="281">
        <v>1.7</v>
      </c>
    </row>
    <row r="39" spans="1:13">
      <c r="A39" s="215" t="s">
        <v>169</v>
      </c>
      <c r="B39" s="281">
        <v>0.89</v>
      </c>
      <c r="C39" s="281">
        <v>1.59</v>
      </c>
      <c r="D39" s="281">
        <v>0.76</v>
      </c>
      <c r="E39" s="281">
        <v>0.8</v>
      </c>
      <c r="F39" s="281">
        <v>0.8</v>
      </c>
      <c r="G39" s="281">
        <v>0.8</v>
      </c>
      <c r="H39" s="281">
        <v>0.8</v>
      </c>
      <c r="I39" s="281">
        <v>0.8</v>
      </c>
      <c r="J39" s="281">
        <v>0.8</v>
      </c>
      <c r="K39" s="281">
        <v>0.8</v>
      </c>
      <c r="L39" s="281">
        <v>0.8</v>
      </c>
      <c r="M39" s="281">
        <v>0.8</v>
      </c>
    </row>
    <row r="42" spans="1:13" ht="15">
      <c r="A42" s="175" t="s">
        <v>11</v>
      </c>
    </row>
    <row r="43" spans="1:13">
      <c r="A43" s="215" t="s">
        <v>12</v>
      </c>
      <c r="B43" s="219">
        <f>'Start - Ergebnisse'!D69</f>
        <v>2.0499999999999998</v>
      </c>
      <c r="C43" s="219">
        <f>'Start - Ergebnisse'!E69</f>
        <v>2.0499999999999998</v>
      </c>
      <c r="D43" s="219">
        <f>'Start - Ergebnisse'!F69</f>
        <v>2.0499999999999998</v>
      </c>
      <c r="E43" s="219">
        <f>'Start - Ergebnisse'!G69</f>
        <v>2.0499999999999998</v>
      </c>
      <c r="F43" s="219">
        <f>'Start - Ergebnisse'!H69</f>
        <v>2.0499999999999998</v>
      </c>
      <c r="G43" s="219">
        <f>'Start - Ergebnisse'!I69</f>
        <v>2.0499999999999998</v>
      </c>
      <c r="H43" s="219">
        <f>'Start - Ergebnisse'!J69</f>
        <v>2.0499999999999998</v>
      </c>
      <c r="I43" s="219">
        <f>'Start - Ergebnisse'!K69</f>
        <v>2.0499999999999998</v>
      </c>
      <c r="J43" s="219">
        <f>'Start - Ergebnisse'!L69</f>
        <v>2.0499999999999998</v>
      </c>
      <c r="K43" s="219">
        <f>'Start - Ergebnisse'!M69</f>
        <v>2.0499999999999998</v>
      </c>
      <c r="L43" s="219">
        <f>'Start - Ergebnisse'!N69</f>
        <v>2.0499999999999998</v>
      </c>
      <c r="M43" s="219">
        <f>'Start - Ergebnisse'!O69</f>
        <v>2.0499999999999998</v>
      </c>
    </row>
    <row r="44" spans="1:13">
      <c r="A44" s="188" t="s">
        <v>500</v>
      </c>
    </row>
    <row r="45" spans="1:13" ht="15">
      <c r="A45" s="175" t="s">
        <v>176</v>
      </c>
    </row>
    <row r="46" spans="1:13">
      <c r="A46" s="215" t="s">
        <v>76</v>
      </c>
      <c r="B46" s="281">
        <v>6.4050000000000002</v>
      </c>
      <c r="C46" s="281">
        <v>6.7560000000000002</v>
      </c>
      <c r="D46" s="281">
        <v>6.5</v>
      </c>
      <c r="E46" s="284">
        <v>1.6163643864745612</v>
      </c>
      <c r="F46" s="284">
        <v>1.3008245699954002</v>
      </c>
      <c r="G46" s="284">
        <v>1.1955073410505337</v>
      </c>
      <c r="H46" s="284">
        <v>0.1376944771489752</v>
      </c>
      <c r="I46" s="284">
        <v>0</v>
      </c>
      <c r="J46" s="284">
        <v>0</v>
      </c>
      <c r="K46" s="284">
        <v>0</v>
      </c>
      <c r="L46" s="284">
        <v>0</v>
      </c>
      <c r="M46" s="284">
        <v>0</v>
      </c>
    </row>
    <row r="47" spans="1:13">
      <c r="A47" s="215" t="s">
        <v>13</v>
      </c>
      <c r="B47" s="281">
        <v>0.28000000000000003</v>
      </c>
      <c r="C47" s="281">
        <v>0.22600000000000001</v>
      </c>
      <c r="D47" s="281">
        <v>0.254</v>
      </c>
      <c r="E47" s="284">
        <v>0.254</v>
      </c>
      <c r="F47" s="284">
        <v>0.254</v>
      </c>
      <c r="G47" s="284">
        <v>0.254</v>
      </c>
      <c r="H47" s="284">
        <v>0.254</v>
      </c>
      <c r="I47" s="284">
        <v>0.254</v>
      </c>
      <c r="J47" s="284">
        <v>0.254</v>
      </c>
      <c r="K47" s="284">
        <v>0.254</v>
      </c>
      <c r="L47" s="284">
        <v>0.254</v>
      </c>
      <c r="M47" s="284">
        <v>0.254</v>
      </c>
    </row>
    <row r="48" spans="1:13">
      <c r="A48" s="215" t="s">
        <v>14</v>
      </c>
      <c r="B48" s="281">
        <v>0.30499999999999999</v>
      </c>
      <c r="C48" s="281">
        <v>0.35799999999999998</v>
      </c>
      <c r="D48" s="281">
        <v>0.432</v>
      </c>
      <c r="E48" s="284">
        <v>0.40471806950975447</v>
      </c>
      <c r="F48" s="284">
        <v>0.40471806950975447</v>
      </c>
      <c r="G48" s="284">
        <v>0.40471806950975447</v>
      </c>
      <c r="H48" s="284">
        <v>0.40471806950975447</v>
      </c>
      <c r="I48" s="284">
        <v>0.40471806950975447</v>
      </c>
      <c r="J48" s="284">
        <v>0.40471806950975447</v>
      </c>
      <c r="K48" s="284">
        <v>0.40471806950975447</v>
      </c>
      <c r="L48" s="284">
        <v>0.40471806950975447</v>
      </c>
      <c r="M48" s="284">
        <v>0.40471806950975447</v>
      </c>
    </row>
    <row r="49" spans="1:13">
      <c r="A49" s="215" t="s">
        <v>15</v>
      </c>
      <c r="B49" s="281">
        <v>0.41599999999999998</v>
      </c>
      <c r="C49" s="281">
        <v>0.41599999999999998</v>
      </c>
      <c r="D49" s="281">
        <v>0.39500000000000002</v>
      </c>
      <c r="E49" s="284">
        <v>0.40914879317362302</v>
      </c>
      <c r="F49" s="284">
        <v>0.40914879317362302</v>
      </c>
      <c r="G49" s="284">
        <v>0.40914879317362302</v>
      </c>
      <c r="H49" s="284">
        <v>0.40914879317362302</v>
      </c>
      <c r="I49" s="284">
        <v>0.40914879317362302</v>
      </c>
      <c r="J49" s="284">
        <v>0.40914879317362302</v>
      </c>
      <c r="K49" s="284">
        <v>0.40914879317362302</v>
      </c>
      <c r="L49" s="284">
        <v>0.40914879317362302</v>
      </c>
      <c r="M49" s="284">
        <v>0.40914879317362302</v>
      </c>
    </row>
    <row r="50" spans="1:13">
      <c r="A50" s="215" t="s">
        <v>16</v>
      </c>
      <c r="B50" s="281">
        <v>5.0000000000000001E-3</v>
      </c>
      <c r="C50" s="281">
        <v>7.0000000000000001E-3</v>
      </c>
      <c r="D50" s="281">
        <v>8.9999999999999993E-3</v>
      </c>
      <c r="E50" s="284">
        <v>8.0612580505828625E-3</v>
      </c>
      <c r="F50" s="284">
        <v>8.5979484449188112E-3</v>
      </c>
      <c r="G50" s="284">
        <v>8.6621314174835269E-3</v>
      </c>
      <c r="H50" s="284">
        <v>8.4394528281696631E-3</v>
      </c>
      <c r="I50" s="284">
        <v>8.5663541046175212E-3</v>
      </c>
      <c r="J50" s="284">
        <v>8.555800538898985E-3</v>
      </c>
      <c r="K50" s="284">
        <v>8.5204848469566975E-3</v>
      </c>
      <c r="L50" s="284">
        <v>8.5475416435983765E-3</v>
      </c>
      <c r="M50" s="284">
        <v>8.5412704139069019E-3</v>
      </c>
    </row>
    <row r="51" spans="1:13">
      <c r="A51" s="215" t="s">
        <v>77</v>
      </c>
      <c r="B51" s="281">
        <v>1.7</v>
      </c>
      <c r="C51" s="281">
        <v>1.7</v>
      </c>
      <c r="D51" s="281">
        <v>1.7</v>
      </c>
      <c r="E51" s="281">
        <v>1.7</v>
      </c>
      <c r="F51" s="281">
        <v>1.7</v>
      </c>
      <c r="G51" s="281">
        <v>1.7</v>
      </c>
      <c r="H51" s="281">
        <v>1.7</v>
      </c>
      <c r="I51" s="281">
        <v>1.7</v>
      </c>
      <c r="J51" s="281">
        <v>1.7</v>
      </c>
      <c r="K51" s="281">
        <v>1.7</v>
      </c>
      <c r="L51" s="281">
        <v>1.7</v>
      </c>
      <c r="M51" s="281">
        <v>1.7</v>
      </c>
    </row>
    <row r="52" spans="1:13" ht="32.85" customHeight="1">
      <c r="A52" s="215" t="s">
        <v>168</v>
      </c>
      <c r="B52" s="281">
        <v>7.39</v>
      </c>
      <c r="C52" s="281">
        <v>7.75</v>
      </c>
      <c r="D52" s="281">
        <v>7.8</v>
      </c>
      <c r="E52" s="281">
        <v>7.8</v>
      </c>
      <c r="F52" s="281">
        <v>7.8</v>
      </c>
      <c r="G52" s="281">
        <v>7.8</v>
      </c>
      <c r="H52" s="281">
        <v>7.8</v>
      </c>
      <c r="I52" s="281">
        <v>7.8</v>
      </c>
      <c r="J52" s="281">
        <v>7.8</v>
      </c>
      <c r="K52" s="281">
        <v>7.8</v>
      </c>
      <c r="L52" s="281">
        <v>7.8</v>
      </c>
      <c r="M52" s="281">
        <v>7.8</v>
      </c>
    </row>
    <row r="53" spans="1:13">
      <c r="A53" s="215" t="s">
        <v>169</v>
      </c>
      <c r="B53" s="281">
        <v>1.56</v>
      </c>
      <c r="C53" s="281">
        <v>3.34</v>
      </c>
      <c r="D53" s="281">
        <v>2.82</v>
      </c>
      <c r="E53" s="281">
        <v>3</v>
      </c>
      <c r="F53" s="281">
        <v>3</v>
      </c>
      <c r="G53" s="281">
        <v>3</v>
      </c>
      <c r="H53" s="281">
        <v>3</v>
      </c>
      <c r="I53" s="281">
        <v>3</v>
      </c>
      <c r="J53" s="281">
        <v>3</v>
      </c>
      <c r="K53" s="281">
        <v>3</v>
      </c>
      <c r="L53" s="281">
        <v>3</v>
      </c>
      <c r="M53" s="281">
        <v>3</v>
      </c>
    </row>
  </sheetData>
  <sheetProtection algorithmName="SHA-512" hashValue="8zohUuogc1ezdDzQDoHLMnubLpTSHOUEoNvwrOWU3NGyBSKbs0+d73LFV+umYm82vyHyC9oF9euV+Ozk/I/3lg==" saltValue="SZHWEIsS+SKcPNORCAGk9g==" spinCount="100000" sheet="1" objects="1" scenarios="1" formatRows="0"/>
  <pageMargins left="0.7" right="0.7" top="0.78740157499999996" bottom="0.78740157499999996" header="0.3" footer="0.3"/>
  <customProperties>
    <customPr name="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214FD-328C-4CE4-95F1-D4C6A896C285}">
  <sheetPr codeName="Tabelle4">
    <tabColor theme="6"/>
  </sheetPr>
  <dimension ref="A2:M59"/>
  <sheetViews>
    <sheetView workbookViewId="0">
      <pane xSplit="1" ySplit="2" topLeftCell="B3" activePane="bottomRight" state="frozen"/>
      <selection pane="topRight"/>
      <selection pane="bottomLeft"/>
      <selection pane="bottomRight" activeCell="B3" sqref="B3"/>
    </sheetView>
  </sheetViews>
  <sheetFormatPr baseColWidth="10" defaultColWidth="11" defaultRowHeight="14.25"/>
  <cols>
    <col min="1" max="1" width="22.375" style="188" customWidth="1"/>
    <col min="2" max="16384" width="11" style="188"/>
  </cols>
  <sheetData>
    <row r="2" spans="1:13">
      <c r="B2" s="214">
        <v>2019</v>
      </c>
      <c r="C2" s="214">
        <f>B2+1</f>
        <v>2020</v>
      </c>
      <c r="D2" s="214">
        <f>C2+1</f>
        <v>2021</v>
      </c>
      <c r="E2" s="214">
        <f t="shared" ref="E2:M2" si="0">D2+1</f>
        <v>2022</v>
      </c>
      <c r="F2" s="214">
        <f t="shared" si="0"/>
        <v>2023</v>
      </c>
      <c r="G2" s="214">
        <f t="shared" si="0"/>
        <v>2024</v>
      </c>
      <c r="H2" s="214">
        <f t="shared" si="0"/>
        <v>2025</v>
      </c>
      <c r="I2" s="214">
        <f t="shared" si="0"/>
        <v>2026</v>
      </c>
      <c r="J2" s="214">
        <f t="shared" si="0"/>
        <v>2027</v>
      </c>
      <c r="K2" s="214">
        <f t="shared" si="0"/>
        <v>2028</v>
      </c>
      <c r="L2" s="214">
        <f t="shared" si="0"/>
        <v>2029</v>
      </c>
      <c r="M2" s="214">
        <f t="shared" si="0"/>
        <v>2030</v>
      </c>
    </row>
    <row r="3" spans="1:13">
      <c r="A3" s="215" t="s">
        <v>158</v>
      </c>
      <c r="B3" s="286">
        <v>64.166704980842866</v>
      </c>
      <c r="C3" s="286">
        <v>43.283473282442763</v>
      </c>
      <c r="D3" s="286">
        <v>70</v>
      </c>
      <c r="E3" s="286">
        <v>71.05</v>
      </c>
      <c r="F3" s="286">
        <v>72.115749999999991</v>
      </c>
      <c r="G3" s="286">
        <v>73.197486249999983</v>
      </c>
      <c r="H3" s="286">
        <v>74.29544854374997</v>
      </c>
      <c r="I3" s="286">
        <v>75.409880271906218</v>
      </c>
      <c r="J3" s="286">
        <v>76.541028475984803</v>
      </c>
      <c r="K3" s="286">
        <v>77.689143903124574</v>
      </c>
      <c r="L3" s="286">
        <v>78.854481061671436</v>
      </c>
      <c r="M3" s="286">
        <v>80.037298277596506</v>
      </c>
    </row>
    <row r="4" spans="1:13">
      <c r="A4" s="215" t="s">
        <v>159</v>
      </c>
      <c r="B4" s="287">
        <v>1.1195812260536402</v>
      </c>
      <c r="C4" s="287">
        <v>1.141615267175573</v>
      </c>
      <c r="D4" s="287">
        <v>1.1499999999999999</v>
      </c>
      <c r="E4" s="287">
        <v>1.1499999999999999</v>
      </c>
      <c r="F4" s="287">
        <v>1.1499999999999999</v>
      </c>
      <c r="G4" s="287">
        <v>1.1499999999999999</v>
      </c>
      <c r="H4" s="287">
        <v>1.1499999999999999</v>
      </c>
      <c r="I4" s="287">
        <v>1.1499999999999999</v>
      </c>
      <c r="J4" s="287">
        <v>1.1499999999999999</v>
      </c>
      <c r="K4" s="287">
        <v>1.1499999999999999</v>
      </c>
      <c r="L4" s="287">
        <v>1.1499999999999999</v>
      </c>
      <c r="M4" s="287">
        <v>1.1499999999999999</v>
      </c>
    </row>
    <row r="5" spans="1:13">
      <c r="A5" s="215" t="s">
        <v>160</v>
      </c>
      <c r="B5" s="218">
        <f>B3/B4</f>
        <v>57.313130559558509</v>
      </c>
      <c r="C5" s="218">
        <f>C3/C4</f>
        <v>37.914238296347207</v>
      </c>
      <c r="D5" s="218">
        <f t="shared" ref="D5:M5" si="1">D3/D4</f>
        <v>60.869565217391312</v>
      </c>
      <c r="E5" s="218">
        <f t="shared" si="1"/>
        <v>61.782608695652179</v>
      </c>
      <c r="F5" s="218">
        <f t="shared" si="1"/>
        <v>62.709347826086955</v>
      </c>
      <c r="G5" s="218">
        <f t="shared" si="1"/>
        <v>63.649988043478253</v>
      </c>
      <c r="H5" s="218">
        <f t="shared" si="1"/>
        <v>64.604737864130414</v>
      </c>
      <c r="I5" s="218">
        <f t="shared" si="1"/>
        <v>65.573808932092362</v>
      </c>
      <c r="J5" s="218">
        <f t="shared" si="1"/>
        <v>66.557416066073742</v>
      </c>
      <c r="K5" s="218">
        <f t="shared" si="1"/>
        <v>67.555777307064858</v>
      </c>
      <c r="L5" s="218">
        <f t="shared" si="1"/>
        <v>68.569113966670812</v>
      </c>
      <c r="M5" s="218">
        <f t="shared" si="1"/>
        <v>69.597650676170886</v>
      </c>
    </row>
    <row r="6" spans="1:13">
      <c r="A6" s="215" t="s">
        <v>389</v>
      </c>
      <c r="B6" s="286">
        <v>24.92</v>
      </c>
      <c r="C6" s="286">
        <v>24.78</v>
      </c>
      <c r="D6" s="286">
        <v>50</v>
      </c>
      <c r="E6" s="286">
        <v>51</v>
      </c>
      <c r="F6" s="286">
        <v>52</v>
      </c>
      <c r="G6" s="286">
        <v>53</v>
      </c>
      <c r="H6" s="286">
        <v>54</v>
      </c>
      <c r="I6" s="286">
        <v>55</v>
      </c>
      <c r="J6" s="286">
        <v>56</v>
      </c>
      <c r="K6" s="286">
        <v>57</v>
      </c>
      <c r="L6" s="286">
        <v>58</v>
      </c>
      <c r="M6" s="286">
        <v>59</v>
      </c>
    </row>
    <row r="7" spans="1:13">
      <c r="A7" s="215" t="s">
        <v>428</v>
      </c>
      <c r="B7" s="286">
        <v>21.67</v>
      </c>
      <c r="C7" s="286">
        <v>13.13</v>
      </c>
      <c r="D7" s="286">
        <v>17.05</v>
      </c>
      <c r="E7" s="286">
        <v>17.537500000000001</v>
      </c>
      <c r="F7" s="286">
        <v>18.025000000000002</v>
      </c>
      <c r="G7" s="286">
        <v>18.512500000000003</v>
      </c>
      <c r="H7" s="286">
        <v>19</v>
      </c>
      <c r="I7" s="286">
        <v>19.2</v>
      </c>
      <c r="J7" s="286">
        <v>19.399999999999999</v>
      </c>
      <c r="K7" s="286">
        <v>19.599999999999998</v>
      </c>
      <c r="L7" s="286">
        <v>19.799999999999997</v>
      </c>
      <c r="M7" s="286">
        <v>20</v>
      </c>
    </row>
    <row r="9" spans="1:13" ht="15">
      <c r="A9" s="175" t="s">
        <v>406</v>
      </c>
    </row>
    <row r="10" spans="1:13">
      <c r="A10" s="215" t="s">
        <v>161</v>
      </c>
      <c r="B10" s="219">
        <f>0.7552*B5-2.2187</f>
        <v>41.064176198578586</v>
      </c>
      <c r="C10" s="219">
        <f t="shared" ref="C10:M10" si="2">0.7552*C5-2.2187</f>
        <v>26.414132761401412</v>
      </c>
      <c r="D10" s="219">
        <f t="shared" si="2"/>
        <v>43.749995652173922</v>
      </c>
      <c r="E10" s="219">
        <f t="shared" si="2"/>
        <v>44.439526086956526</v>
      </c>
      <c r="F10" s="219">
        <f t="shared" si="2"/>
        <v>45.13939947826087</v>
      </c>
      <c r="G10" s="219">
        <f t="shared" si="2"/>
        <v>45.849770970434776</v>
      </c>
      <c r="H10" s="219">
        <f t="shared" si="2"/>
        <v>46.570798034991292</v>
      </c>
      <c r="I10" s="219">
        <f t="shared" si="2"/>
        <v>47.302640505516152</v>
      </c>
      <c r="J10" s="219">
        <f t="shared" si="2"/>
        <v>48.045460613098889</v>
      </c>
      <c r="K10" s="219">
        <f t="shared" si="2"/>
        <v>48.799423022295379</v>
      </c>
      <c r="L10" s="219">
        <f t="shared" si="2"/>
        <v>49.564694867629797</v>
      </c>
      <c r="M10" s="219">
        <f t="shared" si="2"/>
        <v>50.341445790644251</v>
      </c>
    </row>
    <row r="11" spans="1:13">
      <c r="A11" s="215" t="s">
        <v>30</v>
      </c>
      <c r="B11" s="219">
        <f>'Steuer- und Abgabensätze'!B9+'Steuer- und Abgabensätze'!B10</f>
        <v>65.72</v>
      </c>
      <c r="C11" s="219">
        <f>'Steuer- und Abgabensätze'!C9+'Steuer- und Abgabensätze'!C10</f>
        <v>65.72</v>
      </c>
      <c r="D11" s="219">
        <f>'Steuer- und Abgabensätze'!D9+'Steuer- und Abgabensätze'!D10</f>
        <v>65.72</v>
      </c>
      <c r="E11" s="219">
        <f>'Steuer- und Abgabensätze'!E9+'Steuer- und Abgabensätze'!E10</f>
        <v>65.72</v>
      </c>
      <c r="F11" s="219">
        <f>'Steuer- und Abgabensätze'!F9+'Steuer- und Abgabensätze'!F10</f>
        <v>65.72</v>
      </c>
      <c r="G11" s="219">
        <f>'Steuer- und Abgabensätze'!G9+'Steuer- und Abgabensätze'!G10</f>
        <v>65.72</v>
      </c>
      <c r="H11" s="219">
        <f>'Steuer- und Abgabensätze'!H9+'Steuer- und Abgabensätze'!H10</f>
        <v>65.72</v>
      </c>
      <c r="I11" s="219">
        <f>'Steuer- und Abgabensätze'!I9+'Steuer- und Abgabensätze'!I10</f>
        <v>65.72</v>
      </c>
      <c r="J11" s="219">
        <f>'Steuer- und Abgabensätze'!J9+'Steuer- und Abgabensätze'!J10</f>
        <v>65.72</v>
      </c>
      <c r="K11" s="219">
        <f>'Steuer- und Abgabensätze'!K9+'Steuer- und Abgabensätze'!K10</f>
        <v>65.72</v>
      </c>
      <c r="L11" s="219">
        <f>'Steuer- und Abgabensätze'!L9+'Steuer- und Abgabensätze'!L10</f>
        <v>65.72</v>
      </c>
      <c r="M11" s="219">
        <f>'Steuer- und Abgabensätze'!M9+'Steuer- und Abgabensätze'!M10</f>
        <v>65.72</v>
      </c>
    </row>
    <row r="12" spans="1:13">
      <c r="A12" s="215" t="s">
        <v>163</v>
      </c>
      <c r="B12" s="219">
        <f>'Steuer- und Abgabensätze'!B4/1000*100</f>
        <v>0</v>
      </c>
      <c r="C12" s="219">
        <f>'Steuer- und Abgabensätze'!C4/1000*100</f>
        <v>0</v>
      </c>
      <c r="D12" s="219">
        <f>'Steuer- und Abgabensätze'!D4/1000*100*'Physikalische Parameter'!$E5</f>
        <v>6.0019668749999999</v>
      </c>
      <c r="E12" s="219">
        <f>'Steuer- und Abgabensätze'!E4/1000*100*'Physikalische Parameter'!$E5</f>
        <v>7.2023602499999999</v>
      </c>
      <c r="F12" s="219">
        <f>'Steuer- und Abgabensätze'!F4/1000*100*'Physikalische Parameter'!$E5</f>
        <v>8.4027536250000008</v>
      </c>
      <c r="G12" s="219">
        <f>'Steuer- und Abgabensätze'!G4/1000*100*'Physikalische Parameter'!$E5</f>
        <v>10.803540375000001</v>
      </c>
      <c r="H12" s="219">
        <f>'Steuer- und Abgabensätze'!H4/1000*100*'Physikalische Parameter'!$E5</f>
        <v>13.204327124999999</v>
      </c>
      <c r="I12" s="219">
        <f>'Steuer- und Abgabensätze'!I4/1000*100*'Physikalische Parameter'!$E5</f>
        <v>14.4047205</v>
      </c>
      <c r="J12" s="219">
        <f>'Steuer- und Abgabensätze'!J4/1000*100*'Physikalische Parameter'!$E5</f>
        <v>14.4047205</v>
      </c>
      <c r="K12" s="219">
        <f>'Steuer- und Abgabensätze'!K4/1000*100*'Physikalische Parameter'!$E5</f>
        <v>14.4047205</v>
      </c>
      <c r="L12" s="219">
        <f>'Steuer- und Abgabensätze'!L4/1000*100*'Physikalische Parameter'!$E5</f>
        <v>14.4047205</v>
      </c>
      <c r="M12" s="219">
        <f>'Steuer- und Abgabensätze'!M4/1000*100*'Physikalische Parameter'!$E5</f>
        <v>14.4047205</v>
      </c>
    </row>
    <row r="13" spans="1:13">
      <c r="A13" s="215" t="s">
        <v>266</v>
      </c>
      <c r="B13" s="219">
        <v>15.184583333333331</v>
      </c>
      <c r="C13" s="219">
        <f>B13</f>
        <v>15.184583333333331</v>
      </c>
      <c r="D13" s="219">
        <f t="shared" ref="D13:M13" si="3">C13</f>
        <v>15.184583333333331</v>
      </c>
      <c r="E13" s="219">
        <f t="shared" si="3"/>
        <v>15.184583333333331</v>
      </c>
      <c r="F13" s="219">
        <f t="shared" si="3"/>
        <v>15.184583333333331</v>
      </c>
      <c r="G13" s="219">
        <f t="shared" si="3"/>
        <v>15.184583333333331</v>
      </c>
      <c r="H13" s="219">
        <f t="shared" si="3"/>
        <v>15.184583333333331</v>
      </c>
      <c r="I13" s="219">
        <f t="shared" si="3"/>
        <v>15.184583333333331</v>
      </c>
      <c r="J13" s="219">
        <f t="shared" si="3"/>
        <v>15.184583333333331</v>
      </c>
      <c r="K13" s="219">
        <f t="shared" si="3"/>
        <v>15.184583333333331</v>
      </c>
      <c r="L13" s="219">
        <f t="shared" si="3"/>
        <v>15.184583333333331</v>
      </c>
      <c r="M13" s="219">
        <f t="shared" si="3"/>
        <v>15.184583333333331</v>
      </c>
    </row>
    <row r="14" spans="1:13">
      <c r="A14" s="215" t="s">
        <v>162</v>
      </c>
      <c r="B14" s="219">
        <f>SUM(B10:B13)*'Steuer- und Abgabensätze'!B5</f>
        <v>23.174064311063265</v>
      </c>
      <c r="C14" s="219">
        <f>SUM(C10:C13)*'Steuer- und Abgabensätze'!C5</f>
        <v>18.78077531657858</v>
      </c>
      <c r="D14" s="219">
        <f>SUM(D10:D13)*'Steuer- und Abgabensätze'!D5</f>
        <v>24.824743713496375</v>
      </c>
      <c r="E14" s="219">
        <f>SUM(E10:E13)*'Steuer- und Abgabensätze'!E5</f>
        <v>25.183829237355074</v>
      </c>
      <c r="F14" s="219">
        <f>SUM(F10:F13)*'Steuer- und Abgabensätze'!F5</f>
        <v>25.544879922952898</v>
      </c>
      <c r="G14" s="219">
        <f>SUM(G10:G13)*'Steuer- und Abgabensätze'!G5</f>
        <v>26.135999988965938</v>
      </c>
      <c r="H14" s="219">
        <f>SUM(H10:H13)*'Steuer- und Abgabensätze'!H5</f>
        <v>26.72914461373168</v>
      </c>
      <c r="I14" s="219">
        <f>SUM(I10:I13)*'Steuer- und Abgabensätze'!I5</f>
        <v>27.096269424381401</v>
      </c>
      <c r="J14" s="219">
        <f>SUM(J10:J13)*'Steuer- und Abgabensätze'!J5</f>
        <v>27.237405244822124</v>
      </c>
      <c r="K14" s="219">
        <f>SUM(K10:K13)*'Steuer- und Abgabensätze'!K5</f>
        <v>27.380658102569456</v>
      </c>
      <c r="L14" s="219">
        <f>SUM(L10:L13)*'Steuer- und Abgabensätze'!L5</f>
        <v>27.526059753182999</v>
      </c>
      <c r="M14" s="219">
        <f>SUM(M10:M13)*'Steuer- und Abgabensätze'!M5</f>
        <v>27.673642428555741</v>
      </c>
    </row>
    <row r="15" spans="1:13">
      <c r="A15" s="220" t="s">
        <v>42</v>
      </c>
      <c r="B15" s="221">
        <f>SUM(B10:B14)</f>
        <v>145.14282384297519</v>
      </c>
      <c r="C15" s="221">
        <f t="shared" ref="C15:M15" si="4">SUM(C10:C14)</f>
        <v>126.09949141131334</v>
      </c>
      <c r="D15" s="221">
        <f t="shared" si="4"/>
        <v>155.4812895740036</v>
      </c>
      <c r="E15" s="221">
        <f t="shared" si="4"/>
        <v>157.73029890764494</v>
      </c>
      <c r="F15" s="221">
        <f t="shared" si="4"/>
        <v>159.99161635954709</v>
      </c>
      <c r="G15" s="221">
        <f t="shared" si="4"/>
        <v>163.69389466773404</v>
      </c>
      <c r="H15" s="221">
        <f t="shared" si="4"/>
        <v>167.4088531070563</v>
      </c>
      <c r="I15" s="221">
        <f t="shared" si="4"/>
        <v>169.70821376323087</v>
      </c>
      <c r="J15" s="221">
        <f t="shared" si="4"/>
        <v>170.59216969125436</v>
      </c>
      <c r="K15" s="221">
        <f t="shared" si="4"/>
        <v>171.48938495819817</v>
      </c>
      <c r="L15" s="221">
        <f t="shared" si="4"/>
        <v>172.40005845414615</v>
      </c>
      <c r="M15" s="221">
        <f t="shared" si="4"/>
        <v>173.32439205253334</v>
      </c>
    </row>
    <row r="17" spans="1:13" ht="15">
      <c r="A17" s="175" t="s">
        <v>407</v>
      </c>
    </row>
    <row r="18" spans="1:13">
      <c r="A18" s="215" t="s">
        <v>161</v>
      </c>
      <c r="B18" s="219">
        <f>B5*0.7871-2.0851</f>
        <v>43.026065063428504</v>
      </c>
      <c r="C18" s="219">
        <f t="shared" ref="C18:M18" si="5">C5*0.7871-2.0851</f>
        <v>27.757196963054888</v>
      </c>
      <c r="D18" s="219">
        <f t="shared" si="5"/>
        <v>45.825334782608707</v>
      </c>
      <c r="E18" s="219">
        <f t="shared" si="5"/>
        <v>46.543991304347834</v>
      </c>
      <c r="F18" s="219">
        <f t="shared" si="5"/>
        <v>47.273427673913048</v>
      </c>
      <c r="G18" s="219">
        <f t="shared" si="5"/>
        <v>48.013805589021736</v>
      </c>
      <c r="H18" s="219">
        <f t="shared" si="5"/>
        <v>48.765289172857052</v>
      </c>
      <c r="I18" s="219">
        <f t="shared" si="5"/>
        <v>49.528045010449901</v>
      </c>
      <c r="J18" s="219">
        <f t="shared" si="5"/>
        <v>50.302242185606644</v>
      </c>
      <c r="K18" s="219">
        <f t="shared" si="5"/>
        <v>51.088052318390751</v>
      </c>
      <c r="L18" s="219">
        <f t="shared" si="5"/>
        <v>51.885649603166598</v>
      </c>
      <c r="M18" s="219">
        <f t="shared" si="5"/>
        <v>52.695210847214106</v>
      </c>
    </row>
    <row r="19" spans="1:13">
      <c r="A19" s="215" t="s">
        <v>30</v>
      </c>
      <c r="B19" s="219">
        <f>'Steuer- und Abgabensätze'!B13+'Steuer- und Abgabensätze'!B14</f>
        <v>47.339999999999996</v>
      </c>
      <c r="C19" s="219">
        <f>'Steuer- und Abgabensätze'!C13+'Steuer- und Abgabensätze'!C14</f>
        <v>47.339999999999996</v>
      </c>
      <c r="D19" s="219">
        <f>'Steuer- und Abgabensätze'!D13+'Steuer- und Abgabensätze'!D14</f>
        <v>47.339999999999996</v>
      </c>
      <c r="E19" s="219">
        <f>'Steuer- und Abgabensätze'!E13+'Steuer- und Abgabensätze'!E14</f>
        <v>47.339999999999996</v>
      </c>
      <c r="F19" s="219">
        <f>'Steuer- und Abgabensätze'!F13+'Steuer- und Abgabensätze'!F14</f>
        <v>47.339999999999996</v>
      </c>
      <c r="G19" s="219">
        <f>'Steuer- und Abgabensätze'!G13+'Steuer- und Abgabensätze'!G14</f>
        <v>47.339999999999996</v>
      </c>
      <c r="H19" s="219">
        <f>'Steuer- und Abgabensätze'!H13+'Steuer- und Abgabensätze'!H14</f>
        <v>47.339999999999996</v>
      </c>
      <c r="I19" s="219">
        <f>'Steuer- und Abgabensätze'!I13+'Steuer- und Abgabensätze'!I14</f>
        <v>47.339999999999996</v>
      </c>
      <c r="J19" s="219">
        <f>'Steuer- und Abgabensätze'!J13+'Steuer- und Abgabensätze'!J14</f>
        <v>47.339999999999996</v>
      </c>
      <c r="K19" s="219">
        <f>'Steuer- und Abgabensätze'!K13+'Steuer- und Abgabensätze'!K14</f>
        <v>47.339999999999996</v>
      </c>
      <c r="L19" s="219">
        <f>'Steuer- und Abgabensätze'!L13+'Steuer- und Abgabensätze'!L14</f>
        <v>47.339999999999996</v>
      </c>
      <c r="M19" s="219">
        <f>'Steuer- und Abgabensätze'!M13+'Steuer- und Abgabensätze'!M14</f>
        <v>47.339999999999996</v>
      </c>
    </row>
    <row r="20" spans="1:13">
      <c r="A20" s="215" t="s">
        <v>163</v>
      </c>
      <c r="B20" s="219">
        <f>'Steuer- und Abgabensätze'!B4*'Physikalische Parameter'!$E6/1000*100</f>
        <v>0</v>
      </c>
      <c r="C20" s="219">
        <f>'Steuer- und Abgabensätze'!C4*'Physikalische Parameter'!$E6/1000*100</f>
        <v>0</v>
      </c>
      <c r="D20" s="219">
        <f>'Steuer- und Abgabensätze'!D4*'Physikalische Parameter'!$E6/1000*100</f>
        <v>6.6907099999999993</v>
      </c>
      <c r="E20" s="219">
        <f>'Steuer- und Abgabensätze'!E4*'Physikalische Parameter'!$E6/1000*100</f>
        <v>8.0288519999999988</v>
      </c>
      <c r="F20" s="219">
        <f>'Steuer- und Abgabensätze'!F4*'Physikalische Parameter'!$E6/1000*100</f>
        <v>9.366994</v>
      </c>
      <c r="G20" s="219">
        <f>'Steuer- und Abgabensätze'!G4*'Physikalische Parameter'!$E6/1000*100</f>
        <v>12.043277999999999</v>
      </c>
      <c r="H20" s="219">
        <f>'Steuer- und Abgabensätze'!H4*'Physikalische Parameter'!$E6/1000*100</f>
        <v>14.719562</v>
      </c>
      <c r="I20" s="219">
        <f>'Steuer- und Abgabensätze'!I4*'Physikalische Parameter'!$E6/1000*100</f>
        <v>16.057703999999998</v>
      </c>
      <c r="J20" s="219">
        <f>'Steuer- und Abgabensätze'!J4*'Physikalische Parameter'!$E6/1000*100</f>
        <v>16.057703999999998</v>
      </c>
      <c r="K20" s="219">
        <f>'Steuer- und Abgabensätze'!K4*'Physikalische Parameter'!$E6/1000*100</f>
        <v>16.057703999999998</v>
      </c>
      <c r="L20" s="219">
        <f>'Steuer- und Abgabensätze'!L4*'Physikalische Parameter'!$E6/1000*100</f>
        <v>16.057703999999998</v>
      </c>
      <c r="M20" s="219">
        <f>'Steuer- und Abgabensätze'!M4*'Physikalische Parameter'!$E6/1000*100</f>
        <v>16.057703999999998</v>
      </c>
    </row>
    <row r="21" spans="1:13">
      <c r="A21" s="215" t="s">
        <v>265</v>
      </c>
      <c r="B21" s="219">
        <v>16.639791666666664</v>
      </c>
      <c r="C21" s="219">
        <f>B21</f>
        <v>16.639791666666664</v>
      </c>
      <c r="D21" s="219">
        <f t="shared" ref="D21:M21" si="6">C21</f>
        <v>16.639791666666664</v>
      </c>
      <c r="E21" s="219">
        <f t="shared" si="6"/>
        <v>16.639791666666664</v>
      </c>
      <c r="F21" s="219">
        <f t="shared" si="6"/>
        <v>16.639791666666664</v>
      </c>
      <c r="G21" s="219">
        <f t="shared" si="6"/>
        <v>16.639791666666664</v>
      </c>
      <c r="H21" s="219">
        <f t="shared" si="6"/>
        <v>16.639791666666664</v>
      </c>
      <c r="I21" s="219">
        <f t="shared" si="6"/>
        <v>16.639791666666664</v>
      </c>
      <c r="J21" s="219">
        <f t="shared" si="6"/>
        <v>16.639791666666664</v>
      </c>
      <c r="K21" s="219">
        <f t="shared" si="6"/>
        <v>16.639791666666664</v>
      </c>
      <c r="L21" s="219">
        <f t="shared" si="6"/>
        <v>16.639791666666664</v>
      </c>
      <c r="M21" s="219">
        <f t="shared" si="6"/>
        <v>16.639791666666664</v>
      </c>
    </row>
    <row r="22" spans="1:13">
      <c r="A22" s="215" t="s">
        <v>162</v>
      </c>
      <c r="B22" s="219">
        <f>SUM(B18:B21)*'Steuer- und Abgabensätze'!B5</f>
        <v>20.331112778718079</v>
      </c>
      <c r="C22" s="219">
        <f>SUM(C18:C21)*'Steuer- und Abgabensätze'!C5</f>
        <v>16.053973010201272</v>
      </c>
      <c r="D22" s="219">
        <f>SUM(D18:D21)*'Steuer- und Abgabensätze'!D5</f>
        <v>22.134208925362323</v>
      </c>
      <c r="E22" s="219">
        <f>SUM(E18:E21)*'Steuer- und Abgabensätze'!E5</f>
        <v>22.525000644492756</v>
      </c>
      <c r="F22" s="219">
        <f>SUM(F18:F21)*'Steuer- und Abgabensätze'!F5</f>
        <v>22.917840534710145</v>
      </c>
      <c r="G22" s="219">
        <f>SUM(G18:G21)*'Steuer- und Abgabensätze'!G5</f>
        <v>23.567006298580797</v>
      </c>
      <c r="H22" s="219">
        <f>SUM(H18:H21)*'Steuer- und Abgabensätze'!H5</f>
        <v>24.218282139509508</v>
      </c>
      <c r="I22" s="219">
        <f>SUM(I18:I21)*'Steuer- und Abgabensätze'!I5</f>
        <v>24.617452728652147</v>
      </c>
      <c r="J22" s="219">
        <f>SUM(J18:J21)*'Steuer- und Abgabensätze'!J5</f>
        <v>24.764550191931932</v>
      </c>
      <c r="K22" s="219">
        <f>SUM(K18:K21)*'Steuer- und Abgabensätze'!K5</f>
        <v>24.913854117160909</v>
      </c>
      <c r="L22" s="219">
        <f>SUM(L18:L21)*'Steuer- und Abgabensätze'!L5</f>
        <v>25.065397601268323</v>
      </c>
      <c r="M22" s="219">
        <f>SUM(M18:M21)*'Steuer- und Abgabensätze'!M5</f>
        <v>25.219214237637345</v>
      </c>
    </row>
    <row r="23" spans="1:13">
      <c r="A23" s="221" t="s">
        <v>42</v>
      </c>
      <c r="B23" s="221">
        <f>SUM(B18:B22)</f>
        <v>127.33696950881324</v>
      </c>
      <c r="C23" s="221">
        <f t="shared" ref="C23:M23" si="7">SUM(C18:C22)</f>
        <v>107.79096163992283</v>
      </c>
      <c r="D23" s="221">
        <f t="shared" si="7"/>
        <v>138.63004537463769</v>
      </c>
      <c r="E23" s="221">
        <f t="shared" si="7"/>
        <v>141.07763561550726</v>
      </c>
      <c r="F23" s="221">
        <f t="shared" si="7"/>
        <v>143.53805387528985</v>
      </c>
      <c r="G23" s="221">
        <f t="shared" si="7"/>
        <v>147.60388155426921</v>
      </c>
      <c r="H23" s="221">
        <f t="shared" si="7"/>
        <v>151.68292497903323</v>
      </c>
      <c r="I23" s="221">
        <f t="shared" si="7"/>
        <v>154.18299340576871</v>
      </c>
      <c r="J23" s="221">
        <f t="shared" si="7"/>
        <v>155.10428804420525</v>
      </c>
      <c r="K23" s="221">
        <f t="shared" si="7"/>
        <v>156.03940210221833</v>
      </c>
      <c r="L23" s="221">
        <f t="shared" si="7"/>
        <v>156.9885428711016</v>
      </c>
      <c r="M23" s="221">
        <f t="shared" si="7"/>
        <v>157.95192075151812</v>
      </c>
    </row>
    <row r="25" spans="1:13" ht="15">
      <c r="A25" s="175" t="s">
        <v>416</v>
      </c>
    </row>
    <row r="26" spans="1:13">
      <c r="A26" s="215" t="s">
        <v>161</v>
      </c>
      <c r="B26" s="219">
        <f>B5*0.79-1.9527</f>
        <v>43.324673142051225</v>
      </c>
      <c r="C26" s="219">
        <f t="shared" ref="C26:M26" si="8">C5*0.79-1.9527</f>
        <v>27.999548254114295</v>
      </c>
      <c r="D26" s="219">
        <f t="shared" si="8"/>
        <v>46.13425652173914</v>
      </c>
      <c r="E26" s="219">
        <f t="shared" si="8"/>
        <v>46.855560869565224</v>
      </c>
      <c r="F26" s="219">
        <f t="shared" si="8"/>
        <v>47.587684782608697</v>
      </c>
      <c r="G26" s="219">
        <f t="shared" si="8"/>
        <v>48.330790554347821</v>
      </c>
      <c r="H26" s="219">
        <f t="shared" si="8"/>
        <v>49.085042912663027</v>
      </c>
      <c r="I26" s="219">
        <f t="shared" si="8"/>
        <v>49.850609056352965</v>
      </c>
      <c r="J26" s="219">
        <f t="shared" si="8"/>
        <v>50.62765869219826</v>
      </c>
      <c r="K26" s="219">
        <f t="shared" si="8"/>
        <v>51.416364072581239</v>
      </c>
      <c r="L26" s="219">
        <f t="shared" si="8"/>
        <v>52.216900033669944</v>
      </c>
      <c r="M26" s="219">
        <f t="shared" si="8"/>
        <v>53.029444034175</v>
      </c>
    </row>
    <row r="27" spans="1:13">
      <c r="A27" s="215" t="s">
        <v>30</v>
      </c>
      <c r="B27" s="219">
        <f>'Steuer- und Abgabensätze'!B19</f>
        <v>6.1349999999999998</v>
      </c>
      <c r="C27" s="219">
        <f>'Steuer- und Abgabensätze'!C19</f>
        <v>6.1349999999999998</v>
      </c>
      <c r="D27" s="219">
        <f>'Steuer- und Abgabensätze'!D19</f>
        <v>6.1349999999999998</v>
      </c>
      <c r="E27" s="219">
        <f>'Steuer- und Abgabensätze'!E19</f>
        <v>6.1349999999999998</v>
      </c>
      <c r="F27" s="219">
        <f>'Steuer- und Abgabensätze'!F19</f>
        <v>6.1349999999999998</v>
      </c>
      <c r="G27" s="219">
        <f>'Steuer- und Abgabensätze'!G19</f>
        <v>6.1349999999999998</v>
      </c>
      <c r="H27" s="219">
        <f>'Steuer- und Abgabensätze'!H19</f>
        <v>6.1349999999999998</v>
      </c>
      <c r="I27" s="219">
        <f>'Steuer- und Abgabensätze'!I19</f>
        <v>6.1349999999999998</v>
      </c>
      <c r="J27" s="219">
        <f>'Steuer- und Abgabensätze'!J19</f>
        <v>6.1349999999999998</v>
      </c>
      <c r="K27" s="219">
        <f>'Steuer- und Abgabensätze'!K19</f>
        <v>6.1349999999999998</v>
      </c>
      <c r="L27" s="219">
        <f>'Steuer- und Abgabensätze'!L19</f>
        <v>6.1349999999999998</v>
      </c>
      <c r="M27" s="219">
        <f>'Steuer- und Abgabensätze'!M19</f>
        <v>6.1349999999999998</v>
      </c>
    </row>
    <row r="28" spans="1:13">
      <c r="A28" s="215" t="s">
        <v>163</v>
      </c>
      <c r="B28" s="219">
        <f>'Steuer- und Abgabensätze'!B4*'Physikalische Parameter'!$E12/1000*100</f>
        <v>0</v>
      </c>
      <c r="C28" s="219">
        <f>'Steuer- und Abgabensätze'!C4*'Physikalische Parameter'!$E12/1000*100</f>
        <v>0</v>
      </c>
      <c r="D28" s="219">
        <f>'Steuer- und Abgabensätze'!D4*'Physikalische Parameter'!$E12/1000*100</f>
        <v>6.6907099999999993</v>
      </c>
      <c r="E28" s="219">
        <f>'Steuer- und Abgabensätze'!E4*'Physikalische Parameter'!$E12/1000*100</f>
        <v>8.0288519999999988</v>
      </c>
      <c r="F28" s="219">
        <f>'Steuer- und Abgabensätze'!F4*'Physikalische Parameter'!$E12/1000*100</f>
        <v>9.366994</v>
      </c>
      <c r="G28" s="219">
        <f>'Steuer- und Abgabensätze'!G4*'Physikalische Parameter'!$E12/1000*100</f>
        <v>12.043277999999999</v>
      </c>
      <c r="H28" s="219">
        <f>'Steuer- und Abgabensätze'!H4*'Physikalische Parameter'!$E12/1000*100</f>
        <v>14.719562</v>
      </c>
      <c r="I28" s="219">
        <f>'Steuer- und Abgabensätze'!I4*'Physikalische Parameter'!$E12/1000*100</f>
        <v>16.057703999999998</v>
      </c>
      <c r="J28" s="219">
        <f>'Steuer- und Abgabensätze'!J4*'Physikalische Parameter'!$E12/1000*100</f>
        <v>16.057703999999998</v>
      </c>
      <c r="K28" s="219">
        <f>'Steuer- und Abgabensätze'!K4*'Physikalische Parameter'!$E12/1000*100</f>
        <v>16.057703999999998</v>
      </c>
      <c r="L28" s="219">
        <f>'Steuer- und Abgabensätze'!L4*'Physikalische Parameter'!$E12/1000*100</f>
        <v>16.057703999999998</v>
      </c>
      <c r="M28" s="219">
        <f>'Steuer- und Abgabensätze'!M4*'Physikalische Parameter'!$E12/1000*100</f>
        <v>16.057703999999998</v>
      </c>
    </row>
    <row r="29" spans="1:13">
      <c r="A29" s="215" t="s">
        <v>265</v>
      </c>
      <c r="B29" s="219">
        <v>6.4758333333333331</v>
      </c>
      <c r="C29" s="219">
        <f>B29</f>
        <v>6.4758333333333331</v>
      </c>
      <c r="D29" s="219">
        <f t="shared" ref="D29:M29" si="9">C29</f>
        <v>6.4758333333333331</v>
      </c>
      <c r="E29" s="219">
        <f t="shared" si="9"/>
        <v>6.4758333333333331</v>
      </c>
      <c r="F29" s="219">
        <f t="shared" si="9"/>
        <v>6.4758333333333331</v>
      </c>
      <c r="G29" s="219">
        <f t="shared" si="9"/>
        <v>6.4758333333333331</v>
      </c>
      <c r="H29" s="219">
        <f t="shared" si="9"/>
        <v>6.4758333333333331</v>
      </c>
      <c r="I29" s="219">
        <f t="shared" si="9"/>
        <v>6.4758333333333331</v>
      </c>
      <c r="J29" s="219">
        <f t="shared" si="9"/>
        <v>6.4758333333333331</v>
      </c>
      <c r="K29" s="219">
        <f t="shared" si="9"/>
        <v>6.4758333333333331</v>
      </c>
      <c r="L29" s="219">
        <f t="shared" si="9"/>
        <v>6.4758333333333331</v>
      </c>
      <c r="M29" s="219">
        <f t="shared" si="9"/>
        <v>6.4758333333333331</v>
      </c>
    </row>
    <row r="30" spans="1:13">
      <c r="A30" s="215" t="s">
        <v>162</v>
      </c>
      <c r="B30" s="219">
        <f>SUM(B26:B29)*'Steuer- und Abgabensätze'!B5</f>
        <v>10.627746230323066</v>
      </c>
      <c r="C30" s="219">
        <f>SUM(C26:C29)*'Steuer- und Abgabensätze'!C5</f>
        <v>7.106816777803334</v>
      </c>
      <c r="D30" s="219">
        <f>SUM(D26:D29)*'Steuer- und Abgabensätze'!D5</f>
        <v>12.432801972463768</v>
      </c>
      <c r="E30" s="219">
        <f>SUM(E26:E29)*'Steuer- und Abgabensätze'!E5</f>
        <v>12.824096778550725</v>
      </c>
      <c r="F30" s="219">
        <f>SUM(F26:F29)*'Steuer- und Abgabensätze'!F5</f>
        <v>13.217447302028985</v>
      </c>
      <c r="G30" s="219">
        <f>SUM(G26:G29)*'Steuer- und Abgabensätze'!G5</f>
        <v>13.867131358659417</v>
      </c>
      <c r="H30" s="219">
        <f>SUM(H26:H29)*'Steuer- und Abgabensätze'!H5</f>
        <v>14.518933266739309</v>
      </c>
      <c r="I30" s="219">
        <f>SUM(I26:I29)*'Steuer- und Abgabensätze'!I5</f>
        <v>14.918637814040395</v>
      </c>
      <c r="J30" s="219">
        <f>SUM(J26:J29)*'Steuer- und Abgabensätze'!J5</f>
        <v>15.066277244851001</v>
      </c>
      <c r="K30" s="219">
        <f>SUM(K26:K29)*'Steuer- und Abgabensätze'!K5</f>
        <v>15.216131267123767</v>
      </c>
      <c r="L30" s="219">
        <f>SUM(L26:L29)*'Steuer- und Abgabensätze'!L5</f>
        <v>15.36823309973062</v>
      </c>
      <c r="M30" s="219">
        <f>SUM(M26:M29)*'Steuer- und Abgabensätze'!M5</f>
        <v>15.522616459826581</v>
      </c>
    </row>
    <row r="31" spans="1:13">
      <c r="A31" s="221" t="s">
        <v>42</v>
      </c>
      <c r="B31" s="221">
        <f>SUM(B26:B30)</f>
        <v>66.563252705707626</v>
      </c>
      <c r="C31" s="221">
        <f t="shared" ref="C31:M31" si="10">SUM(C26:C30)</f>
        <v>47.717198365250958</v>
      </c>
      <c r="D31" s="221">
        <f t="shared" si="10"/>
        <v>77.868601827536224</v>
      </c>
      <c r="E31" s="221">
        <f t="shared" si="10"/>
        <v>80.319342981449282</v>
      </c>
      <c r="F31" s="221">
        <f t="shared" si="10"/>
        <v>82.782959417971014</v>
      </c>
      <c r="G31" s="221">
        <f t="shared" si="10"/>
        <v>86.852033246340568</v>
      </c>
      <c r="H31" s="221">
        <f t="shared" si="10"/>
        <v>90.934371512735666</v>
      </c>
      <c r="I31" s="221">
        <f t="shared" si="10"/>
        <v>93.437784203726679</v>
      </c>
      <c r="J31" s="221">
        <f t="shared" si="10"/>
        <v>94.362473270382594</v>
      </c>
      <c r="K31" s="221">
        <f t="shared" si="10"/>
        <v>95.301032673038335</v>
      </c>
      <c r="L31" s="221">
        <f t="shared" si="10"/>
        <v>96.25367046673388</v>
      </c>
      <c r="M31" s="221">
        <f t="shared" si="10"/>
        <v>97.220597827334899</v>
      </c>
    </row>
    <row r="33" spans="1:13" ht="15">
      <c r="A33" s="175" t="s">
        <v>11</v>
      </c>
    </row>
    <row r="34" spans="1:13">
      <c r="A34" s="215" t="s">
        <v>172</v>
      </c>
      <c r="B34" s="219">
        <v>30.46</v>
      </c>
      <c r="C34" s="219">
        <v>31.81</v>
      </c>
      <c r="D34" s="219">
        <v>31.89</v>
      </c>
      <c r="E34" s="219"/>
      <c r="F34" s="219"/>
      <c r="G34" s="219"/>
      <c r="H34" s="219"/>
      <c r="I34" s="219"/>
      <c r="J34" s="219"/>
      <c r="K34" s="219"/>
      <c r="L34" s="219"/>
      <c r="M34" s="219"/>
    </row>
    <row r="35" spans="1:13">
      <c r="A35" s="215" t="s">
        <v>165</v>
      </c>
      <c r="B35" s="219">
        <v>54.82</v>
      </c>
      <c r="C35" s="219">
        <v>41.33</v>
      </c>
      <c r="D35" s="219">
        <v>48.4</v>
      </c>
      <c r="E35" s="219">
        <f>'Interface EEG-CO2-Preis-Rechner'!E2</f>
        <v>78.400000000000006</v>
      </c>
      <c r="F35" s="219">
        <f>'Interface EEG-CO2-Preis-Rechner'!F2</f>
        <v>87.52</v>
      </c>
      <c r="G35" s="219">
        <f>'Interface EEG-CO2-Preis-Rechner'!G2</f>
        <v>72.53</v>
      </c>
      <c r="H35" s="219">
        <f>'Interface EEG-CO2-Preis-Rechner'!H2</f>
        <v>71.599999999999994</v>
      </c>
      <c r="I35" s="219">
        <f>'Interface EEG-CO2-Preis-Rechner'!I2</f>
        <v>70.62</v>
      </c>
      <c r="J35" s="219">
        <f>'Interface EEG-CO2-Preis-Rechner'!J2</f>
        <v>70.350000000000009</v>
      </c>
      <c r="K35" s="219">
        <f>'Interface EEG-CO2-Preis-Rechner'!K2</f>
        <v>69.61</v>
      </c>
      <c r="L35" s="219">
        <f>'Interface EEG-CO2-Preis-Rechner'!L2</f>
        <v>68.930000000000007</v>
      </c>
      <c r="M35" s="219">
        <f>'Interface EEG-CO2-Preis-Rechner'!M2</f>
        <v>68.58</v>
      </c>
    </row>
    <row r="36" spans="1:13">
      <c r="A36" s="215" t="s">
        <v>166</v>
      </c>
      <c r="B36" s="219">
        <f>B35/10</f>
        <v>5.4820000000000002</v>
      </c>
      <c r="C36" s="219">
        <f t="shared" ref="C36:M36" si="11">C35/10</f>
        <v>4.133</v>
      </c>
      <c r="D36" s="219">
        <f t="shared" si="11"/>
        <v>4.84</v>
      </c>
      <c r="E36" s="219">
        <f t="shared" si="11"/>
        <v>7.8400000000000007</v>
      </c>
      <c r="F36" s="219">
        <f t="shared" si="11"/>
        <v>8.7519999999999989</v>
      </c>
      <c r="G36" s="219">
        <f t="shared" si="11"/>
        <v>7.2530000000000001</v>
      </c>
      <c r="H36" s="219">
        <f t="shared" si="11"/>
        <v>7.1599999999999993</v>
      </c>
      <c r="I36" s="219">
        <f t="shared" si="11"/>
        <v>7.0620000000000003</v>
      </c>
      <c r="J36" s="219">
        <f t="shared" si="11"/>
        <v>7.035000000000001</v>
      </c>
      <c r="K36" s="219">
        <f t="shared" si="11"/>
        <v>6.9610000000000003</v>
      </c>
      <c r="L36" s="219">
        <f t="shared" si="11"/>
        <v>6.8930000000000007</v>
      </c>
      <c r="M36" s="219">
        <f t="shared" si="11"/>
        <v>6.8579999999999997</v>
      </c>
    </row>
    <row r="37" spans="1:13">
      <c r="A37" s="215" t="s">
        <v>170</v>
      </c>
      <c r="B37" s="219">
        <f>'Start - Ergebnisse'!D60</f>
        <v>6.406581826229905</v>
      </c>
      <c r="C37" s="219">
        <f>'Start - Ergebnisse'!E60</f>
        <v>6.7581163138201807</v>
      </c>
      <c r="D37" s="219">
        <f>'Start - Ergebnisse'!F60</f>
        <v>6.5036153637169196</v>
      </c>
      <c r="E37" s="219">
        <f>'Start - Ergebnisse'!G60</f>
        <v>3.7231670924852511</v>
      </c>
      <c r="F37" s="219">
        <f>'Start - Ergebnisse'!H60</f>
        <v>0</v>
      </c>
      <c r="G37" s="219">
        <f>'Start - Ergebnisse'!I60</f>
        <v>0</v>
      </c>
      <c r="H37" s="219">
        <f>'Start - Ergebnisse'!J60</f>
        <v>0</v>
      </c>
      <c r="I37" s="219">
        <f>'Start - Ergebnisse'!K60</f>
        <v>0</v>
      </c>
      <c r="J37" s="219">
        <f>'Start - Ergebnisse'!L60</f>
        <v>0</v>
      </c>
      <c r="K37" s="219">
        <f>'Start - Ergebnisse'!M60</f>
        <v>0</v>
      </c>
      <c r="L37" s="219">
        <f>'Start - Ergebnisse'!N60</f>
        <v>0</v>
      </c>
      <c r="M37" s="219">
        <f>'Start - Ergebnisse'!O60</f>
        <v>0</v>
      </c>
    </row>
    <row r="38" spans="1:13">
      <c r="A38" s="215" t="s">
        <v>83</v>
      </c>
      <c r="B38" s="219">
        <f>'Steuer- und Abgabensätze'!B43</f>
        <v>2.0499999999999998</v>
      </c>
      <c r="C38" s="219">
        <f>'Steuer- und Abgabensätze'!C43</f>
        <v>2.0499999999999998</v>
      </c>
      <c r="D38" s="219">
        <f>'Steuer- und Abgabensätze'!D43</f>
        <v>2.0499999999999998</v>
      </c>
      <c r="E38" s="219">
        <f>'Steuer- und Abgabensätze'!E43</f>
        <v>2.0499999999999998</v>
      </c>
      <c r="F38" s="219">
        <f>'Steuer- und Abgabensätze'!F43</f>
        <v>2.0499999999999998</v>
      </c>
      <c r="G38" s="219">
        <f>'Steuer- und Abgabensätze'!G43</f>
        <v>2.0499999999999998</v>
      </c>
      <c r="H38" s="219">
        <f>'Steuer- und Abgabensätze'!H43</f>
        <v>2.0499999999999998</v>
      </c>
      <c r="I38" s="219">
        <f>'Steuer- und Abgabensätze'!I43</f>
        <v>2.0499999999999998</v>
      </c>
      <c r="J38" s="219">
        <f>'Steuer- und Abgabensätze'!J43</f>
        <v>2.0499999999999998</v>
      </c>
      <c r="K38" s="219">
        <f>'Steuer- und Abgabensätze'!K43</f>
        <v>2.0499999999999998</v>
      </c>
      <c r="L38" s="219">
        <f>'Steuer- und Abgabensätze'!L43</f>
        <v>2.0499999999999998</v>
      </c>
      <c r="M38" s="219">
        <f>'Steuer- und Abgabensätze'!M43</f>
        <v>2.0499999999999998</v>
      </c>
    </row>
    <row r="39" spans="1:13">
      <c r="A39" s="215" t="s">
        <v>13</v>
      </c>
      <c r="B39" s="219">
        <f>'Steuer- und Abgabensätze'!B47</f>
        <v>0.28000000000000003</v>
      </c>
      <c r="C39" s="219">
        <f>'Steuer- und Abgabensätze'!C47</f>
        <v>0.22600000000000001</v>
      </c>
      <c r="D39" s="219">
        <f>'Steuer- und Abgabensätze'!D47</f>
        <v>0.254</v>
      </c>
      <c r="E39" s="219">
        <f>'Steuer- und Abgabensätze'!E47</f>
        <v>0.254</v>
      </c>
      <c r="F39" s="219">
        <f>'Steuer- und Abgabensätze'!F47</f>
        <v>0.254</v>
      </c>
      <c r="G39" s="219">
        <f>'Steuer- und Abgabensätze'!G47</f>
        <v>0.254</v>
      </c>
      <c r="H39" s="219">
        <f>'Steuer- und Abgabensätze'!H47</f>
        <v>0.254</v>
      </c>
      <c r="I39" s="219">
        <f>'Steuer- und Abgabensätze'!I47</f>
        <v>0.254</v>
      </c>
      <c r="J39" s="219">
        <f>'Steuer- und Abgabensätze'!J47</f>
        <v>0.254</v>
      </c>
      <c r="K39" s="219">
        <f>'Steuer- und Abgabensätze'!K47</f>
        <v>0.254</v>
      </c>
      <c r="L39" s="219">
        <f>'Steuer- und Abgabensätze'!L47</f>
        <v>0.254</v>
      </c>
      <c r="M39" s="219">
        <f>'Steuer- und Abgabensätze'!M47</f>
        <v>0.254</v>
      </c>
    </row>
    <row r="40" spans="1:13">
      <c r="A40" s="215" t="s">
        <v>14</v>
      </c>
      <c r="B40" s="219">
        <f>'Steuer- und Abgabensätze'!B48</f>
        <v>0.30499999999999999</v>
      </c>
      <c r="C40" s="219">
        <f>'Steuer- und Abgabensätze'!C48</f>
        <v>0.35799999999999998</v>
      </c>
      <c r="D40" s="219">
        <f>'Steuer- und Abgabensätze'!D48</f>
        <v>0.432</v>
      </c>
      <c r="E40" s="219">
        <f>'Steuer- und Abgabensätze'!E48</f>
        <v>0.40471806950975447</v>
      </c>
      <c r="F40" s="219">
        <f>'Steuer- und Abgabensätze'!F48</f>
        <v>0.40471806950975447</v>
      </c>
      <c r="G40" s="219">
        <f>'Steuer- und Abgabensätze'!G48</f>
        <v>0.40471806950975447</v>
      </c>
      <c r="H40" s="219">
        <f>'Steuer- und Abgabensätze'!H48</f>
        <v>0.40471806950975447</v>
      </c>
      <c r="I40" s="219">
        <f>'Steuer- und Abgabensätze'!I48</f>
        <v>0.40471806950975447</v>
      </c>
      <c r="J40" s="219">
        <f>'Steuer- und Abgabensätze'!J48</f>
        <v>0.40471806950975447</v>
      </c>
      <c r="K40" s="219">
        <f>'Steuer- und Abgabensätze'!K48</f>
        <v>0.40471806950975447</v>
      </c>
      <c r="L40" s="219">
        <f>'Steuer- und Abgabensätze'!L48</f>
        <v>0.40471806950975447</v>
      </c>
      <c r="M40" s="219">
        <f>'Steuer- und Abgabensätze'!M48</f>
        <v>0.40471806950975447</v>
      </c>
    </row>
    <row r="41" spans="1:13">
      <c r="A41" s="215" t="s">
        <v>15</v>
      </c>
      <c r="B41" s="219">
        <f>'Steuer- und Abgabensätze'!B49</f>
        <v>0.41599999999999998</v>
      </c>
      <c r="C41" s="219">
        <f>'Steuer- und Abgabensätze'!C49</f>
        <v>0.41599999999999998</v>
      </c>
      <c r="D41" s="219">
        <f>'Steuer- und Abgabensätze'!D49</f>
        <v>0.39500000000000002</v>
      </c>
      <c r="E41" s="219">
        <f>'Steuer- und Abgabensätze'!E49</f>
        <v>0.40914879317362302</v>
      </c>
      <c r="F41" s="219">
        <f>'Steuer- und Abgabensätze'!F49</f>
        <v>0.40914879317362302</v>
      </c>
      <c r="G41" s="219">
        <f>'Steuer- und Abgabensätze'!G49</f>
        <v>0.40914879317362302</v>
      </c>
      <c r="H41" s="219">
        <f>'Steuer- und Abgabensätze'!H49</f>
        <v>0.40914879317362302</v>
      </c>
      <c r="I41" s="219">
        <f>'Steuer- und Abgabensätze'!I49</f>
        <v>0.40914879317362302</v>
      </c>
      <c r="J41" s="219">
        <f>'Steuer- und Abgabensätze'!J49</f>
        <v>0.40914879317362302</v>
      </c>
      <c r="K41" s="219">
        <f>'Steuer- und Abgabensätze'!K49</f>
        <v>0.40914879317362302</v>
      </c>
      <c r="L41" s="219">
        <f>'Steuer- und Abgabensätze'!L49</f>
        <v>0.40914879317362302</v>
      </c>
      <c r="M41" s="219">
        <f>'Steuer- und Abgabensätze'!M49</f>
        <v>0.40914879317362302</v>
      </c>
    </row>
    <row r="42" spans="1:13">
      <c r="A42" s="215" t="s">
        <v>16</v>
      </c>
      <c r="B42" s="219">
        <f>'Steuer- und Abgabensätze'!B50</f>
        <v>5.0000000000000001E-3</v>
      </c>
      <c r="C42" s="219">
        <f>'Steuer- und Abgabensätze'!C50</f>
        <v>7.0000000000000001E-3</v>
      </c>
      <c r="D42" s="219">
        <f>'Steuer- und Abgabensätze'!D50</f>
        <v>8.9999999999999993E-3</v>
      </c>
      <c r="E42" s="219">
        <f>'Steuer- und Abgabensätze'!E50</f>
        <v>8.0612580505828625E-3</v>
      </c>
      <c r="F42" s="219">
        <f>'Steuer- und Abgabensätze'!F50</f>
        <v>8.5979484449188112E-3</v>
      </c>
      <c r="G42" s="219">
        <f>'Steuer- und Abgabensätze'!G50</f>
        <v>8.6621314174835269E-3</v>
      </c>
      <c r="H42" s="219">
        <f>'Steuer- und Abgabensätze'!H50</f>
        <v>8.4394528281696631E-3</v>
      </c>
      <c r="I42" s="219">
        <f>'Steuer- und Abgabensätze'!I50</f>
        <v>8.5663541046175212E-3</v>
      </c>
      <c r="J42" s="219">
        <f>'Steuer- und Abgabensätze'!J50</f>
        <v>8.555800538898985E-3</v>
      </c>
      <c r="K42" s="219">
        <f>'Steuer- und Abgabensätze'!K50</f>
        <v>8.5204848469566975E-3</v>
      </c>
      <c r="L42" s="219">
        <f>'Steuer- und Abgabensätze'!L50</f>
        <v>8.5475416435983765E-3</v>
      </c>
      <c r="M42" s="219">
        <f>'Steuer- und Abgabensätze'!M50</f>
        <v>8.5412704139069019E-3</v>
      </c>
    </row>
    <row r="43" spans="1:13">
      <c r="A43" s="215" t="s">
        <v>77</v>
      </c>
      <c r="B43" s="219">
        <f>'Steuer- und Abgabensätze'!B51</f>
        <v>1.7</v>
      </c>
      <c r="C43" s="219">
        <f>'Steuer- und Abgabensätze'!C51</f>
        <v>1.7</v>
      </c>
      <c r="D43" s="219">
        <f>'Steuer- und Abgabensätze'!D51</f>
        <v>1.7</v>
      </c>
      <c r="E43" s="219">
        <f>'Steuer- und Abgabensätze'!E51</f>
        <v>1.7</v>
      </c>
      <c r="F43" s="219">
        <f>'Steuer- und Abgabensätze'!F51</f>
        <v>1.7</v>
      </c>
      <c r="G43" s="219">
        <f>'Steuer- und Abgabensätze'!G51</f>
        <v>1.7</v>
      </c>
      <c r="H43" s="219">
        <f>'Steuer- und Abgabensätze'!H51</f>
        <v>1.7</v>
      </c>
      <c r="I43" s="219">
        <f>'Steuer- und Abgabensätze'!I51</f>
        <v>1.7</v>
      </c>
      <c r="J43" s="219">
        <f>'Steuer- und Abgabensätze'!J51</f>
        <v>1.7</v>
      </c>
      <c r="K43" s="219">
        <f>'Steuer- und Abgabensätze'!K51</f>
        <v>1.7</v>
      </c>
      <c r="L43" s="219">
        <f>'Steuer- und Abgabensätze'!L51</f>
        <v>1.7</v>
      </c>
      <c r="M43" s="219">
        <f>'Steuer- und Abgabensätze'!M51</f>
        <v>1.7</v>
      </c>
    </row>
    <row r="44" spans="1:13">
      <c r="A44" s="215" t="s">
        <v>167</v>
      </c>
      <c r="B44" s="219">
        <f>'Steuer- und Abgabensätze'!B52</f>
        <v>7.39</v>
      </c>
      <c r="C44" s="219">
        <f>'Steuer- und Abgabensätze'!C52</f>
        <v>7.75</v>
      </c>
      <c r="D44" s="219">
        <f>'Steuer- und Abgabensätze'!D52</f>
        <v>7.8</v>
      </c>
      <c r="E44" s="219">
        <f>'Steuer- und Abgabensätze'!E52</f>
        <v>7.8</v>
      </c>
      <c r="F44" s="219">
        <f>'Steuer- und Abgabensätze'!F52</f>
        <v>7.8</v>
      </c>
      <c r="G44" s="219">
        <f>'Steuer- und Abgabensätze'!G52</f>
        <v>7.8</v>
      </c>
      <c r="H44" s="219">
        <f>'Steuer- und Abgabensätze'!H52</f>
        <v>7.8</v>
      </c>
      <c r="I44" s="219">
        <f>'Steuer- und Abgabensätze'!I52</f>
        <v>7.8</v>
      </c>
      <c r="J44" s="219">
        <f>'Steuer- und Abgabensätze'!J52</f>
        <v>7.8</v>
      </c>
      <c r="K44" s="219">
        <f>'Steuer- und Abgabensätze'!K52</f>
        <v>7.8</v>
      </c>
      <c r="L44" s="219">
        <f>'Steuer- und Abgabensätze'!L52</f>
        <v>7.8</v>
      </c>
      <c r="M44" s="219">
        <f>'Steuer- und Abgabensätze'!M52</f>
        <v>7.8</v>
      </c>
    </row>
    <row r="45" spans="1:13">
      <c r="A45" s="215" t="s">
        <v>266</v>
      </c>
      <c r="B45" s="219">
        <f>'Steuer- und Abgabensätze'!B53</f>
        <v>1.56</v>
      </c>
      <c r="C45" s="219">
        <f>'Steuer- und Abgabensätze'!C53</f>
        <v>3.34</v>
      </c>
      <c r="D45" s="219">
        <f>'Steuer- und Abgabensätze'!D53</f>
        <v>2.82</v>
      </c>
      <c r="E45" s="219">
        <f>'Steuer- und Abgabensätze'!E53</f>
        <v>3</v>
      </c>
      <c r="F45" s="219">
        <f>'Steuer- und Abgabensätze'!F53</f>
        <v>3</v>
      </c>
      <c r="G45" s="219">
        <f>'Steuer- und Abgabensätze'!G53</f>
        <v>3</v>
      </c>
      <c r="H45" s="219">
        <f>'Steuer- und Abgabensätze'!H53</f>
        <v>3</v>
      </c>
      <c r="I45" s="219">
        <f>'Steuer- und Abgabensätze'!I53</f>
        <v>3</v>
      </c>
      <c r="J45" s="219">
        <f>'Steuer- und Abgabensätze'!J53</f>
        <v>3</v>
      </c>
      <c r="K45" s="219">
        <f>'Steuer- und Abgabensätze'!K53</f>
        <v>3</v>
      </c>
      <c r="L45" s="219">
        <f>'Steuer- und Abgabensätze'!L53</f>
        <v>3</v>
      </c>
      <c r="M45" s="219">
        <f>'Steuer- und Abgabensätze'!M53</f>
        <v>3</v>
      </c>
    </row>
    <row r="46" spans="1:13">
      <c r="A46" s="215" t="s">
        <v>41</v>
      </c>
      <c r="B46" s="219">
        <f>SUM(B36:B45)*'Steuer- und Abgabensätze'!B5</f>
        <v>4.8629705469836821</v>
      </c>
      <c r="C46" s="219">
        <f>SUM(C36:C45)*'Steuer- und Abgabensätze'!C5</f>
        <v>4.6791703549185319</v>
      </c>
      <c r="D46" s="219">
        <f>SUM(D36:D45)*'Steuer- und Abgabensätze'!D5</f>
        <v>5.0926869191062147</v>
      </c>
      <c r="E46" s="219">
        <f>SUM(E36:E45)*'Steuer- und Abgabensätze'!E5</f>
        <v>5.1659280905116507</v>
      </c>
      <c r="F46" s="219">
        <f>SUM(F36:F45)*'Steuer- und Abgabensätze'!F5</f>
        <v>4.6319083141143764</v>
      </c>
      <c r="G46" s="219">
        <f>SUM(G36:G45)*'Steuer- und Abgabensätze'!G5</f>
        <v>4.3471105088791635</v>
      </c>
      <c r="H46" s="219">
        <f>SUM(H36:H45)*'Steuer- und Abgabensätze'!H5</f>
        <v>4.3293981999471933</v>
      </c>
      <c r="I46" s="219">
        <f>SUM(I36:I45)*'Steuer- und Abgabensätze'!I5</f>
        <v>4.3108023111897191</v>
      </c>
      <c r="J46" s="219">
        <f>SUM(J36:J45)*'Steuer- und Abgabensätze'!J5</f>
        <v>4.3056703060122326</v>
      </c>
      <c r="K46" s="219">
        <f>SUM(K36:K45)*'Steuer- und Abgabensätze'!K5</f>
        <v>4.2916035960307628</v>
      </c>
      <c r="L46" s="219">
        <f>SUM(L36:L45)*'Steuer- und Abgabensätze'!L5</f>
        <v>4.2786887368221258</v>
      </c>
      <c r="M46" s="219">
        <f>SUM(M36:M45)*'Steuer- und Abgabensätze'!M5</f>
        <v>4.2720375452884838</v>
      </c>
    </row>
    <row r="47" spans="1:13">
      <c r="A47" s="221" t="s">
        <v>171</v>
      </c>
      <c r="B47" s="221">
        <f>SUM(B36:B46)</f>
        <v>30.457552373213588</v>
      </c>
      <c r="C47" s="221">
        <f t="shared" ref="C47:M47" si="12">SUM(C36:C46)</f>
        <v>31.417286668738715</v>
      </c>
      <c r="D47" s="221">
        <f t="shared" si="12"/>
        <v>31.896302282823132</v>
      </c>
      <c r="E47" s="221">
        <f t="shared" si="12"/>
        <v>32.355023303730867</v>
      </c>
      <c r="F47" s="221">
        <f t="shared" si="12"/>
        <v>29.010373125242673</v>
      </c>
      <c r="G47" s="221">
        <f t="shared" si="12"/>
        <v>27.226639502980028</v>
      </c>
      <c r="H47" s="221">
        <f t="shared" si="12"/>
        <v>27.115704515458738</v>
      </c>
      <c r="I47" s="221">
        <f t="shared" si="12"/>
        <v>26.999235527977714</v>
      </c>
      <c r="J47" s="221">
        <f t="shared" si="12"/>
        <v>26.967092969234507</v>
      </c>
      <c r="K47" s="221">
        <f t="shared" si="12"/>
        <v>26.878990943561092</v>
      </c>
      <c r="L47" s="221">
        <f t="shared" si="12"/>
        <v>26.798103141149102</v>
      </c>
      <c r="M47" s="221">
        <f t="shared" si="12"/>
        <v>26.756445678385766</v>
      </c>
    </row>
    <row r="49" spans="1:13" ht="15">
      <c r="A49" s="175" t="s">
        <v>10</v>
      </c>
    </row>
    <row r="50" spans="1:13">
      <c r="A50" s="215" t="s">
        <v>174</v>
      </c>
      <c r="B50" s="219">
        <v>6.17</v>
      </c>
      <c r="C50" s="219">
        <v>5.97</v>
      </c>
      <c r="D50" s="219">
        <v>6.11</v>
      </c>
      <c r="E50" s="219"/>
      <c r="F50" s="219"/>
      <c r="G50" s="219"/>
      <c r="H50" s="219"/>
      <c r="I50" s="219"/>
      <c r="J50" s="219"/>
      <c r="K50" s="219"/>
      <c r="L50" s="219"/>
      <c r="M50" s="219"/>
    </row>
    <row r="51" spans="1:13">
      <c r="A51" s="215" t="s">
        <v>173</v>
      </c>
      <c r="B51" s="219">
        <f>B7</f>
        <v>21.67</v>
      </c>
      <c r="C51" s="219">
        <f t="shared" ref="C51:M51" si="13">C7</f>
        <v>13.13</v>
      </c>
      <c r="D51" s="219">
        <f t="shared" si="13"/>
        <v>17.05</v>
      </c>
      <c r="E51" s="219">
        <f t="shared" si="13"/>
        <v>17.537500000000001</v>
      </c>
      <c r="F51" s="219">
        <f t="shared" si="13"/>
        <v>18.025000000000002</v>
      </c>
      <c r="G51" s="219">
        <f t="shared" si="13"/>
        <v>18.512500000000003</v>
      </c>
      <c r="H51" s="219">
        <f t="shared" si="13"/>
        <v>19</v>
      </c>
      <c r="I51" s="219">
        <f t="shared" si="13"/>
        <v>19.2</v>
      </c>
      <c r="J51" s="219">
        <f t="shared" si="13"/>
        <v>19.399999999999999</v>
      </c>
      <c r="K51" s="219">
        <f t="shared" si="13"/>
        <v>19.599999999999998</v>
      </c>
      <c r="L51" s="219">
        <f t="shared" si="13"/>
        <v>19.799999999999997</v>
      </c>
      <c r="M51" s="219">
        <f t="shared" si="13"/>
        <v>20</v>
      </c>
    </row>
    <row r="52" spans="1:13">
      <c r="A52" s="215" t="s">
        <v>166</v>
      </c>
      <c r="B52" s="219">
        <f>B51/10</f>
        <v>2.1670000000000003</v>
      </c>
      <c r="C52" s="219">
        <f>C51/10</f>
        <v>1.3130000000000002</v>
      </c>
      <c r="D52" s="219">
        <f>D51/10</f>
        <v>1.7050000000000001</v>
      </c>
      <c r="E52" s="219">
        <f t="shared" ref="E52:M52" si="14">E51/10</f>
        <v>1.7537500000000001</v>
      </c>
      <c r="F52" s="219">
        <f t="shared" si="14"/>
        <v>1.8025000000000002</v>
      </c>
      <c r="G52" s="219">
        <f t="shared" si="14"/>
        <v>1.8512500000000003</v>
      </c>
      <c r="H52" s="219">
        <f t="shared" si="14"/>
        <v>1.9</v>
      </c>
      <c r="I52" s="219">
        <f t="shared" si="14"/>
        <v>1.92</v>
      </c>
      <c r="J52" s="219">
        <f t="shared" si="14"/>
        <v>1.94</v>
      </c>
      <c r="K52" s="219">
        <f t="shared" si="14"/>
        <v>1.9599999999999997</v>
      </c>
      <c r="L52" s="219">
        <f t="shared" si="14"/>
        <v>1.9799999999999998</v>
      </c>
      <c r="M52" s="219">
        <f t="shared" si="14"/>
        <v>2</v>
      </c>
    </row>
    <row r="53" spans="1:13">
      <c r="A53" s="215" t="s">
        <v>30</v>
      </c>
      <c r="B53" s="219">
        <f>'Steuer- und Abgabensätze'!B34</f>
        <v>0.55000000000000004</v>
      </c>
      <c r="C53" s="219">
        <f>'Steuer- und Abgabensätze'!C34</f>
        <v>0.55000000000000004</v>
      </c>
      <c r="D53" s="219">
        <f>'Steuer- und Abgabensätze'!D34</f>
        <v>0.55000000000000004</v>
      </c>
      <c r="E53" s="219">
        <f>'Steuer- und Abgabensätze'!E34</f>
        <v>0.55000000000000004</v>
      </c>
      <c r="F53" s="219">
        <f>'Steuer- und Abgabensätze'!F34</f>
        <v>0.55000000000000004</v>
      </c>
      <c r="G53" s="219">
        <f>'Steuer- und Abgabensätze'!G34</f>
        <v>0.55000000000000004</v>
      </c>
      <c r="H53" s="219">
        <f>'Steuer- und Abgabensätze'!H34</f>
        <v>0.55000000000000004</v>
      </c>
      <c r="I53" s="219">
        <f>'Steuer- und Abgabensätze'!I34</f>
        <v>0.55000000000000004</v>
      </c>
      <c r="J53" s="219">
        <f>'Steuer- und Abgabensätze'!J34</f>
        <v>0.55000000000000004</v>
      </c>
      <c r="K53" s="219">
        <f>'Steuer- und Abgabensätze'!K34</f>
        <v>0.55000000000000004</v>
      </c>
      <c r="L53" s="219">
        <f>'Steuer- und Abgabensätze'!L34</f>
        <v>0.55000000000000004</v>
      </c>
      <c r="M53" s="219">
        <f>'Steuer- und Abgabensätze'!M34</f>
        <v>0.55000000000000004</v>
      </c>
    </row>
    <row r="54" spans="1:13">
      <c r="A54" s="215" t="s">
        <v>167</v>
      </c>
      <c r="B54" s="219">
        <v>1.55</v>
      </c>
      <c r="C54" s="219">
        <v>1.6</v>
      </c>
      <c r="D54" s="219">
        <v>1.64</v>
      </c>
      <c r="E54" s="219">
        <v>1.7</v>
      </c>
      <c r="F54" s="219">
        <v>1.7</v>
      </c>
      <c r="G54" s="219">
        <v>1.7</v>
      </c>
      <c r="H54" s="219">
        <v>1.7</v>
      </c>
      <c r="I54" s="219">
        <v>1.7</v>
      </c>
      <c r="J54" s="219">
        <v>1.7</v>
      </c>
      <c r="K54" s="219">
        <v>1.7</v>
      </c>
      <c r="L54" s="219">
        <v>1.7</v>
      </c>
      <c r="M54" s="219">
        <v>1.7</v>
      </c>
    </row>
    <row r="55" spans="1:13">
      <c r="A55" s="215" t="s">
        <v>77</v>
      </c>
      <c r="B55" s="219">
        <f>'Steuer- und Abgabensätze'!B37</f>
        <v>0.03</v>
      </c>
      <c r="C55" s="219">
        <f>'Steuer- und Abgabensätze'!C37</f>
        <v>0.03</v>
      </c>
      <c r="D55" s="219">
        <f>'Steuer- und Abgabensätze'!D37</f>
        <v>0.03</v>
      </c>
      <c r="E55" s="219">
        <f>'Steuer- und Abgabensätze'!E37</f>
        <v>0.03</v>
      </c>
      <c r="F55" s="219">
        <f>'Steuer- und Abgabensätze'!F37</f>
        <v>0.03</v>
      </c>
      <c r="G55" s="219">
        <f>'Steuer- und Abgabensätze'!G37</f>
        <v>0.03</v>
      </c>
      <c r="H55" s="219">
        <f>'Steuer- und Abgabensätze'!H37</f>
        <v>0.03</v>
      </c>
      <c r="I55" s="219">
        <f>'Steuer- und Abgabensätze'!I37</f>
        <v>0.03</v>
      </c>
      <c r="J55" s="219">
        <f>'Steuer- und Abgabensätze'!J37</f>
        <v>0.03</v>
      </c>
      <c r="K55" s="219">
        <f>'Steuer- und Abgabensätze'!K37</f>
        <v>0.03</v>
      </c>
      <c r="L55" s="219">
        <f>'Steuer- und Abgabensätze'!L37</f>
        <v>0.03</v>
      </c>
      <c r="M55" s="219">
        <f>'Steuer- und Abgabensätze'!M37</f>
        <v>0.03</v>
      </c>
    </row>
    <row r="56" spans="1:13">
      <c r="A56" s="215" t="s">
        <v>163</v>
      </c>
      <c r="B56" s="219">
        <f>'Physikalische Parameter'!$E$9*'Steuer- und Abgabensätze'!B4*100</f>
        <v>0</v>
      </c>
      <c r="C56" s="219">
        <f>'Physikalische Parameter'!$E$9*'Steuer- und Abgabensätze'!C4*100</f>
        <v>0</v>
      </c>
      <c r="D56" s="219">
        <f>'Physikalische Parameter'!$E$9*'Steuer- und Abgabensätze'!D4/10</f>
        <v>0.45511200000000002</v>
      </c>
      <c r="E56" s="219">
        <f>'Physikalische Parameter'!$E$9*'Steuer- und Abgabensätze'!E4/10</f>
        <v>0.54613440000000002</v>
      </c>
      <c r="F56" s="219">
        <f>'Physikalische Parameter'!$E$9*'Steuer- und Abgabensätze'!F4/10</f>
        <v>0.63715679999999997</v>
      </c>
      <c r="G56" s="219">
        <f>'Physikalische Parameter'!$E$9*'Steuer- und Abgabensätze'!G4/10</f>
        <v>0.81920160000000009</v>
      </c>
      <c r="H56" s="219">
        <f>'Physikalische Parameter'!$E$9*'Steuer- und Abgabensätze'!H4/10</f>
        <v>1.0012463999999999</v>
      </c>
      <c r="I56" s="219">
        <f>'Physikalische Parameter'!$E$9*'Steuer- und Abgabensätze'!I4/10</f>
        <v>1.0922688</v>
      </c>
      <c r="J56" s="219">
        <f>'Physikalische Parameter'!$E$9*'Steuer- und Abgabensätze'!J4/10</f>
        <v>1.0922688</v>
      </c>
      <c r="K56" s="219">
        <f>'Physikalische Parameter'!$E$9*'Steuer- und Abgabensätze'!K4/10</f>
        <v>1.0922688</v>
      </c>
      <c r="L56" s="219">
        <f>'Physikalische Parameter'!$E$9*'Steuer- und Abgabensätze'!L4/10</f>
        <v>1.0922688</v>
      </c>
      <c r="M56" s="219">
        <f>'Physikalische Parameter'!$E$9*'Steuer- und Abgabensätze'!M4/10</f>
        <v>1.0922688</v>
      </c>
    </row>
    <row r="57" spans="1:13">
      <c r="A57" s="215" t="s">
        <v>266</v>
      </c>
      <c r="B57" s="219">
        <f>'Steuer- und Abgabensätze'!B39</f>
        <v>0.89</v>
      </c>
      <c r="C57" s="219">
        <f>'Steuer- und Abgabensätze'!C39</f>
        <v>1.59</v>
      </c>
      <c r="D57" s="219">
        <f>'Steuer- und Abgabensätze'!D39</f>
        <v>0.76</v>
      </c>
      <c r="E57" s="219">
        <f>'Steuer- und Abgabensätze'!E39</f>
        <v>0.8</v>
      </c>
      <c r="F57" s="219">
        <f>'Steuer- und Abgabensätze'!F39</f>
        <v>0.8</v>
      </c>
      <c r="G57" s="219">
        <f>'Steuer- und Abgabensätze'!G39</f>
        <v>0.8</v>
      </c>
      <c r="H57" s="219">
        <f>'Steuer- und Abgabensätze'!H39</f>
        <v>0.8</v>
      </c>
      <c r="I57" s="219">
        <f>'Steuer- und Abgabensätze'!I39</f>
        <v>0.8</v>
      </c>
      <c r="J57" s="219">
        <f>'Steuer- und Abgabensätze'!J39</f>
        <v>0.8</v>
      </c>
      <c r="K57" s="219">
        <f>'Steuer- und Abgabensätze'!K39</f>
        <v>0.8</v>
      </c>
      <c r="L57" s="219">
        <f>'Steuer- und Abgabensätze'!L39</f>
        <v>0.8</v>
      </c>
      <c r="M57" s="219">
        <f>'Steuer- und Abgabensätze'!M39</f>
        <v>0.8</v>
      </c>
    </row>
    <row r="58" spans="1:13">
      <c r="A58" s="215" t="s">
        <v>41</v>
      </c>
      <c r="B58" s="219">
        <f>SUM(B52:B57)*'Steuer- und Abgabensätze'!B5</f>
        <v>0.98553000000000002</v>
      </c>
      <c r="C58" s="219">
        <f>SUM(C52:C57)*'Steuer- und Abgabensätze'!C5</f>
        <v>0.88952500000000001</v>
      </c>
      <c r="D58" s="219">
        <f>SUM(D52:D57)*'Steuer- und Abgabensätze'!D5</f>
        <v>0.97662127999999993</v>
      </c>
      <c r="E58" s="219">
        <f>SUM(E52:E57)*'Steuer- und Abgabensätze'!E5</f>
        <v>1.0221780359999999</v>
      </c>
      <c r="F58" s="219">
        <f>SUM(F52:F57)*'Steuer- und Abgabensätze'!F5</f>
        <v>1.0487347920000001</v>
      </c>
      <c r="G58" s="219">
        <f>SUM(G52:G57)*'Steuer- und Abgabensätze'!G5</f>
        <v>1.092585804</v>
      </c>
      <c r="H58" s="219">
        <f>SUM(H52:H57)*'Steuer- und Abgabensätze'!H5</f>
        <v>1.1364368160000002</v>
      </c>
      <c r="I58" s="219">
        <f>SUM(I52:I57)*'Steuer- und Abgabensätze'!I5</f>
        <v>1.157531072</v>
      </c>
      <c r="J58" s="219">
        <f>SUM(J52:J57)*'Steuer- und Abgabensätze'!J5</f>
        <v>1.1613310720000001</v>
      </c>
      <c r="K58" s="219">
        <f>SUM(K52:K57)*'Steuer- und Abgabensätze'!K5</f>
        <v>1.1651310720000001</v>
      </c>
      <c r="L58" s="219">
        <f>SUM(L52:L57)*'Steuer- und Abgabensätze'!L5</f>
        <v>1.1689310719999999</v>
      </c>
      <c r="M58" s="219">
        <f>SUM(M52:M57)*'Steuer- und Abgabensätze'!M5</f>
        <v>1.1727310720000002</v>
      </c>
    </row>
    <row r="59" spans="1:13">
      <c r="A59" s="221" t="s">
        <v>171</v>
      </c>
      <c r="B59" s="221">
        <f>SUM(B52:B58)</f>
        <v>6.1725300000000001</v>
      </c>
      <c r="C59" s="221">
        <f t="shared" ref="C59:M59" si="15">SUM(C52:C58)</f>
        <v>5.9725250000000001</v>
      </c>
      <c r="D59" s="221">
        <f t="shared" si="15"/>
        <v>6.1167332799999992</v>
      </c>
      <c r="E59" s="221">
        <f t="shared" si="15"/>
        <v>6.4020624359999996</v>
      </c>
      <c r="F59" s="221">
        <f t="shared" si="15"/>
        <v>6.5683915920000002</v>
      </c>
      <c r="G59" s="221">
        <f t="shared" si="15"/>
        <v>6.8430374040000004</v>
      </c>
      <c r="H59" s="221">
        <f t="shared" si="15"/>
        <v>7.1176832160000014</v>
      </c>
      <c r="I59" s="221">
        <f t="shared" si="15"/>
        <v>7.2497998720000005</v>
      </c>
      <c r="J59" s="221">
        <f t="shared" si="15"/>
        <v>7.273599872000001</v>
      </c>
      <c r="K59" s="221">
        <f t="shared" si="15"/>
        <v>7.2973998720000006</v>
      </c>
      <c r="L59" s="221">
        <f t="shared" si="15"/>
        <v>7.3211998719999993</v>
      </c>
      <c r="M59" s="221">
        <f t="shared" si="15"/>
        <v>7.3449998720000007</v>
      </c>
    </row>
  </sheetData>
  <sheetProtection algorithmName="SHA-512" hashValue="1EH3rL0faz3c+zcTas9AoyCZZcLnwGNXWBfi0KCCmvxNaGIm7b5C1xKTNI4Z3BIki0Sgkb2Za33an6RY7cy3Lg==" saltValue="MZtTIgIZnmOX/W38zNEx1A==" spinCount="100000" sheet="1" objects="1" scenarios="1" formatRows="0"/>
  <pageMargins left="0.7" right="0.7" top="0.78740157499999996" bottom="0.78740157499999996" header="0.3" footer="0.3"/>
  <customProperties>
    <customPr name="ID"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2B3C-059A-4E3A-B081-90E2D1792937}">
  <sheetPr codeName="Tabelle6">
    <tabColor theme="7"/>
  </sheetPr>
  <dimension ref="A1:T27"/>
  <sheetViews>
    <sheetView zoomScale="85" zoomScaleNormal="85" workbookViewId="0">
      <pane xSplit="1" ySplit="1" topLeftCell="B2" activePane="bottomRight" state="frozen"/>
      <selection pane="topRight"/>
      <selection pane="bottomLeft"/>
      <selection pane="bottomRight"/>
    </sheetView>
  </sheetViews>
  <sheetFormatPr baseColWidth="10" defaultRowHeight="12.75"/>
  <cols>
    <col min="1" max="1" width="15.5" style="129" customWidth="1"/>
    <col min="2" max="16384" width="11" style="129"/>
  </cols>
  <sheetData>
    <row r="1" spans="1:20">
      <c r="A1" s="130"/>
      <c r="B1" s="341">
        <f t="shared" ref="B1:G1" si="0">C1-1</f>
        <v>2012</v>
      </c>
      <c r="C1" s="341">
        <f t="shared" si="0"/>
        <v>2013</v>
      </c>
      <c r="D1" s="341">
        <f t="shared" si="0"/>
        <v>2014</v>
      </c>
      <c r="E1" s="341">
        <f t="shared" si="0"/>
        <v>2015</v>
      </c>
      <c r="F1" s="341">
        <f t="shared" si="0"/>
        <v>2016</v>
      </c>
      <c r="G1" s="341">
        <f t="shared" si="0"/>
        <v>2017</v>
      </c>
      <c r="H1" s="341">
        <f>I1-1</f>
        <v>2018</v>
      </c>
      <c r="I1" s="341">
        <v>2019</v>
      </c>
      <c r="J1" s="341">
        <v>2020</v>
      </c>
      <c r="K1" s="341">
        <v>2021</v>
      </c>
      <c r="L1" s="341">
        <v>2022</v>
      </c>
      <c r="M1" s="341">
        <v>2023</v>
      </c>
      <c r="N1" s="341">
        <f>M1+1</f>
        <v>2024</v>
      </c>
      <c r="O1" s="341">
        <f t="shared" ref="O1:T1" si="1">N1+1</f>
        <v>2025</v>
      </c>
      <c r="P1" s="341">
        <f t="shared" si="1"/>
        <v>2026</v>
      </c>
      <c r="Q1" s="341">
        <f t="shared" si="1"/>
        <v>2027</v>
      </c>
      <c r="R1" s="341">
        <f t="shared" si="1"/>
        <v>2028</v>
      </c>
      <c r="S1" s="341">
        <f t="shared" si="1"/>
        <v>2029</v>
      </c>
      <c r="T1" s="341">
        <f t="shared" si="1"/>
        <v>2030</v>
      </c>
    </row>
    <row r="2" spans="1:20">
      <c r="A2" s="342" t="s">
        <v>177</v>
      </c>
      <c r="B2" s="343">
        <v>1.6511527060408726</v>
      </c>
      <c r="C2" s="343">
        <v>1.5979425976869541</v>
      </c>
      <c r="D2" s="343">
        <v>1.5361570588993037</v>
      </c>
      <c r="E2" s="343">
        <v>1.4007950711475281</v>
      </c>
      <c r="F2" s="343">
        <v>1.3026517034956282</v>
      </c>
      <c r="G2" s="343">
        <v>1.3654666666666666</v>
      </c>
      <c r="H2" s="343">
        <v>1.456391666666667</v>
      </c>
      <c r="I2" s="343">
        <f>'Berechnung Produktpreise'!B15/100</f>
        <v>1.4514282384297519</v>
      </c>
      <c r="J2" s="343">
        <f>'Berechnung Produktpreise'!C15/100</f>
        <v>1.2609949141131334</v>
      </c>
      <c r="K2" s="343">
        <f>'Berechnung Produktpreise'!D15/100</f>
        <v>1.554812895740036</v>
      </c>
      <c r="L2" s="343">
        <f>'Berechnung Produktpreise'!E15/100</f>
        <v>1.5773029890764494</v>
      </c>
      <c r="M2" s="343">
        <f>'Berechnung Produktpreise'!F15/100</f>
        <v>1.5999161635954708</v>
      </c>
      <c r="N2" s="343">
        <f>'Berechnung Produktpreise'!G15/100</f>
        <v>1.6369389466773405</v>
      </c>
      <c r="O2" s="343">
        <f>'Berechnung Produktpreise'!H15/100</f>
        <v>1.6740885310705631</v>
      </c>
      <c r="P2" s="343">
        <f>'Berechnung Produktpreise'!I15/100</f>
        <v>1.6970821376323086</v>
      </c>
      <c r="Q2" s="343">
        <f>'Berechnung Produktpreise'!J15/100</f>
        <v>1.7059216969125435</v>
      </c>
      <c r="R2" s="343">
        <f>'Berechnung Produktpreise'!K15/100</f>
        <v>1.7148938495819817</v>
      </c>
      <c r="S2" s="343">
        <f>'Berechnung Produktpreise'!L15/100</f>
        <v>1.7240005845414614</v>
      </c>
      <c r="T2" s="343">
        <f>'Berechnung Produktpreise'!M15/100</f>
        <v>1.7332439205253334</v>
      </c>
    </row>
    <row r="3" spans="1:20">
      <c r="A3" s="342" t="s">
        <v>178</v>
      </c>
      <c r="B3" s="343">
        <v>1.4900731201221751</v>
      </c>
      <c r="C3" s="343">
        <v>1.4293394611322254</v>
      </c>
      <c r="D3" s="343">
        <v>1.3628947157129954</v>
      </c>
      <c r="E3" s="343">
        <v>1.1886347143206597</v>
      </c>
      <c r="F3" s="343">
        <v>1.0994875439422538</v>
      </c>
      <c r="G3" s="343">
        <v>1.1557916666666666</v>
      </c>
      <c r="H3" s="343">
        <v>1.2886500000000001</v>
      </c>
      <c r="I3" s="343">
        <f>'Berechnung Produktpreise'!B23/100</f>
        <v>1.2733696950881324</v>
      </c>
      <c r="J3" s="343">
        <f>'Berechnung Produktpreise'!C23/100</f>
        <v>1.0779096163992283</v>
      </c>
      <c r="K3" s="343">
        <f>'Berechnung Produktpreise'!D23/100</f>
        <v>1.3863004537463768</v>
      </c>
      <c r="L3" s="343">
        <f>'Berechnung Produktpreise'!E23/100</f>
        <v>1.4107763561550726</v>
      </c>
      <c r="M3" s="343">
        <f>'Berechnung Produktpreise'!F23/100</f>
        <v>1.4353805387528984</v>
      </c>
      <c r="N3" s="343">
        <f>'Berechnung Produktpreise'!G23/100</f>
        <v>1.476038815542692</v>
      </c>
      <c r="O3" s="343">
        <f>'Berechnung Produktpreise'!H23/100</f>
        <v>1.5168292497903324</v>
      </c>
      <c r="P3" s="343">
        <f>'Berechnung Produktpreise'!I23/100</f>
        <v>1.5418299340576871</v>
      </c>
      <c r="Q3" s="343">
        <f>'Berechnung Produktpreise'!J23/100</f>
        <v>1.5510428804420524</v>
      </c>
      <c r="R3" s="343">
        <f>'Berechnung Produktpreise'!K23/100</f>
        <v>1.5603940210221834</v>
      </c>
      <c r="S3" s="343">
        <f>'Berechnung Produktpreise'!L23/100</f>
        <v>1.569885428711016</v>
      </c>
      <c r="T3" s="343">
        <f>'Berechnung Produktpreise'!M23/100</f>
        <v>1.5795192075151812</v>
      </c>
    </row>
    <row r="4" spans="1:20">
      <c r="A4" s="342" t="s">
        <v>179</v>
      </c>
      <c r="B4" s="343">
        <v>0.88840556716937902</v>
      </c>
      <c r="C4" s="343">
        <v>0.8347590679835436</v>
      </c>
      <c r="D4" s="343">
        <v>0.76922035839027469</v>
      </c>
      <c r="E4" s="343">
        <v>0.59197662087242464</v>
      </c>
      <c r="F4" s="343">
        <v>0.49205873805371031</v>
      </c>
      <c r="G4" s="343">
        <v>0.56606666666666661</v>
      </c>
      <c r="H4" s="343">
        <v>0.6888833333333334</v>
      </c>
      <c r="I4" s="343">
        <f>'Berechnung Produktpreise'!B31/100</f>
        <v>0.66563252705707621</v>
      </c>
      <c r="J4" s="343">
        <f>'Berechnung Produktpreise'!C31/100</f>
        <v>0.47717198365250957</v>
      </c>
      <c r="K4" s="343">
        <f>'Berechnung Produktpreise'!D31/100</f>
        <v>0.77868601827536221</v>
      </c>
      <c r="L4" s="343">
        <f>'Berechnung Produktpreise'!E31/100</f>
        <v>0.80319342981449282</v>
      </c>
      <c r="M4" s="343">
        <f>'Berechnung Produktpreise'!F31/100</f>
        <v>0.82782959417971014</v>
      </c>
      <c r="N4" s="343">
        <f>'Berechnung Produktpreise'!G31/100</f>
        <v>0.86852033246340565</v>
      </c>
      <c r="O4" s="343">
        <f>'Berechnung Produktpreise'!H31/100</f>
        <v>0.90934371512735668</v>
      </c>
      <c r="P4" s="343">
        <f>'Berechnung Produktpreise'!I31/100</f>
        <v>0.93437784203726681</v>
      </c>
      <c r="Q4" s="343">
        <f>'Berechnung Produktpreise'!J31/100</f>
        <v>0.94362473270382596</v>
      </c>
      <c r="R4" s="343">
        <f>'Berechnung Produktpreise'!K31/100</f>
        <v>0.95301032673038333</v>
      </c>
      <c r="S4" s="343">
        <f>'Berechnung Produktpreise'!L31/100</f>
        <v>0.96253670466733876</v>
      </c>
      <c r="T4" s="343">
        <f>'Berechnung Produktpreise'!M31/100</f>
        <v>0.97220597827334898</v>
      </c>
    </row>
    <row r="5" spans="1:20">
      <c r="A5" s="342" t="s">
        <v>180</v>
      </c>
      <c r="B5" s="343">
        <v>7.0269580345571727</v>
      </c>
      <c r="C5" s="343">
        <v>7.1267002729095976</v>
      </c>
      <c r="D5" s="343">
        <v>7.1357375625291288</v>
      </c>
      <c r="E5" s="343">
        <v>7.0634392455728614</v>
      </c>
      <c r="F5" s="343">
        <v>6.8635556633996524</v>
      </c>
      <c r="G5" s="343">
        <v>6.6376234229113189</v>
      </c>
      <c r="H5" s="343">
        <v>6.5313023685638711</v>
      </c>
      <c r="I5" s="343">
        <f>'Berechnung Produktpreise'!B59</f>
        <v>6.1725300000000001</v>
      </c>
      <c r="J5" s="343">
        <f>'Berechnung Produktpreise'!C59</f>
        <v>5.9725250000000001</v>
      </c>
      <c r="K5" s="343">
        <f>'Berechnung Produktpreise'!D59</f>
        <v>6.1167332799999992</v>
      </c>
      <c r="L5" s="343">
        <f>'Berechnung Produktpreise'!E59</f>
        <v>6.4020624359999996</v>
      </c>
      <c r="M5" s="343">
        <f>'Berechnung Produktpreise'!F59</f>
        <v>6.5683915920000002</v>
      </c>
      <c r="N5" s="343">
        <f>'Berechnung Produktpreise'!G59</f>
        <v>6.8430374040000004</v>
      </c>
      <c r="O5" s="343">
        <f>'Berechnung Produktpreise'!H59</f>
        <v>7.1176832160000014</v>
      </c>
      <c r="P5" s="343">
        <f>'Berechnung Produktpreise'!I59</f>
        <v>7.2497998720000005</v>
      </c>
      <c r="Q5" s="343">
        <f>'Berechnung Produktpreise'!J59</f>
        <v>7.273599872000001</v>
      </c>
      <c r="R5" s="343">
        <f>'Berechnung Produktpreise'!K59</f>
        <v>7.2973998720000006</v>
      </c>
      <c r="S5" s="343">
        <f>'Berechnung Produktpreise'!L59</f>
        <v>7.3211998719999993</v>
      </c>
      <c r="T5" s="343">
        <f>'Berechnung Produktpreise'!M59</f>
        <v>7.3449998720000007</v>
      </c>
    </row>
    <row r="6" spans="1:20">
      <c r="A6" s="342" t="s">
        <v>181</v>
      </c>
      <c r="B6" s="343">
        <v>25.761466876558362</v>
      </c>
      <c r="C6" s="343">
        <v>28.827087046589046</v>
      </c>
      <c r="D6" s="343">
        <v>29.372022529511355</v>
      </c>
      <c r="E6" s="343">
        <v>29.155994534495733</v>
      </c>
      <c r="F6" s="343">
        <v>29.331152368292184</v>
      </c>
      <c r="G6" s="343">
        <v>29.823540501075531</v>
      </c>
      <c r="H6" s="343">
        <v>30.19137195204809</v>
      </c>
      <c r="I6" s="343">
        <f>'Berechnung Produktpreise'!B47</f>
        <v>30.457552373213588</v>
      </c>
      <c r="J6" s="343">
        <f>'Berechnung Produktpreise'!C47</f>
        <v>31.417286668738715</v>
      </c>
      <c r="K6" s="343">
        <f>'Berechnung Produktpreise'!D47</f>
        <v>31.896302282823132</v>
      </c>
      <c r="L6" s="343">
        <f>'Berechnung Produktpreise'!E47</f>
        <v>32.355023303730867</v>
      </c>
      <c r="M6" s="343">
        <f>'Berechnung Produktpreise'!F47</f>
        <v>29.010373125242673</v>
      </c>
      <c r="N6" s="343">
        <f>'Berechnung Produktpreise'!G47</f>
        <v>27.226639502980028</v>
      </c>
      <c r="O6" s="343">
        <f>'Berechnung Produktpreise'!H47</f>
        <v>27.115704515458738</v>
      </c>
      <c r="P6" s="343">
        <f>'Berechnung Produktpreise'!I47</f>
        <v>26.999235527977714</v>
      </c>
      <c r="Q6" s="343">
        <f>'Berechnung Produktpreise'!J47</f>
        <v>26.967092969234507</v>
      </c>
      <c r="R6" s="343">
        <f>'Berechnung Produktpreise'!K47</f>
        <v>26.878990943561092</v>
      </c>
      <c r="S6" s="343">
        <f>'Berechnung Produktpreise'!L47</f>
        <v>26.798103141149102</v>
      </c>
      <c r="T6" s="343">
        <f>'Berechnung Produktpreise'!M47</f>
        <v>26.756445678385766</v>
      </c>
    </row>
    <row r="7" spans="1:20">
      <c r="A7" s="130"/>
      <c r="B7" s="130"/>
      <c r="C7" s="130"/>
      <c r="D7" s="130"/>
      <c r="E7" s="130"/>
      <c r="F7" s="130"/>
      <c r="G7" s="130"/>
      <c r="H7" s="130"/>
      <c r="I7" s="130"/>
      <c r="J7" s="130"/>
      <c r="K7" s="130"/>
      <c r="L7" s="130"/>
      <c r="M7" s="130"/>
      <c r="N7" s="130"/>
      <c r="O7" s="130"/>
      <c r="P7" s="130"/>
      <c r="Q7" s="130"/>
      <c r="R7" s="130"/>
      <c r="S7" s="130"/>
      <c r="T7" s="130"/>
    </row>
    <row r="8" spans="1:20">
      <c r="A8" s="344" t="s">
        <v>273</v>
      </c>
      <c r="B8" s="130"/>
      <c r="C8" s="130"/>
      <c r="D8" s="130"/>
      <c r="E8" s="130"/>
      <c r="F8" s="130"/>
      <c r="G8" s="130"/>
      <c r="H8" s="130"/>
      <c r="I8" s="130"/>
      <c r="J8" s="130"/>
      <c r="K8" s="130"/>
      <c r="L8" s="130"/>
      <c r="M8" s="130"/>
      <c r="N8" s="130"/>
      <c r="O8" s="130"/>
      <c r="P8" s="130"/>
      <c r="Q8" s="130"/>
      <c r="R8" s="130"/>
      <c r="S8" s="130"/>
      <c r="T8" s="130"/>
    </row>
    <row r="9" spans="1:20">
      <c r="A9" s="130"/>
      <c r="B9" s="341">
        <f t="shared" ref="B9:G9" si="2">B1</f>
        <v>2012</v>
      </c>
      <c r="C9" s="341">
        <f t="shared" si="2"/>
        <v>2013</v>
      </c>
      <c r="D9" s="341">
        <f t="shared" si="2"/>
        <v>2014</v>
      </c>
      <c r="E9" s="341">
        <f t="shared" si="2"/>
        <v>2015</v>
      </c>
      <c r="F9" s="341">
        <f t="shared" si="2"/>
        <v>2016</v>
      </c>
      <c r="G9" s="341">
        <f t="shared" si="2"/>
        <v>2017</v>
      </c>
      <c r="H9" s="341">
        <f>H1</f>
        <v>2018</v>
      </c>
      <c r="I9" s="341">
        <v>2019</v>
      </c>
      <c r="J9" s="341">
        <v>2020</v>
      </c>
      <c r="K9" s="341">
        <v>2021</v>
      </c>
      <c r="L9" s="341">
        <v>2022</v>
      </c>
      <c r="M9" s="341">
        <v>2023</v>
      </c>
      <c r="N9" s="341">
        <f>M9+1</f>
        <v>2024</v>
      </c>
      <c r="O9" s="341">
        <f t="shared" ref="O9" si="3">N9+1</f>
        <v>2025</v>
      </c>
      <c r="P9" s="341">
        <f t="shared" ref="P9" si="4">O9+1</f>
        <v>2026</v>
      </c>
      <c r="Q9" s="341">
        <f t="shared" ref="Q9" si="5">P9+1</f>
        <v>2027</v>
      </c>
      <c r="R9" s="341">
        <f t="shared" ref="R9" si="6">Q9+1</f>
        <v>2028</v>
      </c>
      <c r="S9" s="341">
        <f t="shared" ref="S9" si="7">R9+1</f>
        <v>2029</v>
      </c>
      <c r="T9" s="341">
        <f t="shared" ref="T9" si="8">S9+1</f>
        <v>2030</v>
      </c>
    </row>
    <row r="10" spans="1:20">
      <c r="A10" s="342" t="s">
        <v>177</v>
      </c>
      <c r="B10" s="343">
        <f t="shared" ref="B10:H10" si="9">B2-$I2</f>
        <v>0.19972446761112073</v>
      </c>
      <c r="C10" s="343">
        <f t="shared" si="9"/>
        <v>0.14651435925720224</v>
      </c>
      <c r="D10" s="343">
        <f t="shared" si="9"/>
        <v>8.4728820469551769E-2</v>
      </c>
      <c r="E10" s="343">
        <f t="shared" si="9"/>
        <v>-5.0633167282223779E-2</v>
      </c>
      <c r="F10" s="343">
        <f t="shared" si="9"/>
        <v>-0.14877653493412368</v>
      </c>
      <c r="G10" s="343">
        <f t="shared" si="9"/>
        <v>-8.5961571763085276E-2</v>
      </c>
      <c r="H10" s="343">
        <f t="shared" si="9"/>
        <v>4.9634282369150906E-3</v>
      </c>
      <c r="I10" s="343">
        <f>I2-$I2</f>
        <v>0</v>
      </c>
      <c r="J10" s="343">
        <f t="shared" ref="J10:T10" si="10">J2-$I2</f>
        <v>-0.19043332431661852</v>
      </c>
      <c r="K10" s="343">
        <f t="shared" si="10"/>
        <v>0.10338465731028412</v>
      </c>
      <c r="L10" s="343">
        <f t="shared" si="10"/>
        <v>0.12587475064669751</v>
      </c>
      <c r="M10" s="343">
        <f t="shared" si="10"/>
        <v>0.14848792516571896</v>
      </c>
      <c r="N10" s="343">
        <f t="shared" si="10"/>
        <v>0.18551070824758864</v>
      </c>
      <c r="O10" s="343">
        <f t="shared" si="10"/>
        <v>0.22266029264081122</v>
      </c>
      <c r="P10" s="343">
        <f t="shared" si="10"/>
        <v>0.24565389920255676</v>
      </c>
      <c r="Q10" s="343">
        <f t="shared" si="10"/>
        <v>0.25449345848279159</v>
      </c>
      <c r="R10" s="343">
        <f t="shared" si="10"/>
        <v>0.26346561115222977</v>
      </c>
      <c r="S10" s="343">
        <f t="shared" si="10"/>
        <v>0.27257234611170955</v>
      </c>
      <c r="T10" s="343">
        <f t="shared" si="10"/>
        <v>0.2818156820955815</v>
      </c>
    </row>
    <row r="11" spans="1:20">
      <c r="A11" s="342" t="s">
        <v>178</v>
      </c>
      <c r="B11" s="343">
        <f t="shared" ref="B11:H11" si="11">B3-$I3</f>
        <v>0.21670342503404272</v>
      </c>
      <c r="C11" s="343">
        <f t="shared" si="11"/>
        <v>0.15596976604409307</v>
      </c>
      <c r="D11" s="343">
        <f t="shared" si="11"/>
        <v>8.9525020624863005E-2</v>
      </c>
      <c r="E11" s="343">
        <f t="shared" si="11"/>
        <v>-8.4734980767472656E-2</v>
      </c>
      <c r="F11" s="343">
        <f t="shared" si="11"/>
        <v>-0.17388215114587857</v>
      </c>
      <c r="G11" s="343">
        <f t="shared" si="11"/>
        <v>-0.11757802842146581</v>
      </c>
      <c r="H11" s="343">
        <f t="shared" si="11"/>
        <v>1.5280304911867715E-2</v>
      </c>
      <c r="I11" s="343">
        <f t="shared" ref="I11:T14" si="12">I3-$I3</f>
        <v>0</v>
      </c>
      <c r="J11" s="343">
        <f t="shared" si="12"/>
        <v>-0.19546007868890403</v>
      </c>
      <c r="K11" s="343">
        <f t="shared" si="12"/>
        <v>0.11293075865824442</v>
      </c>
      <c r="L11" s="343">
        <f t="shared" si="12"/>
        <v>0.13740666106694022</v>
      </c>
      <c r="M11" s="343">
        <f t="shared" si="12"/>
        <v>0.16201084366476604</v>
      </c>
      <c r="N11" s="343">
        <f t="shared" si="12"/>
        <v>0.20266912045455965</v>
      </c>
      <c r="O11" s="343">
        <f t="shared" si="12"/>
        <v>0.24345955470220004</v>
      </c>
      <c r="P11" s="343">
        <f t="shared" si="12"/>
        <v>0.26846023896955473</v>
      </c>
      <c r="Q11" s="343">
        <f t="shared" si="12"/>
        <v>0.27767318535392005</v>
      </c>
      <c r="R11" s="343">
        <f t="shared" si="12"/>
        <v>0.28702432593405103</v>
      </c>
      <c r="S11" s="343">
        <f t="shared" si="12"/>
        <v>0.29651573362288364</v>
      </c>
      <c r="T11" s="343">
        <f t="shared" si="12"/>
        <v>0.3061495124270488</v>
      </c>
    </row>
    <row r="12" spans="1:20">
      <c r="A12" s="342" t="s">
        <v>179</v>
      </c>
      <c r="B12" s="343">
        <f t="shared" ref="B12:H12" si="13">B4-$I4</f>
        <v>0.22277304011230281</v>
      </c>
      <c r="C12" s="343">
        <f t="shared" si="13"/>
        <v>0.16912654092646739</v>
      </c>
      <c r="D12" s="343">
        <f t="shared" si="13"/>
        <v>0.10358783133319849</v>
      </c>
      <c r="E12" s="343">
        <f t="shared" si="13"/>
        <v>-7.3655906184651565E-2</v>
      </c>
      <c r="F12" s="343">
        <f t="shared" si="13"/>
        <v>-0.1735737890033659</v>
      </c>
      <c r="G12" s="343">
        <f t="shared" si="13"/>
        <v>-9.95658603904096E-2</v>
      </c>
      <c r="H12" s="343">
        <f t="shared" si="13"/>
        <v>2.3250806276257197E-2</v>
      </c>
      <c r="I12" s="343">
        <f t="shared" si="12"/>
        <v>0</v>
      </c>
      <c r="J12" s="343">
        <f t="shared" si="12"/>
        <v>-0.18846054340456664</v>
      </c>
      <c r="K12" s="343">
        <f t="shared" si="12"/>
        <v>0.11305349121828601</v>
      </c>
      <c r="L12" s="343">
        <f t="shared" si="12"/>
        <v>0.13756090275741661</v>
      </c>
      <c r="M12" s="343">
        <f t="shared" si="12"/>
        <v>0.16219706712263393</v>
      </c>
      <c r="N12" s="343">
        <f t="shared" si="12"/>
        <v>0.20288780540632945</v>
      </c>
      <c r="O12" s="343">
        <f t="shared" si="12"/>
        <v>0.24371118807028047</v>
      </c>
      <c r="P12" s="343">
        <f t="shared" si="12"/>
        <v>0.26874531498019061</v>
      </c>
      <c r="Q12" s="343">
        <f t="shared" si="12"/>
        <v>0.27799220564674976</v>
      </c>
      <c r="R12" s="343">
        <f t="shared" si="12"/>
        <v>0.28737779967330712</v>
      </c>
      <c r="S12" s="343">
        <f t="shared" si="12"/>
        <v>0.29690417761026255</v>
      </c>
      <c r="T12" s="343">
        <f t="shared" si="12"/>
        <v>0.30657345121627277</v>
      </c>
    </row>
    <row r="13" spans="1:20">
      <c r="A13" s="342" t="s">
        <v>180</v>
      </c>
      <c r="B13" s="343">
        <f t="shared" ref="B13:H13" si="14">B5-$I5</f>
        <v>0.85442803455717264</v>
      </c>
      <c r="C13" s="343">
        <f t="shared" si="14"/>
        <v>0.95417027290959755</v>
      </c>
      <c r="D13" s="343">
        <f t="shared" si="14"/>
        <v>0.96320756252912876</v>
      </c>
      <c r="E13" s="343">
        <f t="shared" si="14"/>
        <v>0.89090924557286133</v>
      </c>
      <c r="F13" s="343">
        <f t="shared" si="14"/>
        <v>0.69102566339965232</v>
      </c>
      <c r="G13" s="343">
        <f t="shared" si="14"/>
        <v>0.46509342291131883</v>
      </c>
      <c r="H13" s="343">
        <f t="shared" si="14"/>
        <v>0.35877236856387107</v>
      </c>
      <c r="I13" s="343">
        <f t="shared" si="12"/>
        <v>0</v>
      </c>
      <c r="J13" s="343">
        <f t="shared" si="12"/>
        <v>-0.20000499999999999</v>
      </c>
      <c r="K13" s="343">
        <f t="shared" si="12"/>
        <v>-5.579672000000091E-2</v>
      </c>
      <c r="L13" s="343">
        <f t="shared" si="12"/>
        <v>0.22953243599999951</v>
      </c>
      <c r="M13" s="343">
        <f t="shared" si="12"/>
        <v>0.39586159200000015</v>
      </c>
      <c r="N13" s="343">
        <f t="shared" si="12"/>
        <v>0.67050740400000031</v>
      </c>
      <c r="O13" s="343">
        <f t="shared" si="12"/>
        <v>0.94515321600000135</v>
      </c>
      <c r="P13" s="343">
        <f t="shared" si="12"/>
        <v>1.0772698720000005</v>
      </c>
      <c r="Q13" s="343">
        <f t="shared" si="12"/>
        <v>1.1010698720000009</v>
      </c>
      <c r="R13" s="343">
        <f t="shared" si="12"/>
        <v>1.1248698720000005</v>
      </c>
      <c r="S13" s="343">
        <f t="shared" si="12"/>
        <v>1.1486698719999993</v>
      </c>
      <c r="T13" s="343">
        <f t="shared" si="12"/>
        <v>1.1724698720000006</v>
      </c>
    </row>
    <row r="14" spans="1:20">
      <c r="A14" s="342" t="s">
        <v>181</v>
      </c>
      <c r="B14" s="343">
        <f t="shared" ref="B14:H14" si="15">B6-$I6</f>
        <v>-4.6960854966552255</v>
      </c>
      <c r="C14" s="343">
        <f t="shared" si="15"/>
        <v>-1.6304653266245417</v>
      </c>
      <c r="D14" s="343">
        <f t="shared" si="15"/>
        <v>-1.0855298437022327</v>
      </c>
      <c r="E14" s="343">
        <f t="shared" si="15"/>
        <v>-1.301557838717855</v>
      </c>
      <c r="F14" s="343">
        <f t="shared" si="15"/>
        <v>-1.126400004921404</v>
      </c>
      <c r="G14" s="343">
        <f t="shared" si="15"/>
        <v>-0.63401187213805699</v>
      </c>
      <c r="H14" s="343">
        <f t="shared" si="15"/>
        <v>-0.26618042116549745</v>
      </c>
      <c r="I14" s="343">
        <f t="shared" si="12"/>
        <v>0</v>
      </c>
      <c r="J14" s="343">
        <f t="shared" si="12"/>
        <v>0.95973429552512712</v>
      </c>
      <c r="K14" s="343">
        <f t="shared" si="12"/>
        <v>1.4387499096095446</v>
      </c>
      <c r="L14" s="343">
        <f t="shared" si="12"/>
        <v>1.8974709305172794</v>
      </c>
      <c r="M14" s="343">
        <f t="shared" si="12"/>
        <v>-1.4471792479709151</v>
      </c>
      <c r="N14" s="343">
        <f t="shared" si="12"/>
        <v>-3.2309128702335599</v>
      </c>
      <c r="O14" s="343">
        <f t="shared" si="12"/>
        <v>-3.3418478577548498</v>
      </c>
      <c r="P14" s="343">
        <f t="shared" si="12"/>
        <v>-3.4583168452358741</v>
      </c>
      <c r="Q14" s="343">
        <f t="shared" si="12"/>
        <v>-3.4904594039790808</v>
      </c>
      <c r="R14" s="343">
        <f t="shared" si="12"/>
        <v>-3.5785614296524955</v>
      </c>
      <c r="S14" s="343">
        <f t="shared" si="12"/>
        <v>-3.6594492320644854</v>
      </c>
      <c r="T14" s="343">
        <f t="shared" si="12"/>
        <v>-3.7011066948278213</v>
      </c>
    </row>
    <row r="15" spans="1:20">
      <c r="A15" s="130"/>
      <c r="B15" s="130"/>
      <c r="C15" s="130"/>
      <c r="D15" s="130"/>
      <c r="E15" s="130"/>
      <c r="F15" s="130"/>
      <c r="G15" s="130"/>
      <c r="H15" s="130"/>
      <c r="I15" s="130"/>
      <c r="J15" s="130"/>
      <c r="K15" s="130"/>
      <c r="L15" s="130"/>
      <c r="M15" s="130"/>
      <c r="N15" s="130"/>
      <c r="O15" s="130"/>
      <c r="P15" s="130"/>
      <c r="Q15" s="130"/>
      <c r="R15" s="130"/>
      <c r="S15" s="130"/>
      <c r="T15" s="130"/>
    </row>
    <row r="16" spans="1:20">
      <c r="A16" s="344" t="s">
        <v>277</v>
      </c>
      <c r="B16" s="130"/>
      <c r="C16" s="130"/>
      <c r="D16" s="130"/>
      <c r="E16" s="130"/>
      <c r="F16" s="130"/>
      <c r="G16" s="130"/>
      <c r="H16" s="130"/>
      <c r="I16" s="130"/>
      <c r="J16" s="130"/>
      <c r="K16" s="130"/>
      <c r="L16" s="130"/>
      <c r="M16" s="130"/>
      <c r="N16" s="130"/>
      <c r="O16" s="130"/>
      <c r="P16" s="130"/>
      <c r="Q16" s="130"/>
      <c r="R16" s="130"/>
      <c r="S16" s="130"/>
      <c r="T16" s="130"/>
    </row>
    <row r="17" spans="1:20">
      <c r="A17" s="130"/>
      <c r="B17" s="341">
        <f t="shared" ref="B17:E17" si="16">B9</f>
        <v>2012</v>
      </c>
      <c r="C17" s="341"/>
      <c r="D17" s="341"/>
      <c r="E17" s="341">
        <f t="shared" si="16"/>
        <v>2015</v>
      </c>
      <c r="F17" s="341"/>
      <c r="G17" s="341"/>
      <c r="H17" s="341"/>
      <c r="I17" s="341">
        <v>2019</v>
      </c>
      <c r="J17" s="341"/>
      <c r="K17" s="341">
        <v>2021</v>
      </c>
      <c r="L17" s="341"/>
      <c r="M17" s="341"/>
      <c r="N17" s="341"/>
      <c r="O17" s="341">
        <v>2025</v>
      </c>
      <c r="P17" s="341"/>
      <c r="Q17" s="341"/>
      <c r="R17" s="341"/>
      <c r="S17" s="341"/>
      <c r="T17" s="341">
        <v>2030</v>
      </c>
    </row>
    <row r="18" spans="1:20">
      <c r="A18" s="342" t="s">
        <v>6</v>
      </c>
      <c r="B18" s="345">
        <f t="shared" ref="B18:I18" si="17">B2/$I2*100</f>
        <v>113.76054718538448</v>
      </c>
      <c r="C18" s="345">
        <f t="shared" si="17"/>
        <v>110.09449557187277</v>
      </c>
      <c r="D18" s="345">
        <f t="shared" si="17"/>
        <v>105.83761692284676</v>
      </c>
      <c r="E18" s="345">
        <f t="shared" si="17"/>
        <v>96.511493579799577</v>
      </c>
      <c r="F18" s="345">
        <f t="shared" si="17"/>
        <v>89.749645831951042</v>
      </c>
      <c r="G18" s="345">
        <f t="shared" si="17"/>
        <v>94.077449405553523</v>
      </c>
      <c r="H18" s="345">
        <f t="shared" si="17"/>
        <v>100.34196855934709</v>
      </c>
      <c r="I18" s="345">
        <f t="shared" si="17"/>
        <v>100</v>
      </c>
      <c r="J18" s="345">
        <f>J2/$I2*100</f>
        <v>86.879590786889921</v>
      </c>
      <c r="K18" s="345">
        <f t="shared" ref="K18:T18" si="18">K2/$I2*100</f>
        <v>107.12296030716146</v>
      </c>
      <c r="L18" s="345">
        <f t="shared" si="18"/>
        <v>108.67247496733816</v>
      </c>
      <c r="M18" s="345">
        <f t="shared" si="18"/>
        <v>110.23046963219916</v>
      </c>
      <c r="N18" s="345">
        <f t="shared" si="18"/>
        <v>112.7812525163687</v>
      </c>
      <c r="O18" s="345">
        <f t="shared" si="18"/>
        <v>115.34077171336416</v>
      </c>
      <c r="P18" s="345">
        <f t="shared" si="18"/>
        <v>116.924977253324</v>
      </c>
      <c r="Q18" s="345">
        <f t="shared" si="18"/>
        <v>117.53400214661104</v>
      </c>
      <c r="R18" s="345">
        <f t="shared" si="18"/>
        <v>118.15216241329738</v>
      </c>
      <c r="S18" s="345">
        <f t="shared" si="18"/>
        <v>118.77959508398402</v>
      </c>
      <c r="T18" s="345">
        <f t="shared" si="18"/>
        <v>119.41643924473095</v>
      </c>
    </row>
    <row r="19" spans="1:20">
      <c r="A19" s="342" t="s">
        <v>7</v>
      </c>
      <c r="B19" s="345">
        <f t="shared" ref="B19:I19" si="19">B3/$I3*100</f>
        <v>117.01810761399062</v>
      </c>
      <c r="C19" s="345">
        <f t="shared" si="19"/>
        <v>112.24858473118431</v>
      </c>
      <c r="D19" s="345">
        <f t="shared" si="19"/>
        <v>107.0305600149112</v>
      </c>
      <c r="E19" s="345">
        <f t="shared" si="19"/>
        <v>93.34561038366725</v>
      </c>
      <c r="F19" s="345">
        <f t="shared" si="19"/>
        <v>86.344723624521009</v>
      </c>
      <c r="G19" s="345">
        <f t="shared" si="19"/>
        <v>90.766387100697571</v>
      </c>
      <c r="H19" s="345">
        <f t="shared" si="19"/>
        <v>101.19998967863062</v>
      </c>
      <c r="I19" s="345">
        <f t="shared" si="19"/>
        <v>100</v>
      </c>
      <c r="J19" s="345">
        <f t="shared" ref="J19:T22" si="20">J3/$I3*100</f>
        <v>84.650170375275351</v>
      </c>
      <c r="K19" s="345">
        <f t="shared" si="20"/>
        <v>108.86865449161081</v>
      </c>
      <c r="L19" s="345">
        <f t="shared" si="20"/>
        <v>110.79079089104833</v>
      </c>
      <c r="M19" s="345">
        <f t="shared" si="20"/>
        <v>112.72300136320999</v>
      </c>
      <c r="N19" s="345">
        <f t="shared" si="20"/>
        <v>115.91596857034772</v>
      </c>
      <c r="O19" s="345">
        <f t="shared" si="20"/>
        <v>119.11931433905765</v>
      </c>
      <c r="P19" s="345">
        <f t="shared" si="20"/>
        <v>121.08266279660238</v>
      </c>
      <c r="Q19" s="345">
        <f t="shared" si="20"/>
        <v>121.80617195658185</v>
      </c>
      <c r="R19" s="345">
        <f t="shared" si="20"/>
        <v>122.54053375396101</v>
      </c>
      <c r="S19" s="345">
        <f t="shared" si="20"/>
        <v>123.28591097830086</v>
      </c>
      <c r="T19" s="345">
        <f t="shared" si="20"/>
        <v>124.0424688610058</v>
      </c>
    </row>
    <row r="20" spans="1:20">
      <c r="A20" s="342" t="s">
        <v>157</v>
      </c>
      <c r="B20" s="345">
        <f t="shared" ref="B20:I20" si="21">B4/$I4*100</f>
        <v>133.46787169449738</v>
      </c>
      <c r="C20" s="345">
        <f t="shared" si="21"/>
        <v>125.40839488031288</v>
      </c>
      <c r="D20" s="345">
        <f t="shared" si="21"/>
        <v>115.56231510968755</v>
      </c>
      <c r="E20" s="345">
        <f t="shared" si="21"/>
        <v>88.934449085548408</v>
      </c>
      <c r="F20" s="345">
        <f t="shared" si="21"/>
        <v>73.923481508516716</v>
      </c>
      <c r="G20" s="345">
        <f t="shared" si="21"/>
        <v>85.04191782354529</v>
      </c>
      <c r="H20" s="345">
        <f t="shared" si="21"/>
        <v>103.493039377005</v>
      </c>
      <c r="I20" s="345">
        <f t="shared" si="21"/>
        <v>100</v>
      </c>
      <c r="J20" s="345">
        <f t="shared" si="20"/>
        <v>71.686999095762843</v>
      </c>
      <c r="K20" s="345">
        <f t="shared" si="20"/>
        <v>116.98436999738024</v>
      </c>
      <c r="L20" s="345">
        <f t="shared" si="20"/>
        <v>120.66619300676409</v>
      </c>
      <c r="M20" s="345">
        <f t="shared" si="20"/>
        <v>124.36735894499429</v>
      </c>
      <c r="N20" s="345">
        <f t="shared" si="20"/>
        <v>130.48045237562923</v>
      </c>
      <c r="O20" s="345">
        <f t="shared" si="20"/>
        <v>136.61347337513493</v>
      </c>
      <c r="P20" s="345">
        <f t="shared" si="20"/>
        <v>140.37442643741872</v>
      </c>
      <c r="Q20" s="345">
        <f t="shared" si="20"/>
        <v>141.76361495971676</v>
      </c>
      <c r="R20" s="345">
        <f t="shared" si="20"/>
        <v>143.17364130984922</v>
      </c>
      <c r="S20" s="345">
        <f t="shared" si="20"/>
        <v>144.60481805523361</v>
      </c>
      <c r="T20" s="345">
        <f t="shared" si="20"/>
        <v>146.05746245179887</v>
      </c>
    </row>
    <row r="21" spans="1:20">
      <c r="A21" s="342" t="s">
        <v>10</v>
      </c>
      <c r="B21" s="345">
        <f t="shared" ref="B21:I21" si="22">B5/$I5*100</f>
        <v>113.84242821917712</v>
      </c>
      <c r="C21" s="345">
        <f t="shared" si="22"/>
        <v>115.45833350197728</v>
      </c>
      <c r="D21" s="345">
        <f t="shared" si="22"/>
        <v>115.60474493488293</v>
      </c>
      <c r="E21" s="345">
        <f t="shared" si="22"/>
        <v>114.43345347163742</v>
      </c>
      <c r="F21" s="345">
        <f t="shared" si="22"/>
        <v>111.19517707325282</v>
      </c>
      <c r="G21" s="345">
        <f t="shared" si="22"/>
        <v>107.53489125061067</v>
      </c>
      <c r="H21" s="345">
        <f t="shared" si="22"/>
        <v>105.81240380466149</v>
      </c>
      <c r="I21" s="345">
        <f t="shared" si="22"/>
        <v>100</v>
      </c>
      <c r="J21" s="345">
        <f t="shared" si="20"/>
        <v>96.759756534192618</v>
      </c>
      <c r="K21" s="345">
        <f t="shared" si="20"/>
        <v>99.096047811837281</v>
      </c>
      <c r="L21" s="345">
        <f t="shared" si="20"/>
        <v>103.71861191440136</v>
      </c>
      <c r="M21" s="345">
        <f t="shared" si="20"/>
        <v>106.41327935222674</v>
      </c>
      <c r="N21" s="345">
        <f t="shared" si="20"/>
        <v>110.86276460381723</v>
      </c>
      <c r="O21" s="345">
        <f t="shared" si="20"/>
        <v>115.31224985540777</v>
      </c>
      <c r="P21" s="345">
        <f t="shared" si="20"/>
        <v>117.4526470021207</v>
      </c>
      <c r="Q21" s="345">
        <f t="shared" si="20"/>
        <v>117.83822633506847</v>
      </c>
      <c r="R21" s="345">
        <f t="shared" si="20"/>
        <v>118.2238056680162</v>
      </c>
      <c r="S21" s="345">
        <f t="shared" si="20"/>
        <v>118.60938500096394</v>
      </c>
      <c r="T21" s="345">
        <f t="shared" si="20"/>
        <v>118.9949643339117</v>
      </c>
    </row>
    <row r="22" spans="1:20">
      <c r="A22" s="342" t="s">
        <v>278</v>
      </c>
      <c r="B22" s="345">
        <f t="shared" ref="B22:I22" si="23">B6/$I6*100</f>
        <v>84.581540108307323</v>
      </c>
      <c r="C22" s="345">
        <f t="shared" si="23"/>
        <v>94.646761805920804</v>
      </c>
      <c r="D22" s="345">
        <f t="shared" si="23"/>
        <v>96.435925545163244</v>
      </c>
      <c r="E22" s="345">
        <f t="shared" si="23"/>
        <v>95.726649919963592</v>
      </c>
      <c r="F22" s="345">
        <f t="shared" si="23"/>
        <v>96.301738264720058</v>
      </c>
      <c r="G22" s="345">
        <f t="shared" si="23"/>
        <v>97.918375500535461</v>
      </c>
      <c r="H22" s="345">
        <f t="shared" si="23"/>
        <v>99.126061024524105</v>
      </c>
      <c r="I22" s="345">
        <f t="shared" si="23"/>
        <v>100</v>
      </c>
      <c r="J22" s="345">
        <f t="shared" si="20"/>
        <v>103.15105522520314</v>
      </c>
      <c r="K22" s="345">
        <f t="shared" si="20"/>
        <v>104.72378703311327</v>
      </c>
      <c r="L22" s="345">
        <f t="shared" si="20"/>
        <v>106.22988645727831</v>
      </c>
      <c r="M22" s="345">
        <f t="shared" si="20"/>
        <v>95.248537274966111</v>
      </c>
      <c r="N22" s="345">
        <f t="shared" si="20"/>
        <v>89.392079735615781</v>
      </c>
      <c r="O22" s="345">
        <f t="shared" si="20"/>
        <v>89.027851559425059</v>
      </c>
      <c r="P22" s="345">
        <f t="shared" si="20"/>
        <v>88.645453834046918</v>
      </c>
      <c r="Q22" s="345">
        <f t="shared" si="20"/>
        <v>88.539921523540329</v>
      </c>
      <c r="R22" s="345">
        <f t="shared" si="20"/>
        <v>88.250659850133843</v>
      </c>
      <c r="S22" s="345">
        <f t="shared" si="20"/>
        <v>87.985084332374484</v>
      </c>
      <c r="T22" s="345">
        <f t="shared" si="20"/>
        <v>87.848312137902383</v>
      </c>
    </row>
    <row r="24" spans="1:20">
      <c r="A24" s="260"/>
    </row>
    <row r="25" spans="1:20">
      <c r="A25" s="260"/>
    </row>
    <row r="26" spans="1:20">
      <c r="A26" s="260"/>
    </row>
    <row r="27" spans="1:20">
      <c r="A27" s="260"/>
    </row>
  </sheetData>
  <sheetProtection algorithmName="SHA-512" hashValue="qpT0RePiha9aBkXYBhZBJa3UT5WwkB3+ofybVnsZ3WdX/xn3wu14oGpHefLpm5tap5SfpaCCJTTUSMIhd3x2MA==" saltValue="x9gWAryof67A8pDlH+RDfA==" spinCount="100000" sheet="1" objects="1" scenarios="1" formatRows="0"/>
  <pageMargins left="0.7" right="0.7" top="0.78740157499999996" bottom="0.78740157499999996" header="0.3" footer="0.3"/>
  <customProperties>
    <customPr name="ID" r:id="rId1"/>
  </customPropertie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A8ED7-027E-4717-9E7A-59972119E1B0}">
  <sheetPr codeName="Tabelle9">
    <tabColor theme="7"/>
  </sheetPr>
  <dimension ref="A2:M50"/>
  <sheetViews>
    <sheetView zoomScale="85" zoomScaleNormal="85" workbookViewId="0"/>
  </sheetViews>
  <sheetFormatPr baseColWidth="10" defaultRowHeight="12.75"/>
  <cols>
    <col min="1" max="1" width="40.375" style="130" customWidth="1"/>
    <col min="2" max="2" width="18.125" style="130" customWidth="1"/>
    <col min="3" max="13" width="17" style="130" customWidth="1"/>
    <col min="14" max="16384" width="11" style="130"/>
  </cols>
  <sheetData>
    <row r="2" spans="1:13">
      <c r="A2" s="344" t="s">
        <v>21</v>
      </c>
    </row>
    <row r="3" spans="1:13">
      <c r="B3" s="341">
        <v>2019</v>
      </c>
      <c r="C3" s="341">
        <v>2020</v>
      </c>
      <c r="D3" s="341">
        <v>2021</v>
      </c>
      <c r="E3" s="341">
        <f>D3+1</f>
        <v>2022</v>
      </c>
      <c r="F3" s="341">
        <f t="shared" ref="F3:M3" si="0">E3+1</f>
        <v>2023</v>
      </c>
      <c r="G3" s="341">
        <f t="shared" si="0"/>
        <v>2024</v>
      </c>
      <c r="H3" s="341">
        <f t="shared" si="0"/>
        <v>2025</v>
      </c>
      <c r="I3" s="341">
        <f t="shared" si="0"/>
        <v>2026</v>
      </c>
      <c r="J3" s="341">
        <f t="shared" si="0"/>
        <v>2027</v>
      </c>
      <c r="K3" s="341">
        <f t="shared" si="0"/>
        <v>2028</v>
      </c>
      <c r="L3" s="341">
        <f t="shared" si="0"/>
        <v>2029</v>
      </c>
      <c r="M3" s="341">
        <f t="shared" si="0"/>
        <v>2030</v>
      </c>
    </row>
    <row r="4" spans="1:13" hidden="1">
      <c r="A4" s="130" t="s">
        <v>32</v>
      </c>
    </row>
    <row r="5" spans="1:13" hidden="1">
      <c r="A5" s="130" t="s">
        <v>30</v>
      </c>
      <c r="B5" s="346">
        <f>SUM(B6:B7)</f>
        <v>32906292308.194923</v>
      </c>
      <c r="C5" s="346">
        <f t="shared" ref="C5:D5" si="1">SUM(C6:C7)</f>
        <v>32906292308.194923</v>
      </c>
      <c r="D5" s="346">
        <f t="shared" si="1"/>
        <v>32906292308.194923</v>
      </c>
      <c r="E5" s="346">
        <f t="shared" ref="E5" si="2">SUM(E6:E7)</f>
        <v>32906292308.194923</v>
      </c>
      <c r="F5" s="346">
        <f t="shared" ref="F5" si="3">SUM(F6:F7)</f>
        <v>32906292308.194923</v>
      </c>
      <c r="G5" s="346">
        <f t="shared" ref="G5" si="4">SUM(G6:G7)</f>
        <v>32906292308.194923</v>
      </c>
      <c r="H5" s="346">
        <f t="shared" ref="H5" si="5">SUM(H6:H7)</f>
        <v>32906292308.194923</v>
      </c>
      <c r="I5" s="346">
        <f t="shared" ref="I5" si="6">SUM(I6:I7)</f>
        <v>32906292308.194923</v>
      </c>
      <c r="J5" s="346">
        <f t="shared" ref="J5" si="7">SUM(J6:J7)</f>
        <v>32906292308.194923</v>
      </c>
      <c r="K5" s="346"/>
      <c r="L5" s="346"/>
      <c r="M5" s="346"/>
    </row>
    <row r="6" spans="1:13" hidden="1">
      <c r="A6" s="130" t="s">
        <v>6</v>
      </c>
      <c r="B6" s="346">
        <f>'Absätze Mineralöl'!B10*'Steuer- und Abgabensätze'!B9/100</f>
        <v>14527837405.800409</v>
      </c>
      <c r="C6" s="346">
        <f>'Absätze Mineralöl'!C10*'Steuer- und Abgabensätze'!C9/100</f>
        <v>14527837405.800409</v>
      </c>
      <c r="D6" s="346">
        <f>'Absätze Mineralöl'!D10*'Steuer- und Abgabensätze'!D9/100</f>
        <v>14527837405.800409</v>
      </c>
      <c r="E6" s="346">
        <f>'Absätze Mineralöl'!E10*'Steuer- und Abgabensätze'!E9/100</f>
        <v>14527837405.800409</v>
      </c>
      <c r="F6" s="346">
        <f>'Absätze Mineralöl'!F10*'Steuer- und Abgabensätze'!F9/100</f>
        <v>14527837405.800409</v>
      </c>
      <c r="G6" s="346">
        <f>'Absätze Mineralöl'!G10*'Steuer- und Abgabensätze'!G9/100</f>
        <v>14527837405.800409</v>
      </c>
      <c r="H6" s="346">
        <f>'Absätze Mineralöl'!H10*'Steuer- und Abgabensätze'!H9/100</f>
        <v>14527837405.800409</v>
      </c>
      <c r="I6" s="346">
        <f>'Absätze Mineralöl'!I10*'Steuer- und Abgabensätze'!I9/100</f>
        <v>14527837405.800409</v>
      </c>
      <c r="J6" s="346">
        <f>'Absätze Mineralöl'!J10*'Steuer- und Abgabensätze'!J9/100</f>
        <v>14527837405.800409</v>
      </c>
      <c r="K6" s="346"/>
      <c r="L6" s="346"/>
      <c r="M6" s="346"/>
    </row>
    <row r="7" spans="1:13" hidden="1">
      <c r="A7" s="130" t="s">
        <v>7</v>
      </c>
      <c r="B7" s="346">
        <f>'Absätze Mineralöl'!B11*'Steuer- und Abgabensätze'!B13/100</f>
        <v>18378454902.394516</v>
      </c>
      <c r="C7" s="346">
        <f>'Absätze Mineralöl'!C11*'Steuer- und Abgabensätze'!C13/100</f>
        <v>18378454902.394516</v>
      </c>
      <c r="D7" s="346">
        <f>'Absätze Mineralöl'!D11*'Steuer- und Abgabensätze'!D13/100</f>
        <v>18378454902.394516</v>
      </c>
      <c r="E7" s="346">
        <f>'Absätze Mineralöl'!E11*'Steuer- und Abgabensätze'!E13/100</f>
        <v>18378454902.394516</v>
      </c>
      <c r="F7" s="346">
        <f>'Absätze Mineralöl'!F11*'Steuer- und Abgabensätze'!F13/100</f>
        <v>18378454902.394516</v>
      </c>
      <c r="G7" s="346">
        <f>'Absätze Mineralöl'!G11*'Steuer- und Abgabensätze'!G13/100</f>
        <v>18378454902.394516</v>
      </c>
      <c r="H7" s="346">
        <f>'Absätze Mineralöl'!H11*'Steuer- und Abgabensätze'!H13/100</f>
        <v>18378454902.394516</v>
      </c>
      <c r="I7" s="346">
        <f>'Absätze Mineralöl'!I11*'Steuer- und Abgabensätze'!I13/100</f>
        <v>18378454902.394516</v>
      </c>
      <c r="J7" s="346">
        <f>'Absätze Mineralöl'!J11*'Steuer- und Abgabensätze'!J13/100</f>
        <v>18378454902.394516</v>
      </c>
      <c r="K7" s="346"/>
      <c r="L7" s="346"/>
      <c r="M7" s="346"/>
    </row>
    <row r="8" spans="1:13">
      <c r="A8" s="342" t="s">
        <v>64</v>
      </c>
      <c r="B8" s="347">
        <v>36718891949</v>
      </c>
      <c r="C8" s="347">
        <v>33511299453</v>
      </c>
    </row>
    <row r="9" spans="1:13">
      <c r="A9" s="342" t="s">
        <v>429</v>
      </c>
      <c r="B9" s="348">
        <f>SUM(B10:B13)</f>
        <v>36745365360.775978</v>
      </c>
      <c r="C9" s="348">
        <f t="shared" ref="C9:M9" si="8">SUM(C10:C13)</f>
        <v>33745171878.645432</v>
      </c>
      <c r="D9" s="348">
        <f t="shared" si="8"/>
        <v>33753196748.64711</v>
      </c>
      <c r="E9" s="348">
        <f t="shared" si="8"/>
        <v>36805961898.654778</v>
      </c>
      <c r="F9" s="348">
        <f t="shared" si="8"/>
        <v>36805961898.654778</v>
      </c>
      <c r="G9" s="348">
        <f t="shared" si="8"/>
        <v>36805961898.654778</v>
      </c>
      <c r="H9" s="348">
        <f t="shared" si="8"/>
        <v>36805961898.654778</v>
      </c>
      <c r="I9" s="348">
        <f t="shared" si="8"/>
        <v>36805961898.654778</v>
      </c>
      <c r="J9" s="348">
        <f t="shared" si="8"/>
        <v>36805961898.654778</v>
      </c>
      <c r="K9" s="348">
        <f t="shared" si="8"/>
        <v>36805961898.654778</v>
      </c>
      <c r="L9" s="348">
        <f t="shared" si="8"/>
        <v>36805961898.654778</v>
      </c>
      <c r="M9" s="348">
        <f t="shared" si="8"/>
        <v>36805961898.654778</v>
      </c>
    </row>
    <row r="10" spans="1:13">
      <c r="A10" s="215" t="s">
        <v>6</v>
      </c>
      <c r="B10" s="348">
        <f>'Absätze Mineralöl'!B22*'Steuer- und Abgabensätze'!B9/100</f>
        <v>15574424785.430464</v>
      </c>
      <c r="C10" s="348">
        <f>'Absätze Mineralöl'!C22*'Steuer- und Abgabensätze'!C9/100</f>
        <v>14059084774.834438</v>
      </c>
      <c r="D10" s="348">
        <f>'Absätze Mineralöl'!D22*'Steuer- und Abgabensätze'!D9/100</f>
        <v>14049554692.852251</v>
      </c>
      <c r="E10" s="348">
        <f>'Absätze Mineralöl'!E22*'Steuer- und Abgabensätze'!E9/100</f>
        <v>15574424785.430464</v>
      </c>
      <c r="F10" s="348">
        <f>'Absätze Mineralöl'!F22*'Steuer- und Abgabensätze'!F9/100</f>
        <v>15574424785.430464</v>
      </c>
      <c r="G10" s="348">
        <f>'Absätze Mineralöl'!G22*'Steuer- und Abgabensätze'!G9/100</f>
        <v>15574424785.430464</v>
      </c>
      <c r="H10" s="348">
        <f>'Absätze Mineralöl'!H22*'Steuer- und Abgabensätze'!H9/100</f>
        <v>15574424785.430464</v>
      </c>
      <c r="I10" s="348">
        <f>'Absätze Mineralöl'!I22*'Steuer- und Abgabensätze'!I9/100</f>
        <v>15574424785.430464</v>
      </c>
      <c r="J10" s="348">
        <f>'Absätze Mineralöl'!J22*'Steuer- und Abgabensätze'!J9/100</f>
        <v>15574424785.430464</v>
      </c>
      <c r="K10" s="348">
        <f>'Absätze Mineralöl'!K22*'Steuer- und Abgabensätze'!K9/100</f>
        <v>15574424785.430464</v>
      </c>
      <c r="L10" s="348">
        <f>'Absätze Mineralöl'!L22*'Steuer- und Abgabensätze'!L9/100</f>
        <v>15574424785.430464</v>
      </c>
      <c r="M10" s="348">
        <f>'Absätze Mineralöl'!M22*'Steuer- und Abgabensätze'!M9/100</f>
        <v>15574424785.430464</v>
      </c>
    </row>
    <row r="11" spans="1:13">
      <c r="A11" s="215" t="s">
        <v>7</v>
      </c>
      <c r="B11" s="348">
        <f>'Absätze Mineralöl'!B23*'Steuer- und Abgabensätze'!B13/100</f>
        <v>21069562258.934914</v>
      </c>
      <c r="C11" s="348">
        <f>'Absätze Mineralöl'!C23*'Steuer- und Abgabensätze'!C13/100</f>
        <v>19574924432.662724</v>
      </c>
      <c r="D11" s="348">
        <f>'Absätze Mineralöl'!D23*'Steuer- und Abgabensätze'!D13/100</f>
        <v>19562063816.844555</v>
      </c>
      <c r="E11" s="348">
        <f>'Absätze Mineralöl'!E23*'Steuer- und Abgabensätze'!E13/100</f>
        <v>21069562258.934914</v>
      </c>
      <c r="F11" s="348">
        <f>'Absätze Mineralöl'!F23*'Steuer- und Abgabensätze'!F13/100</f>
        <v>21069562258.934914</v>
      </c>
      <c r="G11" s="348">
        <f>'Absätze Mineralöl'!G23*'Steuer- und Abgabensätze'!G13/100</f>
        <v>21069562258.934914</v>
      </c>
      <c r="H11" s="348">
        <f>'Absätze Mineralöl'!H23*'Steuer- und Abgabensätze'!H13/100</f>
        <v>21069562258.934914</v>
      </c>
      <c r="I11" s="348">
        <f>'Absätze Mineralöl'!I23*'Steuer- und Abgabensätze'!I13/100</f>
        <v>21069562258.934914</v>
      </c>
      <c r="J11" s="348">
        <f>'Absätze Mineralöl'!J23*'Steuer- und Abgabensätze'!J13/100</f>
        <v>21069562258.934914</v>
      </c>
      <c r="K11" s="348">
        <f>'Absätze Mineralöl'!K23*'Steuer- und Abgabensätze'!K13/100</f>
        <v>21069562258.934914</v>
      </c>
      <c r="L11" s="348">
        <f>'Absätze Mineralöl'!L23*'Steuer- und Abgabensätze'!L13/100</f>
        <v>21069562258.934914</v>
      </c>
      <c r="M11" s="348">
        <f>'Absätze Mineralöl'!M23*'Steuer- und Abgabensätze'!M13/100</f>
        <v>21069562258.934914</v>
      </c>
    </row>
    <row r="12" spans="1:13">
      <c r="A12" s="215" t="s">
        <v>118</v>
      </c>
      <c r="B12" s="348">
        <f>'Absätze Flüssiggas'!B20*'Steuer- und Abgabensätze'!B23/100*1000*1000</f>
        <v>99350546.510599986</v>
      </c>
      <c r="C12" s="348">
        <f>'Absätze Flüssiggas'!C20*'Steuer- und Abgabensätze'!C23/100*1000*1000</f>
        <v>110158800.74826998</v>
      </c>
      <c r="D12" s="348">
        <f>'Absätze Flüssiggas'!D20*'Steuer- und Abgabensätze'!D23/100*1000*1000</f>
        <v>139550469.0503</v>
      </c>
      <c r="E12" s="348">
        <f>'Absätze Flüssiggas'!E20*'Steuer- und Abgabensätze'!E23/100*1000*1000</f>
        <v>159947084.38939998</v>
      </c>
      <c r="F12" s="348">
        <f>'Absätze Flüssiggas'!F20*'Steuer- und Abgabensätze'!F23/100*1000*1000</f>
        <v>159947084.38939998</v>
      </c>
      <c r="G12" s="348">
        <f>'Absätze Flüssiggas'!G20*'Steuer- und Abgabensätze'!G23/100*1000*1000</f>
        <v>159947084.38939998</v>
      </c>
      <c r="H12" s="348">
        <f>'Absätze Flüssiggas'!H20*'Steuer- und Abgabensätze'!H23/100*1000*1000</f>
        <v>159947084.38939998</v>
      </c>
      <c r="I12" s="348">
        <f>'Absätze Flüssiggas'!I20*'Steuer- und Abgabensätze'!I23/100*1000*1000</f>
        <v>159947084.38939998</v>
      </c>
      <c r="J12" s="348">
        <f>'Absätze Flüssiggas'!J20*'Steuer- und Abgabensätze'!J23/100*1000*1000</f>
        <v>159947084.38939998</v>
      </c>
      <c r="K12" s="348">
        <f>'Absätze Flüssiggas'!K20*'Steuer- und Abgabensätze'!K23/100*1000*1000</f>
        <v>159947084.38939998</v>
      </c>
      <c r="L12" s="348">
        <f>'Absätze Flüssiggas'!L20*'Steuer- und Abgabensätze'!L23/100*1000*1000</f>
        <v>159947084.38939998</v>
      </c>
      <c r="M12" s="348">
        <f>'Absätze Flüssiggas'!M20*'Steuer- und Abgabensätze'!M23/100*1000*1000</f>
        <v>159947084.38939998</v>
      </c>
    </row>
    <row r="13" spans="1:13">
      <c r="A13" s="215" t="s">
        <v>129</v>
      </c>
      <c r="B13" s="348">
        <f>'Absätze Heizöl S'!B9*'Kalibierung Steuereinnahmen'!$B$21*'Steuer- und Abgabensätze'!B28/100*1000*1000</f>
        <v>2027769.9</v>
      </c>
      <c r="C13" s="348">
        <f>'Absätze Heizöl S'!C9*'Kalibierung Steuereinnahmen'!$B$21*'Steuer- und Abgabensätze'!C28/100*1000*1000</f>
        <v>1003870.4</v>
      </c>
      <c r="D13" s="348">
        <f>'Absätze Heizöl S'!D9*'Kalibierung Steuereinnahmen'!$B$21*'Steuer- und Abgabensätze'!D28/100*1000*1000</f>
        <v>2027769.9</v>
      </c>
      <c r="E13" s="348">
        <f>'Absätze Heizöl S'!E9*'Kalibierung Steuereinnahmen'!$B$21*'Steuer- und Abgabensätze'!E28/100*1000*1000</f>
        <v>2027769.9</v>
      </c>
      <c r="F13" s="348">
        <f>'Absätze Heizöl S'!F9*'Kalibierung Steuereinnahmen'!$B$21*'Steuer- und Abgabensätze'!F28/100*1000*1000</f>
        <v>2027769.9</v>
      </c>
      <c r="G13" s="348">
        <f>'Absätze Heizöl S'!G9*'Kalibierung Steuereinnahmen'!$B$21*'Steuer- und Abgabensätze'!G28/100*1000*1000</f>
        <v>2027769.9</v>
      </c>
      <c r="H13" s="348">
        <f>'Absätze Heizöl S'!H9*'Kalibierung Steuereinnahmen'!$B$21*'Steuer- und Abgabensätze'!H28/100*1000*1000</f>
        <v>2027769.9</v>
      </c>
      <c r="I13" s="348">
        <f>'Absätze Heizöl S'!I9*'Kalibierung Steuereinnahmen'!$B$21*'Steuer- und Abgabensätze'!I28/100*1000*1000</f>
        <v>2027769.9</v>
      </c>
      <c r="J13" s="348">
        <f>'Absätze Heizöl S'!J9*'Kalibierung Steuereinnahmen'!$B$21*'Steuer- und Abgabensätze'!J28/100*1000*1000</f>
        <v>2027769.9</v>
      </c>
      <c r="K13" s="348">
        <f>'Absätze Heizöl S'!K9*'Kalibierung Steuereinnahmen'!$B$21*'Steuer- und Abgabensätze'!K28/100*1000*1000</f>
        <v>2027769.9</v>
      </c>
      <c r="L13" s="348">
        <f>'Absätze Heizöl S'!L9*'Kalibierung Steuereinnahmen'!$B$21*'Steuer- und Abgabensätze'!L28/100*1000*1000</f>
        <v>2027769.9</v>
      </c>
      <c r="M13" s="348">
        <f>'Absätze Heizöl S'!M9*'Kalibierung Steuereinnahmen'!$B$21*'Steuer- und Abgabensätze'!M28/100*1000*1000</f>
        <v>2027769.9</v>
      </c>
    </row>
    <row r="14" spans="1:13">
      <c r="B14" s="346"/>
      <c r="C14" s="346"/>
      <c r="D14" s="346"/>
      <c r="E14" s="346"/>
      <c r="F14" s="346"/>
      <c r="G14" s="346"/>
      <c r="H14" s="346"/>
      <c r="I14" s="346"/>
      <c r="J14" s="346"/>
      <c r="K14" s="346"/>
      <c r="L14" s="346"/>
      <c r="M14" s="346"/>
    </row>
    <row r="15" spans="1:13">
      <c r="A15" s="342" t="s">
        <v>64</v>
      </c>
      <c r="B15" s="347">
        <v>2768771964</v>
      </c>
      <c r="C15" s="347">
        <v>2740745972.7199998</v>
      </c>
      <c r="D15" s="346"/>
      <c r="E15" s="346"/>
      <c r="F15" s="346"/>
      <c r="G15" s="346"/>
      <c r="H15" s="346"/>
      <c r="I15" s="346"/>
      <c r="J15" s="346"/>
      <c r="K15" s="346"/>
      <c r="L15" s="346"/>
      <c r="M15" s="346"/>
    </row>
    <row r="16" spans="1:13">
      <c r="A16" s="215" t="s">
        <v>430</v>
      </c>
      <c r="B16" s="348">
        <f>'Absätze Erdgas'!B46*'Steuer- und Abgabensätze'!B34*1000*1000*1000/100</f>
        <v>2769684133.333334</v>
      </c>
      <c r="C16" s="348">
        <f>'Absätze Erdgas'!C46*'Steuer- und Abgabensätze'!C34*1000*1000*1000/100</f>
        <v>2672727627.7777781</v>
      </c>
      <c r="D16" s="348">
        <f>'Absätze Erdgas'!D46*'Steuer- und Abgabensätze'!D34*1000*1000*1000/100</f>
        <v>2768410349.9326591</v>
      </c>
      <c r="E16" s="348">
        <f>'Absätze Erdgas'!E46*'Steuer- und Abgabensätze'!E34*1000*1000*1000/100</f>
        <v>2768410349.9326591</v>
      </c>
      <c r="F16" s="348">
        <f>'Absätze Erdgas'!F46*'Steuer- und Abgabensätze'!F34*1000*1000*1000/100</f>
        <v>2768410349.9326591</v>
      </c>
      <c r="G16" s="348">
        <f>'Absätze Erdgas'!G46*'Steuer- und Abgabensätze'!G34*1000*1000*1000/100</f>
        <v>2768410349.9326591</v>
      </c>
      <c r="H16" s="348">
        <f>'Absätze Erdgas'!H46*'Steuer- und Abgabensätze'!H34*1000*1000*1000/100</f>
        <v>2768410349.9326591</v>
      </c>
      <c r="I16" s="348">
        <f>'Absätze Erdgas'!I46*'Steuer- und Abgabensätze'!I34*1000*1000*1000/100</f>
        <v>2768410349.9326591</v>
      </c>
      <c r="J16" s="348">
        <f>'Absätze Erdgas'!J46*'Steuer- und Abgabensätze'!J34*1000*1000*1000/100</f>
        <v>2768410349.9326591</v>
      </c>
      <c r="K16" s="348">
        <f>'Absätze Erdgas'!K46*'Steuer- und Abgabensätze'!K34*1000*1000*1000/100</f>
        <v>2768410349.9326591</v>
      </c>
      <c r="L16" s="348">
        <f>'Absätze Erdgas'!L46*'Steuer- und Abgabensätze'!L34*1000*1000*1000/100</f>
        <v>2768410349.9326591</v>
      </c>
      <c r="M16" s="348">
        <f>'Absätze Erdgas'!M46*'Steuer- und Abgabensätze'!M34*1000*1000*1000/100</f>
        <v>2768410349.9326591</v>
      </c>
    </row>
    <row r="17" spans="1:13">
      <c r="A17" s="346"/>
      <c r="B17" s="346"/>
      <c r="C17" s="346"/>
      <c r="D17" s="346"/>
      <c r="E17" s="346"/>
      <c r="F17" s="346"/>
      <c r="G17" s="346"/>
      <c r="H17" s="346"/>
      <c r="I17" s="346"/>
      <c r="J17" s="346"/>
      <c r="K17" s="346"/>
      <c r="L17" s="346"/>
      <c r="M17" s="346"/>
    </row>
    <row r="18" spans="1:13">
      <c r="B18" s="346"/>
      <c r="C18" s="346"/>
      <c r="D18" s="349"/>
      <c r="E18" s="346"/>
      <c r="F18" s="346"/>
      <c r="G18" s="346"/>
      <c r="H18" s="346"/>
      <c r="I18" s="346"/>
      <c r="J18" s="346"/>
      <c r="K18" s="346"/>
      <c r="L18" s="346"/>
      <c r="M18" s="346"/>
    </row>
    <row r="19" spans="1:13">
      <c r="A19" s="342" t="s">
        <v>64</v>
      </c>
      <c r="B19" s="347">
        <v>1195053109</v>
      </c>
      <c r="C19" s="347">
        <v>1382710974.8099999</v>
      </c>
    </row>
    <row r="20" spans="1:13">
      <c r="A20" s="342" t="s">
        <v>431</v>
      </c>
      <c r="B20" s="348">
        <f>B21+B22+B23</f>
        <v>1206166267.3469288</v>
      </c>
      <c r="C20" s="348">
        <f t="shared" ref="C20:M20" si="9">C21+C22+C23</f>
        <v>1227505986.0902238</v>
      </c>
      <c r="D20" s="348">
        <f t="shared" si="9"/>
        <v>956349098.87151599</v>
      </c>
      <c r="E20" s="348">
        <f t="shared" si="9"/>
        <v>1206166267.3469288</v>
      </c>
      <c r="F20" s="348">
        <f t="shared" si="9"/>
        <v>1206166267.3469288</v>
      </c>
      <c r="G20" s="348">
        <f t="shared" si="9"/>
        <v>1206166267.3469288</v>
      </c>
      <c r="H20" s="348">
        <f t="shared" si="9"/>
        <v>1206166267.3469288</v>
      </c>
      <c r="I20" s="348">
        <f t="shared" si="9"/>
        <v>1206166267.3469288</v>
      </c>
      <c r="J20" s="348">
        <f t="shared" si="9"/>
        <v>1206166267.3469288</v>
      </c>
      <c r="K20" s="348">
        <f t="shared" si="9"/>
        <v>1206166267.3469288</v>
      </c>
      <c r="L20" s="348">
        <f t="shared" si="9"/>
        <v>1206166267.3469288</v>
      </c>
      <c r="M20" s="348">
        <f t="shared" si="9"/>
        <v>1206166267.3469288</v>
      </c>
    </row>
    <row r="21" spans="1:13">
      <c r="A21" s="215" t="s">
        <v>65</v>
      </c>
      <c r="B21" s="348">
        <f>'Absätze Heizöl EL'!B17*'Steuer- und Abgabensätze'!B19/100+'Absätze Heizöl EL'!B18*'Steuer- und Abgabensätze'!B20/100</f>
        <v>1113450665.147929</v>
      </c>
      <c r="C21" s="348">
        <f>'Absätze Heizöl EL'!C17*'Steuer- und Abgabensätze'!C19/100+'Absätze Heizöl EL'!C18*'Steuer- und Abgabensätze'!C20/100</f>
        <v>1143649998.2840238</v>
      </c>
      <c r="D21" s="348">
        <f>'Absätze Heizöl EL'!D17*'Steuer- und Abgabensätze'!D19/100+'Absätze Heizöl EL'!D18*'Steuer- und Abgabensätze'!D20/100</f>
        <v>863633496.67251599</v>
      </c>
      <c r="E21" s="348">
        <f>'Absätze Heizöl EL'!E17*'Steuer- und Abgabensätze'!E19/100+'Absätze Heizöl EL'!E18*'Steuer- und Abgabensätze'!E20/100</f>
        <v>1113450665.147929</v>
      </c>
      <c r="F21" s="348">
        <f>'Absätze Heizöl EL'!F17*'Steuer- und Abgabensätze'!F19/100+'Absätze Heizöl EL'!F18*'Steuer- und Abgabensätze'!F20/100</f>
        <v>1113450665.147929</v>
      </c>
      <c r="G21" s="348">
        <f>'Absätze Heizöl EL'!G17*'Steuer- und Abgabensätze'!G19/100+'Absätze Heizöl EL'!G18*'Steuer- und Abgabensätze'!G20/100</f>
        <v>1113450665.147929</v>
      </c>
      <c r="H21" s="348">
        <f>'Absätze Heizöl EL'!H17*'Steuer- und Abgabensätze'!H19/100+'Absätze Heizöl EL'!H18*'Steuer- und Abgabensätze'!H20/100</f>
        <v>1113450665.147929</v>
      </c>
      <c r="I21" s="348">
        <f>'Absätze Heizöl EL'!I17*'Steuer- und Abgabensätze'!I19/100+'Absätze Heizöl EL'!I18*'Steuer- und Abgabensätze'!I20/100</f>
        <v>1113450665.147929</v>
      </c>
      <c r="J21" s="348">
        <f>'Absätze Heizöl EL'!J17*'Steuer- und Abgabensätze'!J19/100+'Absätze Heizöl EL'!J18*'Steuer- und Abgabensätze'!J20/100</f>
        <v>1113450665.147929</v>
      </c>
      <c r="K21" s="348">
        <f>'Absätze Heizöl EL'!K17*'Steuer- und Abgabensätze'!K19/100+'Absätze Heizöl EL'!K18*'Steuer- und Abgabensätze'!K20/100</f>
        <v>1113450665.147929</v>
      </c>
      <c r="L21" s="348">
        <f>'Absätze Heizöl EL'!L17*'Steuer- und Abgabensätze'!L19/100+'Absätze Heizöl EL'!L18*'Steuer- und Abgabensätze'!L20/100</f>
        <v>1113450665.147929</v>
      </c>
      <c r="M21" s="348">
        <f>'Absätze Heizöl EL'!M17*'Steuer- und Abgabensätze'!M19/100+'Absätze Heizöl EL'!M18*'Steuer- und Abgabensätze'!M20/100</f>
        <v>1113450665.147929</v>
      </c>
    </row>
    <row r="22" spans="1:13">
      <c r="A22" s="215" t="s">
        <v>119</v>
      </c>
      <c r="B22" s="348">
        <f>('Absätze Flüssiggas'!B18+'Absätze Flüssiggas'!B19)*'Steuer- und Abgabensätze'!B24/100*1000*1000</f>
        <v>88855040.273999989</v>
      </c>
      <c r="C22" s="348">
        <f>('Absätze Flüssiggas'!C18+'Absätze Flüssiggas'!C19)*'Steuer- und Abgabensätze'!C24/100*1000*1000</f>
        <v>81944773.006199986</v>
      </c>
      <c r="D22" s="348">
        <f>('Absätze Flüssiggas'!D18+'Absätze Flüssiggas'!D19)*'Steuer- und Abgabensätze'!D24/100*1000*1000</f>
        <v>88855040.273999989</v>
      </c>
      <c r="E22" s="348">
        <f>('Absätze Flüssiggas'!E18+'Absätze Flüssiggas'!E19)*'Steuer- und Abgabensätze'!E24/100*1000*1000</f>
        <v>88855040.273999989</v>
      </c>
      <c r="F22" s="348">
        <f>('Absätze Flüssiggas'!F18+'Absätze Flüssiggas'!F19)*'Steuer- und Abgabensätze'!F24/100*1000*1000</f>
        <v>88855040.273999989</v>
      </c>
      <c r="G22" s="348">
        <f>('Absätze Flüssiggas'!G18+'Absätze Flüssiggas'!G19)*'Steuer- und Abgabensätze'!G24/100*1000*1000</f>
        <v>88855040.273999989</v>
      </c>
      <c r="H22" s="348">
        <f>('Absätze Flüssiggas'!H18+'Absätze Flüssiggas'!H19)*'Steuer- und Abgabensätze'!H24/100*1000*1000</f>
        <v>88855040.273999989</v>
      </c>
      <c r="I22" s="348">
        <f>('Absätze Flüssiggas'!I18+'Absätze Flüssiggas'!I19)*'Steuer- und Abgabensätze'!I24/100*1000*1000</f>
        <v>88855040.273999989</v>
      </c>
      <c r="J22" s="348">
        <f>('Absätze Flüssiggas'!J18+'Absätze Flüssiggas'!J19)*'Steuer- und Abgabensätze'!J24/100*1000*1000</f>
        <v>88855040.273999989</v>
      </c>
      <c r="K22" s="348">
        <f>('Absätze Flüssiggas'!K18+'Absätze Flüssiggas'!K19)*'Steuer- und Abgabensätze'!K24/100*1000*1000</f>
        <v>88855040.273999989</v>
      </c>
      <c r="L22" s="348">
        <f>('Absätze Flüssiggas'!L18+'Absätze Flüssiggas'!L19)*'Steuer- und Abgabensätze'!L24/100*1000*1000</f>
        <v>88855040.273999989</v>
      </c>
      <c r="M22" s="348">
        <f>('Absätze Flüssiggas'!M18+'Absätze Flüssiggas'!M19)*'Steuer- und Abgabensätze'!M24/100*1000*1000</f>
        <v>88855040.273999989</v>
      </c>
    </row>
    <row r="23" spans="1:13">
      <c r="A23" s="215" t="s">
        <v>132</v>
      </c>
      <c r="B23" s="348">
        <f>'Absätze Heizöl S'!B9*'Kalibierung Steuereinnahmen'!$B$22*'Steuer- und Abgabensätze'!B29/100*1000*1000</f>
        <v>3860561.9250000003</v>
      </c>
      <c r="C23" s="348">
        <f>'Absätze Heizöl S'!C9*'Kalibierung Steuereinnahmen'!$B$22*'Steuer- und Abgabensätze'!C29/100*1000*1000</f>
        <v>1911214.8</v>
      </c>
      <c r="D23" s="348">
        <f>'Absätze Heizöl S'!D9*'Kalibierung Steuereinnahmen'!$B$22*'Steuer- und Abgabensätze'!D29/100*1000*1000</f>
        <v>3860561.9250000003</v>
      </c>
      <c r="E23" s="348">
        <f>'Absätze Heizöl S'!E9*'Kalibierung Steuereinnahmen'!$B$22*'Steuer- und Abgabensätze'!E29/100*1000*1000</f>
        <v>3860561.9250000003</v>
      </c>
      <c r="F23" s="348">
        <f>'Absätze Heizöl S'!F9*'Kalibierung Steuereinnahmen'!$B$22*'Steuer- und Abgabensätze'!F29/100*1000*1000</f>
        <v>3860561.9250000003</v>
      </c>
      <c r="G23" s="348">
        <f>'Absätze Heizöl S'!G9*'Kalibierung Steuereinnahmen'!$B$22*'Steuer- und Abgabensätze'!G29/100*1000*1000</f>
        <v>3860561.9250000003</v>
      </c>
      <c r="H23" s="348">
        <f>'Absätze Heizöl S'!H9*'Kalibierung Steuereinnahmen'!$B$22*'Steuer- und Abgabensätze'!H29/100*1000*1000</f>
        <v>3860561.9250000003</v>
      </c>
      <c r="I23" s="348">
        <f>'Absätze Heizöl S'!I9*'Kalibierung Steuereinnahmen'!$B$22*'Steuer- und Abgabensätze'!I29/100*1000*1000</f>
        <v>3860561.9250000003</v>
      </c>
      <c r="J23" s="348">
        <f>'Absätze Heizöl S'!J9*'Kalibierung Steuereinnahmen'!$B$22*'Steuer- und Abgabensätze'!J29/100*1000*1000</f>
        <v>3860561.9250000003</v>
      </c>
      <c r="K23" s="348">
        <f>'Absätze Heizöl S'!K9*'Kalibierung Steuereinnahmen'!$B$22*'Steuer- und Abgabensätze'!K29/100*1000*1000</f>
        <v>3860561.9250000003</v>
      </c>
      <c r="L23" s="348">
        <f>'Absätze Heizöl S'!L9*'Kalibierung Steuereinnahmen'!$B$22*'Steuer- und Abgabensätze'!L29/100*1000*1000</f>
        <v>3860561.9250000003</v>
      </c>
      <c r="M23" s="348">
        <f>'Absätze Heizöl S'!M9*'Kalibierung Steuereinnahmen'!$B$22*'Steuer- und Abgabensätze'!M29/100*1000*1000</f>
        <v>3860561.9250000003</v>
      </c>
    </row>
    <row r="25" spans="1:13">
      <c r="A25" s="342" t="s">
        <v>64</v>
      </c>
      <c r="B25" s="347">
        <v>6688781941</v>
      </c>
      <c r="C25" s="347">
        <v>6560749103.5</v>
      </c>
    </row>
    <row r="26" spans="1:13">
      <c r="A26" s="342" t="s">
        <v>432</v>
      </c>
      <c r="B26" s="348">
        <f>'Absätze und Umlagen Strom'!B11</f>
        <v>6688781941</v>
      </c>
      <c r="C26" s="348">
        <f>'Absätze und Umlagen Strom'!C11</f>
        <v>6448518603.0857992</v>
      </c>
      <c r="D26" s="348">
        <f>'Absätze und Umlagen Strom'!D11</f>
        <v>6672598400.1042252</v>
      </c>
      <c r="E26" s="348">
        <f>'Absätze und Umlagen Strom'!E11</f>
        <v>6672598400.1042252</v>
      </c>
      <c r="F26" s="348">
        <f>'Absätze und Umlagen Strom'!F11</f>
        <v>6672598400.1042252</v>
      </c>
      <c r="G26" s="348">
        <f>'Absätze und Umlagen Strom'!G11</f>
        <v>6672598400.1042252</v>
      </c>
      <c r="H26" s="348">
        <f>'Absätze und Umlagen Strom'!H11</f>
        <v>6672598400.1042252</v>
      </c>
      <c r="I26" s="348">
        <f>'Absätze und Umlagen Strom'!I11</f>
        <v>6672598400.1042252</v>
      </c>
      <c r="J26" s="348">
        <f>'Absätze und Umlagen Strom'!J11</f>
        <v>6672598400.1042252</v>
      </c>
      <c r="K26" s="348">
        <f>'Absätze und Umlagen Strom'!K11</f>
        <v>6672598400.1042252</v>
      </c>
      <c r="L26" s="348">
        <f>'Absätze und Umlagen Strom'!L11</f>
        <v>6672598400.1042252</v>
      </c>
      <c r="M26" s="348">
        <f>'Absätze und Umlagen Strom'!M11</f>
        <v>6672598400.1042252</v>
      </c>
    </row>
    <row r="28" spans="1:13">
      <c r="A28" s="342" t="s">
        <v>269</v>
      </c>
    </row>
    <row r="29" spans="1:13">
      <c r="A29" s="215" t="s">
        <v>6</v>
      </c>
      <c r="B29" s="348">
        <f>'Absätze Mineralöl'!B30*'Steuer- und Abgabensätze'!B$4</f>
        <v>0</v>
      </c>
      <c r="C29" s="348">
        <f>'Absätze Mineralöl'!C30*'Steuer- und Abgabensätze'!C$4</f>
        <v>0</v>
      </c>
      <c r="D29" s="348">
        <f>'Absätze Mineralöl'!D30*'Steuer- und Abgabensätze'!D$4</f>
        <v>1288387500</v>
      </c>
      <c r="E29" s="348">
        <f>'Absätze Mineralöl'!E30*'Steuer- und Abgabensätze'!E$4</f>
        <v>1713867348.987</v>
      </c>
      <c r="F29" s="348">
        <f>'Absätze Mineralöl'!F30*'Steuer- und Abgabensätze'!F$4</f>
        <v>1999511907.1515</v>
      </c>
      <c r="G29" s="348">
        <f>'Absätze Mineralöl'!G30*'Steuer- und Abgabensätze'!G$4</f>
        <v>2570801023.4805002</v>
      </c>
      <c r="H29" s="348">
        <f>'Absätze Mineralöl'!H30*'Steuer- und Abgabensätze'!H$4</f>
        <v>3142090139.8094997</v>
      </c>
      <c r="I29" s="348">
        <f>'Absätze Mineralöl'!I30*'Steuer- und Abgabensätze'!I$4</f>
        <v>3427734697.974</v>
      </c>
      <c r="J29" s="348">
        <f>'Absätze Mineralöl'!J30*'Steuer- und Abgabensätze'!J$4</f>
        <v>3427734697.974</v>
      </c>
      <c r="K29" s="348">
        <f>'Absätze Mineralöl'!K30*'Steuer- und Abgabensätze'!K$4</f>
        <v>3427734697.974</v>
      </c>
      <c r="L29" s="348">
        <f>'Absätze Mineralöl'!L30*'Steuer- und Abgabensätze'!L$4</f>
        <v>3427734697.974</v>
      </c>
      <c r="M29" s="348">
        <f>'Absätze Mineralöl'!M30*'Steuer- und Abgabensätze'!M$4</f>
        <v>3427734697.974</v>
      </c>
    </row>
    <row r="30" spans="1:13">
      <c r="A30" s="215" t="s">
        <v>7</v>
      </c>
      <c r="B30" s="348">
        <f>'Absätze Mineralöl'!B31*'Steuer- und Abgabensätze'!B$4</f>
        <v>0</v>
      </c>
      <c r="C30" s="348">
        <f>'Absätze Mineralöl'!C31*'Steuer- und Abgabensätze'!C$4</f>
        <v>0</v>
      </c>
      <c r="D30" s="348">
        <f>'Absätze Mineralöl'!D31*'Steuer- und Abgabensätze'!D$4</f>
        <v>2782400000</v>
      </c>
      <c r="E30" s="348">
        <f>'Absätze Mineralöl'!E31*'Steuer- und Abgabensätze'!E$4</f>
        <v>3596181910.7519999</v>
      </c>
      <c r="F30" s="348">
        <f>'Absätze Mineralöl'!F31*'Steuer- und Abgabensätze'!F$4</f>
        <v>4195545562.5439997</v>
      </c>
      <c r="G30" s="348">
        <f>'Absätze Mineralöl'!G31*'Steuer- und Abgabensätze'!G$4</f>
        <v>5394272866.1279993</v>
      </c>
      <c r="H30" s="348">
        <f>'Absätze Mineralöl'!H31*'Steuer- und Abgabensätze'!H$4</f>
        <v>6593000169.7119989</v>
      </c>
      <c r="I30" s="348">
        <f>'Absätze Mineralöl'!I31*'Steuer- und Abgabensätze'!I$4</f>
        <v>7192363821.5039997</v>
      </c>
      <c r="J30" s="348">
        <f>'Absätze Mineralöl'!J31*'Steuer- und Abgabensätze'!J$4</f>
        <v>7192363821.5039997</v>
      </c>
      <c r="K30" s="348">
        <f>'Absätze Mineralöl'!K31*'Steuer- und Abgabensätze'!K$4</f>
        <v>7192363821.5039997</v>
      </c>
      <c r="L30" s="348">
        <f>'Absätze Mineralöl'!L31*'Steuer- und Abgabensätze'!L$4</f>
        <v>7192363821.5039997</v>
      </c>
      <c r="M30" s="348">
        <f>'Absätze Mineralöl'!M31*'Steuer- und Abgabensätze'!M$4</f>
        <v>7192363821.5039997</v>
      </c>
    </row>
    <row r="31" spans="1:13">
      <c r="A31" s="215" t="s">
        <v>10</v>
      </c>
      <c r="B31" s="348">
        <f>'Absätze Erdgas'!B56*'Steuer- und Abgabensätze'!B$4</f>
        <v>0</v>
      </c>
      <c r="C31" s="348">
        <f>'Absätze Erdgas'!C56*'Steuer- und Abgabensätze'!C$4</f>
        <v>0</v>
      </c>
      <c r="D31" s="348">
        <f>'Absätze Erdgas'!D56*'Steuer- und Abgabensätze'!D$4</f>
        <v>2843726244.9230852</v>
      </c>
      <c r="E31" s="348">
        <f>'Absätze Erdgas'!E56*'Steuer- und Abgabensätze'!E$4</f>
        <v>3412471493.9077024</v>
      </c>
      <c r="F31" s="348">
        <f>'Absätze Erdgas'!F56*'Steuer- und Abgabensätze'!F$4</f>
        <v>3981216742.8923197</v>
      </c>
      <c r="G31" s="348">
        <f>'Absätze Erdgas'!G56*'Steuer- und Abgabensätze'!G$4</f>
        <v>5118707240.8615532</v>
      </c>
      <c r="H31" s="348">
        <f>'Absätze Erdgas'!H56*'Steuer- und Abgabensätze'!H$4</f>
        <v>6256197738.8307877</v>
      </c>
      <c r="I31" s="348">
        <f>'Absätze Erdgas'!I56*'Steuer- und Abgabensätze'!I$4</f>
        <v>6824942987.8154049</v>
      </c>
      <c r="J31" s="348">
        <f>'Absätze Erdgas'!J56*'Steuer- und Abgabensätze'!J$4</f>
        <v>6824942987.8154049</v>
      </c>
      <c r="K31" s="348">
        <f>'Absätze Erdgas'!K56*'Steuer- und Abgabensätze'!K$4</f>
        <v>6824942987.8154049</v>
      </c>
      <c r="L31" s="348">
        <f>'Absätze Erdgas'!L56*'Steuer- und Abgabensätze'!L$4</f>
        <v>6824942987.8154049</v>
      </c>
      <c r="M31" s="348">
        <f>'Absätze Erdgas'!M56*'Steuer- und Abgabensätze'!M$4</f>
        <v>6824942987.8154049</v>
      </c>
    </row>
    <row r="32" spans="1:13">
      <c r="A32" s="215" t="s">
        <v>65</v>
      </c>
      <c r="B32" s="348">
        <f>('Absätze Heizöl EL'!B25+'Absätze Heizöl EL'!B26)*'Steuer- und Abgabensätze'!B4</f>
        <v>0</v>
      </c>
      <c r="C32" s="348">
        <f>('Absätze Heizöl EL'!C25+'Absätze Heizöl EL'!C26)*'Steuer- und Abgabensätze'!C4</f>
        <v>0</v>
      </c>
      <c r="D32" s="348">
        <f>('Absätze Heizöl EL'!D25+'Absätze Heizöl EL'!D26)*'Steuer- und Abgabensätze'!D4</f>
        <v>925000000</v>
      </c>
      <c r="E32" s="348">
        <f>('Absätze Heizöl EL'!E25+'Absätze Heizöl EL'!E26)*'Steuer- und Abgabensätze'!E4</f>
        <v>1431081868.7279997</v>
      </c>
      <c r="F32" s="348">
        <f>('Absätze Heizöl EL'!F25+'Absätze Heizöl EL'!F26)*'Steuer- und Abgabensätze'!F4</f>
        <v>1669595513.5159996</v>
      </c>
      <c r="G32" s="348">
        <f>('Absätze Heizöl EL'!G25+'Absätze Heizöl EL'!G26)*'Steuer- und Abgabensätze'!G4</f>
        <v>2146622803.0919995</v>
      </c>
      <c r="H32" s="348">
        <f>('Absätze Heizöl EL'!H25+'Absätze Heizöl EL'!H26)*'Steuer- und Abgabensätze'!H4</f>
        <v>2623650092.6679993</v>
      </c>
      <c r="I32" s="348">
        <f>('Absätze Heizöl EL'!I25+'Absätze Heizöl EL'!I26)*'Steuer- und Abgabensätze'!I4</f>
        <v>2862163737.4559994</v>
      </c>
      <c r="J32" s="348">
        <f>('Absätze Heizöl EL'!J25+'Absätze Heizöl EL'!J26)*'Steuer- und Abgabensätze'!J4</f>
        <v>2862163737.4559994</v>
      </c>
      <c r="K32" s="348">
        <f>('Absätze Heizöl EL'!K25+'Absätze Heizöl EL'!K26)*'Steuer- und Abgabensätze'!K4</f>
        <v>2862163737.4559994</v>
      </c>
      <c r="L32" s="348">
        <f>('Absätze Heizöl EL'!L25+'Absätze Heizöl EL'!L26)*'Steuer- und Abgabensätze'!L4</f>
        <v>2862163737.4559994</v>
      </c>
      <c r="M32" s="348">
        <f>('Absätze Heizöl EL'!M25+'Absätze Heizöl EL'!M26)*'Steuer- und Abgabensätze'!M4</f>
        <v>2862163737.4559994</v>
      </c>
    </row>
    <row r="33" spans="1:13">
      <c r="A33" s="215" t="s">
        <v>108</v>
      </c>
      <c r="B33" s="348">
        <f>'Absätze Flüssiggas'!B36*'Steuer- und Abgabensätze'!B4</f>
        <v>0</v>
      </c>
      <c r="C33" s="348">
        <f>'Absätze Flüssiggas'!C36*'Steuer- und Abgabensätze'!C4</f>
        <v>0</v>
      </c>
      <c r="D33" s="348">
        <f>'Absätze Flüssiggas'!D36*'Steuer- und Abgabensätze'!D4</f>
        <v>113864234.05982624</v>
      </c>
      <c r="E33" s="348">
        <f>'Absätze Flüssiggas'!E36*'Steuer- und Abgabensätze'!E4</f>
        <v>136637080.87179148</v>
      </c>
      <c r="F33" s="348">
        <f>'Absätze Flüssiggas'!F36*'Steuer- und Abgabensätze'!F4</f>
        <v>159409927.68375674</v>
      </c>
      <c r="G33" s="348">
        <f>'Absätze Flüssiggas'!G36*'Steuer- und Abgabensätze'!G4</f>
        <v>204955621.30768722</v>
      </c>
      <c r="H33" s="348">
        <f>'Absätze Flüssiggas'!H36*'Steuer- und Abgabensätze'!H4</f>
        <v>250501314.93161774</v>
      </c>
      <c r="I33" s="348">
        <f>'Absätze Flüssiggas'!I36*'Steuer- und Abgabensätze'!I4</f>
        <v>273274161.74358296</v>
      </c>
      <c r="J33" s="348">
        <f>'Absätze Flüssiggas'!J36*'Steuer- und Abgabensätze'!J4</f>
        <v>273274161.74358296</v>
      </c>
      <c r="K33" s="348">
        <f>'Absätze Flüssiggas'!K36*'Steuer- und Abgabensätze'!K4</f>
        <v>273274161.74358296</v>
      </c>
      <c r="L33" s="348">
        <f>'Absätze Flüssiggas'!L36*'Steuer- und Abgabensätze'!L4</f>
        <v>273274161.74358296</v>
      </c>
      <c r="M33" s="348">
        <f>'Absätze Flüssiggas'!M36*'Steuer- und Abgabensätze'!M4</f>
        <v>273274161.74358296</v>
      </c>
    </row>
    <row r="34" spans="1:13">
      <c r="A34" s="215" t="s">
        <v>123</v>
      </c>
      <c r="B34" s="348">
        <f>'Absätze Heizöl S'!B16*'Kalibierung Steuereinnahmen'!$B$24*'Steuer- und Abgabensätze'!B4</f>
        <v>0</v>
      </c>
      <c r="C34" s="348">
        <f>'Absätze Heizöl S'!C16*'Kalibierung Steuereinnahmen'!$B$24*'Steuer- und Abgabensätze'!C4</f>
        <v>0</v>
      </c>
      <c r="D34" s="348">
        <f>'Absätze Heizöl S'!D16*'Kalibierung Steuereinnahmen'!$B$24*'Steuer- und Abgabensätze'!D4</f>
        <v>61535992.239374995</v>
      </c>
      <c r="E34" s="348">
        <f>'Absätze Heizöl S'!E16*'Kalibierung Steuereinnahmen'!$B$24*'Steuer- und Abgabensätze'!E4</f>
        <v>73843190.687249988</v>
      </c>
      <c r="F34" s="348">
        <f>'Absätze Heizöl S'!F16*'Kalibierung Steuereinnahmen'!$B$24*'Steuer- und Abgabensätze'!F4</f>
        <v>86150389.135124996</v>
      </c>
      <c r="G34" s="348">
        <f>'Absätze Heizöl S'!G16*'Kalibierung Steuereinnahmen'!$B$24*'Steuer- und Abgabensätze'!G4</f>
        <v>110764786.03087498</v>
      </c>
      <c r="H34" s="348">
        <f>'Absätze Heizöl S'!H16*'Kalibierung Steuereinnahmen'!$B$24*'Steuer- und Abgabensätze'!H4</f>
        <v>135379182.92662498</v>
      </c>
      <c r="I34" s="348">
        <f>'Absätze Heizöl S'!I16*'Kalibierung Steuereinnahmen'!$B$24*'Steuer- und Abgabensätze'!I4</f>
        <v>147686381.37449998</v>
      </c>
      <c r="J34" s="348">
        <f>'Absätze Heizöl S'!J16*'Kalibierung Steuereinnahmen'!$B$24*'Steuer- und Abgabensätze'!J4</f>
        <v>147686381.37449998</v>
      </c>
      <c r="K34" s="348">
        <f>'Absätze Heizöl S'!K16*'Kalibierung Steuereinnahmen'!$B$24*'Steuer- und Abgabensätze'!K4</f>
        <v>147686381.37449998</v>
      </c>
      <c r="L34" s="348">
        <f>'Absätze Heizöl S'!L16*'Kalibierung Steuereinnahmen'!$B$24*'Steuer- und Abgabensätze'!L4</f>
        <v>147686381.37449998</v>
      </c>
      <c r="M34" s="348">
        <f>'Absätze Heizöl S'!M16*'Kalibierung Steuereinnahmen'!$B$24*'Steuer- und Abgabensätze'!M4</f>
        <v>147686381.37449998</v>
      </c>
    </row>
    <row r="35" spans="1:13">
      <c r="A35" s="215" t="s">
        <v>85</v>
      </c>
      <c r="B35" s="348">
        <f>SUM(B29:B34)</f>
        <v>0</v>
      </c>
      <c r="C35" s="348">
        <f t="shared" ref="C35:M35" si="10">SUM(C29:C34)</f>
        <v>0</v>
      </c>
      <c r="D35" s="348">
        <f t="shared" si="10"/>
        <v>8014913971.2222862</v>
      </c>
      <c r="E35" s="348">
        <f t="shared" si="10"/>
        <v>10364082893.933744</v>
      </c>
      <c r="F35" s="348">
        <f t="shared" si="10"/>
        <v>12091430042.922697</v>
      </c>
      <c r="G35" s="348">
        <f t="shared" si="10"/>
        <v>15546124340.900614</v>
      </c>
      <c r="H35" s="348">
        <f t="shared" si="10"/>
        <v>19000818638.878529</v>
      </c>
      <c r="I35" s="348">
        <f t="shared" si="10"/>
        <v>20728165787.867489</v>
      </c>
      <c r="J35" s="348">
        <f t="shared" si="10"/>
        <v>20728165787.867489</v>
      </c>
      <c r="K35" s="348">
        <f t="shared" si="10"/>
        <v>20728165787.867489</v>
      </c>
      <c r="L35" s="348">
        <f t="shared" si="10"/>
        <v>20728165787.867489</v>
      </c>
      <c r="M35" s="348">
        <f t="shared" si="10"/>
        <v>20728165787.867489</v>
      </c>
    </row>
    <row r="37" spans="1:13">
      <c r="A37" s="342" t="s">
        <v>42</v>
      </c>
      <c r="B37" s="348">
        <f t="shared" ref="B37:M37" si="11">B9+B16+B21+B26+B35</f>
        <v>47317282100.25724</v>
      </c>
      <c r="C37" s="348">
        <f t="shared" si="11"/>
        <v>44010068107.793037</v>
      </c>
      <c r="D37" s="348">
        <f t="shared" si="11"/>
        <v>52072752966.578796</v>
      </c>
      <c r="E37" s="348">
        <f t="shared" si="11"/>
        <v>57724504207.773331</v>
      </c>
      <c r="F37" s="348">
        <f t="shared" si="11"/>
        <v>59451851356.762283</v>
      </c>
      <c r="G37" s="348">
        <f t="shared" si="11"/>
        <v>62906545654.740196</v>
      </c>
      <c r="H37" s="348">
        <f t="shared" si="11"/>
        <v>66361239952.718109</v>
      </c>
      <c r="I37" s="348">
        <f t="shared" si="11"/>
        <v>68088587101.707077</v>
      </c>
      <c r="J37" s="348">
        <f t="shared" si="11"/>
        <v>68088587101.707077</v>
      </c>
      <c r="K37" s="348">
        <f t="shared" si="11"/>
        <v>68088587101.707077</v>
      </c>
      <c r="L37" s="348">
        <f t="shared" si="11"/>
        <v>68088587101.707077</v>
      </c>
      <c r="M37" s="348">
        <f t="shared" si="11"/>
        <v>68088587101.707077</v>
      </c>
    </row>
    <row r="39" spans="1:13">
      <c r="A39" s="342" t="s">
        <v>55</v>
      </c>
      <c r="B39" s="348">
        <f>B37-$B$37</f>
        <v>0</v>
      </c>
      <c r="C39" s="348">
        <f t="shared" ref="C39:J39" si="12">C37-$B$37</f>
        <v>-3307213992.4642029</v>
      </c>
      <c r="D39" s="348">
        <f t="shared" si="12"/>
        <v>4755470866.3215561</v>
      </c>
      <c r="E39" s="348">
        <f t="shared" si="12"/>
        <v>10407222107.51609</v>
      </c>
      <c r="F39" s="348">
        <f t="shared" si="12"/>
        <v>12134569256.505043</v>
      </c>
      <c r="G39" s="348">
        <f t="shared" si="12"/>
        <v>15589263554.482956</v>
      </c>
      <c r="H39" s="348">
        <f t="shared" si="12"/>
        <v>19043957852.460869</v>
      </c>
      <c r="I39" s="348">
        <f t="shared" si="12"/>
        <v>20771305001.449837</v>
      </c>
      <c r="J39" s="348">
        <f t="shared" si="12"/>
        <v>20771305001.449837</v>
      </c>
      <c r="K39" s="348">
        <f t="shared" ref="K39:M39" si="13">K37-$B$37</f>
        <v>20771305001.449837</v>
      </c>
      <c r="L39" s="348">
        <f t="shared" si="13"/>
        <v>20771305001.449837</v>
      </c>
      <c r="M39" s="348">
        <f t="shared" si="13"/>
        <v>20771305001.449837</v>
      </c>
    </row>
    <row r="41" spans="1:13" hidden="1">
      <c r="A41" s="130" t="s">
        <v>41</v>
      </c>
      <c r="B41" s="346">
        <f>SUM(B42:B48)</f>
        <v>9007899563.4666862</v>
      </c>
      <c r="C41" s="346">
        <f t="shared" ref="C41:M41" si="14">SUM(C42:C48)</f>
        <v>7813164495.7761507</v>
      </c>
      <c r="D41" s="346">
        <f t="shared" si="14"/>
        <v>9382783028.0677814</v>
      </c>
      <c r="E41" s="346">
        <f t="shared" si="14"/>
        <v>10301997200.851864</v>
      </c>
      <c r="F41" s="346">
        <f t="shared" si="14"/>
        <v>10516314065.319283</v>
      </c>
      <c r="G41" s="346">
        <f t="shared" si="14"/>
        <v>10944947794.254128</v>
      </c>
      <c r="H41" s="346">
        <f t="shared" si="14"/>
        <v>11373581523.188972</v>
      </c>
      <c r="I41" s="346">
        <f t="shared" si="14"/>
        <v>11587898387.656393</v>
      </c>
      <c r="J41" s="346">
        <f t="shared" si="14"/>
        <v>11587898387.656393</v>
      </c>
      <c r="K41" s="346">
        <f t="shared" si="14"/>
        <v>11587898387.656393</v>
      </c>
      <c r="L41" s="346">
        <f t="shared" si="14"/>
        <v>11587898387.656393</v>
      </c>
      <c r="M41" s="346">
        <f t="shared" si="14"/>
        <v>11587898387.656393</v>
      </c>
    </row>
    <row r="42" spans="1:13" hidden="1">
      <c r="A42" s="130" t="s">
        <v>6</v>
      </c>
      <c r="B42" s="346">
        <f>(B10+B29)*'Steuer- und Abgabensätze'!B$5</f>
        <v>2959140709.2317882</v>
      </c>
      <c r="C42" s="346">
        <f>(C10+C29)*'Steuer- und Abgabensätze'!C$5</f>
        <v>2460339835.5960264</v>
      </c>
      <c r="D42" s="346">
        <f>(D10+D29)*'Steuer- und Abgabensätze'!D$5</f>
        <v>2914209016.6419277</v>
      </c>
      <c r="E42" s="346">
        <f>(E10+E29)*'Steuer- und Abgabensätze'!E$5</f>
        <v>3284775505.5393186</v>
      </c>
      <c r="F42" s="346">
        <f>(F10+F29)*'Steuer- und Abgabensätze'!F$5</f>
        <v>3339047971.5905728</v>
      </c>
      <c r="G42" s="346">
        <f>(G10+G29)*'Steuer- und Abgabensätze'!G$5</f>
        <v>3447592903.6930833</v>
      </c>
      <c r="H42" s="346">
        <f>(H10+H29)*'Steuer- und Abgabensätze'!H$5</f>
        <v>3556137835.7955933</v>
      </c>
      <c r="I42" s="346">
        <f>(I10+I29)*'Steuer- und Abgabensätze'!I$5</f>
        <v>3610410301.8468485</v>
      </c>
      <c r="J42" s="346">
        <f>(J10+J29)*'Steuer- und Abgabensätze'!J$5</f>
        <v>3610410301.8468485</v>
      </c>
      <c r="K42" s="346">
        <f>(K10+K29)*'Steuer- und Abgabensätze'!K$5</f>
        <v>3610410301.8468485</v>
      </c>
      <c r="L42" s="346">
        <f>(L10+L29)*'Steuer- und Abgabensätze'!L$5</f>
        <v>3610410301.8468485</v>
      </c>
      <c r="M42" s="346">
        <f>(M10+M29)*'Steuer- und Abgabensätze'!M$5</f>
        <v>3610410301.8468485</v>
      </c>
    </row>
    <row r="43" spans="1:13" hidden="1">
      <c r="A43" s="130" t="s">
        <v>7</v>
      </c>
      <c r="B43" s="346">
        <f>B11*'Steuer- und Abgabensätze'!B$5</f>
        <v>4003216829.1976337</v>
      </c>
      <c r="C43" s="346">
        <f>C11*'Steuer- und Abgabensätze'!C$5</f>
        <v>3425611775.7159762</v>
      </c>
      <c r="D43" s="346">
        <f>D11*'Steuer- und Abgabensätze'!D$5</f>
        <v>3716792125.2004657</v>
      </c>
      <c r="E43" s="346">
        <f>E11*'Steuer- und Abgabensätze'!E$5</f>
        <v>4003216829.1976337</v>
      </c>
      <c r="F43" s="346">
        <f>F11*'Steuer- und Abgabensätze'!F$5</f>
        <v>4003216829.1976337</v>
      </c>
      <c r="G43" s="346">
        <f>G11*'Steuer- und Abgabensätze'!G$5</f>
        <v>4003216829.1976337</v>
      </c>
      <c r="H43" s="346">
        <f>H11*'Steuer- und Abgabensätze'!H$5</f>
        <v>4003216829.1976337</v>
      </c>
      <c r="I43" s="346">
        <f>I11*'Steuer- und Abgabensätze'!I$5</f>
        <v>4003216829.1976337</v>
      </c>
      <c r="J43" s="346">
        <f>J11*'Steuer- und Abgabensätze'!J$5</f>
        <v>4003216829.1976337</v>
      </c>
      <c r="K43" s="346">
        <f>K11*'Steuer- und Abgabensätze'!K$5</f>
        <v>4003216829.1976337</v>
      </c>
      <c r="L43" s="346">
        <f>L11*'Steuer- und Abgabensätze'!L$5</f>
        <v>4003216829.1976337</v>
      </c>
      <c r="M43" s="346">
        <f>M11*'Steuer- und Abgabensätze'!M$5</f>
        <v>4003216829.1976337</v>
      </c>
    </row>
    <row r="44" spans="1:13" hidden="1">
      <c r="A44" s="130" t="s">
        <v>10</v>
      </c>
      <c r="B44" s="346">
        <f>(B16+B31)*'Steuer- und Abgabensätze'!B$5</f>
        <v>526239985.33333343</v>
      </c>
      <c r="C44" s="346">
        <f>(C16+C31)*'Steuer- und Abgabensätze'!C$5</f>
        <v>467727334.86111116</v>
      </c>
      <c r="D44" s="346">
        <f>(D16+D31)*'Steuer- und Abgabensätze'!D$5</f>
        <v>1066305953.0225915</v>
      </c>
      <c r="E44" s="346">
        <f>(E16+E31)*'Steuer- und Abgabensätze'!E$5</f>
        <v>1174367550.3296688</v>
      </c>
      <c r="F44" s="346">
        <f>(F16+F31)*'Steuer- und Abgabensätze'!F$5</f>
        <v>1282429147.6367459</v>
      </c>
      <c r="G44" s="346">
        <f>(G16+G31)*'Steuer- und Abgabensätze'!G$5</f>
        <v>1498552342.2509003</v>
      </c>
      <c r="H44" s="346">
        <f>(H16+H31)*'Steuer- und Abgabensätze'!H$5</f>
        <v>1714675536.8650548</v>
      </c>
      <c r="I44" s="346">
        <f>(I16+I31)*'Steuer- und Abgabensätze'!I$5</f>
        <v>1822737134.1721323</v>
      </c>
      <c r="J44" s="346">
        <f>(J16+J31)*'Steuer- und Abgabensätze'!J$5</f>
        <v>1822737134.1721323</v>
      </c>
      <c r="K44" s="346">
        <f>(K16+K31)*'Steuer- und Abgabensätze'!K$5</f>
        <v>1822737134.1721323</v>
      </c>
      <c r="L44" s="346">
        <f>(L16+L31)*'Steuer- und Abgabensätze'!L$5</f>
        <v>1822737134.1721323</v>
      </c>
      <c r="M44" s="346">
        <f>(M16+M31)*'Steuer- und Abgabensätze'!M$5</f>
        <v>1822737134.1721323</v>
      </c>
    </row>
    <row r="45" spans="1:13" hidden="1">
      <c r="A45" s="130" t="s">
        <v>71</v>
      </c>
      <c r="B45" s="346">
        <f>(B21+B32)*'Steuer- und Abgabensätze'!B5</f>
        <v>211555626.3781065</v>
      </c>
      <c r="C45" s="346">
        <f>(C21+C32)*'Steuer- und Abgabensätze'!C5</f>
        <v>200138749.69970414</v>
      </c>
      <c r="D45" s="346">
        <f>(D21+D32)*'Steuer- und Abgabensätze'!D5</f>
        <v>339840364.367778</v>
      </c>
      <c r="E45" s="346">
        <f>(E21+E32)*'Steuer- und Abgabensätze'!E5</f>
        <v>483461181.43642652</v>
      </c>
      <c r="F45" s="346">
        <f>(F21+F32)*'Steuer- und Abgabensätze'!F5</f>
        <v>528778773.94614643</v>
      </c>
      <c r="G45" s="346">
        <f>(G21+G32)*'Steuer- und Abgabensätze'!G5</f>
        <v>619413958.96558642</v>
      </c>
      <c r="H45" s="346">
        <f>(H21+H32)*'Steuer- und Abgabensätze'!H5</f>
        <v>710049143.98502636</v>
      </c>
      <c r="I45" s="346">
        <f>(I21+I32)*'Steuer- und Abgabensätze'!I5</f>
        <v>755366736.49474645</v>
      </c>
      <c r="J45" s="346">
        <f>(J21+J32)*'Steuer- und Abgabensätze'!J5</f>
        <v>755366736.49474645</v>
      </c>
      <c r="K45" s="346">
        <f>(K21+K32)*'Steuer- und Abgabensätze'!K5</f>
        <v>755366736.49474645</v>
      </c>
      <c r="L45" s="346">
        <f>(L21+L32)*'Steuer- und Abgabensätze'!L5</f>
        <v>755366736.49474645</v>
      </c>
      <c r="M45" s="346">
        <f>(M21+M32)*'Steuer- und Abgabensätze'!M5</f>
        <v>755366736.49474645</v>
      </c>
    </row>
    <row r="46" spans="1:13" hidden="1">
      <c r="A46" s="130" t="s">
        <v>219</v>
      </c>
      <c r="B46" s="346">
        <f t="shared" ref="B46:M46" si="15">B26*0.19</f>
        <v>1270868568.79</v>
      </c>
      <c r="C46" s="346">
        <f t="shared" si="15"/>
        <v>1225218534.5863018</v>
      </c>
      <c r="D46" s="346">
        <f t="shared" si="15"/>
        <v>1267793696.0198028</v>
      </c>
      <c r="E46" s="346">
        <f t="shared" si="15"/>
        <v>1267793696.0198028</v>
      </c>
      <c r="F46" s="346">
        <f t="shared" si="15"/>
        <v>1267793696.0198028</v>
      </c>
      <c r="G46" s="346">
        <f t="shared" si="15"/>
        <v>1267793696.0198028</v>
      </c>
      <c r="H46" s="346">
        <f t="shared" si="15"/>
        <v>1267793696.0198028</v>
      </c>
      <c r="I46" s="346">
        <f t="shared" si="15"/>
        <v>1267793696.0198028</v>
      </c>
      <c r="J46" s="346">
        <f t="shared" si="15"/>
        <v>1267793696.0198028</v>
      </c>
      <c r="K46" s="346">
        <f t="shared" si="15"/>
        <v>1267793696.0198028</v>
      </c>
      <c r="L46" s="346">
        <f t="shared" si="15"/>
        <v>1267793696.0198028</v>
      </c>
      <c r="M46" s="346">
        <f t="shared" si="15"/>
        <v>1267793696.0198028</v>
      </c>
    </row>
    <row r="47" spans="1:13" hidden="1">
      <c r="A47" s="130" t="s">
        <v>108</v>
      </c>
      <c r="B47" s="346">
        <f>(B12+B22+B33)*'Steuer- und Abgabensätze'!B5</f>
        <v>35759061.489073992</v>
      </c>
      <c r="C47" s="346">
        <f>(C12+C22+C33)*'Steuer- und Abgabensätze'!C5</f>
        <v>33618125.407032244</v>
      </c>
      <c r="D47" s="346">
        <f>(D12+D22+D33)*'Steuer- und Abgabensätze'!D5</f>
        <v>65031251.242983989</v>
      </c>
      <c r="E47" s="346">
        <f>(E12+E22+E33)*'Steuer- und Abgabensätze'!E5</f>
        <v>73233449.051686376</v>
      </c>
      <c r="F47" s="346">
        <f>(F12+F22+F33)*'Steuer- und Abgabensätze'!F5</f>
        <v>77560289.945959777</v>
      </c>
      <c r="G47" s="346">
        <f>(G12+G22+G33)*'Steuer- und Abgabensätze'!G5</f>
        <v>86213971.734506577</v>
      </c>
      <c r="H47" s="346">
        <f>(H12+H22+H33)*'Steuer- und Abgabensätze'!H5</f>
        <v>94867653.523053363</v>
      </c>
      <c r="I47" s="346">
        <f>(I12+I22+I33)*'Steuer- und Abgabensätze'!I5</f>
        <v>99194494.417326748</v>
      </c>
      <c r="J47" s="346">
        <f>(J12+J22+J33)*'Steuer- und Abgabensätze'!J5</f>
        <v>99194494.417326748</v>
      </c>
      <c r="K47" s="346">
        <f>(K12+K22+K33)*'Steuer- und Abgabensätze'!K5</f>
        <v>99194494.417326748</v>
      </c>
      <c r="L47" s="346">
        <f>(L12+L22+L33)*'Steuer- und Abgabensätze'!L5</f>
        <v>99194494.417326748</v>
      </c>
      <c r="M47" s="346">
        <f>(M12+M22+M33)*'Steuer- und Abgabensätze'!M5</f>
        <v>99194494.417326748</v>
      </c>
    </row>
    <row r="48" spans="1:13" hidden="1">
      <c r="A48" s="130" t="s">
        <v>123</v>
      </c>
      <c r="B48" s="346">
        <f>(B13+B23+B34)*'Steuer- und Abgabensätze'!B5</f>
        <v>1118783.04675</v>
      </c>
      <c r="C48" s="346">
        <f>(C13+C23+C34)*'Steuer- und Abgabensätze'!C5</f>
        <v>510139.91</v>
      </c>
      <c r="D48" s="346">
        <f>(D13+D23+D34)*'Steuer- und Abgabensätze'!D5</f>
        <v>12810621.57223125</v>
      </c>
      <c r="E48" s="346">
        <f>(E13+E23+E34)*'Steuer- und Abgabensätze'!E5</f>
        <v>15148989.277327498</v>
      </c>
      <c r="F48" s="346">
        <f>(F13+F23+F34)*'Steuer- und Abgabensätze'!F5</f>
        <v>17487356.982423749</v>
      </c>
      <c r="G48" s="346">
        <f>(G13+G23+G34)*'Steuer- und Abgabensätze'!G5</f>
        <v>22164092.392616246</v>
      </c>
      <c r="H48" s="346">
        <f>(H13+H23+H34)*'Steuer- und Abgabensätze'!H5</f>
        <v>26840827.802808747</v>
      </c>
      <c r="I48" s="346">
        <f>(I13+I23+I34)*'Steuer- und Abgabensätze'!I5</f>
        <v>29179195.507904995</v>
      </c>
      <c r="J48" s="346">
        <f>(J13+J23+J34)*'Steuer- und Abgabensätze'!J5</f>
        <v>29179195.507904995</v>
      </c>
      <c r="K48" s="346">
        <f>(K13+K23+K34)*'Steuer- und Abgabensätze'!K5</f>
        <v>29179195.507904995</v>
      </c>
      <c r="L48" s="346">
        <f>(L13+L23+L34)*'Steuer- und Abgabensätze'!L5</f>
        <v>29179195.507904995</v>
      </c>
      <c r="M48" s="346">
        <f>(M13+M23+M34)*'Steuer- und Abgabensätze'!M5</f>
        <v>29179195.507904995</v>
      </c>
    </row>
    <row r="49" spans="1:13" hidden="1"/>
    <row r="50" spans="1:13" hidden="1">
      <c r="A50" s="130" t="s">
        <v>133</v>
      </c>
      <c r="B50" s="346">
        <f>B41-$B$41</f>
        <v>0</v>
      </c>
      <c r="C50" s="346">
        <f t="shared" ref="C50:M50" si="16">C41-$B$41</f>
        <v>-1194735067.6905355</v>
      </c>
      <c r="D50" s="346">
        <f t="shared" si="16"/>
        <v>374883464.6010952</v>
      </c>
      <c r="E50" s="346">
        <f t="shared" si="16"/>
        <v>1294097637.3851776</v>
      </c>
      <c r="F50" s="346">
        <f t="shared" si="16"/>
        <v>1508414501.8525963</v>
      </c>
      <c r="G50" s="346">
        <f t="shared" si="16"/>
        <v>1937048230.7874413</v>
      </c>
      <c r="H50" s="346">
        <f t="shared" si="16"/>
        <v>2365681959.7222862</v>
      </c>
      <c r="I50" s="346">
        <f t="shared" si="16"/>
        <v>2579998824.1897068</v>
      </c>
      <c r="J50" s="346">
        <f t="shared" si="16"/>
        <v>2579998824.1897068</v>
      </c>
      <c r="K50" s="346">
        <f t="shared" si="16"/>
        <v>2579998824.1897068</v>
      </c>
      <c r="L50" s="346">
        <f t="shared" si="16"/>
        <v>2579998824.1897068</v>
      </c>
      <c r="M50" s="346">
        <f t="shared" si="16"/>
        <v>2579998824.1897068</v>
      </c>
    </row>
  </sheetData>
  <sheetProtection algorithmName="SHA-512" hashValue="6112nVDTh7YZ2L6rYeIt1W6P/5WMOKKo0Rt/TJzgnM6bGVnlXgM10MmhkpXAEBaqZ5LiOh7uv4e4ze0UERPTBg==" saltValue="zY5e8+wwsbEOlm4pu40YlA==" spinCount="100000" sheet="1" objects="1" scenarios="1" formatRows="0"/>
  <pageMargins left="0.7" right="0.7" top="0.78740157499999996" bottom="0.78740157499999996" header="0.3" footer="0.3"/>
  <customProperties>
    <customPr name="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F43B9-F6F2-4DAF-BE23-AAF33B1D8A27}">
  <sheetPr codeName="Tabelle12">
    <tabColor theme="7"/>
  </sheetPr>
  <dimension ref="A1:M34"/>
  <sheetViews>
    <sheetView zoomScale="85" zoomScaleNormal="85" workbookViewId="0"/>
  </sheetViews>
  <sheetFormatPr baseColWidth="10" defaultRowHeight="12.75"/>
  <cols>
    <col min="1" max="1" width="38.75" style="129" customWidth="1"/>
    <col min="2" max="13" width="14.75" style="129" customWidth="1"/>
    <col min="14" max="16384" width="11" style="129"/>
  </cols>
  <sheetData>
    <row r="1" spans="1:13">
      <c r="B1" s="350">
        <v>2019</v>
      </c>
      <c r="C1" s="350">
        <f>B1+1</f>
        <v>2020</v>
      </c>
      <c r="D1" s="350">
        <f>C1+1</f>
        <v>2021</v>
      </c>
      <c r="E1" s="350">
        <f t="shared" ref="E1:M1" si="0">D1+1</f>
        <v>2022</v>
      </c>
      <c r="F1" s="350">
        <f t="shared" si="0"/>
        <v>2023</v>
      </c>
      <c r="G1" s="350">
        <f t="shared" si="0"/>
        <v>2024</v>
      </c>
      <c r="H1" s="350">
        <f t="shared" si="0"/>
        <v>2025</v>
      </c>
      <c r="I1" s="350">
        <f t="shared" si="0"/>
        <v>2026</v>
      </c>
      <c r="J1" s="350">
        <f t="shared" si="0"/>
        <v>2027</v>
      </c>
      <c r="K1" s="350">
        <f t="shared" si="0"/>
        <v>2028</v>
      </c>
      <c r="L1" s="350">
        <f t="shared" si="0"/>
        <v>2029</v>
      </c>
      <c r="M1" s="350">
        <f t="shared" si="0"/>
        <v>2030</v>
      </c>
    </row>
    <row r="2" spans="1:13">
      <c r="A2" s="351" t="s">
        <v>501</v>
      </c>
    </row>
    <row r="3" spans="1:13">
      <c r="A3" s="352" t="s">
        <v>33</v>
      </c>
      <c r="B3" s="353">
        <v>17965914</v>
      </c>
      <c r="C3" s="353">
        <v>16217890</v>
      </c>
      <c r="D3" s="354"/>
      <c r="E3" s="354"/>
      <c r="F3" s="354"/>
      <c r="G3" s="354"/>
      <c r="H3" s="354"/>
      <c r="I3" s="354"/>
      <c r="J3" s="354"/>
      <c r="K3" s="354"/>
      <c r="L3" s="354"/>
      <c r="M3" s="354"/>
    </row>
    <row r="4" spans="1:13">
      <c r="A4" s="352" t="s">
        <v>34</v>
      </c>
      <c r="B4" s="353">
        <v>37848172</v>
      </c>
      <c r="C4" s="353">
        <v>35163289</v>
      </c>
      <c r="D4" s="354"/>
      <c r="E4" s="354"/>
      <c r="F4" s="354"/>
      <c r="G4" s="354"/>
      <c r="H4" s="354"/>
      <c r="I4" s="354"/>
      <c r="J4" s="354"/>
      <c r="K4" s="354"/>
      <c r="L4" s="354"/>
      <c r="M4" s="354"/>
    </row>
    <row r="5" spans="1:13">
      <c r="B5" s="355"/>
      <c r="C5" s="355"/>
    </row>
    <row r="6" spans="1:13">
      <c r="A6" s="352" t="s">
        <v>66</v>
      </c>
      <c r="B6" s="353">
        <v>13938561</v>
      </c>
      <c r="C6" s="353">
        <v>14764466</v>
      </c>
      <c r="D6" s="354"/>
      <c r="E6" s="354"/>
      <c r="F6" s="354"/>
      <c r="G6" s="354"/>
      <c r="H6" s="354"/>
      <c r="I6" s="354"/>
      <c r="J6" s="354"/>
      <c r="K6" s="354"/>
      <c r="L6" s="354"/>
      <c r="M6" s="354"/>
    </row>
    <row r="7" spans="1:13">
      <c r="A7" s="352" t="s">
        <v>67</v>
      </c>
      <c r="B7" s="353">
        <v>1122922</v>
      </c>
      <c r="C7" s="353">
        <v>793507</v>
      </c>
      <c r="D7" s="354"/>
      <c r="E7" s="354"/>
      <c r="F7" s="354"/>
      <c r="G7" s="354"/>
      <c r="H7" s="354"/>
      <c r="I7" s="354"/>
      <c r="J7" s="354"/>
      <c r="K7" s="354"/>
      <c r="L7" s="354"/>
      <c r="M7" s="354"/>
    </row>
    <row r="8" spans="1:13">
      <c r="B8" s="355"/>
      <c r="C8" s="355"/>
    </row>
    <row r="9" spans="1:13">
      <c r="A9" s="352" t="s">
        <v>130</v>
      </c>
      <c r="B9" s="353">
        <v>1559.8230000000001</v>
      </c>
      <c r="C9" s="353">
        <v>772.20799999999997</v>
      </c>
      <c r="D9" s="353"/>
      <c r="E9" s="353"/>
      <c r="F9" s="353"/>
      <c r="G9" s="353"/>
      <c r="H9" s="353"/>
      <c r="I9" s="353"/>
      <c r="J9" s="353"/>
      <c r="K9" s="353"/>
      <c r="L9" s="353"/>
      <c r="M9" s="353"/>
    </row>
    <row r="10" spans="1:13">
      <c r="A10" s="352" t="s">
        <v>131</v>
      </c>
      <c r="B10" s="353">
        <v>1122.922</v>
      </c>
      <c r="C10" s="353">
        <v>1452.3050000000001</v>
      </c>
      <c r="D10" s="353"/>
      <c r="E10" s="353"/>
      <c r="F10" s="353"/>
      <c r="G10" s="353"/>
      <c r="H10" s="353"/>
      <c r="I10" s="353"/>
      <c r="J10" s="353"/>
      <c r="K10" s="353"/>
      <c r="L10" s="353"/>
      <c r="M10" s="353"/>
    </row>
    <row r="11" spans="1:13">
      <c r="B11" s="355"/>
      <c r="C11" s="355"/>
    </row>
    <row r="12" spans="1:13">
      <c r="A12" s="351" t="s">
        <v>502</v>
      </c>
      <c r="B12" s="355"/>
      <c r="C12" s="355"/>
    </row>
    <row r="13" spans="1:13">
      <c r="A13" s="352" t="s">
        <v>100</v>
      </c>
      <c r="B13" s="356">
        <v>3889.27</v>
      </c>
      <c r="C13" s="356">
        <v>3586.8009999999999</v>
      </c>
      <c r="D13" s="357"/>
      <c r="E13" s="357"/>
      <c r="F13" s="357"/>
      <c r="G13" s="357"/>
      <c r="H13" s="357"/>
      <c r="I13" s="357"/>
      <c r="J13" s="357"/>
      <c r="K13" s="357"/>
      <c r="L13" s="357"/>
      <c r="M13" s="357"/>
    </row>
    <row r="14" spans="1:13">
      <c r="B14" s="355"/>
      <c r="C14" s="355"/>
    </row>
    <row r="15" spans="1:13">
      <c r="A15" s="351" t="s">
        <v>465</v>
      </c>
      <c r="B15" s="355"/>
      <c r="C15" s="355"/>
    </row>
    <row r="16" spans="1:13">
      <c r="A16" s="352" t="s">
        <v>238</v>
      </c>
      <c r="B16" s="356">
        <v>2084.877</v>
      </c>
      <c r="C16" s="356">
        <v>2007.89</v>
      </c>
      <c r="D16" s="357"/>
      <c r="E16" s="357"/>
      <c r="F16" s="357"/>
      <c r="G16" s="357"/>
      <c r="H16" s="357"/>
      <c r="I16" s="357"/>
      <c r="J16" s="357"/>
      <c r="K16" s="357"/>
      <c r="L16" s="357"/>
      <c r="M16" s="357"/>
    </row>
    <row r="17" spans="1:13">
      <c r="A17" s="352" t="s">
        <v>505</v>
      </c>
      <c r="B17" s="356">
        <v>687.202</v>
      </c>
      <c r="C17" s="356">
        <v>708.92200000000003</v>
      </c>
      <c r="D17" s="357"/>
      <c r="E17" s="357"/>
      <c r="F17" s="357"/>
      <c r="G17" s="357"/>
      <c r="H17" s="357"/>
      <c r="I17" s="357"/>
      <c r="J17" s="357"/>
      <c r="K17" s="357"/>
      <c r="L17" s="357"/>
      <c r="M17" s="357"/>
    </row>
    <row r="18" spans="1:13">
      <c r="A18" s="352" t="s">
        <v>506</v>
      </c>
      <c r="B18" s="356">
        <v>717.04199999999992</v>
      </c>
      <c r="C18" s="356">
        <v>718.01800000000003</v>
      </c>
      <c r="D18" s="357"/>
      <c r="E18" s="357"/>
      <c r="F18" s="357"/>
      <c r="G18" s="357"/>
      <c r="H18" s="357"/>
      <c r="I18" s="357"/>
      <c r="J18" s="357"/>
      <c r="K18" s="357"/>
      <c r="L18" s="357"/>
      <c r="M18" s="357"/>
    </row>
    <row r="19" spans="1:13">
      <c r="A19" s="352" t="s">
        <v>208</v>
      </c>
      <c r="B19" s="356">
        <v>3489.1209999999996</v>
      </c>
      <c r="C19" s="356">
        <v>3434.83</v>
      </c>
      <c r="D19" s="357"/>
      <c r="E19" s="357"/>
      <c r="F19" s="357"/>
      <c r="G19" s="357"/>
      <c r="H19" s="357"/>
      <c r="I19" s="357"/>
      <c r="J19" s="357"/>
      <c r="K19" s="357"/>
      <c r="L19" s="357"/>
      <c r="M19" s="357"/>
    </row>
    <row r="20" spans="1:13">
      <c r="B20" s="355"/>
      <c r="C20" s="355"/>
    </row>
    <row r="21" spans="1:13">
      <c r="A21" s="351" t="s">
        <v>499</v>
      </c>
      <c r="B21" s="355"/>
      <c r="C21" s="355"/>
    </row>
    <row r="22" spans="1:13">
      <c r="A22" s="352" t="s">
        <v>498</v>
      </c>
      <c r="B22" s="356">
        <v>873.23299999999995</v>
      </c>
      <c r="C22" s="356">
        <v>824.26599999999996</v>
      </c>
      <c r="D22" s="357"/>
      <c r="E22" s="357"/>
      <c r="F22" s="357"/>
      <c r="G22" s="357"/>
      <c r="H22" s="357"/>
      <c r="I22" s="357"/>
      <c r="J22" s="357"/>
      <c r="K22" s="357"/>
      <c r="L22" s="357"/>
      <c r="M22" s="357"/>
    </row>
    <row r="23" spans="1:13">
      <c r="A23" s="352" t="s">
        <v>49</v>
      </c>
      <c r="B23" s="356">
        <v>925.31299999999999</v>
      </c>
      <c r="C23" s="356">
        <v>913.87400000000002</v>
      </c>
      <c r="D23" s="357"/>
      <c r="E23" s="357"/>
      <c r="F23" s="357"/>
      <c r="G23" s="357"/>
      <c r="H23" s="357"/>
      <c r="I23" s="357"/>
      <c r="J23" s="357"/>
      <c r="K23" s="357"/>
      <c r="L23" s="357"/>
      <c r="M23" s="357"/>
    </row>
    <row r="24" spans="1:13">
      <c r="A24" s="352" t="s">
        <v>50</v>
      </c>
      <c r="B24" s="356">
        <v>380.613</v>
      </c>
      <c r="C24" s="356">
        <v>352.94299999999998</v>
      </c>
      <c r="D24" s="357"/>
      <c r="E24" s="357"/>
      <c r="F24" s="357"/>
      <c r="G24" s="357"/>
      <c r="H24" s="357"/>
      <c r="I24" s="357"/>
      <c r="J24" s="357"/>
      <c r="K24" s="357"/>
      <c r="L24" s="357"/>
      <c r="M24" s="357"/>
    </row>
    <row r="25" spans="1:13">
      <c r="A25" s="352" t="s">
        <v>51</v>
      </c>
      <c r="B25" s="356">
        <v>8.2439999999999998</v>
      </c>
      <c r="C25" s="356">
        <v>8.5069999999999997</v>
      </c>
      <c r="D25" s="357"/>
      <c r="E25" s="357"/>
      <c r="F25" s="357"/>
      <c r="G25" s="357"/>
      <c r="H25" s="357"/>
      <c r="I25" s="357"/>
      <c r="J25" s="357"/>
      <c r="K25" s="357"/>
      <c r="L25" s="357"/>
      <c r="M25" s="357"/>
    </row>
    <row r="26" spans="1:13">
      <c r="A26" s="352" t="s">
        <v>52</v>
      </c>
      <c r="B26" s="356">
        <v>5.8479999999999999</v>
      </c>
      <c r="C26" s="356">
        <v>6.9329999999999998</v>
      </c>
      <c r="D26" s="357"/>
      <c r="E26" s="357"/>
      <c r="F26" s="357"/>
      <c r="G26" s="357"/>
      <c r="H26" s="357"/>
      <c r="I26" s="357"/>
      <c r="J26" s="357"/>
      <c r="K26" s="357"/>
      <c r="L26" s="357"/>
      <c r="M26" s="357"/>
    </row>
    <row r="27" spans="1:13">
      <c r="A27" s="352" t="s">
        <v>53</v>
      </c>
      <c r="B27" s="356">
        <v>687.202</v>
      </c>
      <c r="C27" s="356">
        <v>708.92200000000003</v>
      </c>
      <c r="D27" s="357"/>
      <c r="E27" s="357"/>
      <c r="F27" s="357"/>
      <c r="G27" s="357"/>
      <c r="H27" s="357"/>
      <c r="I27" s="357"/>
      <c r="J27" s="357"/>
      <c r="K27" s="357"/>
      <c r="L27" s="357"/>
      <c r="M27" s="357"/>
    </row>
    <row r="28" spans="1:13">
      <c r="A28" s="352" t="s">
        <v>54</v>
      </c>
      <c r="B28" s="356">
        <v>193.92500000000001</v>
      </c>
      <c r="C28" s="356">
        <v>192.732</v>
      </c>
      <c r="D28" s="357"/>
      <c r="E28" s="357"/>
      <c r="F28" s="357"/>
      <c r="G28" s="357"/>
      <c r="H28" s="357"/>
      <c r="I28" s="357"/>
      <c r="J28" s="357"/>
      <c r="K28" s="357"/>
      <c r="L28" s="357"/>
      <c r="M28" s="357"/>
    </row>
    <row r="29" spans="1:13">
      <c r="A29" s="352" t="s">
        <v>247</v>
      </c>
      <c r="B29" s="358">
        <v>2193.2509999999997</v>
      </c>
      <c r="C29" s="358">
        <v>2106.5229999999997</v>
      </c>
      <c r="D29" s="352"/>
      <c r="E29" s="352"/>
      <c r="F29" s="352"/>
      <c r="G29" s="352"/>
      <c r="H29" s="352"/>
      <c r="I29" s="352"/>
      <c r="J29" s="352"/>
      <c r="K29" s="352"/>
      <c r="L29" s="352"/>
      <c r="M29" s="352"/>
    </row>
    <row r="30" spans="1:13">
      <c r="B30" s="355"/>
      <c r="C30" s="355"/>
    </row>
    <row r="31" spans="1:13">
      <c r="B31" s="355"/>
      <c r="C31" s="355"/>
    </row>
    <row r="32" spans="1:13">
      <c r="A32" s="351" t="s">
        <v>249</v>
      </c>
      <c r="B32" s="356">
        <v>90</v>
      </c>
      <c r="C32" s="356">
        <v>91.9</v>
      </c>
      <c r="D32" s="359"/>
      <c r="E32" s="359"/>
      <c r="F32" s="359"/>
      <c r="G32" s="359"/>
      <c r="H32" s="359"/>
      <c r="I32" s="359"/>
      <c r="J32" s="359"/>
      <c r="K32" s="359"/>
      <c r="L32" s="359"/>
      <c r="M32" s="359"/>
    </row>
    <row r="33" spans="1:13">
      <c r="A33" s="351" t="s">
        <v>209</v>
      </c>
      <c r="B33" s="356">
        <v>537.29999999999995</v>
      </c>
      <c r="C33" s="356">
        <v>518</v>
      </c>
      <c r="D33" s="359"/>
      <c r="E33" s="359"/>
      <c r="F33" s="359"/>
      <c r="G33" s="359"/>
      <c r="H33" s="359"/>
      <c r="I33" s="359"/>
      <c r="J33" s="359"/>
      <c r="K33" s="359"/>
      <c r="L33" s="359"/>
      <c r="M33" s="359"/>
    </row>
    <row r="34" spans="1:13">
      <c r="A34" s="129" t="s">
        <v>250</v>
      </c>
    </row>
  </sheetData>
  <sheetProtection algorithmName="SHA-512" hashValue="0aRWxLRmkAagvNyx0BbSIVvhplnXOd924YIdRSTfi+JMSiCXd8WaQokzbQVfbPM2dRHHocxWymkZuCAZzdiUGw==" saltValue="IvDlYVj4crW69a/kv4wvjQ==" spinCount="100000" sheet="1" objects="1" scenarios="1" formatRows="0"/>
  <pageMargins left="0.7" right="0.7" top="0.78740157499999996" bottom="0.78740157499999996" header="0.3" footer="0.3"/>
  <customProperties>
    <customPr name="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785F1-2021-4E62-B2AB-1034CCB7FC10}">
  <sheetPr codeName="Tabelle8">
    <tabColor rgb="FFB5B8C7"/>
  </sheetPr>
  <dimension ref="A1:M35"/>
  <sheetViews>
    <sheetView zoomScale="80" zoomScaleNormal="80" workbookViewId="0"/>
  </sheetViews>
  <sheetFormatPr baseColWidth="10" defaultColWidth="11.25" defaultRowHeight="14.25"/>
  <cols>
    <col min="1" max="1" width="67.375" style="307" customWidth="1"/>
    <col min="2" max="7" width="10.75" style="307" customWidth="1"/>
    <col min="8" max="13" width="11" style="307" customWidth="1"/>
    <col min="14" max="16384" width="11.25" style="307"/>
  </cols>
  <sheetData>
    <row r="1" spans="1:13" ht="15.75" thickBot="1">
      <c r="B1" s="338">
        <v>2019</v>
      </c>
      <c r="C1" s="339">
        <v>2020</v>
      </c>
      <c r="D1" s="339">
        <v>2021</v>
      </c>
      <c r="E1" s="339">
        <v>2022</v>
      </c>
      <c r="F1" s="339">
        <v>2023</v>
      </c>
      <c r="G1" s="339">
        <f>F1+1</f>
        <v>2024</v>
      </c>
      <c r="H1" s="339">
        <f t="shared" ref="H1:M1" si="0">G1+1</f>
        <v>2025</v>
      </c>
      <c r="I1" s="339">
        <f t="shared" si="0"/>
        <v>2026</v>
      </c>
      <c r="J1" s="339">
        <f t="shared" si="0"/>
        <v>2027</v>
      </c>
      <c r="K1" s="339">
        <f t="shared" si="0"/>
        <v>2028</v>
      </c>
      <c r="L1" s="339">
        <f t="shared" si="0"/>
        <v>2029</v>
      </c>
      <c r="M1" s="340">
        <f t="shared" si="0"/>
        <v>2030</v>
      </c>
    </row>
    <row r="2" spans="1:13">
      <c r="A2" s="323" t="s">
        <v>204</v>
      </c>
      <c r="B2" s="324">
        <f>'[7]Interface EEG-CO2-Preis-Rechner'!B2</f>
        <v>46.28</v>
      </c>
      <c r="C2" s="324">
        <f>'[7]Interface EEG-CO2-Preis-Rechner'!C2</f>
        <v>49.34</v>
      </c>
      <c r="D2" s="324">
        <f>'[7]Interface EEG-CO2-Preis-Rechner'!D2</f>
        <v>40.74</v>
      </c>
      <c r="E2" s="324">
        <f>'[7]Interface EEG-CO2-Preis-Rechner'!E2</f>
        <v>78.400000000000006</v>
      </c>
      <c r="F2" s="324">
        <f>'[7]Interface EEG-CO2-Preis-Rechner'!F2</f>
        <v>87.52</v>
      </c>
      <c r="G2" s="324">
        <f>'[7]Interface EEG-CO2-Preis-Rechner'!G2</f>
        <v>72.53</v>
      </c>
      <c r="H2" s="324">
        <f>'[7]Interface EEG-CO2-Preis-Rechner'!H2</f>
        <v>71.599999999999994</v>
      </c>
      <c r="I2" s="324">
        <f>'[7]Interface EEG-CO2-Preis-Rechner'!I2</f>
        <v>70.62</v>
      </c>
      <c r="J2" s="324">
        <f>'[7]Interface EEG-CO2-Preis-Rechner'!J2</f>
        <v>70.350000000000009</v>
      </c>
      <c r="K2" s="324">
        <f>'[7]Interface EEG-CO2-Preis-Rechner'!K2</f>
        <v>69.61</v>
      </c>
      <c r="L2" s="324">
        <f>'[7]Interface EEG-CO2-Preis-Rechner'!L2</f>
        <v>68.930000000000007</v>
      </c>
      <c r="M2" s="325">
        <f>'[7]Interface EEG-CO2-Preis-Rechner'!M2</f>
        <v>68.58</v>
      </c>
    </row>
    <row r="3" spans="1:13">
      <c r="A3" s="326" t="s">
        <v>196</v>
      </c>
      <c r="B3" s="322">
        <f>'[7]Interface EEG-CO2-Preis-Rechner'!B3</f>
        <v>33.464938749090436</v>
      </c>
      <c r="C3" s="322">
        <f>'[7]Interface EEG-CO2-Preis-Rechner'!C3</f>
        <v>34.398569474325541</v>
      </c>
      <c r="D3" s="322">
        <f>'[7]Interface EEG-CO2-Preis-Rechner'!D3</f>
        <v>34.61805086481364</v>
      </c>
      <c r="E3" s="322">
        <f>'[7]Interface EEG-CO2-Preis-Rechner'!E3</f>
        <v>34.697183108450091</v>
      </c>
      <c r="F3" s="322">
        <f>'[7]Interface EEG-CO2-Preis-Rechner'!F3</f>
        <v>35.455720496055164</v>
      </c>
      <c r="G3" s="322">
        <f>'[7]Interface EEG-CO2-Preis-Rechner'!G3</f>
        <v>35.308451646295246</v>
      </c>
      <c r="H3" s="322">
        <f>'[7]Interface EEG-CO2-Preis-Rechner'!H3</f>
        <v>35.15523805144317</v>
      </c>
      <c r="I3" s="322">
        <f>'[7]Interface EEG-CO2-Preis-Rechner'!I3</f>
        <v>34.671839365519773</v>
      </c>
      <c r="J3" s="322">
        <f>'[7]Interface EEG-CO2-Preis-Rechner'!J3</f>
        <v>34.167285981413627</v>
      </c>
      <c r="K3" s="322">
        <f>'[7]Interface EEG-CO2-Preis-Rechner'!K3</f>
        <v>34.500041096335032</v>
      </c>
      <c r="L3" s="322">
        <f>'[7]Interface EEG-CO2-Preis-Rechner'!L3</f>
        <v>35.065699405544883</v>
      </c>
      <c r="M3" s="327">
        <f>'[7]Interface EEG-CO2-Preis-Rechner'!M3</f>
        <v>35.009676263274898</v>
      </c>
    </row>
    <row r="4" spans="1:13">
      <c r="A4" s="326" t="s">
        <v>197</v>
      </c>
      <c r="B4" s="322">
        <f>'[7]Interface EEG-CO2-Preis-Rechner'!B4</f>
        <v>6.406581826229905</v>
      </c>
      <c r="C4" s="322">
        <f>'[7]Interface EEG-CO2-Preis-Rechner'!C4</f>
        <v>6.7581163138201807</v>
      </c>
      <c r="D4" s="322">
        <f>'[7]Interface EEG-CO2-Preis-Rechner'!D4</f>
        <v>6.5036153637169205</v>
      </c>
      <c r="E4" s="322">
        <f>'[7]Interface EEG-CO2-Preis-Rechner'!E4</f>
        <v>3.7231670924852507</v>
      </c>
      <c r="F4" s="322">
        <f>'[7]Interface EEG-CO2-Preis-Rechner'!F4</f>
        <v>2.095492877959245</v>
      </c>
      <c r="G4" s="322">
        <f>'[7]Interface EEG-CO2-Preis-Rechner'!G4</f>
        <v>3.7592521867563322</v>
      </c>
      <c r="H4" s="322">
        <f>'[7]Interface EEG-CO2-Preis-Rechner'!H4</f>
        <v>3.3143821163530625</v>
      </c>
      <c r="I4" s="322">
        <f>'[7]Interface EEG-CO2-Preis-Rechner'!I4</f>
        <v>3.0619651489356081</v>
      </c>
      <c r="J4" s="322">
        <f>'[7]Interface EEG-CO2-Preis-Rechner'!J4</f>
        <v>2.6407586810275125</v>
      </c>
      <c r="K4" s="322">
        <f>'[7]Interface EEG-CO2-Preis-Rechner'!K4</f>
        <v>2.40952454582755</v>
      </c>
      <c r="L4" s="322">
        <f>'[7]Interface EEG-CO2-Preis-Rechner'!L4</f>
        <v>2.1634759801156136</v>
      </c>
      <c r="M4" s="327">
        <f>'[7]Interface EEG-CO2-Preis-Rechner'!M4</f>
        <v>1.8235293723054842</v>
      </c>
    </row>
    <row r="5" spans="1:13">
      <c r="A5" s="326" t="s">
        <v>198</v>
      </c>
      <c r="B5" s="322">
        <f>'[7]Interface EEG-CO2-Preis-Rechner'!B5</f>
        <v>354.66726129538745</v>
      </c>
      <c r="C5" s="322">
        <f>'[7]Interface EEG-CO2-Preis-Rechner'!C5</f>
        <v>355.83902681963139</v>
      </c>
      <c r="D5" s="322">
        <f>'[7]Interface EEG-CO2-Preis-Rechner'!D5</f>
        <v>344.3843929356766</v>
      </c>
      <c r="E5" s="322">
        <f>'[7]Interface EEG-CO2-Preis-Rechner'!E5</f>
        <v>350.42800896001148</v>
      </c>
      <c r="F5" s="322">
        <f>'[7]Interface EEG-CO2-Preis-Rechner'!F5</f>
        <v>371.98305183262374</v>
      </c>
      <c r="G5" s="322">
        <f>'[7]Interface EEG-CO2-Preis-Rechner'!G5</f>
        <v>370.45645976167816</v>
      </c>
      <c r="H5" s="322">
        <f>'[7]Interface EEG-CO2-Preis-Rechner'!H5</f>
        <v>368.92514154746465</v>
      </c>
      <c r="I5" s="322">
        <f>'[7]Interface EEG-CO2-Preis-Rechner'!I5</f>
        <v>377.35237970844804</v>
      </c>
      <c r="J5" s="322">
        <f>'[7]Interface EEG-CO2-Preis-Rechner'!J5</f>
        <v>385.93925385280187</v>
      </c>
      <c r="K5" s="322">
        <f>'[7]Interface EEG-CO2-Preis-Rechner'!K5</f>
        <v>394.49783228506408</v>
      </c>
      <c r="L5" s="322">
        <f>'[7]Interface EEG-CO2-Preis-Rechner'!L5</f>
        <v>403.12228721558375</v>
      </c>
      <c r="M5" s="327">
        <f>'[7]Interface EEG-CO2-Preis-Rechner'!M5</f>
        <v>411.83077631498293</v>
      </c>
    </row>
    <row r="6" spans="1:13">
      <c r="A6" s="326" t="s">
        <v>298</v>
      </c>
      <c r="B6" s="321">
        <f>'[7]Interface EEG-CO2-Preis-Rechner'!B6</f>
        <v>24.881022321186435</v>
      </c>
      <c r="C6" s="321">
        <f>'[7]Interface EEG-CO2-Preis-Rechner'!C6</f>
        <v>24.294834018302296</v>
      </c>
      <c r="D6" s="321">
        <f>'[7]Interface EEG-CO2-Preis-Rechner'!D6</f>
        <v>26.470038192870835</v>
      </c>
      <c r="E6" s="321">
        <f>'[7]Interface EEG-CO2-Preis-Rechner'!E6</f>
        <v>19.851403767705154</v>
      </c>
      <c r="F6" s="321">
        <f>'[7]Interface EEG-CO2-Preis-Rechner'!F6</f>
        <v>15.884343384499422</v>
      </c>
      <c r="G6" s="321">
        <f>'[7]Interface EEG-CO2-Preis-Rechner'!G6</f>
        <v>18.565521856265043</v>
      </c>
      <c r="H6" s="321">
        <f>'[7]Interface EEG-CO2-Preis-Rechner'!H6</f>
        <v>18.718415307127632</v>
      </c>
      <c r="I6" s="321">
        <f>'[7]Interface EEG-CO2-Preis-Rechner'!I6</f>
        <v>17.620286107339151</v>
      </c>
      <c r="J6" s="321">
        <f>'[7]Interface EEG-CO2-Preis-Rechner'!J6</f>
        <v>16.272586335897191</v>
      </c>
      <c r="K6" s="321">
        <f>'[7]Interface EEG-CO2-Preis-Rechner'!K6</f>
        <v>15.548940831905711</v>
      </c>
      <c r="L6" s="321">
        <f>'[7]Interface EEG-CO2-Preis-Rechner'!L6</f>
        <v>14.768292739920918</v>
      </c>
      <c r="M6" s="328">
        <f>'[7]Interface EEG-CO2-Preis-Rechner'!M6</f>
        <v>13.581087485559118</v>
      </c>
    </row>
    <row r="7" spans="1:13">
      <c r="A7" s="326" t="s">
        <v>201</v>
      </c>
      <c r="B7" s="321">
        <f>'[7]Interface EEG-CO2-Preis-Rechner'!B7</f>
        <v>1.492861339271186</v>
      </c>
      <c r="C7" s="321">
        <f>'[7]Interface EEG-CO2-Preis-Rechner'!C7</f>
        <v>1.9435867214641838</v>
      </c>
      <c r="D7" s="321">
        <f>'[7]Interface EEG-CO2-Preis-Rechner'!D7</f>
        <v>2.6470038192870837</v>
      </c>
      <c r="E7" s="321">
        <f>'[7]Interface EEG-CO2-Preis-Rechner'!E7</f>
        <v>0.99257018838525779</v>
      </c>
      <c r="F7" s="321">
        <f>'[7]Interface EEG-CO2-Preis-Rechner'!F7</f>
        <v>0.95306060306996532</v>
      </c>
      <c r="G7" s="321">
        <f>'[7]Interface EEG-CO2-Preis-Rechner'!G7</f>
        <v>1.1139313113759026</v>
      </c>
      <c r="H7" s="321">
        <f>'[7]Interface EEG-CO2-Preis-Rechner'!H7</f>
        <v>1.1231049184276578</v>
      </c>
      <c r="I7" s="321">
        <f>'[7]Interface EEG-CO2-Preis-Rechner'!I7</f>
        <v>1.0572171664403491</v>
      </c>
      <c r="J7" s="321">
        <f>'[7]Interface EEG-CO2-Preis-Rechner'!J7</f>
        <v>0.97635518015383149</v>
      </c>
      <c r="K7" s="321">
        <f>'[7]Interface EEG-CO2-Preis-Rechner'!K7</f>
        <v>0.93293644991434255</v>
      </c>
      <c r="L7" s="321">
        <f>'[7]Interface EEG-CO2-Preis-Rechner'!L7</f>
        <v>0.886097564395255</v>
      </c>
      <c r="M7" s="328">
        <f>'[7]Interface EEG-CO2-Preis-Rechner'!M7</f>
        <v>0.81486524913354708</v>
      </c>
    </row>
    <row r="8" spans="1:13">
      <c r="A8" s="326" t="s">
        <v>202</v>
      </c>
      <c r="B8" s="321">
        <f>'[7]Interface EEG-CO2-Preis-Rechner'!B8</f>
        <v>3.6518353547200002</v>
      </c>
      <c r="C8" s="321">
        <f>'[7]Interface EEG-CO2-Preis-Rechner'!C8</f>
        <v>2.19040541733</v>
      </c>
      <c r="D8" s="321">
        <f>'[7]Interface EEG-CO2-Preis-Rechner'!D8</f>
        <v>-4.0803942770500008</v>
      </c>
      <c r="E8" s="321">
        <f>'[7]Interface EEG-CO2-Preis-Rechner'!E8</f>
        <v>4.5469536436400002</v>
      </c>
      <c r="F8" s="321">
        <f>'[7]Interface EEG-CO2-Preis-Rechner'!F8</f>
        <v>5.9425256292013113</v>
      </c>
      <c r="G8" s="321">
        <f>'[7]Interface EEG-CO2-Preis-Rechner'!G8</f>
        <v>0.95306060306996665</v>
      </c>
      <c r="H8" s="321">
        <f>'[7]Interface EEG-CO2-Preis-Rechner'!H8</f>
        <v>1.1139313113759015</v>
      </c>
      <c r="I8" s="321">
        <f>'[7]Interface EEG-CO2-Preis-Rechner'!I8</f>
        <v>1.1231049184276589</v>
      </c>
      <c r="J8" s="321">
        <f>'[7]Interface EEG-CO2-Preis-Rechner'!J8</f>
        <v>1.0572171664403509</v>
      </c>
      <c r="K8" s="321">
        <f>'[7]Interface EEG-CO2-Preis-Rechner'!K8</f>
        <v>0.97635518015383305</v>
      </c>
      <c r="L8" s="321">
        <f>'[7]Interface EEG-CO2-Preis-Rechner'!L8</f>
        <v>0.93293644991434377</v>
      </c>
      <c r="M8" s="328">
        <f>'[7]Interface EEG-CO2-Preis-Rechner'!M8</f>
        <v>0.88609756439525533</v>
      </c>
    </row>
    <row r="9" spans="1:13">
      <c r="A9" s="326" t="s">
        <v>203</v>
      </c>
      <c r="B9" s="329">
        <f>'[7]Interface EEG-CO2-Preis-Rechner'!B9</f>
        <v>0</v>
      </c>
      <c r="C9" s="329">
        <f>'[7]Interface EEG-CO2-Preis-Rechner'!C9</f>
        <v>0</v>
      </c>
      <c r="D9" s="329">
        <f>'[7]Interface EEG-CO2-Preis-Rechner'!D9</f>
        <v>10.8</v>
      </c>
      <c r="E9" s="329">
        <f>'[7]Interface EEG-CO2-Preis-Rechner'!E9</f>
        <v>3.25</v>
      </c>
      <c r="F9" s="329">
        <f>'[7]Interface EEG-CO2-Preis-Rechner'!F9</f>
        <v>3.1</v>
      </c>
      <c r="G9" s="329">
        <f>'[7]Interface EEG-CO2-Preis-Rechner'!G9</f>
        <v>4.8</v>
      </c>
      <c r="H9" s="329">
        <f>'[7]Interface EEG-CO2-Preis-Rechner'!H9</f>
        <v>6.5</v>
      </c>
      <c r="I9" s="329">
        <f>'[7]Interface EEG-CO2-Preis-Rechner'!I9</f>
        <v>6</v>
      </c>
      <c r="J9" s="329">
        <f>'[7]Interface EEG-CO2-Preis-Rechner'!J9</f>
        <v>6</v>
      </c>
      <c r="K9" s="329">
        <f>'[7]Interface EEG-CO2-Preis-Rechner'!K9</f>
        <v>6</v>
      </c>
      <c r="L9" s="329">
        <f>'[7]Interface EEG-CO2-Preis-Rechner'!L9</f>
        <v>6</v>
      </c>
      <c r="M9" s="330">
        <f>'[7]Interface EEG-CO2-Preis-Rechner'!M9</f>
        <v>6</v>
      </c>
    </row>
    <row r="10" spans="1:13" ht="15" thickBot="1">
      <c r="A10" s="331" t="s">
        <v>205</v>
      </c>
      <c r="B10" s="332">
        <f>'[7]Interface EEG-CO2-Preis-Rechner'!B10</f>
        <v>22.722048305737623</v>
      </c>
      <c r="C10" s="332">
        <f>'[7]Interface EEG-CO2-Preis-Rechner'!C10</f>
        <v>24.048015322436477</v>
      </c>
      <c r="D10" s="332">
        <f>'[7]Interface EEG-CO2-Preis-Rechner'!D10</f>
        <v>22.397436289207914</v>
      </c>
      <c r="E10" s="332">
        <f>'[7]Interface EEG-CO2-Preis-Rechner'!E10</f>
        <v>13.047020312450414</v>
      </c>
      <c r="F10" s="332">
        <f>'[7]Interface EEG-CO2-Preis-Rechner'!F10</f>
        <v>7.7948783583680772</v>
      </c>
      <c r="G10" s="332">
        <f>'[7]Interface EEG-CO2-Preis-Rechner'!G10</f>
        <v>13.926392564570978</v>
      </c>
      <c r="H10" s="332">
        <f>'[7]Interface EEG-CO2-Preis-Rechner'!H10</f>
        <v>12.227588914179389</v>
      </c>
      <c r="I10" s="332">
        <f>'[7]Interface EEG-CO2-Preis-Rechner'!I10</f>
        <v>11.554398355351843</v>
      </c>
      <c r="J10" s="332">
        <f>'[7]Interface EEG-CO2-Preis-Rechner'!J10</f>
        <v>10.191724349610674</v>
      </c>
      <c r="K10" s="332">
        <f>'[7]Interface EEG-CO2-Preis-Rechner'!K10</f>
        <v>9.5055221016662212</v>
      </c>
      <c r="L10" s="332">
        <f>'[7]Interface EEG-CO2-Preis-Rechner'!L10</f>
        <v>8.7214538544018296</v>
      </c>
      <c r="M10" s="333">
        <f>'[7]Interface EEG-CO2-Preis-Rechner'!M10</f>
        <v>7.5098551702974099</v>
      </c>
    </row>
    <row r="11" spans="1:13" ht="15" thickBot="1">
      <c r="A11" s="335"/>
      <c r="B11" s="336"/>
      <c r="C11" s="337"/>
      <c r="D11" s="310"/>
      <c r="E11" s="310"/>
      <c r="F11" s="310"/>
      <c r="G11" s="310"/>
      <c r="H11" s="310"/>
      <c r="I11" s="310"/>
      <c r="J11" s="310"/>
      <c r="K11" s="310"/>
      <c r="L11" s="310"/>
      <c r="M11" s="334"/>
    </row>
    <row r="12" spans="1:13" s="309" customFormat="1">
      <c r="A12" s="323" t="s">
        <v>199</v>
      </c>
      <c r="B12" s="324">
        <f t="shared" ref="B12:M12" si="1">B6/B5*100</f>
        <v>7.0153140806712573</v>
      </c>
      <c r="C12" s="324">
        <f t="shared" si="1"/>
        <v>6.8274787719158541</v>
      </c>
      <c r="D12" s="324">
        <f t="shared" si="1"/>
        <v>7.6861898320156605</v>
      </c>
      <c r="E12" s="324">
        <f t="shared" si="1"/>
        <v>5.664902136852441</v>
      </c>
      <c r="F12" s="324">
        <f t="shared" si="1"/>
        <v>4.2701793283976519</v>
      </c>
      <c r="G12" s="324">
        <f t="shared" si="1"/>
        <v>5.0115260152862779</v>
      </c>
      <c r="H12" s="324">
        <f t="shared" si="1"/>
        <v>5.0737705835424567</v>
      </c>
      <c r="I12" s="324">
        <f t="shared" si="1"/>
        <v>4.6694514344796305</v>
      </c>
      <c r="J12" s="324">
        <f t="shared" si="1"/>
        <v>4.2163594849316866</v>
      </c>
      <c r="K12" s="324">
        <f t="shared" si="1"/>
        <v>3.9414515263217083</v>
      </c>
      <c r="L12" s="324">
        <f t="shared" si="1"/>
        <v>3.6634771155738792</v>
      </c>
      <c r="M12" s="325">
        <f t="shared" si="1"/>
        <v>3.2977349597524532</v>
      </c>
    </row>
    <row r="13" spans="1:13" s="309" customFormat="1">
      <c r="A13" s="326" t="s">
        <v>200</v>
      </c>
      <c r="B13" s="322">
        <f t="shared" ref="B13:M13" si="2">B10/B5*100</f>
        <v>6.406581826229905</v>
      </c>
      <c r="C13" s="322">
        <f t="shared" si="2"/>
        <v>6.7581163138201807</v>
      </c>
      <c r="D13" s="322">
        <f t="shared" si="2"/>
        <v>6.5036153637169205</v>
      </c>
      <c r="E13" s="322">
        <f t="shared" si="2"/>
        <v>3.7231670924852507</v>
      </c>
      <c r="F13" s="322">
        <f t="shared" si="2"/>
        <v>2.095492877959245</v>
      </c>
      <c r="G13" s="322">
        <f t="shared" si="2"/>
        <v>3.7592521867563322</v>
      </c>
      <c r="H13" s="322">
        <f t="shared" si="2"/>
        <v>3.3143821163530625</v>
      </c>
      <c r="I13" s="322">
        <f t="shared" si="2"/>
        <v>3.0619651489356081</v>
      </c>
      <c r="J13" s="322">
        <f t="shared" si="2"/>
        <v>2.6407586810275125</v>
      </c>
      <c r="K13" s="322">
        <f t="shared" si="2"/>
        <v>2.40952454582755</v>
      </c>
      <c r="L13" s="322">
        <f t="shared" si="2"/>
        <v>2.1634759801156136</v>
      </c>
      <c r="M13" s="327">
        <f t="shared" si="2"/>
        <v>1.8235293723054842</v>
      </c>
    </row>
    <row r="14" spans="1:13" s="309" customFormat="1" ht="15" thickBot="1">
      <c r="A14" s="331" t="s">
        <v>417</v>
      </c>
      <c r="B14" s="332">
        <f>'[7]Interface EEG-CO2-Preis-Rechner'!B13</f>
        <v>6.406581826229905</v>
      </c>
      <c r="C14" s="332">
        <f>'[7]Interface EEG-CO2-Preis-Rechner'!C13</f>
        <v>6.7581163138201807</v>
      </c>
      <c r="D14" s="332">
        <f>'[7]Interface EEG-CO2-Preis-Rechner'!D13</f>
        <v>6.5036153637169205</v>
      </c>
      <c r="E14" s="332">
        <f>'[7]Interface EEG-CO2-Preis-Rechner'!E13</f>
        <v>3.7231670924852507</v>
      </c>
      <c r="F14" s="332">
        <f>'[7]Interface EEG-CO2-Preis-Rechner'!F13</f>
        <v>2.095492877959245</v>
      </c>
      <c r="G14" s="332">
        <f>'[7]Interface EEG-CO2-Preis-Rechner'!G13</f>
        <v>3.7592521867563322</v>
      </c>
      <c r="H14" s="332">
        <f>'[7]Interface EEG-CO2-Preis-Rechner'!H13</f>
        <v>3.3143821163530625</v>
      </c>
      <c r="I14" s="332">
        <f>'[7]Interface EEG-CO2-Preis-Rechner'!I13</f>
        <v>3.0619651489356081</v>
      </c>
      <c r="J14" s="332">
        <f>'[7]Interface EEG-CO2-Preis-Rechner'!J13</f>
        <v>2.6407586810275125</v>
      </c>
      <c r="K14" s="332">
        <f>'[7]Interface EEG-CO2-Preis-Rechner'!K13</f>
        <v>2.40952454582755</v>
      </c>
      <c r="L14" s="332">
        <f>'[7]Interface EEG-CO2-Preis-Rechner'!L13</f>
        <v>2.1634759801156136</v>
      </c>
      <c r="M14" s="333">
        <f>'[7]Interface EEG-CO2-Preis-Rechner'!M13</f>
        <v>1.8235293723054842</v>
      </c>
    </row>
    <row r="15" spans="1:13" ht="15" thickBot="1">
      <c r="A15" s="308"/>
      <c r="M15" s="309"/>
    </row>
    <row r="16" spans="1:13" s="309" customFormat="1">
      <c r="A16" s="315" t="s">
        <v>510</v>
      </c>
      <c r="B16" s="316" t="str">
        <f>'[7]Interface EEG-CO2-Preis-Rechner'!B16</f>
        <v>KNDE 2045</v>
      </c>
      <c r="C16" s="310"/>
      <c r="D16" s="310"/>
      <c r="E16" s="310"/>
      <c r="F16" s="310"/>
      <c r="G16" s="310"/>
      <c r="H16" s="310"/>
      <c r="I16" s="310"/>
      <c r="J16" s="310"/>
      <c r="K16" s="310"/>
      <c r="L16" s="310"/>
      <c r="M16" s="310"/>
    </row>
    <row r="17" spans="1:13" s="309" customFormat="1">
      <c r="A17" s="317" t="s">
        <v>511</v>
      </c>
      <c r="B17" s="318" t="str">
        <f>'[7]Interface EEG-CO2-Preis-Rechner'!B17</f>
        <v>Referenz</v>
      </c>
      <c r="C17" s="310"/>
      <c r="D17" s="310"/>
      <c r="E17" s="310"/>
      <c r="F17" s="310"/>
      <c r="G17" s="310"/>
      <c r="H17" s="310"/>
      <c r="I17" s="310"/>
      <c r="J17" s="310"/>
      <c r="K17" s="310"/>
      <c r="L17" s="310"/>
      <c r="M17" s="310"/>
    </row>
    <row r="18" spans="1:13" s="309" customFormat="1" ht="15" thickBot="1">
      <c r="A18" s="319" t="s">
        <v>436</v>
      </c>
      <c r="B18" s="320" t="str">
        <f>'[7]Interface EEG-CO2-Preis-Rechner'!B18</f>
        <v>Referenz</v>
      </c>
      <c r="C18" s="310"/>
      <c r="D18" s="310"/>
      <c r="E18" s="310"/>
      <c r="F18" s="310"/>
      <c r="G18" s="310"/>
      <c r="H18" s="310"/>
      <c r="I18" s="310"/>
      <c r="J18" s="310"/>
      <c r="K18" s="310"/>
      <c r="L18" s="310"/>
      <c r="M18" s="310"/>
    </row>
    <row r="19" spans="1:13" s="309" customFormat="1"/>
    <row r="20" spans="1:13" s="309" customFormat="1">
      <c r="B20" s="311"/>
      <c r="C20" s="311"/>
      <c r="D20" s="311"/>
      <c r="E20" s="311"/>
      <c r="F20" s="311"/>
      <c r="G20" s="311"/>
      <c r="H20" s="311"/>
      <c r="I20" s="311"/>
      <c r="J20" s="311"/>
      <c r="K20" s="311"/>
      <c r="L20" s="311"/>
      <c r="M20" s="311"/>
    </row>
    <row r="21" spans="1:13" s="309" customFormat="1">
      <c r="A21" s="312"/>
      <c r="B21" s="311"/>
      <c r="C21" s="311"/>
      <c r="D21" s="311"/>
      <c r="E21" s="311"/>
      <c r="F21" s="311"/>
      <c r="G21" s="311"/>
      <c r="H21" s="311"/>
      <c r="I21" s="311"/>
      <c r="J21" s="311"/>
      <c r="K21" s="311"/>
      <c r="L21" s="311"/>
      <c r="M21" s="311"/>
    </row>
    <row r="22" spans="1:13" s="309" customFormat="1">
      <c r="A22" s="312"/>
      <c r="B22" s="311"/>
      <c r="C22" s="311"/>
      <c r="D22" s="311"/>
      <c r="E22" s="311"/>
      <c r="F22" s="311"/>
      <c r="G22" s="311"/>
      <c r="H22" s="311"/>
      <c r="I22" s="311"/>
      <c r="J22" s="311"/>
      <c r="K22" s="311"/>
      <c r="L22" s="311"/>
      <c r="M22" s="311"/>
    </row>
    <row r="23" spans="1:13" s="309" customFormat="1">
      <c r="A23" s="312"/>
      <c r="B23" s="311"/>
      <c r="C23" s="311"/>
      <c r="D23" s="311"/>
      <c r="E23" s="311"/>
      <c r="F23" s="311"/>
      <c r="G23" s="311"/>
      <c r="H23" s="311"/>
      <c r="I23" s="311"/>
      <c r="J23" s="311"/>
      <c r="K23" s="311"/>
      <c r="L23" s="311"/>
      <c r="M23" s="311"/>
    </row>
    <row r="24" spans="1:13" s="309" customFormat="1">
      <c r="A24" s="312"/>
      <c r="B24" s="311"/>
      <c r="C24" s="311"/>
      <c r="D24" s="311"/>
      <c r="E24" s="311"/>
      <c r="F24" s="311"/>
      <c r="G24" s="311"/>
      <c r="H24" s="311"/>
      <c r="I24" s="311"/>
      <c r="J24" s="311"/>
      <c r="K24" s="311"/>
      <c r="L24" s="311"/>
      <c r="M24" s="311"/>
    </row>
    <row r="25" spans="1:13" s="309" customFormat="1">
      <c r="A25" s="312"/>
      <c r="B25" s="311"/>
      <c r="C25" s="311"/>
      <c r="D25" s="311"/>
      <c r="E25" s="311"/>
      <c r="F25" s="311"/>
      <c r="G25" s="311"/>
      <c r="H25" s="311"/>
      <c r="I25" s="311"/>
      <c r="J25" s="311"/>
      <c r="K25" s="311"/>
      <c r="L25" s="311"/>
      <c r="M25" s="311"/>
    </row>
    <row r="26" spans="1:13" s="309" customFormat="1">
      <c r="A26" s="312"/>
      <c r="B26" s="311"/>
      <c r="C26" s="311"/>
      <c r="D26" s="311"/>
      <c r="E26" s="311"/>
      <c r="F26" s="311"/>
      <c r="G26" s="311"/>
      <c r="H26" s="311"/>
      <c r="I26" s="311"/>
      <c r="J26" s="311"/>
      <c r="K26" s="311"/>
      <c r="L26" s="311"/>
      <c r="M26" s="311"/>
    </row>
    <row r="27" spans="1:13" s="309" customFormat="1">
      <c r="B27" s="313"/>
      <c r="C27" s="313"/>
      <c r="D27" s="313"/>
      <c r="E27" s="313"/>
      <c r="F27" s="313"/>
      <c r="G27" s="313"/>
      <c r="H27" s="313"/>
      <c r="I27" s="313"/>
      <c r="J27" s="313"/>
      <c r="K27" s="313"/>
      <c r="L27" s="313"/>
      <c r="M27" s="313"/>
    </row>
    <row r="28" spans="1:13" s="309" customFormat="1">
      <c r="B28" s="313"/>
      <c r="C28" s="313"/>
      <c r="D28" s="313"/>
      <c r="E28" s="313"/>
      <c r="F28" s="313"/>
      <c r="G28" s="313"/>
      <c r="H28" s="313"/>
      <c r="I28" s="313"/>
      <c r="J28" s="313"/>
      <c r="K28" s="313"/>
      <c r="L28" s="313"/>
      <c r="M28" s="313"/>
    </row>
    <row r="29" spans="1:13" s="309" customFormat="1">
      <c r="B29" s="314"/>
      <c r="C29" s="314"/>
      <c r="D29" s="314"/>
      <c r="E29" s="314"/>
      <c r="F29" s="314"/>
      <c r="G29" s="314"/>
      <c r="H29" s="314"/>
      <c r="I29" s="314"/>
      <c r="J29" s="314"/>
      <c r="K29" s="314"/>
      <c r="L29" s="314"/>
      <c r="M29" s="314"/>
    </row>
    <row r="30" spans="1:13" s="309" customFormat="1">
      <c r="B30" s="310"/>
      <c r="C30" s="310"/>
      <c r="D30" s="310"/>
      <c r="E30" s="310"/>
      <c r="F30" s="310"/>
      <c r="G30" s="310"/>
      <c r="H30" s="310"/>
      <c r="I30" s="310"/>
      <c r="J30" s="310"/>
      <c r="K30" s="310"/>
      <c r="L30" s="310"/>
      <c r="M30" s="310"/>
    </row>
    <row r="31" spans="1:13" s="309" customFormat="1">
      <c r="B31" s="310"/>
      <c r="C31" s="310"/>
      <c r="D31" s="310"/>
      <c r="E31" s="310"/>
      <c r="F31" s="310"/>
      <c r="G31" s="310"/>
      <c r="H31" s="310"/>
      <c r="I31" s="310"/>
      <c r="J31" s="310"/>
      <c r="K31" s="310"/>
      <c r="L31" s="310"/>
      <c r="M31" s="310"/>
    </row>
    <row r="32" spans="1:13" s="309" customFormat="1"/>
    <row r="33" spans="2:13" s="309" customFormat="1">
      <c r="B33" s="310"/>
      <c r="C33" s="310"/>
      <c r="D33" s="310"/>
      <c r="E33" s="310"/>
      <c r="F33" s="310"/>
      <c r="G33" s="310"/>
      <c r="H33" s="310"/>
      <c r="I33" s="310"/>
      <c r="J33" s="310"/>
      <c r="K33" s="310"/>
      <c r="L33" s="310"/>
      <c r="M33" s="310"/>
    </row>
    <row r="34" spans="2:13" s="309" customFormat="1">
      <c r="B34" s="310"/>
      <c r="C34" s="310"/>
      <c r="D34" s="310"/>
      <c r="E34" s="310"/>
      <c r="F34" s="310"/>
      <c r="G34" s="310"/>
      <c r="H34" s="310"/>
      <c r="I34" s="310"/>
      <c r="J34" s="310"/>
      <c r="K34" s="310"/>
      <c r="L34" s="310"/>
      <c r="M34" s="310"/>
    </row>
    <row r="35" spans="2:13" s="309" customFormat="1"/>
  </sheetData>
  <sheetProtection algorithmName="SHA-512" hashValue="Of+HEmmyCaxcUNftjFMiv27drh/swysLnBEIQWC3wje0GF4iL1TVpAzsJZ9TRW2yIdu9/uD43AjM6iEZn/Qjbw==" saltValue="1e8Zksp9J6G1/QCJ8Ffa6Q==" spinCount="100000" sheet="1" formatRows="0" selectLockedCells="1"/>
  <pageMargins left="0.7" right="0.7" top="0.78740157499999996" bottom="0.78740157499999996" header="0.3" footer="0.3"/>
  <customProperties>
    <customPr name="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4 D A A B Q S w M E F A A C A A g A K E u q U v I o 7 j q j A A A A 9 Q A A A B I A H A B D b 2 5 m a W c v U G F j a 2 F n Z S 5 4 b W w g o h g A K K A U A A A A A A A A A A A A A A A A A A A A A A A A A A A A h U 8 9 D o I w G L 0 K 6 U 5 b k E H J R x n U T R I T E + P a l F o a o R h a L H d z 8 E h e Q Y y i b i Z v e X / J e / f r D f K h q Y O L 7 K x u T Y Y i T F E g j W h L b V S G e n c M 5 y h n s O X i x J U M x r C x 6 W B 1 h i r n z i k h 3 n v s Z 7 j t F I k p j c i h 2 O x E J R s e a m M d N 0 K i T 6 v 8 3 0 I M 9 q 8 x L M a L E U m C K Z B J g 0 K b r x + P c 5 / u j w j L v n Z 9 J 1 k p w 9 U a y E S B v C + w B 1 B L A w Q U A A I A C A A o S 6 p 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E u q U j + t s T K 5 A A A A t g E A A B M A H A B G b 3 J t d W x h c y 9 T Z W N 0 a W 9 u M S 5 t I K I Y A C i g F A A A A A A A A A A A A A A A A A A A A A A A A A A A A N V P M Q q D Q B D s h f v D c j Y K I h h I F a w k p A s E h R R i c e q G i O e d n C s Y x N / k J / l Y L k h C m j w g 2 y z M z M 7 s D F h R o x W k 6 4 5 2 z G H O c B U G a 8 h E i V L i F m K Q S M w B O 6 f x B V l k P 1 U o w 2 Q 0 B h W d t W l L r V v P n / O j 6 D D m 7 1 t e L H m i F V l R E a w W L j / g 4 6 5 q N I Q G s l v P r Z 3 V S w w z I 9 R w 0 a Z L t B w 7 Z T k c v D U y m G e e 9 k I S R j w A s g w Q T r Q s P n M a 9 c v 5 u 4 7 7 e Q q 8 j c / / u d U T U E s B A i 0 A F A A C A A g A K E u q U v I o 7 j q j A A A A 9 Q A A A B I A A A A A A A A A A A A A A A A A A A A A A E N v b m Z p Z y 9 Q Y W N r Y W d l L n h t b F B L A Q I t A B Q A A g A I A C h L q l I P y u m r p A A A A O k A A A A T A A A A A A A A A A A A A A A A A O 8 A A A B b Q 2 9 u d G V u d F 9 U e X B l c 1 0 u e G 1 s U E s B A i 0 A F A A C A A g A K E u q U j + t s T K 5 A A A A t g E A A B M A A A A A A A A A A A A A A A A A 4 A E A A E Z v c m 1 1 b G F z L 1 N l Y 3 R p b 2 4 x L m 1 Q S w U G A A A A A A M A A w D C A A A A 5 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s g 4 A A A A A A A C Q D 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1 R h Y m V s b G U 1 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R h Y m V s b G U 1 X z I i I C 8 + P E V u d H J 5 I F R 5 c G U 9 I k Z p b G x l Z E N v b X B s Z X R l U m V z d W x 0 V G 9 X b 3 J r c 2 h l Z X Q i I F Z h b H V l P S J s M S I g L z 4 8 R W 5 0 c n k g V H l w Z T 0 i Q W R k Z W R U b 0 R h d G F N b 2 R l b C I g V m F s d W U 9 I m w w I i A v P j x F b n R y e S B U e X B l P S J G a W x s Q 2 9 1 b n Q i I F Z h b H V l P S J s N C I g L z 4 8 R W 5 0 c n k g V H l w Z T 0 i R m l s b E V y c m 9 y Q 2 9 k Z S I g V m F s d W U 9 I n N V b m t u b 3 d u I i A v P j x F b n R y e S B U e X B l P S J G a W x s R X J y b 3 J D b 3 V u d C I g V m F s d W U 9 I m w w I i A v P j x F b n R y e S B U e X B l P S J G a W x s T G F z d F V w Z G F 0 Z W Q i I F Z h b H V l P S J k M j A y M S 0 w N C 0 y N l Q x M D o 0 O D o x M i 4 4 M D E 2 M j k x W i I g L z 4 8 R W 5 0 c n k g V H l w Z T 0 i R m l s b E N v b H V t b l R 5 c G V z I i B W Y W x 1 Z T 0 i c 0 J n P T 0 i I C 8 + P E V u d H J 5 I F R 5 c G U 9 I k Z p b G x D b 2 x 1 b W 5 O Y W 1 l c y I g V m F s d W U 9 I n N b J n F 1 b 3 Q 7 U 3 B h b H R l 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R h Y m V s b G U 1 L 0 F 1 d G 9 S Z W 1 v d m V k Q 2 9 s d W 1 u c z E u e 1 N w Y W x 0 Z T E s M H 0 m c X V v d D t d L C Z x d W 9 0 O 0 N v b H V t b k N v d W 5 0 J n F 1 b 3 Q 7 O j E s J n F 1 b 3 Q 7 S 2 V 5 Q 2 9 s d W 1 u T m F t Z X M m c X V v d D s 6 W 1 0 s J n F 1 b 3 Q 7 Q 2 9 s d W 1 u S W R l b n R p d G l l c y Z x d W 9 0 O z p b J n F 1 b 3 Q 7 U 2 V j d G l v b j E v V G F i Z W x s Z T U v Q X V 0 b 1 J l b W 9 2 Z W R D b 2 x 1 b W 5 z M S 5 7 U 3 B h b H R l M S w w f S Z x d W 9 0 O 1 0 s J n F 1 b 3 Q 7 U m V s Y X R p b 2 5 z a G l w S W 5 m b y Z x d W 9 0 O z p b X X 0 i I C 8 + P C 9 T d G F i b G V F b n R y a W V z P j w v S X R l b T 4 8 S X R l b T 4 8 S X R l b U x v Y 2 F 0 a W 9 u P j x J d G V t V H l w Z T 5 G b 3 J t d W x h P C 9 J d G V t V H l w Z T 4 8 S X R l b V B h d G g + U 2 V j d G l v b j E v V G F i Z W x s Z T U v U X V l b G x l P C 9 J d G V t U G F 0 a D 4 8 L 0 l 0 Z W 1 M b 2 N h d G l v b j 4 8 U 3 R h Y m x l R W 5 0 c m l l c y A v P j w v S X R l b T 4 8 S X R l b T 4 8 S X R l b U x v Y 2 F 0 a W 9 u P j x J d G V t V H l w Z T 5 G b 3 J t d W x h P C 9 J d G V t V H l w Z T 4 8 S X R l b V B h d G g + U 2 V j d G l v b j E v V G F i Z W x s Z T U v R 2 U l Q z M l Q T R u Z G V y d G V y J T I w V H l w P C 9 J d G V t U G F 0 a D 4 8 L 0 l 0 Z W 1 M b 2 N h d G l v b j 4 8 U 3 R h Y m x l R W 5 0 c m l l c y A v P j w v S X R l b T 4 8 S X R l b T 4 8 S X R l b U x v Y 2 F 0 a W 9 u P j x J d G V t V H l w Z T 5 G b 3 J t d W x h P C 9 J d G V t V H l w Z T 4 8 S X R l b V B h d G g + U 2 V j d G l v b j E v V G F i Z W x s Z T U 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U Y X J n Z X Q i I F Z h b H V l P S J z V G F i Z W x s Z T V f M j I i I C 8 + P E V u d H J 5 I F R 5 c G U 9 I k Z p b G x l Z E N v b X B s Z X R l U m V z d W x 0 V G 9 X b 3 J r c 2 h l Z X Q i I F Z h b H V l P S J s M S I g L z 4 8 R W 5 0 c n k g V H l w Z T 0 i R m l s b E V y c m 9 y Q 2 9 k Z S I g V m F s d W U 9 I n N V b m t u b 3 d u I i A v P j x F b n R y e S B U e X B l P S J G a W x s R X J y b 3 J D b 3 V u d C I g V m F s d W U 9 I m w w I i A v P j x F b n R y e S B U e X B l P S J G a W x s T G F z d F V w Z G F 0 Z W Q i I F Z h b H V l P S J k M j A y M S 0 w N C 0 y N l Q x M D o 0 O D o x M i 4 4 M D E 2 M j k x W i I g L z 4 8 R W 5 0 c n k g V H l w Z T 0 i R m l s b E N v b H V t b l R 5 c G V z I i B W Y W x 1 Z T 0 i c 0 J n P T 0 i I C 8 + P E V u d H J 5 I F R 5 c G U 9 I k Z p b G x D b 2 x 1 b W 5 O Y W 1 l c y I g V m F s d W U 9 I n N b J n F 1 b 3 Q 7 U 3 B h b H R l M S Z x d W 9 0 O 1 0 i I C 8 + P E V u d H J 5 I F R 5 c G U 9 I k Z p b G x T d G F 0 d X M i I F Z h b H V l P S J z Q 2 9 t c G x l d G U i I C 8 + P E V u d H J 5 I F R 5 c G U 9 I k Z p b G x D b 3 V u d C I g V m F s d W U 9 I m w 0 I i A v P j x F b n R y e S B U e X B l P S J S Z W x h d G l v b n N o a X B J b m Z v Q 2 9 u d G F p b m V y I i B W Y W x 1 Z T 0 i c 3 s m c X V v d D t j b 2 x 1 b W 5 D b 3 V u d C Z x d W 9 0 O z o x L C Z x d W 9 0 O 2 t l e U N v b H V t b k 5 h b W V z J n F 1 b 3 Q 7 O l t d L C Z x d W 9 0 O 3 F 1 Z X J 5 U m V s Y X R p b 2 5 z a G l w c y Z x d W 9 0 O z p b X S w m c X V v d D t j b 2 x 1 b W 5 J Z G V u d G l 0 a W V z J n F 1 b 3 Q 7 O l s m c X V v d D t T Z W N 0 a W 9 u M S 9 U Y W J l b G x l N S 9 B d X R v U m V t b 3 Z l Z E N v b H V t b n M x L n t T c G F s d G U x L D B 9 J n F 1 b 3 Q 7 X S w m c X V v d D t D b 2 x 1 b W 5 D b 3 V u d C Z x d W 9 0 O z o x L C Z x d W 9 0 O 0 t l e U N v b H V t b k 5 h b W V z J n F 1 b 3 Q 7 O l t d L C Z x d W 9 0 O 0 N v b H V t b k l k Z W 5 0 a X R p Z X M m c X V v d D s 6 W y Z x d W 9 0 O 1 N l Y 3 R p b 2 4 x L 1 R h Y m V s b G U 1 L 0 F 1 d G 9 S Z W 1 v d m V k Q 2 9 s d W 1 u c z E u e 1 N w Y W x 0 Z T E s M H 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1 R h Y m V s b G U 1 J T I w K D I p L 1 F 1 Z W x s Z T w v S X R l b V B h d G g + P C 9 J d G V t T G 9 j Y X R p b 2 4 + P F N 0 Y W J s Z U V u d H J p Z X M g L z 4 8 L 0 l 0 Z W 0 + P E l 0 Z W 0 + P E l 0 Z W 1 M b 2 N h d G l v b j 4 8 S X R l b V R 5 c G U + R m 9 y b X V s Y T w v S X R l b V R 5 c G U + P E l 0 Z W 1 Q Y X R o P l N l Y 3 R p b 2 4 x L 1 R h Y m V s b G U 1 J T I w K D I p L 0 d l J U M z J U E 0 b m R l c n R l c i U y M F R 5 c D w v S X R l b V B h d G g + P C 9 J d G V t T G 9 j Y X R p b 2 4 + P F N 0 Y W J s Z U V u d H J p Z X M g L z 4 8 L 0 l 0 Z W 0 + P C 9 J d G V t c z 4 8 L 0 x v Y 2 F s U G F j a 2 F n Z U 1 l d G F k Y X R h R m l s Z T 4 W A A A A U E s F B g A A A A A A A A A A A A A A A A A A A A A A A C Y B A A A B A A A A 0 I y d 3 w E V 0 R G M e g D A T 8 K X 6 w E A A A C t R 7 E z b Y i u T I B X O n 2 G G v D 4 A A A A A A I A A A A A A B B m A A A A A Q A A I A A A A K D + c v 3 6 n y D 8 k e F b 3 e r / 2 W G 9 F 2 K H X 6 i u u E T Q B j / x i N H G A A A A A A 6 A A A A A A g A A I A A A A L J M O Z t U 4 P Q B 5 3 Z x 1 U z u 0 U 6 8 c o w + g a q Z t G C 1 G a f V Q g f x U A A A A N D u M a H M x N c P S Q w U k K J p f l E r k z B 0 R h j L w F 7 p P I e 3 N + L 4 c x j V X a F R I H C H d e 2 N t k e j f C w p / T d n I g g V b 9 S W R A J O n 3 f M q U L i a s Q r p C H p y 4 a s W r y I Q A A A A J S u x F R B h W g 5 h e m s C 0 0 1 y n 0 V X u s x q Q / M G 8 0 7 x j l c p Z i X 1 i Q + e O w l p 4 q l 5 U u X c A U g I T u W L L o I P N 5 k X E s q N 2 D t U b E = < / D a t a M a s h u p > 
</file>

<file path=customXml/itemProps1.xml><?xml version="1.0" encoding="utf-8"?>
<ds:datastoreItem xmlns:ds="http://schemas.openxmlformats.org/officeDocument/2006/customXml" ds:itemID="{60D55015-02BF-42F3-8BCC-BD302B90795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23</vt:i4>
      </vt:variant>
    </vt:vector>
  </HeadingPairs>
  <TitlesOfParts>
    <vt:vector size="23" baseType="lpstr">
      <vt:lpstr>Info</vt:lpstr>
      <vt:lpstr>Start - Ergebnisse</vt:lpstr>
      <vt:lpstr>Konfiguration Szenarien</vt:lpstr>
      <vt:lpstr>Steuer- und Abgabensätze</vt:lpstr>
      <vt:lpstr>Berechnung Produktpreise</vt:lpstr>
      <vt:lpstr>Endverbraucherpreise</vt:lpstr>
      <vt:lpstr>Berechnung Steuereinnahmen</vt:lpstr>
      <vt:lpstr>Verbrauchsstatistiken</vt:lpstr>
      <vt:lpstr>Interface EEG-CO2-Preis-Rechner</vt:lpstr>
      <vt:lpstr>Musterhaushalte</vt:lpstr>
      <vt:lpstr>Kalibierung Steuereinnahmen</vt:lpstr>
      <vt:lpstr>Datenquellen</vt:lpstr>
      <vt:lpstr>Absätze Mineralöl</vt:lpstr>
      <vt:lpstr>Absätze Heizöl EL</vt:lpstr>
      <vt:lpstr>Absätze Heizöl S</vt:lpstr>
      <vt:lpstr>Absätze Flüssiggas</vt:lpstr>
      <vt:lpstr>Absätze Erdgas</vt:lpstr>
      <vt:lpstr>Absätze und Umlagen Strom</vt:lpstr>
      <vt:lpstr>Physikalische Parameter</vt:lpstr>
      <vt:lpstr>Graphikdaten 1</vt:lpstr>
      <vt:lpstr>Graphikdaten 2</vt:lpstr>
      <vt:lpstr>Graphikdaten 3</vt:lpstr>
      <vt:lpstr>Dropdown-Struktur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Agora_CO2-Preis-Rechner</dc:title>
  <dc:creator>Konstantin Lenz;thorsten.lenck@agora-energiewende.de</dc:creator>
  <cp:lastModifiedBy>Thorsten Lenck</cp:lastModifiedBy>
  <dcterms:created xsi:type="dcterms:W3CDTF">2021-02-26T14:24:28Z</dcterms:created>
  <dcterms:modified xsi:type="dcterms:W3CDTF">2021-10-19T13:40:19Z</dcterms:modified>
</cp:coreProperties>
</file>